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imelines/timeline1.xml" ContentType="application/vnd.ms-excel.timeline+xml"/>
  <Override PartName="/xl/comments6.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documenttasks/documenttask1.xml" ContentType="application/vnd.ms-excel.documenttasks+xml"/>
  <Override PartName="/xl/threadedComments/threadedComment3.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documenttasks/documenttask3.xml" ContentType="application/vnd.ms-excel.documenttasks+xml"/>
  <Override PartName="/xl/threadedComments/threadedComment10.xml" ContentType="application/vnd.ms-excel.threadedcomments+xml"/>
  <Override PartName="/xl/threadedComments/threadedComment1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nachogenes/Downloads/"/>
    </mc:Choice>
  </mc:AlternateContent>
  <xr:revisionPtr revIDLastSave="0" documentId="13_ncr:1_{426A26AF-A34B-C344-A2C4-94FEB2B1C46A}" xr6:coauthVersionLast="47" xr6:coauthVersionMax="47" xr10:uidLastSave="{00000000-0000-0000-0000-000000000000}"/>
  <bookViews>
    <workbookView xWindow="140" yWindow="940" windowWidth="16840" windowHeight="20000" tabRatio="851" firstSheet="2" activeTab="2" xr2:uid="{00000000-000D-0000-FFFF-FFFF00000000}"/>
  </bookViews>
  <sheets>
    <sheet name="TEMAS" sheetId="34" r:id="rId1"/>
    <sheet name="MES CERRADO" sheetId="18" r:id="rId2"/>
    <sheet name="TABLERO DIARIO" sheetId="3" r:id="rId3"/>
    <sheet name="DEVOLUCIONES - anterior" sheetId="10" state="hidden" r:id="rId4"/>
    <sheet name="RECHAZOS - anterior" sheetId="12" state="hidden" r:id="rId5"/>
    <sheet name="FALTANTES TD1" sheetId="14" state="hidden" r:id="rId6"/>
    <sheet name="RECORTES TD" sheetId="16" state="hidden" r:id="rId7"/>
    <sheet name="RECORTES" sheetId="15" state="hidden" r:id="rId8"/>
    <sheet name="CALENDARIO" sheetId="20" r:id="rId9"/>
    <sheet name="LOGÍSTICA" sheetId="26" r:id="rId10"/>
    <sheet name="RECORRIDAS" sheetId="31" state="hidden" r:id="rId11"/>
    <sheet name="NO USAR - RECORRIDA" sheetId="30" state="hidden" r:id="rId12"/>
    <sheet name="BASE DATOS" sheetId="6" r:id="rId13"/>
  </sheets>
  <definedNames>
    <definedName name="_xlnm._FilterDatabase" localSheetId="12" hidden="1">'BASE DATOS'!$F$1:$N$114</definedName>
    <definedName name="_xlnm._FilterDatabase" localSheetId="3" hidden="1">'DEVOLUCIONES - anterior'!$B$2:$H$212</definedName>
    <definedName name="_xlnm._FilterDatabase" localSheetId="4" hidden="1">'RECHAZOS - anterior'!$B$1:$I$473</definedName>
    <definedName name="_xlnm._FilterDatabase" localSheetId="10" hidden="1">RECORRIDAS!$A$1:$T$199</definedName>
    <definedName name="_xlnm._FilterDatabase" localSheetId="7" hidden="1">RECORTES!$B$2:$K$158</definedName>
    <definedName name="_xlnm._FilterDatabase" localSheetId="0" hidden="1">TEMAS!$B$2:$M$77</definedName>
    <definedName name="NativeTimeline_FECHA1">#N/A</definedName>
  </definedNames>
  <calcPr calcId="181029"/>
  <pivotCaches>
    <pivotCache cacheId="17" r:id="rId14"/>
    <pivotCache cacheId="18" r:id="rId15"/>
    <pivotCache cacheId="20" r:id="rId16"/>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2" i="26" l="1"/>
  <c r="R3" i="26"/>
  <c r="R4" i="26"/>
  <c r="R5" i="26"/>
  <c r="R6" i="26"/>
  <c r="R7" i="26"/>
  <c r="R8" i="26"/>
  <c r="R9" i="26"/>
  <c r="R10" i="26"/>
  <c r="R11" i="26"/>
  <c r="R12" i="26"/>
  <c r="R13" i="26"/>
  <c r="R14" i="26"/>
  <c r="R15" i="26"/>
  <c r="R16" i="26"/>
  <c r="R17" i="26"/>
  <c r="R18" i="26"/>
  <c r="R19" i="26"/>
  <c r="R20" i="26"/>
  <c r="R21" i="26"/>
  <c r="R22" i="26"/>
  <c r="R23" i="26"/>
  <c r="R24" i="26"/>
  <c r="R25" i="26"/>
  <c r="R26" i="26"/>
  <c r="R27" i="26"/>
  <c r="R28" i="26"/>
  <c r="R29" i="26"/>
  <c r="R30" i="26"/>
  <c r="R31" i="26"/>
  <c r="R32" i="26"/>
  <c r="R33" i="26"/>
  <c r="R34" i="26"/>
  <c r="R35" i="26"/>
  <c r="R36" i="26"/>
  <c r="R37" i="26"/>
  <c r="R38" i="26"/>
  <c r="R39" i="26"/>
  <c r="R40" i="26"/>
  <c r="R41" i="26"/>
  <c r="R42" i="26"/>
  <c r="R43" i="26"/>
  <c r="R44" i="26"/>
  <c r="R45" i="26"/>
  <c r="R46" i="26"/>
  <c r="R47" i="26"/>
  <c r="R48" i="26"/>
  <c r="R49" i="26"/>
  <c r="R50" i="26"/>
  <c r="R51" i="26"/>
  <c r="R52" i="26"/>
  <c r="R53" i="26"/>
  <c r="R54" i="26"/>
  <c r="R55" i="26"/>
  <c r="R56" i="26"/>
  <c r="R57" i="26"/>
  <c r="R58" i="26"/>
  <c r="R59" i="26"/>
  <c r="R60" i="26"/>
  <c r="R61" i="26"/>
  <c r="R62" i="26"/>
  <c r="R63" i="26"/>
  <c r="R64" i="26"/>
  <c r="R65" i="26"/>
  <c r="R66" i="26"/>
  <c r="R67" i="26"/>
  <c r="H42" i="34"/>
  <c r="K42" i="34"/>
  <c r="H36" i="34"/>
  <c r="K36" i="34"/>
  <c r="BAH23" i="3"/>
  <c r="BAE23" i="3"/>
  <c r="BAB23" i="3"/>
  <c r="AZY23" i="3"/>
  <c r="AZV23" i="3"/>
  <c r="AZS23" i="3"/>
  <c r="AZP23" i="3"/>
  <c r="AZM23" i="3"/>
  <c r="AZJ23" i="3"/>
  <c r="AZG23" i="3"/>
  <c r="AZD23" i="3"/>
  <c r="AZA23" i="3"/>
  <c r="AYX23" i="3"/>
  <c r="AYU23" i="3"/>
  <c r="AYR23" i="3"/>
  <c r="AYO23" i="3"/>
  <c r="AYL23" i="3"/>
  <c r="AYI23" i="3"/>
  <c r="AYF23" i="3"/>
  <c r="AYC23" i="3"/>
  <c r="AXZ23" i="3"/>
  <c r="AXW23" i="3"/>
  <c r="AXT23" i="3"/>
  <c r="AXQ23" i="3"/>
  <c r="AXN23" i="3"/>
  <c r="AXK23" i="3"/>
  <c r="AXH23" i="3"/>
  <c r="AXE23" i="3"/>
  <c r="AXB23" i="3"/>
  <c r="AWY23" i="3"/>
  <c r="AWV23" i="3"/>
  <c r="AWS23" i="3"/>
  <c r="AWP23" i="3"/>
  <c r="AWM23" i="3"/>
  <c r="AWJ23" i="3"/>
  <c r="AWG23" i="3"/>
  <c r="AWD23" i="3"/>
  <c r="AWA23" i="3"/>
  <c r="AVX23" i="3"/>
  <c r="AVU23" i="3"/>
  <c r="AVR23" i="3"/>
  <c r="AVO23" i="3"/>
  <c r="AVL23" i="3"/>
  <c r="AVI23" i="3"/>
  <c r="AVF23" i="3"/>
  <c r="AVC23" i="3"/>
  <c r="AUZ23" i="3"/>
  <c r="AUW23" i="3"/>
  <c r="AUT23" i="3"/>
  <c r="AUQ23" i="3"/>
  <c r="AUN23" i="3"/>
  <c r="AUK23" i="3"/>
  <c r="AUH23" i="3"/>
  <c r="AUE23" i="3"/>
  <c r="AUB23" i="3"/>
  <c r="ATY23" i="3"/>
  <c r="ATV23" i="3"/>
  <c r="ATS23" i="3"/>
  <c r="ATP23" i="3"/>
  <c r="ATM23" i="3"/>
  <c r="ATJ23" i="3"/>
  <c r="ATG23" i="3"/>
  <c r="ATD23" i="3"/>
  <c r="ATA23" i="3"/>
  <c r="ASX23" i="3"/>
  <c r="ASU23" i="3"/>
  <c r="ASR23" i="3"/>
  <c r="ASO23" i="3"/>
  <c r="ASL23" i="3"/>
  <c r="ASI23" i="3"/>
  <c r="ASF23" i="3"/>
  <c r="ASC23" i="3"/>
  <c r="ARZ23" i="3"/>
  <c r="ARW23" i="3"/>
  <c r="ART23" i="3"/>
  <c r="ARQ23" i="3"/>
  <c r="ARN23" i="3"/>
  <c r="ARK23" i="3"/>
  <c r="ARH23" i="3"/>
  <c r="ARE23" i="3"/>
  <c r="ARB23" i="3"/>
  <c r="AQY23" i="3"/>
  <c r="AQV23" i="3"/>
  <c r="AQS23" i="3"/>
  <c r="AQP23" i="3"/>
  <c r="AQM23" i="3"/>
  <c r="AQJ23" i="3"/>
  <c r="AQG23" i="3"/>
  <c r="AQD23" i="3"/>
  <c r="AQA23" i="3"/>
  <c r="APX23" i="3"/>
  <c r="APU23" i="3"/>
  <c r="APR23" i="3"/>
  <c r="APO23" i="3"/>
  <c r="APL23" i="3"/>
  <c r="API23" i="3"/>
  <c r="APF23" i="3"/>
  <c r="APC23" i="3"/>
  <c r="AOZ23" i="3"/>
  <c r="AOW23" i="3"/>
  <c r="AOT23" i="3"/>
  <c r="AOQ23" i="3"/>
  <c r="AON23" i="3"/>
  <c r="AOK23" i="3"/>
  <c r="AOH23" i="3"/>
  <c r="AOE23" i="3"/>
  <c r="AOB23" i="3"/>
  <c r="ANY23" i="3"/>
  <c r="ANV23" i="3"/>
  <c r="ANS23" i="3"/>
  <c r="ANP23" i="3"/>
  <c r="ANM23" i="3"/>
  <c r="ANJ23" i="3"/>
  <c r="ANG23" i="3"/>
  <c r="AND23" i="3"/>
  <c r="ANA23" i="3"/>
  <c r="AMX23" i="3"/>
  <c r="AMU23" i="3"/>
  <c r="AMR23" i="3"/>
  <c r="AMO23" i="3"/>
  <c r="AML23" i="3"/>
  <c r="AMI23" i="3"/>
  <c r="AMF23" i="3"/>
  <c r="AMC23" i="3"/>
  <c r="ALZ23" i="3"/>
  <c r="BAH34" i="3"/>
  <c r="BAE34" i="3"/>
  <c r="BAB34" i="3"/>
  <c r="AZY34" i="3"/>
  <c r="AZV34" i="3"/>
  <c r="AZS34" i="3"/>
  <c r="AZP34" i="3"/>
  <c r="AZM34" i="3"/>
  <c r="AZJ34" i="3"/>
  <c r="AZG34" i="3"/>
  <c r="AZD34" i="3"/>
  <c r="AZA34" i="3"/>
  <c r="AYX34" i="3"/>
  <c r="AYU34" i="3"/>
  <c r="AYR34" i="3"/>
  <c r="AYO34" i="3"/>
  <c r="AYL34" i="3"/>
  <c r="AYI34" i="3"/>
  <c r="AYF34" i="3"/>
  <c r="AYC34" i="3"/>
  <c r="AXZ34" i="3"/>
  <c r="AXW34" i="3"/>
  <c r="AXT34" i="3"/>
  <c r="AXQ34" i="3"/>
  <c r="AXN34" i="3"/>
  <c r="AXK34" i="3"/>
  <c r="AXH34" i="3"/>
  <c r="AXE34" i="3"/>
  <c r="AXB34" i="3"/>
  <c r="AWY34" i="3"/>
  <c r="AWV34" i="3"/>
  <c r="AWS34" i="3"/>
  <c r="AWP34" i="3"/>
  <c r="AWM34" i="3"/>
  <c r="AWJ34" i="3"/>
  <c r="AWG34" i="3"/>
  <c r="AWD34" i="3"/>
  <c r="AWA34" i="3"/>
  <c r="AVX34" i="3"/>
  <c r="AVU34" i="3"/>
  <c r="AVR34" i="3"/>
  <c r="AVO34" i="3"/>
  <c r="AVL34" i="3"/>
  <c r="AVI34" i="3"/>
  <c r="AVF34" i="3"/>
  <c r="AVC34" i="3"/>
  <c r="AUZ34" i="3"/>
  <c r="AUW34" i="3"/>
  <c r="AUT34" i="3"/>
  <c r="AUQ34" i="3"/>
  <c r="AUN34" i="3"/>
  <c r="AUK34" i="3"/>
  <c r="AUH34" i="3"/>
  <c r="AUE34" i="3"/>
  <c r="AUB34" i="3"/>
  <c r="ATY34" i="3"/>
  <c r="ATV34" i="3"/>
  <c r="ATS34" i="3"/>
  <c r="ATP34" i="3"/>
  <c r="ATM34" i="3"/>
  <c r="ATJ34" i="3"/>
  <c r="ATG34" i="3"/>
  <c r="ATD34" i="3"/>
  <c r="ATA34" i="3"/>
  <c r="ASX34" i="3"/>
  <c r="ASU34" i="3"/>
  <c r="ASR34" i="3"/>
  <c r="ASO34" i="3"/>
  <c r="ASL34" i="3"/>
  <c r="ASI34" i="3"/>
  <c r="ASF34" i="3"/>
  <c r="ASC34" i="3"/>
  <c r="ARZ34" i="3"/>
  <c r="ARW34" i="3"/>
  <c r="ART34" i="3"/>
  <c r="ARQ34" i="3"/>
  <c r="ARN34" i="3"/>
  <c r="ARK34" i="3"/>
  <c r="ARH34" i="3"/>
  <c r="ARE34" i="3"/>
  <c r="ARB34" i="3"/>
  <c r="AQY34" i="3"/>
  <c r="AQV34" i="3"/>
  <c r="AQS34" i="3"/>
  <c r="AQP34" i="3"/>
  <c r="AQM34" i="3"/>
  <c r="AQJ34" i="3"/>
  <c r="AQG34" i="3"/>
  <c r="AQD34" i="3"/>
  <c r="AQA34" i="3"/>
  <c r="APX34" i="3"/>
  <c r="APU34" i="3"/>
  <c r="APR34" i="3"/>
  <c r="APO34" i="3"/>
  <c r="APL34" i="3"/>
  <c r="API34" i="3"/>
  <c r="APF34" i="3"/>
  <c r="APC34" i="3"/>
  <c r="AOZ34" i="3"/>
  <c r="AOW34" i="3"/>
  <c r="AOT34" i="3"/>
  <c r="AOQ34" i="3"/>
  <c r="AON34" i="3"/>
  <c r="AOK34" i="3"/>
  <c r="AOH34" i="3"/>
  <c r="AOE34" i="3"/>
  <c r="AOB34" i="3"/>
  <c r="ANY34" i="3"/>
  <c r="ANV34" i="3"/>
  <c r="ANS34" i="3"/>
  <c r="ANP34" i="3"/>
  <c r="ANM34" i="3"/>
  <c r="ANJ34" i="3"/>
  <c r="ANG34" i="3"/>
  <c r="AND34" i="3"/>
  <c r="ANA34" i="3"/>
  <c r="AMX34" i="3"/>
  <c r="AMU34" i="3"/>
  <c r="AMR34" i="3"/>
  <c r="AMO34" i="3"/>
  <c r="AML34" i="3"/>
  <c r="AMI34" i="3"/>
  <c r="AMF34" i="3"/>
  <c r="AMC34" i="3"/>
  <c r="ALZ34" i="3"/>
  <c r="ALW23" i="3"/>
  <c r="BAH18" i="3"/>
  <c r="BAH17" i="3" s="1"/>
  <c r="BAE18" i="3"/>
  <c r="BAE17" i="3" s="1"/>
  <c r="BAB18" i="3"/>
  <c r="AZY18" i="3"/>
  <c r="AZV18" i="3"/>
  <c r="AZS18" i="3"/>
  <c r="AZS17" i="3" s="1"/>
  <c r="AZP18" i="3"/>
  <c r="AZM18" i="3"/>
  <c r="AZJ18" i="3"/>
  <c r="AZG18" i="3"/>
  <c r="AZD18" i="3"/>
  <c r="AZD17" i="3" s="1"/>
  <c r="AZA18" i="3"/>
  <c r="AZA17" i="3" s="1"/>
  <c r="AYX18" i="3"/>
  <c r="AYU18" i="3"/>
  <c r="AYR18" i="3"/>
  <c r="AYO18" i="3"/>
  <c r="AYO17" i="3" s="1"/>
  <c r="AYL18" i="3"/>
  <c r="AYI18" i="3"/>
  <c r="AYF18" i="3"/>
  <c r="AYC18" i="3"/>
  <c r="AXZ18" i="3"/>
  <c r="AXZ17" i="3" s="1"/>
  <c r="AXW18" i="3"/>
  <c r="AXW17" i="3" s="1"/>
  <c r="AXT18" i="3"/>
  <c r="AXQ18" i="3"/>
  <c r="AXN18" i="3"/>
  <c r="AXK18" i="3"/>
  <c r="AXK17" i="3" s="1"/>
  <c r="AXH18" i="3"/>
  <c r="AXE18" i="3"/>
  <c r="AXB18" i="3"/>
  <c r="AWY18" i="3"/>
  <c r="AWV18" i="3"/>
  <c r="AWV17" i="3" s="1"/>
  <c r="AWS18" i="3"/>
  <c r="AWS17" i="3" s="1"/>
  <c r="AWP18" i="3"/>
  <c r="AWM18" i="3"/>
  <c r="AWJ18" i="3"/>
  <c r="AWG18" i="3"/>
  <c r="AWG17" i="3" s="1"/>
  <c r="AWD18" i="3"/>
  <c r="AWA18" i="3"/>
  <c r="AVX18" i="3"/>
  <c r="AVU18" i="3"/>
  <c r="AVR18" i="3"/>
  <c r="AVR17" i="3" s="1"/>
  <c r="AVO18" i="3"/>
  <c r="AVO17" i="3" s="1"/>
  <c r="AVL18" i="3"/>
  <c r="AVI18" i="3"/>
  <c r="AVF18" i="3"/>
  <c r="AVC18" i="3"/>
  <c r="AVC17" i="3" s="1"/>
  <c r="AUZ18" i="3"/>
  <c r="AUW18" i="3"/>
  <c r="AUT18" i="3"/>
  <c r="AUQ18" i="3"/>
  <c r="AUN18" i="3"/>
  <c r="AUN17" i="3" s="1"/>
  <c r="AUK18" i="3"/>
  <c r="AUK17" i="3" s="1"/>
  <c r="AUH18" i="3"/>
  <c r="AUE18" i="3"/>
  <c r="AUB18" i="3"/>
  <c r="ATY18" i="3"/>
  <c r="ATY17" i="3" s="1"/>
  <c r="ATV18" i="3"/>
  <c r="ATS18" i="3"/>
  <c r="ATP18" i="3"/>
  <c r="ATM18" i="3"/>
  <c r="ATJ18" i="3"/>
  <c r="ATJ17" i="3" s="1"/>
  <c r="ATG18" i="3"/>
  <c r="ATG17" i="3" s="1"/>
  <c r="ATD18" i="3"/>
  <c r="ATA18" i="3"/>
  <c r="ASX18" i="3"/>
  <c r="ASU18" i="3"/>
  <c r="ASU17" i="3" s="1"/>
  <c r="ASR18" i="3"/>
  <c r="ASO18" i="3"/>
  <c r="ASL18" i="3"/>
  <c r="ASI18" i="3"/>
  <c r="ASF18" i="3"/>
  <c r="ASF17" i="3" s="1"/>
  <c r="ASC18" i="3"/>
  <c r="ASC17" i="3" s="1"/>
  <c r="ARZ18" i="3"/>
  <c r="ARW18" i="3"/>
  <c r="ART18" i="3"/>
  <c r="ARQ18" i="3"/>
  <c r="ARQ17" i="3" s="1"/>
  <c r="ARN18" i="3"/>
  <c r="ARK18" i="3"/>
  <c r="ARH18" i="3"/>
  <c r="ARE18" i="3"/>
  <c r="ARB18" i="3"/>
  <c r="ARB17" i="3" s="1"/>
  <c r="AQY18" i="3"/>
  <c r="AQY17" i="3" s="1"/>
  <c r="AQV18" i="3"/>
  <c r="AQS18" i="3"/>
  <c r="AQP18" i="3"/>
  <c r="AQM18" i="3"/>
  <c r="AQM17" i="3" s="1"/>
  <c r="AQJ18" i="3"/>
  <c r="AQG18" i="3"/>
  <c r="AQD18" i="3"/>
  <c r="AQA18" i="3"/>
  <c r="APX18" i="3"/>
  <c r="APX17" i="3" s="1"/>
  <c r="APU18" i="3"/>
  <c r="APU17" i="3" s="1"/>
  <c r="APR18" i="3"/>
  <c r="APO18" i="3"/>
  <c r="APL18" i="3"/>
  <c r="API18" i="3"/>
  <c r="API17" i="3" s="1"/>
  <c r="APF18" i="3"/>
  <c r="APC18" i="3"/>
  <c r="AOZ18" i="3"/>
  <c r="AOW18" i="3"/>
  <c r="AOT18" i="3"/>
  <c r="AOT17" i="3" s="1"/>
  <c r="AOQ18" i="3"/>
  <c r="AOQ17" i="3" s="1"/>
  <c r="AON18" i="3"/>
  <c r="AOK18" i="3"/>
  <c r="AOH18" i="3"/>
  <c r="AOE18" i="3"/>
  <c r="AOE17" i="3" s="1"/>
  <c r="AOB18" i="3"/>
  <c r="ANY18" i="3"/>
  <c r="ANV18" i="3"/>
  <c r="ANS18" i="3"/>
  <c r="ANP18" i="3"/>
  <c r="ANP17" i="3" s="1"/>
  <c r="ANM18" i="3"/>
  <c r="ANM17" i="3" s="1"/>
  <c r="ANJ18" i="3"/>
  <c r="ANG18" i="3"/>
  <c r="AND18" i="3"/>
  <c r="ANA18" i="3"/>
  <c r="ANA17" i="3" s="1"/>
  <c r="AMX18" i="3"/>
  <c r="AMU18" i="3"/>
  <c r="AMR18" i="3"/>
  <c r="AMO18" i="3"/>
  <c r="AML18" i="3"/>
  <c r="AML17" i="3" s="1"/>
  <c r="AMI18" i="3"/>
  <c r="AMI17" i="3" s="1"/>
  <c r="AMF18" i="3"/>
  <c r="AMC18" i="3"/>
  <c r="ALZ18" i="3"/>
  <c r="ALW18" i="3"/>
  <c r="ALW17" i="3" s="1"/>
  <c r="K19" i="34"/>
  <c r="H19" i="34"/>
  <c r="H70" i="34"/>
  <c r="K70" i="34"/>
  <c r="H56" i="34"/>
  <c r="K56" i="34"/>
  <c r="H63" i="34"/>
  <c r="K63" i="34"/>
  <c r="M121" i="6"/>
  <c r="M122" i="6"/>
  <c r="K1935" i="26"/>
  <c r="K1934" i="26"/>
  <c r="K1933" i="26"/>
  <c r="K1932" i="26"/>
  <c r="K1931" i="26"/>
  <c r="K1930" i="26"/>
  <c r="K1929" i="26"/>
  <c r="K1928" i="26"/>
  <c r="K1927" i="26"/>
  <c r="K1926" i="26"/>
  <c r="K1925" i="26"/>
  <c r="K1924" i="26"/>
  <c r="K1923" i="26"/>
  <c r="K1922" i="26"/>
  <c r="K1921" i="26"/>
  <c r="K1920" i="26"/>
  <c r="K1919" i="26"/>
  <c r="K1918" i="26"/>
  <c r="K1917" i="26"/>
  <c r="K1916" i="26"/>
  <c r="K1915" i="26"/>
  <c r="K1914" i="26"/>
  <c r="K1913" i="26"/>
  <c r="K1912" i="26"/>
  <c r="K1911" i="26"/>
  <c r="K1910" i="26"/>
  <c r="K1909" i="26"/>
  <c r="K1908" i="26"/>
  <c r="K1907" i="26"/>
  <c r="K1906" i="26"/>
  <c r="K1905" i="26"/>
  <c r="K1904" i="26"/>
  <c r="K1903" i="26"/>
  <c r="K1902" i="26"/>
  <c r="K1901" i="26"/>
  <c r="K1900" i="26"/>
  <c r="K1899" i="26"/>
  <c r="K1898" i="26"/>
  <c r="K1897" i="26"/>
  <c r="K1896" i="26"/>
  <c r="K1895" i="26"/>
  <c r="K1894" i="26"/>
  <c r="K1893" i="26"/>
  <c r="K1892" i="26"/>
  <c r="K1891" i="26"/>
  <c r="K1890" i="26"/>
  <c r="K1889" i="26"/>
  <c r="K1888" i="26"/>
  <c r="K1887" i="26"/>
  <c r="K1886" i="26"/>
  <c r="K1885" i="26"/>
  <c r="J1935" i="26"/>
  <c r="J1934" i="26"/>
  <c r="J1933" i="26"/>
  <c r="J1932" i="26"/>
  <c r="J1931" i="26"/>
  <c r="J1930" i="26"/>
  <c r="J1929" i="26"/>
  <c r="J1928" i="26"/>
  <c r="J1927" i="26"/>
  <c r="J1926" i="26"/>
  <c r="J1925" i="26"/>
  <c r="J1924" i="26"/>
  <c r="J1923" i="26"/>
  <c r="J1922" i="26"/>
  <c r="J1921" i="26"/>
  <c r="J1920" i="26"/>
  <c r="J1919" i="26"/>
  <c r="J1918" i="26"/>
  <c r="J1917" i="26"/>
  <c r="J1916" i="26"/>
  <c r="J1915" i="26"/>
  <c r="J1914" i="26"/>
  <c r="J1913" i="26"/>
  <c r="J1912" i="26"/>
  <c r="J1911" i="26"/>
  <c r="J1910" i="26"/>
  <c r="J1909" i="26"/>
  <c r="J1908" i="26"/>
  <c r="J1907" i="26"/>
  <c r="J1906" i="26"/>
  <c r="J1905" i="26"/>
  <c r="J1904" i="26"/>
  <c r="J1903" i="26"/>
  <c r="J1902" i="26"/>
  <c r="J1901" i="26"/>
  <c r="J1900" i="26"/>
  <c r="J1899" i="26"/>
  <c r="J1898" i="26"/>
  <c r="J1897" i="26"/>
  <c r="J1896" i="26"/>
  <c r="J1895" i="26"/>
  <c r="J1894" i="26"/>
  <c r="J1893" i="26"/>
  <c r="J1892" i="26"/>
  <c r="J1891" i="26"/>
  <c r="J1890" i="26"/>
  <c r="J1889" i="26"/>
  <c r="J1888" i="26"/>
  <c r="J1887" i="26"/>
  <c r="J1886" i="26"/>
  <c r="J1885" i="26"/>
  <c r="I1935" i="26"/>
  <c r="I1934" i="26"/>
  <c r="I1933" i="26"/>
  <c r="I1932" i="26"/>
  <c r="I1931" i="26"/>
  <c r="I1930" i="26"/>
  <c r="I1929" i="26"/>
  <c r="I1928" i="26"/>
  <c r="I1927" i="26"/>
  <c r="I1926" i="26"/>
  <c r="I1925" i="26"/>
  <c r="I1924" i="26"/>
  <c r="I1923" i="26"/>
  <c r="I1922" i="26"/>
  <c r="I1921" i="26"/>
  <c r="I1920" i="26"/>
  <c r="I1919" i="26"/>
  <c r="I1918" i="26"/>
  <c r="I1917" i="26"/>
  <c r="I1916" i="26"/>
  <c r="I1915" i="26"/>
  <c r="I1914" i="26"/>
  <c r="I1913" i="26"/>
  <c r="I1912" i="26"/>
  <c r="I1911" i="26"/>
  <c r="I1910" i="26"/>
  <c r="I1909" i="26"/>
  <c r="I1908" i="26"/>
  <c r="I1907" i="26"/>
  <c r="I1906" i="26"/>
  <c r="I1905" i="26"/>
  <c r="I1904" i="26"/>
  <c r="I1903" i="26"/>
  <c r="I1902" i="26"/>
  <c r="I1901" i="26"/>
  <c r="I1900" i="26"/>
  <c r="I1899" i="26"/>
  <c r="I1898" i="26"/>
  <c r="I1897" i="26"/>
  <c r="I1896" i="26"/>
  <c r="I1895" i="26"/>
  <c r="I1894" i="26"/>
  <c r="I1893" i="26"/>
  <c r="I1892" i="26"/>
  <c r="I1891" i="26"/>
  <c r="I1890" i="26"/>
  <c r="I1889" i="26"/>
  <c r="I1888" i="26"/>
  <c r="I1887" i="26"/>
  <c r="I1886" i="26"/>
  <c r="I1885" i="26"/>
  <c r="H1935" i="26"/>
  <c r="H1934" i="26"/>
  <c r="H1933" i="26"/>
  <c r="H1932" i="26"/>
  <c r="H1931" i="26"/>
  <c r="H1930" i="26"/>
  <c r="H1929" i="26"/>
  <c r="H1928" i="26"/>
  <c r="H1927" i="26"/>
  <c r="H1926" i="26"/>
  <c r="H1925" i="26"/>
  <c r="H1924" i="26"/>
  <c r="H1923" i="26"/>
  <c r="H1922" i="26"/>
  <c r="H1921" i="26"/>
  <c r="H1920" i="26"/>
  <c r="H1919" i="26"/>
  <c r="H1918" i="26"/>
  <c r="H1917" i="26"/>
  <c r="H1916" i="26"/>
  <c r="H1915" i="26"/>
  <c r="H1914" i="26"/>
  <c r="H1913" i="26"/>
  <c r="H1912" i="26"/>
  <c r="H1911" i="26"/>
  <c r="H1910" i="26"/>
  <c r="H1909" i="26"/>
  <c r="H1908" i="26"/>
  <c r="H1907" i="26"/>
  <c r="H1906" i="26"/>
  <c r="H1905" i="26"/>
  <c r="H1904" i="26"/>
  <c r="H1903" i="26"/>
  <c r="H1902" i="26"/>
  <c r="H1901" i="26"/>
  <c r="H1900" i="26"/>
  <c r="H1899" i="26"/>
  <c r="H1898" i="26"/>
  <c r="H1897" i="26"/>
  <c r="H1896" i="26"/>
  <c r="H1895" i="26"/>
  <c r="H1894" i="26"/>
  <c r="H1893" i="26"/>
  <c r="H1892" i="26"/>
  <c r="H1891" i="26"/>
  <c r="H1890" i="26"/>
  <c r="H1889" i="26"/>
  <c r="H1888" i="26"/>
  <c r="H1887" i="26"/>
  <c r="H1886" i="26"/>
  <c r="H1885" i="26"/>
  <c r="G1935" i="26"/>
  <c r="G1934" i="26"/>
  <c r="G1933" i="26"/>
  <c r="G1932" i="26"/>
  <c r="G1931" i="26"/>
  <c r="G1930" i="26"/>
  <c r="G1929" i="26"/>
  <c r="G1928" i="26"/>
  <c r="G1927" i="26"/>
  <c r="G1926" i="26"/>
  <c r="G1925" i="26"/>
  <c r="G1924" i="26"/>
  <c r="G1923" i="26"/>
  <c r="G1922" i="26"/>
  <c r="G1921" i="26"/>
  <c r="G1920" i="26"/>
  <c r="G1919" i="26"/>
  <c r="G1918" i="26"/>
  <c r="G1917" i="26"/>
  <c r="G1916" i="26"/>
  <c r="G1915" i="26"/>
  <c r="G1914" i="26"/>
  <c r="G1913" i="26"/>
  <c r="G1912" i="26"/>
  <c r="G1911" i="26"/>
  <c r="G1910" i="26"/>
  <c r="G1909" i="26"/>
  <c r="G1908" i="26"/>
  <c r="G1907" i="26"/>
  <c r="G1906" i="26"/>
  <c r="G1905" i="26"/>
  <c r="G1904" i="26"/>
  <c r="G1903" i="26"/>
  <c r="G1902" i="26"/>
  <c r="G1901" i="26"/>
  <c r="G1900" i="26"/>
  <c r="G1899" i="26"/>
  <c r="G1898" i="26"/>
  <c r="G1897" i="26"/>
  <c r="G1896" i="26"/>
  <c r="G1895" i="26"/>
  <c r="G1894" i="26"/>
  <c r="G1893" i="26"/>
  <c r="G1892" i="26"/>
  <c r="G1891" i="26"/>
  <c r="G1890" i="26"/>
  <c r="G1889" i="26"/>
  <c r="G1888" i="26"/>
  <c r="G1887" i="26"/>
  <c r="G1886" i="26"/>
  <c r="G1885" i="26"/>
  <c r="F1935" i="26"/>
  <c r="F1934" i="26"/>
  <c r="F1933" i="26"/>
  <c r="F1932" i="26"/>
  <c r="F1931" i="26"/>
  <c r="F1930" i="26"/>
  <c r="F1929" i="26"/>
  <c r="F1928" i="26"/>
  <c r="F1927" i="26"/>
  <c r="F1926" i="26"/>
  <c r="F1925" i="26"/>
  <c r="F1924" i="26"/>
  <c r="F1923" i="26"/>
  <c r="F1922" i="26"/>
  <c r="F1921" i="26"/>
  <c r="F1920" i="26"/>
  <c r="F1919" i="26"/>
  <c r="F1918" i="26"/>
  <c r="F1917" i="26"/>
  <c r="F1916" i="26"/>
  <c r="F1915" i="26"/>
  <c r="F1914" i="26"/>
  <c r="F1913" i="26"/>
  <c r="F1912" i="26"/>
  <c r="F1911" i="26"/>
  <c r="F1910" i="26"/>
  <c r="F1909" i="26"/>
  <c r="F1908" i="26"/>
  <c r="F1907" i="26"/>
  <c r="F1906" i="26"/>
  <c r="F1905" i="26"/>
  <c r="F1904" i="26"/>
  <c r="F1903" i="26"/>
  <c r="F1902" i="26"/>
  <c r="F1901" i="26"/>
  <c r="F1900" i="26"/>
  <c r="F1899" i="26"/>
  <c r="F1898" i="26"/>
  <c r="F1897" i="26"/>
  <c r="F1896" i="26"/>
  <c r="F1895" i="26"/>
  <c r="F1894" i="26"/>
  <c r="F1893" i="26"/>
  <c r="F1892" i="26"/>
  <c r="F1891" i="26"/>
  <c r="F1890" i="26"/>
  <c r="F1889" i="26"/>
  <c r="F1888" i="26"/>
  <c r="F1887" i="26"/>
  <c r="F1886" i="26"/>
  <c r="F1885" i="26"/>
  <c r="E1935" i="26"/>
  <c r="E1934" i="26"/>
  <c r="E1933" i="26"/>
  <c r="E1932" i="26"/>
  <c r="E1931" i="26"/>
  <c r="E1930" i="26"/>
  <c r="E1929" i="26"/>
  <c r="E1928" i="26"/>
  <c r="E1927" i="26"/>
  <c r="E1926" i="26"/>
  <c r="E1925" i="26"/>
  <c r="E1924" i="26"/>
  <c r="E1923" i="26"/>
  <c r="E1922" i="26"/>
  <c r="E1921" i="26"/>
  <c r="E1920" i="26"/>
  <c r="E1919" i="26"/>
  <c r="E1918" i="26"/>
  <c r="E1917" i="26"/>
  <c r="E1916" i="26"/>
  <c r="E1915" i="26"/>
  <c r="E1914" i="26"/>
  <c r="E1913" i="26"/>
  <c r="E1912" i="26"/>
  <c r="E1911" i="26"/>
  <c r="E1910" i="26"/>
  <c r="E1909" i="26"/>
  <c r="E1908" i="26"/>
  <c r="E1907" i="26"/>
  <c r="E1906" i="26"/>
  <c r="E1905" i="26"/>
  <c r="E1904" i="26"/>
  <c r="E1903" i="26"/>
  <c r="E1902" i="26"/>
  <c r="E1901" i="26"/>
  <c r="E1900" i="26"/>
  <c r="E1899" i="26"/>
  <c r="E1898" i="26"/>
  <c r="E1897" i="26"/>
  <c r="E1896" i="26"/>
  <c r="E1895" i="26"/>
  <c r="E1894" i="26"/>
  <c r="E1893" i="26"/>
  <c r="E1892" i="26"/>
  <c r="E1891" i="26"/>
  <c r="E1890" i="26"/>
  <c r="E1889" i="26"/>
  <c r="E1888" i="26"/>
  <c r="E1887" i="26"/>
  <c r="E1886" i="26"/>
  <c r="E1885" i="26"/>
  <c r="D1935" i="26"/>
  <c r="D1934" i="26"/>
  <c r="D1933" i="26"/>
  <c r="D1932" i="26"/>
  <c r="D1931" i="26"/>
  <c r="D1930" i="26"/>
  <c r="D1929" i="26"/>
  <c r="D1928" i="26"/>
  <c r="D1927" i="26"/>
  <c r="D1926" i="26"/>
  <c r="D1925" i="26"/>
  <c r="D1924" i="26"/>
  <c r="D1923" i="26"/>
  <c r="D1922" i="26"/>
  <c r="D1921" i="26"/>
  <c r="D1920" i="26"/>
  <c r="D1919" i="26"/>
  <c r="D1918" i="26"/>
  <c r="D1917" i="26"/>
  <c r="D1916" i="26"/>
  <c r="D1915" i="26"/>
  <c r="D1914" i="26"/>
  <c r="D1913" i="26"/>
  <c r="D1912" i="26"/>
  <c r="D1911" i="26"/>
  <c r="D1910" i="26"/>
  <c r="D1909" i="26"/>
  <c r="D1908" i="26"/>
  <c r="D1907" i="26"/>
  <c r="D1906" i="26"/>
  <c r="D1905" i="26"/>
  <c r="D1904" i="26"/>
  <c r="D1903" i="26"/>
  <c r="D1902" i="26"/>
  <c r="D1901" i="26"/>
  <c r="D1900" i="26"/>
  <c r="D1899" i="26"/>
  <c r="D1898" i="26"/>
  <c r="D1897" i="26"/>
  <c r="D1896" i="26"/>
  <c r="D1895" i="26"/>
  <c r="D1894" i="26"/>
  <c r="D1893" i="26"/>
  <c r="D1892" i="26"/>
  <c r="D1891" i="26"/>
  <c r="D1890" i="26"/>
  <c r="D1889" i="26"/>
  <c r="D1888" i="26"/>
  <c r="D1887" i="26"/>
  <c r="D1886" i="26"/>
  <c r="D1885" i="26"/>
  <c r="K1884" i="26"/>
  <c r="K1883" i="26"/>
  <c r="K1882" i="26"/>
  <c r="K1881" i="26"/>
  <c r="K1880" i="26"/>
  <c r="K1879" i="26"/>
  <c r="K1878" i="26"/>
  <c r="K1877" i="26"/>
  <c r="K1876" i="26"/>
  <c r="K1875" i="26"/>
  <c r="K1874" i="26"/>
  <c r="K1873" i="26"/>
  <c r="K1872" i="26"/>
  <c r="K1871" i="26"/>
  <c r="K1870" i="26"/>
  <c r="K1869" i="26"/>
  <c r="K1868" i="26"/>
  <c r="K1867" i="26"/>
  <c r="K1866" i="26"/>
  <c r="K1865" i="26"/>
  <c r="K1864" i="26"/>
  <c r="K1863" i="26"/>
  <c r="K1862" i="26"/>
  <c r="K1861" i="26"/>
  <c r="K1860" i="26"/>
  <c r="K1859" i="26"/>
  <c r="K1858" i="26"/>
  <c r="K1857" i="26"/>
  <c r="K1856" i="26"/>
  <c r="K1855" i="26"/>
  <c r="K1854" i="26"/>
  <c r="K1853" i="26"/>
  <c r="K1852" i="26"/>
  <c r="K1851" i="26"/>
  <c r="K1850" i="26"/>
  <c r="K1849" i="26"/>
  <c r="K1848" i="26"/>
  <c r="K1847" i="26"/>
  <c r="K1846" i="26"/>
  <c r="K1845" i="26"/>
  <c r="K1844" i="26"/>
  <c r="K1843" i="26"/>
  <c r="K1842" i="26"/>
  <c r="K1841" i="26"/>
  <c r="K1840" i="26"/>
  <c r="K1839" i="26"/>
  <c r="K1838" i="26"/>
  <c r="J1884" i="26"/>
  <c r="J1883" i="26"/>
  <c r="J1882" i="26"/>
  <c r="J1881" i="26"/>
  <c r="J1880" i="26"/>
  <c r="J1879" i="26"/>
  <c r="J1878" i="26"/>
  <c r="J1877" i="26"/>
  <c r="J1876" i="26"/>
  <c r="J1875" i="26"/>
  <c r="J1874" i="26"/>
  <c r="J1873" i="26"/>
  <c r="J1872" i="26"/>
  <c r="J1871" i="26"/>
  <c r="J1870" i="26"/>
  <c r="J1869" i="26"/>
  <c r="J1868" i="26"/>
  <c r="J1867" i="26"/>
  <c r="J1866" i="26"/>
  <c r="J1865" i="26"/>
  <c r="J1864" i="26"/>
  <c r="J1863" i="26"/>
  <c r="J1862" i="26"/>
  <c r="J1861" i="26"/>
  <c r="J1860" i="26"/>
  <c r="J1859" i="26"/>
  <c r="J1858" i="26"/>
  <c r="J1857" i="26"/>
  <c r="J1856" i="26"/>
  <c r="J1855" i="26"/>
  <c r="J1854" i="26"/>
  <c r="J1853" i="26"/>
  <c r="J1852" i="26"/>
  <c r="J1851" i="26"/>
  <c r="J1850" i="26"/>
  <c r="J1849" i="26"/>
  <c r="J1848" i="26"/>
  <c r="J1847" i="26"/>
  <c r="J1846" i="26"/>
  <c r="J1845" i="26"/>
  <c r="J1844" i="26"/>
  <c r="J1843" i="26"/>
  <c r="J1842" i="26"/>
  <c r="J1841" i="26"/>
  <c r="J1840" i="26"/>
  <c r="J1839" i="26"/>
  <c r="J1838" i="26"/>
  <c r="I1884" i="26"/>
  <c r="I1883" i="26"/>
  <c r="I1882" i="26"/>
  <c r="I1881" i="26"/>
  <c r="I1880" i="26"/>
  <c r="I1879" i="26"/>
  <c r="I1878" i="26"/>
  <c r="I1877" i="26"/>
  <c r="I1876" i="26"/>
  <c r="I1875" i="26"/>
  <c r="I1874" i="26"/>
  <c r="I1873" i="26"/>
  <c r="I1872" i="26"/>
  <c r="I1871" i="26"/>
  <c r="I1870" i="26"/>
  <c r="I1869" i="26"/>
  <c r="I1868" i="26"/>
  <c r="I1867" i="26"/>
  <c r="I1866" i="26"/>
  <c r="I1865" i="26"/>
  <c r="I1864" i="26"/>
  <c r="I1863" i="26"/>
  <c r="I1862" i="26"/>
  <c r="I1861" i="26"/>
  <c r="I1860" i="26"/>
  <c r="I1859" i="26"/>
  <c r="I1858" i="26"/>
  <c r="I1857" i="26"/>
  <c r="I1856" i="26"/>
  <c r="I1855" i="26"/>
  <c r="I1854" i="26"/>
  <c r="I1853" i="26"/>
  <c r="I1852" i="26"/>
  <c r="I1851" i="26"/>
  <c r="I1850" i="26"/>
  <c r="I1849" i="26"/>
  <c r="I1848" i="26"/>
  <c r="I1847" i="26"/>
  <c r="I1846" i="26"/>
  <c r="I1845" i="26"/>
  <c r="I1844" i="26"/>
  <c r="I1843" i="26"/>
  <c r="I1842" i="26"/>
  <c r="I1841" i="26"/>
  <c r="I1840" i="26"/>
  <c r="I1839" i="26"/>
  <c r="I1838" i="26"/>
  <c r="H1884" i="26"/>
  <c r="H1883" i="26"/>
  <c r="H1882" i="26"/>
  <c r="H1881" i="26"/>
  <c r="H1880" i="26"/>
  <c r="H1879" i="26"/>
  <c r="H1878" i="26"/>
  <c r="H1877" i="26"/>
  <c r="H1876" i="26"/>
  <c r="H1875" i="26"/>
  <c r="H1874" i="26"/>
  <c r="H1873" i="26"/>
  <c r="H1872" i="26"/>
  <c r="H1871" i="26"/>
  <c r="H1870" i="26"/>
  <c r="H1869" i="26"/>
  <c r="H1868" i="26"/>
  <c r="H1867" i="26"/>
  <c r="H1866" i="26"/>
  <c r="H1865" i="26"/>
  <c r="H1864" i="26"/>
  <c r="H1863" i="26"/>
  <c r="H1862" i="26"/>
  <c r="H1861" i="26"/>
  <c r="H1860" i="26"/>
  <c r="H1859" i="26"/>
  <c r="H1858" i="26"/>
  <c r="H1857" i="26"/>
  <c r="H1856" i="26"/>
  <c r="H1855" i="26"/>
  <c r="H1854" i="26"/>
  <c r="H1853" i="26"/>
  <c r="H1852" i="26"/>
  <c r="H1851" i="26"/>
  <c r="H1850" i="26"/>
  <c r="H1849" i="26"/>
  <c r="H1848" i="26"/>
  <c r="H1847" i="26"/>
  <c r="H1846" i="26"/>
  <c r="H1845" i="26"/>
  <c r="H1844" i="26"/>
  <c r="H1843" i="26"/>
  <c r="H1842" i="26"/>
  <c r="H1841" i="26"/>
  <c r="H1840" i="26"/>
  <c r="H1839" i="26"/>
  <c r="H1838" i="26"/>
  <c r="G1884" i="26"/>
  <c r="G1883" i="26"/>
  <c r="G1882" i="26"/>
  <c r="G1881" i="26"/>
  <c r="G1880" i="26"/>
  <c r="G1879" i="26"/>
  <c r="G1878" i="26"/>
  <c r="G1877" i="26"/>
  <c r="G1876" i="26"/>
  <c r="G1875" i="26"/>
  <c r="G1874" i="26"/>
  <c r="G1873" i="26"/>
  <c r="G1872" i="26"/>
  <c r="G1871" i="26"/>
  <c r="G1870" i="26"/>
  <c r="G1869" i="26"/>
  <c r="G1868" i="26"/>
  <c r="G1867" i="26"/>
  <c r="G1866" i="26"/>
  <c r="G1865" i="26"/>
  <c r="G1864" i="26"/>
  <c r="G1863" i="26"/>
  <c r="G1862" i="26"/>
  <c r="G1861" i="26"/>
  <c r="G1860" i="26"/>
  <c r="G1859" i="26"/>
  <c r="G1858" i="26"/>
  <c r="G1857" i="26"/>
  <c r="G1856" i="26"/>
  <c r="G1855" i="26"/>
  <c r="G1854" i="26"/>
  <c r="G1853" i="26"/>
  <c r="G1852" i="26"/>
  <c r="G1851" i="26"/>
  <c r="G1850" i="26"/>
  <c r="G1849" i="26"/>
  <c r="G1848" i="26"/>
  <c r="G1847" i="26"/>
  <c r="G1846" i="26"/>
  <c r="G1845" i="26"/>
  <c r="G1844" i="26"/>
  <c r="G1843" i="26"/>
  <c r="G1842" i="26"/>
  <c r="G1841" i="26"/>
  <c r="G1840" i="26"/>
  <c r="G1839" i="26"/>
  <c r="G1838" i="26"/>
  <c r="F1884" i="26"/>
  <c r="F1883" i="26"/>
  <c r="F1882" i="26"/>
  <c r="F1881" i="26"/>
  <c r="F1880" i="26"/>
  <c r="F1879" i="26"/>
  <c r="F1878" i="26"/>
  <c r="F1877" i="26"/>
  <c r="F1876" i="26"/>
  <c r="F1875" i="26"/>
  <c r="F1874" i="26"/>
  <c r="F1873" i="26"/>
  <c r="F1872" i="26"/>
  <c r="F1871" i="26"/>
  <c r="F1870" i="26"/>
  <c r="F1869" i="26"/>
  <c r="F1868" i="26"/>
  <c r="F1867" i="26"/>
  <c r="F1866" i="26"/>
  <c r="F1865" i="26"/>
  <c r="F1864" i="26"/>
  <c r="F1863" i="26"/>
  <c r="F1862" i="26"/>
  <c r="F1861" i="26"/>
  <c r="F1860" i="26"/>
  <c r="F1859" i="26"/>
  <c r="F1858" i="26"/>
  <c r="F1857" i="26"/>
  <c r="F1856" i="26"/>
  <c r="F1855" i="26"/>
  <c r="F1854" i="26"/>
  <c r="F1853" i="26"/>
  <c r="F1852" i="26"/>
  <c r="F1851" i="26"/>
  <c r="F1850" i="26"/>
  <c r="F1849" i="26"/>
  <c r="F1848" i="26"/>
  <c r="F1847" i="26"/>
  <c r="F1846" i="26"/>
  <c r="F1845" i="26"/>
  <c r="F1844" i="26"/>
  <c r="F1843" i="26"/>
  <c r="F1842" i="26"/>
  <c r="F1841" i="26"/>
  <c r="F1840" i="26"/>
  <c r="F1839" i="26"/>
  <c r="F1838" i="26"/>
  <c r="E1884" i="26"/>
  <c r="E1883" i="26"/>
  <c r="E1882" i="26"/>
  <c r="E1881" i="26"/>
  <c r="E1880" i="26"/>
  <c r="E1879" i="26"/>
  <c r="E1878" i="26"/>
  <c r="E1877" i="26"/>
  <c r="E1876" i="26"/>
  <c r="E1875" i="26"/>
  <c r="E1874" i="26"/>
  <c r="E1873" i="26"/>
  <c r="E1872" i="26"/>
  <c r="E1871" i="26"/>
  <c r="E1870" i="26"/>
  <c r="E1869" i="26"/>
  <c r="E1868" i="26"/>
  <c r="E1867" i="26"/>
  <c r="E1866" i="26"/>
  <c r="E1865" i="26"/>
  <c r="E1864" i="26"/>
  <c r="E1863" i="26"/>
  <c r="E1862" i="26"/>
  <c r="E1861" i="26"/>
  <c r="E1860" i="26"/>
  <c r="E1859" i="26"/>
  <c r="E1858" i="26"/>
  <c r="E1857" i="26"/>
  <c r="E1856" i="26"/>
  <c r="E1855" i="26"/>
  <c r="E1854" i="26"/>
  <c r="E1853" i="26"/>
  <c r="E1852" i="26"/>
  <c r="E1851" i="26"/>
  <c r="E1850" i="26"/>
  <c r="E1849" i="26"/>
  <c r="E1848" i="26"/>
  <c r="E1847" i="26"/>
  <c r="E1846" i="26"/>
  <c r="E1845" i="26"/>
  <c r="E1844" i="26"/>
  <c r="E1843" i="26"/>
  <c r="E1842" i="26"/>
  <c r="E1841" i="26"/>
  <c r="E1840" i="26"/>
  <c r="E1839" i="26"/>
  <c r="E1838" i="26"/>
  <c r="D1884" i="26"/>
  <c r="D1883" i="26"/>
  <c r="D1882" i="26"/>
  <c r="D1881" i="26"/>
  <c r="D1880" i="26"/>
  <c r="D1879" i="26"/>
  <c r="D1878" i="26"/>
  <c r="D1877" i="26"/>
  <c r="D1876" i="26"/>
  <c r="D1875" i="26"/>
  <c r="D1874" i="26"/>
  <c r="D1873" i="26"/>
  <c r="D1872" i="26"/>
  <c r="D1871" i="26"/>
  <c r="D1870" i="26"/>
  <c r="D1869" i="26"/>
  <c r="D1868" i="26"/>
  <c r="D1867" i="26"/>
  <c r="D1866" i="26"/>
  <c r="D1865" i="26"/>
  <c r="D1864" i="26"/>
  <c r="D1863" i="26"/>
  <c r="D1862" i="26"/>
  <c r="D1861" i="26"/>
  <c r="D1860" i="26"/>
  <c r="D1859" i="26"/>
  <c r="D1858" i="26"/>
  <c r="D1857" i="26"/>
  <c r="D1856" i="26"/>
  <c r="D1855" i="26"/>
  <c r="D1854" i="26"/>
  <c r="D1853" i="26"/>
  <c r="D1852" i="26"/>
  <c r="D1851" i="26"/>
  <c r="D1850" i="26"/>
  <c r="D1849" i="26"/>
  <c r="D1848" i="26"/>
  <c r="D1847" i="26"/>
  <c r="D1846" i="26"/>
  <c r="D1845" i="26"/>
  <c r="D1844" i="26"/>
  <c r="D1843" i="26"/>
  <c r="D1842" i="26"/>
  <c r="D1841" i="26"/>
  <c r="D1840" i="26"/>
  <c r="D1839" i="26"/>
  <c r="D1838" i="26"/>
  <c r="BAH38" i="3"/>
  <c r="BAE38" i="3"/>
  <c r="BAB38" i="3"/>
  <c r="AZY38" i="3"/>
  <c r="AZV38" i="3"/>
  <c r="AZS38" i="3"/>
  <c r="AZP38" i="3"/>
  <c r="AZM38" i="3"/>
  <c r="AZJ38" i="3"/>
  <c r="AZG38" i="3"/>
  <c r="AZD38" i="3"/>
  <c r="AZA38" i="3"/>
  <c r="AYX38" i="3"/>
  <c r="AYU38" i="3"/>
  <c r="AYR38" i="3"/>
  <c r="AYO38" i="3"/>
  <c r="AYL38" i="3"/>
  <c r="AYI38" i="3"/>
  <c r="AYF38" i="3"/>
  <c r="AYC38" i="3"/>
  <c r="AXZ38" i="3"/>
  <c r="AXW38" i="3"/>
  <c r="AXT38" i="3"/>
  <c r="AXQ38" i="3"/>
  <c r="AXN38" i="3"/>
  <c r="AXK38" i="3"/>
  <c r="AXH38" i="3"/>
  <c r="AXE38" i="3"/>
  <c r="AXB38" i="3"/>
  <c r="AWY38" i="3"/>
  <c r="AWV38" i="3"/>
  <c r="AWS38" i="3"/>
  <c r="AWP38" i="3"/>
  <c r="AWM38" i="3"/>
  <c r="AWJ38" i="3"/>
  <c r="AWG38" i="3"/>
  <c r="AWD38" i="3"/>
  <c r="AWA38" i="3"/>
  <c r="AVX38" i="3"/>
  <c r="AVU38" i="3"/>
  <c r="AVR38" i="3"/>
  <c r="AVO38" i="3"/>
  <c r="AVL38" i="3"/>
  <c r="AVI38" i="3"/>
  <c r="AVF38" i="3"/>
  <c r="AVC38" i="3"/>
  <c r="AUZ38" i="3"/>
  <c r="AUW38" i="3"/>
  <c r="AUT38" i="3"/>
  <c r="AUQ38" i="3"/>
  <c r="AUZ29" i="3"/>
  <c r="DJ22" i="20"/>
  <c r="H61" i="34"/>
  <c r="K61" i="34"/>
  <c r="H60" i="34"/>
  <c r="K60" i="34"/>
  <c r="H59" i="34"/>
  <c r="K59" i="34"/>
  <c r="H7" i="34"/>
  <c r="K7" i="34"/>
  <c r="AO16" i="18"/>
  <c r="K49" i="34"/>
  <c r="H49" i="34"/>
  <c r="BAH61" i="3"/>
  <c r="BAE61" i="3"/>
  <c r="BAB61" i="3"/>
  <c r="AZY61" i="3"/>
  <c r="AZV61" i="3"/>
  <c r="AZS61" i="3"/>
  <c r="AZP61" i="3"/>
  <c r="BAH29" i="3"/>
  <c r="BAE29" i="3"/>
  <c r="BAB29" i="3"/>
  <c r="AZY29" i="3"/>
  <c r="AZS29" i="3"/>
  <c r="AZP29" i="3"/>
  <c r="BAH6" i="3"/>
  <c r="BAE6" i="3"/>
  <c r="BAB6" i="3"/>
  <c r="AZY6" i="3"/>
  <c r="AZV6" i="3"/>
  <c r="AZS6" i="3"/>
  <c r="AZP6" i="3"/>
  <c r="BAJ5" i="3"/>
  <c r="BAI5" i="3" s="1"/>
  <c r="BAA5" i="3"/>
  <c r="AZZ5" i="3" s="1"/>
  <c r="AZU5" i="3"/>
  <c r="AZT5" i="3" s="1"/>
  <c r="AZM61" i="3"/>
  <c r="AZJ61" i="3"/>
  <c r="AZG61" i="3"/>
  <c r="AZD61" i="3"/>
  <c r="AZA61" i="3"/>
  <c r="AYX61" i="3"/>
  <c r="AYU61" i="3"/>
  <c r="AZM29" i="3"/>
  <c r="AZJ29" i="3"/>
  <c r="AZG29" i="3"/>
  <c r="AZD29" i="3"/>
  <c r="AYX29" i="3"/>
  <c r="AYU29" i="3"/>
  <c r="AZM6" i="3"/>
  <c r="AZJ6" i="3"/>
  <c r="AZG6" i="3"/>
  <c r="AZD6" i="3"/>
  <c r="AZA6" i="3"/>
  <c r="AYX6" i="3"/>
  <c r="AYU6" i="3"/>
  <c r="AZO5" i="3"/>
  <c r="AZN5" i="3" s="1"/>
  <c r="AZF5" i="3"/>
  <c r="AZE5" i="3" s="1"/>
  <c r="AYZ5" i="3"/>
  <c r="AYY5" i="3" s="1"/>
  <c r="AYR61" i="3"/>
  <c r="AYO61" i="3"/>
  <c r="AYL61" i="3"/>
  <c r="AYI61" i="3"/>
  <c r="AYF61" i="3"/>
  <c r="AYC61" i="3"/>
  <c r="AXZ61" i="3"/>
  <c r="AYR29" i="3"/>
  <c r="AYO29" i="3"/>
  <c r="AYL29" i="3"/>
  <c r="AYI29" i="3"/>
  <c r="AYC29" i="3"/>
  <c r="AXZ29" i="3"/>
  <c r="AYR6" i="3"/>
  <c r="AYO6" i="3"/>
  <c r="AYL6" i="3"/>
  <c r="AYI6" i="3"/>
  <c r="AYF6" i="3"/>
  <c r="AYC6" i="3"/>
  <c r="AXZ6" i="3"/>
  <c r="AYT5" i="3"/>
  <c r="AYS5" i="3" s="1"/>
  <c r="AYK5" i="3"/>
  <c r="AYJ5" i="3" s="1"/>
  <c r="AYE5" i="3"/>
  <c r="AYD5" i="3" s="1"/>
  <c r="DG29" i="20"/>
  <c r="DH29" i="20" s="1"/>
  <c r="DI29" i="20" s="1"/>
  <c r="DF29" i="20"/>
  <c r="DG7" i="20"/>
  <c r="DH7" i="20" s="1"/>
  <c r="DI7" i="20" s="1"/>
  <c r="DF7" i="20"/>
  <c r="DD37" i="20"/>
  <c r="DD35" i="20"/>
  <c r="DD33" i="20"/>
  <c r="DD31" i="20"/>
  <c r="DH23" i="20"/>
  <c r="DH20" i="20"/>
  <c r="DD15" i="20"/>
  <c r="DE15" i="20" s="1"/>
  <c r="DF15" i="20" s="1"/>
  <c r="DD13" i="20"/>
  <c r="DE13" i="20" s="1"/>
  <c r="DF13" i="20" s="1"/>
  <c r="DG13" i="20" s="1"/>
  <c r="DH13" i="20" s="1"/>
  <c r="DI13" i="20" s="1"/>
  <c r="DD11" i="20"/>
  <c r="DE11" i="20" s="1"/>
  <c r="DF11" i="20" s="1"/>
  <c r="DG11" i="20" s="1"/>
  <c r="DH11" i="20" s="1"/>
  <c r="DI11" i="20" s="1"/>
  <c r="DD9" i="20"/>
  <c r="DE9" i="20" s="1"/>
  <c r="DF9" i="20" s="1"/>
  <c r="DG9" i="20" s="1"/>
  <c r="DH9" i="20" s="1"/>
  <c r="DI9" i="20" s="1"/>
  <c r="ATS6" i="3"/>
  <c r="AQA6" i="3"/>
  <c r="AO72" i="18"/>
  <c r="AO71" i="18"/>
  <c r="AO70" i="18"/>
  <c r="AO67" i="18" a="1"/>
  <c r="AO67" i="18" s="1"/>
  <c r="AN67" i="18" a="1"/>
  <c r="AN67" i="18" s="1"/>
  <c r="ASO29" i="3"/>
  <c r="AXW61" i="3"/>
  <c r="AXT61" i="3"/>
  <c r="AXQ61" i="3"/>
  <c r="AXN61" i="3"/>
  <c r="AXK61" i="3"/>
  <c r="AXH61" i="3"/>
  <c r="AXE61" i="3"/>
  <c r="AXW29" i="3"/>
  <c r="AXT29" i="3"/>
  <c r="AXQ29" i="3"/>
  <c r="AXN29" i="3"/>
  <c r="AXH29" i="3"/>
  <c r="AXE29" i="3"/>
  <c r="AXW6" i="3"/>
  <c r="AXT6" i="3"/>
  <c r="AXQ6" i="3"/>
  <c r="AXN6" i="3"/>
  <c r="AXK6" i="3"/>
  <c r="AXH6" i="3"/>
  <c r="AXE6" i="3"/>
  <c r="AXY5" i="3"/>
  <c r="AXX5" i="3" s="1"/>
  <c r="AXP5" i="3"/>
  <c r="AXO5" i="3" s="1"/>
  <c r="AXJ5" i="3"/>
  <c r="AXI5" i="3" s="1"/>
  <c r="AXB61" i="3"/>
  <c r="AWY61" i="3"/>
  <c r="AWV61" i="3"/>
  <c r="AWS61" i="3"/>
  <c r="AWP61" i="3"/>
  <c r="AWM61" i="3"/>
  <c r="AWJ61" i="3"/>
  <c r="AXB29" i="3"/>
  <c r="AWY29" i="3"/>
  <c r="AWV29" i="3"/>
  <c r="AWS29" i="3"/>
  <c r="AWM29" i="3"/>
  <c r="AWJ29" i="3"/>
  <c r="AXB6" i="3"/>
  <c r="AWY6" i="3"/>
  <c r="AWV6" i="3"/>
  <c r="AWS6" i="3"/>
  <c r="AWP6" i="3"/>
  <c r="AWM6" i="3"/>
  <c r="AWJ6" i="3"/>
  <c r="AXD5" i="3"/>
  <c r="AXC5" i="3" s="1"/>
  <c r="AWU5" i="3"/>
  <c r="AWT5" i="3" s="1"/>
  <c r="AWO5" i="3"/>
  <c r="AWN5" i="3" s="1"/>
  <c r="M120" i="6"/>
  <c r="K1837" i="26"/>
  <c r="K1836" i="26"/>
  <c r="K1835" i="26"/>
  <c r="K1834" i="26"/>
  <c r="K1833" i="26"/>
  <c r="K1832" i="26"/>
  <c r="K1831" i="26"/>
  <c r="K1830" i="26"/>
  <c r="K1829" i="26"/>
  <c r="K1828" i="26"/>
  <c r="K1827" i="26"/>
  <c r="K1826" i="26"/>
  <c r="K1825" i="26"/>
  <c r="K1824" i="26"/>
  <c r="K1823" i="26"/>
  <c r="K1822" i="26"/>
  <c r="K1821" i="26"/>
  <c r="K1820" i="26"/>
  <c r="K1819" i="26"/>
  <c r="K1818" i="26"/>
  <c r="K1817" i="26"/>
  <c r="K1816" i="26"/>
  <c r="K1815" i="26"/>
  <c r="K1814" i="26"/>
  <c r="K1813" i="26"/>
  <c r="K1812" i="26"/>
  <c r="K1811" i="26"/>
  <c r="K1810" i="26"/>
  <c r="K1809" i="26"/>
  <c r="K1808" i="26"/>
  <c r="K1807" i="26"/>
  <c r="K1806" i="26"/>
  <c r="K1805" i="26"/>
  <c r="K1804" i="26"/>
  <c r="K1803" i="26"/>
  <c r="K1802" i="26"/>
  <c r="K1801" i="26"/>
  <c r="K1800" i="26"/>
  <c r="K1799" i="26"/>
  <c r="K1798" i="26"/>
  <c r="K1797" i="26"/>
  <c r="K1796" i="26"/>
  <c r="K1795" i="26"/>
  <c r="K1794" i="26"/>
  <c r="K1793" i="26"/>
  <c r="K1792" i="26"/>
  <c r="K1791" i="26"/>
  <c r="K1790" i="26"/>
  <c r="J1837" i="26"/>
  <c r="J1836" i="26"/>
  <c r="J1835" i="26"/>
  <c r="J1834" i="26"/>
  <c r="J1833" i="26"/>
  <c r="J1832" i="26"/>
  <c r="J1831" i="26"/>
  <c r="J1830" i="26"/>
  <c r="J1829" i="26"/>
  <c r="J1828" i="26"/>
  <c r="J1827" i="26"/>
  <c r="J1826" i="26"/>
  <c r="J1825" i="26"/>
  <c r="J1824" i="26"/>
  <c r="J1823" i="26"/>
  <c r="J1822" i="26"/>
  <c r="J1821" i="26"/>
  <c r="J1820" i="26"/>
  <c r="J1819" i="26"/>
  <c r="J1818" i="26"/>
  <c r="J1817" i="26"/>
  <c r="J1816" i="26"/>
  <c r="J1815" i="26"/>
  <c r="J1814" i="26"/>
  <c r="J1813" i="26"/>
  <c r="J1812" i="26"/>
  <c r="J1811" i="26"/>
  <c r="J1810" i="26"/>
  <c r="J1809" i="26"/>
  <c r="J1808" i="26"/>
  <c r="J1807" i="26"/>
  <c r="J1806" i="26"/>
  <c r="J1805" i="26"/>
  <c r="J1804" i="26"/>
  <c r="J1803" i="26"/>
  <c r="J1802" i="26"/>
  <c r="J1801" i="26"/>
  <c r="J1800" i="26"/>
  <c r="J1799" i="26"/>
  <c r="J1798" i="26"/>
  <c r="J1797" i="26"/>
  <c r="J1796" i="26"/>
  <c r="J1795" i="26"/>
  <c r="J1794" i="26"/>
  <c r="J1793" i="26"/>
  <c r="J1792" i="26"/>
  <c r="J1791" i="26"/>
  <c r="J1790" i="26"/>
  <c r="I1837" i="26"/>
  <c r="I1836" i="26"/>
  <c r="I1835" i="26"/>
  <c r="I1834" i="26"/>
  <c r="I1833" i="26"/>
  <c r="I1832" i="26"/>
  <c r="I1831" i="26"/>
  <c r="I1830" i="26"/>
  <c r="I1829" i="26"/>
  <c r="I1828" i="26"/>
  <c r="I1827" i="26"/>
  <c r="I1826" i="26"/>
  <c r="I1825" i="26"/>
  <c r="I1824" i="26"/>
  <c r="I1823" i="26"/>
  <c r="I1822" i="26"/>
  <c r="I1821" i="26"/>
  <c r="I1820" i="26"/>
  <c r="I1819" i="26"/>
  <c r="I1818" i="26"/>
  <c r="I1817" i="26"/>
  <c r="I1816" i="26"/>
  <c r="I1815" i="26"/>
  <c r="I1814" i="26"/>
  <c r="I1813" i="26"/>
  <c r="I1812" i="26"/>
  <c r="I1811" i="26"/>
  <c r="I1810" i="26"/>
  <c r="I1809" i="26"/>
  <c r="I1808" i="26"/>
  <c r="I1807" i="26"/>
  <c r="I1806" i="26"/>
  <c r="I1805" i="26"/>
  <c r="I1804" i="26"/>
  <c r="I1803" i="26"/>
  <c r="I1802" i="26"/>
  <c r="I1801" i="26"/>
  <c r="I1800" i="26"/>
  <c r="I1799" i="26"/>
  <c r="I1798" i="26"/>
  <c r="I1797" i="26"/>
  <c r="I1796" i="26"/>
  <c r="I1795" i="26"/>
  <c r="I1794" i="26"/>
  <c r="I1793" i="26"/>
  <c r="I1792" i="26"/>
  <c r="I1791" i="26"/>
  <c r="I1790" i="26"/>
  <c r="H1837" i="26"/>
  <c r="H1836" i="26"/>
  <c r="H1835" i="26"/>
  <c r="H1834" i="26"/>
  <c r="H1833" i="26"/>
  <c r="H1832" i="26"/>
  <c r="H1831" i="26"/>
  <c r="H1830" i="26"/>
  <c r="H1829" i="26"/>
  <c r="H1828" i="26"/>
  <c r="H1827" i="26"/>
  <c r="H1826" i="26"/>
  <c r="H1825" i="26"/>
  <c r="H1824" i="26"/>
  <c r="H1823" i="26"/>
  <c r="H1822" i="26"/>
  <c r="H1821" i="26"/>
  <c r="H1820" i="26"/>
  <c r="H1819" i="26"/>
  <c r="H1818" i="26"/>
  <c r="H1817" i="26"/>
  <c r="H1816" i="26"/>
  <c r="H1815" i="26"/>
  <c r="H1814" i="26"/>
  <c r="H1813" i="26"/>
  <c r="H1812" i="26"/>
  <c r="H1811" i="26"/>
  <c r="H1810" i="26"/>
  <c r="H1809" i="26"/>
  <c r="H1808" i="26"/>
  <c r="H1807" i="26"/>
  <c r="H1806" i="26"/>
  <c r="H1805" i="26"/>
  <c r="H1804" i="26"/>
  <c r="H1803" i="26"/>
  <c r="H1802" i="26"/>
  <c r="H1801" i="26"/>
  <c r="H1800" i="26"/>
  <c r="H1799" i="26"/>
  <c r="H1798" i="26"/>
  <c r="H1797" i="26"/>
  <c r="H1796" i="26"/>
  <c r="H1795" i="26"/>
  <c r="H1794" i="26"/>
  <c r="H1793" i="26"/>
  <c r="H1792" i="26"/>
  <c r="H1791" i="26"/>
  <c r="H1790" i="26"/>
  <c r="G1837" i="26"/>
  <c r="G1836" i="26"/>
  <c r="G1835" i="26"/>
  <c r="G1834" i="26"/>
  <c r="G1833" i="26"/>
  <c r="G1832" i="26"/>
  <c r="G1831" i="26"/>
  <c r="G1830" i="26"/>
  <c r="G1829" i="26"/>
  <c r="G1828" i="26"/>
  <c r="G1827" i="26"/>
  <c r="G1826" i="26"/>
  <c r="G1825" i="26"/>
  <c r="G1824" i="26"/>
  <c r="G1823" i="26"/>
  <c r="G1822" i="26"/>
  <c r="G1821" i="26"/>
  <c r="G1820" i="26"/>
  <c r="G1819" i="26"/>
  <c r="G1818" i="26"/>
  <c r="G1817" i="26"/>
  <c r="G1816" i="26"/>
  <c r="G1815" i="26"/>
  <c r="G1814" i="26"/>
  <c r="G1813" i="26"/>
  <c r="G1812" i="26"/>
  <c r="G1811" i="26"/>
  <c r="G1810" i="26"/>
  <c r="G1809" i="26"/>
  <c r="G1808" i="26"/>
  <c r="G1807" i="26"/>
  <c r="G1806" i="26"/>
  <c r="G1805" i="26"/>
  <c r="G1804" i="26"/>
  <c r="G1803" i="26"/>
  <c r="G1802" i="26"/>
  <c r="G1801" i="26"/>
  <c r="G1800" i="26"/>
  <c r="G1799" i="26"/>
  <c r="G1798" i="26"/>
  <c r="G1797" i="26"/>
  <c r="G1796" i="26"/>
  <c r="G1795" i="26"/>
  <c r="G1794" i="26"/>
  <c r="G1793" i="26"/>
  <c r="G1792" i="26"/>
  <c r="G1791" i="26"/>
  <c r="G1790" i="26"/>
  <c r="F1837" i="26"/>
  <c r="F1836" i="26"/>
  <c r="F1835" i="26"/>
  <c r="F1834" i="26"/>
  <c r="F1833" i="26"/>
  <c r="F1832" i="26"/>
  <c r="F1831" i="26"/>
  <c r="F1830" i="26"/>
  <c r="F1829" i="26"/>
  <c r="F1828" i="26"/>
  <c r="F1827" i="26"/>
  <c r="F1826" i="26"/>
  <c r="F1825" i="26"/>
  <c r="F1824" i="26"/>
  <c r="F1823" i="26"/>
  <c r="F1822" i="26"/>
  <c r="F1821" i="26"/>
  <c r="F1820" i="26"/>
  <c r="F1819" i="26"/>
  <c r="F1818" i="26"/>
  <c r="F1817" i="26"/>
  <c r="F1816" i="26"/>
  <c r="F1815" i="26"/>
  <c r="F1814" i="26"/>
  <c r="F1813" i="26"/>
  <c r="F1812" i="26"/>
  <c r="F1811" i="26"/>
  <c r="F1810" i="26"/>
  <c r="F1809" i="26"/>
  <c r="F1808" i="26"/>
  <c r="F1807" i="26"/>
  <c r="F1806" i="26"/>
  <c r="F1805" i="26"/>
  <c r="F1804" i="26"/>
  <c r="F1803" i="26"/>
  <c r="F1802" i="26"/>
  <c r="F1801" i="26"/>
  <c r="F1800" i="26"/>
  <c r="F1799" i="26"/>
  <c r="F1798" i="26"/>
  <c r="F1797" i="26"/>
  <c r="F1796" i="26"/>
  <c r="F1795" i="26"/>
  <c r="F1794" i="26"/>
  <c r="F1793" i="26"/>
  <c r="F1792" i="26"/>
  <c r="F1791" i="26"/>
  <c r="F1790" i="26"/>
  <c r="E1837" i="26"/>
  <c r="E1836" i="26"/>
  <c r="E1835" i="26"/>
  <c r="E1834" i="26"/>
  <c r="E1833" i="26"/>
  <c r="E1832" i="26"/>
  <c r="E1831" i="26"/>
  <c r="E1830" i="26"/>
  <c r="E1829" i="26"/>
  <c r="E1828" i="26"/>
  <c r="E1827" i="26"/>
  <c r="E1826" i="26"/>
  <c r="E1825" i="26"/>
  <c r="E1824" i="26"/>
  <c r="E1823" i="26"/>
  <c r="E1822" i="26"/>
  <c r="E1821" i="26"/>
  <c r="E1820" i="26"/>
  <c r="E1819" i="26"/>
  <c r="E1818" i="26"/>
  <c r="E1817" i="26"/>
  <c r="E1816" i="26"/>
  <c r="E1815" i="26"/>
  <c r="E1814" i="26"/>
  <c r="E1813" i="26"/>
  <c r="E1812" i="26"/>
  <c r="E1811" i="26"/>
  <c r="E1810" i="26"/>
  <c r="E1809" i="26"/>
  <c r="E1808" i="26"/>
  <c r="E1807" i="26"/>
  <c r="E1806" i="26"/>
  <c r="E1805" i="26"/>
  <c r="E1804" i="26"/>
  <c r="E1803" i="26"/>
  <c r="E1802" i="26"/>
  <c r="E1801" i="26"/>
  <c r="E1800" i="26"/>
  <c r="E1799" i="26"/>
  <c r="E1798" i="26"/>
  <c r="E1797" i="26"/>
  <c r="E1796" i="26"/>
  <c r="E1795" i="26"/>
  <c r="E1794" i="26"/>
  <c r="E1793" i="26"/>
  <c r="E1792" i="26"/>
  <c r="E1791" i="26"/>
  <c r="E1790" i="26"/>
  <c r="D1837" i="26"/>
  <c r="D1836" i="26"/>
  <c r="D1835" i="26"/>
  <c r="D1834" i="26"/>
  <c r="D1833" i="26"/>
  <c r="D1832" i="26"/>
  <c r="D1831" i="26"/>
  <c r="D1830" i="26"/>
  <c r="D1829" i="26"/>
  <c r="D1828" i="26"/>
  <c r="D1827" i="26"/>
  <c r="D1826" i="26"/>
  <c r="D1825" i="26"/>
  <c r="D1824" i="26"/>
  <c r="D1823" i="26"/>
  <c r="D1822" i="26"/>
  <c r="D1821" i="26"/>
  <c r="D1820" i="26"/>
  <c r="D1819" i="26"/>
  <c r="D1818" i="26"/>
  <c r="D1817" i="26"/>
  <c r="D1816" i="26"/>
  <c r="D1815" i="26"/>
  <c r="D1814" i="26"/>
  <c r="D1813" i="26"/>
  <c r="D1812" i="26"/>
  <c r="D1811" i="26"/>
  <c r="D1810" i="26"/>
  <c r="D1809" i="26"/>
  <c r="D1808" i="26"/>
  <c r="D1807" i="26"/>
  <c r="D1806" i="26"/>
  <c r="D1805" i="26"/>
  <c r="D1804" i="26"/>
  <c r="D1803" i="26"/>
  <c r="D1802" i="26"/>
  <c r="D1801" i="26"/>
  <c r="D1800" i="26"/>
  <c r="D1799" i="26"/>
  <c r="D1798" i="26"/>
  <c r="D1797" i="26"/>
  <c r="D1796" i="26"/>
  <c r="D1795" i="26"/>
  <c r="D1794" i="26"/>
  <c r="D1793" i="26"/>
  <c r="D1792" i="26"/>
  <c r="D1791" i="26"/>
  <c r="D1790" i="26"/>
  <c r="K9" i="34"/>
  <c r="H9" i="34"/>
  <c r="K8" i="34"/>
  <c r="H8" i="34"/>
  <c r="H40" i="34"/>
  <c r="K40" i="34"/>
  <c r="AO143" i="18"/>
  <c r="AO80" i="18"/>
  <c r="AO84" i="18"/>
  <c r="AO94" i="18"/>
  <c r="AO97" i="18"/>
  <c r="AO101" i="18"/>
  <c r="AO109" i="18"/>
  <c r="AO117" i="18"/>
  <c r="AO120" i="18"/>
  <c r="AO129" i="18"/>
  <c r="AO138" i="18"/>
  <c r="AO154" i="18"/>
  <c r="AO146" i="18" s="1"/>
  <c r="AO181" i="18"/>
  <c r="AO169" i="18" s="1"/>
  <c r="K1789" i="26"/>
  <c r="K1788" i="26"/>
  <c r="K1787" i="26"/>
  <c r="K1786" i="26"/>
  <c r="K1785" i="26"/>
  <c r="K1784" i="26"/>
  <c r="K1783" i="26"/>
  <c r="K1782" i="26"/>
  <c r="K1781" i="26"/>
  <c r="K1780" i="26"/>
  <c r="K1779" i="26"/>
  <c r="K1778" i="26"/>
  <c r="K1777" i="26"/>
  <c r="K1776" i="26"/>
  <c r="K1775" i="26"/>
  <c r="K1774" i="26"/>
  <c r="K1773" i="26"/>
  <c r="K1772" i="26"/>
  <c r="K1771" i="26"/>
  <c r="K1770" i="26"/>
  <c r="K1769" i="26"/>
  <c r="K1768" i="26"/>
  <c r="K1767" i="26"/>
  <c r="K1766" i="26"/>
  <c r="K1765" i="26"/>
  <c r="K1764" i="26"/>
  <c r="K1763" i="26"/>
  <c r="K1762" i="26"/>
  <c r="K1761" i="26"/>
  <c r="K1760" i="26"/>
  <c r="K1759" i="26"/>
  <c r="K1758" i="26"/>
  <c r="K1757" i="26"/>
  <c r="K1756" i="26"/>
  <c r="K1755" i="26"/>
  <c r="K1754" i="26"/>
  <c r="K1753" i="26"/>
  <c r="K1752" i="26"/>
  <c r="K1751" i="26"/>
  <c r="K1750" i="26"/>
  <c r="K1749" i="26"/>
  <c r="K1748" i="26"/>
  <c r="K1747" i="26"/>
  <c r="K1746" i="26"/>
  <c r="K1745" i="26"/>
  <c r="K1744" i="26"/>
  <c r="K1743" i="26"/>
  <c r="J1789" i="26"/>
  <c r="J1788" i="26"/>
  <c r="J1787" i="26"/>
  <c r="J1786" i="26"/>
  <c r="J1785" i="26"/>
  <c r="J1784" i="26"/>
  <c r="J1783" i="26"/>
  <c r="J1782" i="26"/>
  <c r="J1781" i="26"/>
  <c r="J1780" i="26"/>
  <c r="J1779" i="26"/>
  <c r="J1778" i="26"/>
  <c r="J1777" i="26"/>
  <c r="J1776" i="26"/>
  <c r="J1775" i="26"/>
  <c r="J1774" i="26"/>
  <c r="J1773" i="26"/>
  <c r="J1772" i="26"/>
  <c r="J1771" i="26"/>
  <c r="J1770" i="26"/>
  <c r="J1769" i="26"/>
  <c r="J1768" i="26"/>
  <c r="J1767" i="26"/>
  <c r="J1766" i="26"/>
  <c r="J1765" i="26"/>
  <c r="J1764" i="26"/>
  <c r="J1763" i="26"/>
  <c r="J1762" i="26"/>
  <c r="J1761" i="26"/>
  <c r="J1760" i="26"/>
  <c r="J1759" i="26"/>
  <c r="J1758" i="26"/>
  <c r="J1757" i="26"/>
  <c r="J1756" i="26"/>
  <c r="J1755" i="26"/>
  <c r="J1754" i="26"/>
  <c r="J1753" i="26"/>
  <c r="J1752" i="26"/>
  <c r="J1751" i="26"/>
  <c r="J1750" i="26"/>
  <c r="J1749" i="26"/>
  <c r="J1748" i="26"/>
  <c r="J1747" i="26"/>
  <c r="J1746" i="26"/>
  <c r="J1745" i="26"/>
  <c r="J1744" i="26"/>
  <c r="J1743" i="26"/>
  <c r="I1789" i="26"/>
  <c r="I1788" i="26"/>
  <c r="I1787" i="26"/>
  <c r="I1786" i="26"/>
  <c r="I1785" i="26"/>
  <c r="I1784" i="26"/>
  <c r="I1783" i="26"/>
  <c r="I1782" i="26"/>
  <c r="I1781" i="26"/>
  <c r="I1780" i="26"/>
  <c r="I1779" i="26"/>
  <c r="I1778" i="26"/>
  <c r="I1777" i="26"/>
  <c r="I1776" i="26"/>
  <c r="I1775" i="26"/>
  <c r="I1774" i="26"/>
  <c r="I1773" i="26"/>
  <c r="I1772" i="26"/>
  <c r="I1771" i="26"/>
  <c r="I1770" i="26"/>
  <c r="I1769" i="26"/>
  <c r="I1768" i="26"/>
  <c r="I1767" i="26"/>
  <c r="I1766" i="26"/>
  <c r="I1765" i="26"/>
  <c r="I1764" i="26"/>
  <c r="I1763" i="26"/>
  <c r="I1762" i="26"/>
  <c r="I1761" i="26"/>
  <c r="I1760" i="26"/>
  <c r="I1759" i="26"/>
  <c r="I1758" i="26"/>
  <c r="I1757" i="26"/>
  <c r="I1756" i="26"/>
  <c r="I1755" i="26"/>
  <c r="I1754" i="26"/>
  <c r="I1753" i="26"/>
  <c r="I1752" i="26"/>
  <c r="I1751" i="26"/>
  <c r="I1750" i="26"/>
  <c r="I1749" i="26"/>
  <c r="I1748" i="26"/>
  <c r="I1747" i="26"/>
  <c r="I1746" i="26"/>
  <c r="I1745" i="26"/>
  <c r="I1744" i="26"/>
  <c r="I1743" i="26"/>
  <c r="H1789" i="26"/>
  <c r="H1788" i="26"/>
  <c r="H1787" i="26"/>
  <c r="H1786" i="26"/>
  <c r="H1785" i="26"/>
  <c r="H1784" i="26"/>
  <c r="H1783" i="26"/>
  <c r="H1782" i="26"/>
  <c r="H1781" i="26"/>
  <c r="H1780" i="26"/>
  <c r="H1779" i="26"/>
  <c r="H1778" i="26"/>
  <c r="H1777" i="26"/>
  <c r="H1776" i="26"/>
  <c r="H1775" i="26"/>
  <c r="H1774" i="26"/>
  <c r="H1773" i="26"/>
  <c r="H1772" i="26"/>
  <c r="H1771" i="26"/>
  <c r="H1770" i="26"/>
  <c r="H1769" i="26"/>
  <c r="H1768" i="26"/>
  <c r="H1767" i="26"/>
  <c r="H1766" i="26"/>
  <c r="H1765" i="26"/>
  <c r="H1764" i="26"/>
  <c r="H1763" i="26"/>
  <c r="H1762" i="26"/>
  <c r="H1761" i="26"/>
  <c r="H1760" i="26"/>
  <c r="H1759" i="26"/>
  <c r="H1758" i="26"/>
  <c r="H1757" i="26"/>
  <c r="H1756" i="26"/>
  <c r="H1755" i="26"/>
  <c r="H1754" i="26"/>
  <c r="H1753" i="26"/>
  <c r="H1752" i="26"/>
  <c r="H1751" i="26"/>
  <c r="H1750" i="26"/>
  <c r="H1749" i="26"/>
  <c r="H1748" i="26"/>
  <c r="H1747" i="26"/>
  <c r="H1746" i="26"/>
  <c r="H1745" i="26"/>
  <c r="H1744" i="26"/>
  <c r="H1743" i="26"/>
  <c r="G1789" i="26"/>
  <c r="G1788" i="26"/>
  <c r="G1787" i="26"/>
  <c r="G1786" i="26"/>
  <c r="G1785" i="26"/>
  <c r="G1784" i="26"/>
  <c r="G1783" i="26"/>
  <c r="G1782" i="26"/>
  <c r="G1781" i="26"/>
  <c r="G1780" i="26"/>
  <c r="G1779" i="26"/>
  <c r="G1778" i="26"/>
  <c r="G1777" i="26"/>
  <c r="G1776" i="26"/>
  <c r="G1775" i="26"/>
  <c r="G1774" i="26"/>
  <c r="G1773" i="26"/>
  <c r="G1772" i="26"/>
  <c r="G1771" i="26"/>
  <c r="G1770" i="26"/>
  <c r="G1769" i="26"/>
  <c r="G1768" i="26"/>
  <c r="G1767" i="26"/>
  <c r="G1766" i="26"/>
  <c r="G1765" i="26"/>
  <c r="G1764" i="26"/>
  <c r="G1763" i="26"/>
  <c r="G1762" i="26"/>
  <c r="G1761" i="26"/>
  <c r="G1760" i="26"/>
  <c r="G1759" i="26"/>
  <c r="G1758" i="26"/>
  <c r="G1757" i="26"/>
  <c r="G1756" i="26"/>
  <c r="G1755" i="26"/>
  <c r="G1754" i="26"/>
  <c r="G1753" i="26"/>
  <c r="G1752" i="26"/>
  <c r="G1751" i="26"/>
  <c r="G1750" i="26"/>
  <c r="G1749" i="26"/>
  <c r="G1748" i="26"/>
  <c r="G1747" i="26"/>
  <c r="G1746" i="26"/>
  <c r="G1745" i="26"/>
  <c r="G1744" i="26"/>
  <c r="G1743" i="26"/>
  <c r="F1789" i="26"/>
  <c r="F1788" i="26"/>
  <c r="F1787" i="26"/>
  <c r="F1786" i="26"/>
  <c r="F1785" i="26"/>
  <c r="F1784" i="26"/>
  <c r="F1783" i="26"/>
  <c r="F1782" i="26"/>
  <c r="F1781" i="26"/>
  <c r="F1780" i="26"/>
  <c r="F1779" i="26"/>
  <c r="F1778" i="26"/>
  <c r="F1777" i="26"/>
  <c r="F1776" i="26"/>
  <c r="F1775" i="26"/>
  <c r="F1774" i="26"/>
  <c r="F1773" i="26"/>
  <c r="F1772" i="26"/>
  <c r="F1771" i="26"/>
  <c r="F1770" i="26"/>
  <c r="F1769" i="26"/>
  <c r="F1768" i="26"/>
  <c r="F1767" i="26"/>
  <c r="F1766" i="26"/>
  <c r="F1765" i="26"/>
  <c r="F1764" i="26"/>
  <c r="F1763" i="26"/>
  <c r="F1762" i="26"/>
  <c r="F1761" i="26"/>
  <c r="F1760" i="26"/>
  <c r="F1759" i="26"/>
  <c r="F1758" i="26"/>
  <c r="F1757" i="26"/>
  <c r="F1756" i="26"/>
  <c r="F1755" i="26"/>
  <c r="F1754" i="26"/>
  <c r="F1753" i="26"/>
  <c r="F1752" i="26"/>
  <c r="F1751" i="26"/>
  <c r="F1750" i="26"/>
  <c r="F1749" i="26"/>
  <c r="F1748" i="26"/>
  <c r="F1747" i="26"/>
  <c r="F1746" i="26"/>
  <c r="F1745" i="26"/>
  <c r="F1744" i="26"/>
  <c r="F1743" i="26"/>
  <c r="E1789" i="26"/>
  <c r="E1788" i="26"/>
  <c r="E1787" i="26"/>
  <c r="E1786" i="26"/>
  <c r="E1785" i="26"/>
  <c r="E1784" i="26"/>
  <c r="E1783" i="26"/>
  <c r="E1782" i="26"/>
  <c r="E1781" i="26"/>
  <c r="E1780" i="26"/>
  <c r="E1779" i="26"/>
  <c r="E1778" i="26"/>
  <c r="E1777" i="26"/>
  <c r="E1776" i="26"/>
  <c r="E1775" i="26"/>
  <c r="E1774" i="26"/>
  <c r="E1773" i="26"/>
  <c r="E1772" i="26"/>
  <c r="E1771" i="26"/>
  <c r="E1770" i="26"/>
  <c r="E1769" i="26"/>
  <c r="E1768" i="26"/>
  <c r="E1767" i="26"/>
  <c r="E1766" i="26"/>
  <c r="E1765" i="26"/>
  <c r="E1764" i="26"/>
  <c r="E1763" i="26"/>
  <c r="E1762" i="26"/>
  <c r="E1761" i="26"/>
  <c r="E1760" i="26"/>
  <c r="E1759" i="26"/>
  <c r="E1758" i="26"/>
  <c r="E1757" i="26"/>
  <c r="E1756" i="26"/>
  <c r="E1755" i="26"/>
  <c r="E1754" i="26"/>
  <c r="E1753" i="26"/>
  <c r="E1752" i="26"/>
  <c r="E1751" i="26"/>
  <c r="E1750" i="26"/>
  <c r="E1749" i="26"/>
  <c r="E1748" i="26"/>
  <c r="E1747" i="26"/>
  <c r="E1746" i="26"/>
  <c r="E1745" i="26"/>
  <c r="E1744" i="26"/>
  <c r="E1743" i="26"/>
  <c r="D1789" i="26"/>
  <c r="D1788" i="26"/>
  <c r="D1787" i="26"/>
  <c r="D1786" i="26"/>
  <c r="D1785" i="26"/>
  <c r="D1784" i="26"/>
  <c r="D1783" i="26"/>
  <c r="D1782" i="26"/>
  <c r="D1781" i="26"/>
  <c r="D1780" i="26"/>
  <c r="D1779" i="26"/>
  <c r="D1778" i="26"/>
  <c r="D1777" i="26"/>
  <c r="D1776" i="26"/>
  <c r="D1775" i="26"/>
  <c r="D1774" i="26"/>
  <c r="D1773" i="26"/>
  <c r="D1772" i="26"/>
  <c r="D1771" i="26"/>
  <c r="D1770" i="26"/>
  <c r="D1769" i="26"/>
  <c r="D1768" i="26"/>
  <c r="D1767" i="26"/>
  <c r="D1766" i="26"/>
  <c r="D1765" i="26"/>
  <c r="D1764" i="26"/>
  <c r="D1763" i="26"/>
  <c r="D1762" i="26"/>
  <c r="D1761" i="26"/>
  <c r="D1760" i="26"/>
  <c r="D1759" i="26"/>
  <c r="D1758" i="26"/>
  <c r="D1757" i="26"/>
  <c r="D1756" i="26"/>
  <c r="D1755" i="26"/>
  <c r="D1754" i="26"/>
  <c r="D1753" i="26"/>
  <c r="D1752" i="26"/>
  <c r="D1751" i="26"/>
  <c r="D1750" i="26"/>
  <c r="D1749" i="26"/>
  <c r="D1748" i="26"/>
  <c r="D1747" i="26"/>
  <c r="D1746" i="26"/>
  <c r="D1745" i="26"/>
  <c r="D1744" i="26"/>
  <c r="D1743" i="26"/>
  <c r="AN196" i="18"/>
  <c r="H67" i="34"/>
  <c r="K67" i="34"/>
  <c r="H58" i="34"/>
  <c r="K58" i="34"/>
  <c r="H27" i="34"/>
  <c r="K27" i="34"/>
  <c r="CZ23" i="20"/>
  <c r="K53" i="34"/>
  <c r="K48" i="34"/>
  <c r="H48" i="34"/>
  <c r="K26" i="34"/>
  <c r="H26" i="34"/>
  <c r="K1742" i="26"/>
  <c r="K1741" i="26"/>
  <c r="K1740" i="26"/>
  <c r="K1739" i="26"/>
  <c r="K1738" i="26"/>
  <c r="K1737" i="26"/>
  <c r="K1736" i="26"/>
  <c r="K1735" i="26"/>
  <c r="K1734" i="26"/>
  <c r="K1733" i="26"/>
  <c r="K1732" i="26"/>
  <c r="K1731" i="26"/>
  <c r="K1730" i="26"/>
  <c r="K1729" i="26"/>
  <c r="K1728" i="26"/>
  <c r="K1727" i="26"/>
  <c r="K1726" i="26"/>
  <c r="K1725" i="26"/>
  <c r="K1724" i="26"/>
  <c r="K1723" i="26"/>
  <c r="K1722" i="26"/>
  <c r="K1721" i="26"/>
  <c r="K1720" i="26"/>
  <c r="K1719" i="26"/>
  <c r="K1718" i="26"/>
  <c r="K1717" i="26"/>
  <c r="K1716" i="26"/>
  <c r="K1715" i="26"/>
  <c r="K1714" i="26"/>
  <c r="K1713" i="26"/>
  <c r="K1712" i="26"/>
  <c r="K1711" i="26"/>
  <c r="K1710" i="26"/>
  <c r="K1709" i="26"/>
  <c r="K1708" i="26"/>
  <c r="K1707" i="26"/>
  <c r="K1706" i="26"/>
  <c r="K1705" i="26"/>
  <c r="K1704" i="26"/>
  <c r="J1742" i="26"/>
  <c r="J1741" i="26"/>
  <c r="J1740" i="26"/>
  <c r="J1739" i="26"/>
  <c r="J1738" i="26"/>
  <c r="J1737" i="26"/>
  <c r="J1736" i="26"/>
  <c r="J1735" i="26"/>
  <c r="J1734" i="26"/>
  <c r="J1733" i="26"/>
  <c r="J1732" i="26"/>
  <c r="J1731" i="26"/>
  <c r="J1730" i="26"/>
  <c r="J1729" i="26"/>
  <c r="J1728" i="26"/>
  <c r="J1727" i="26"/>
  <c r="J1726" i="26"/>
  <c r="J1725" i="26"/>
  <c r="J1724" i="26"/>
  <c r="J1723" i="26"/>
  <c r="J1722" i="26"/>
  <c r="J1721" i="26"/>
  <c r="J1720" i="26"/>
  <c r="J1719" i="26"/>
  <c r="J1718" i="26"/>
  <c r="J1717" i="26"/>
  <c r="J1716" i="26"/>
  <c r="J1715" i="26"/>
  <c r="J1714" i="26"/>
  <c r="J1713" i="26"/>
  <c r="J1712" i="26"/>
  <c r="J1711" i="26"/>
  <c r="J1710" i="26"/>
  <c r="J1709" i="26"/>
  <c r="J1708" i="26"/>
  <c r="J1707" i="26"/>
  <c r="J1706" i="26"/>
  <c r="J1705" i="26"/>
  <c r="J1704" i="26"/>
  <c r="I1742" i="26"/>
  <c r="I1741" i="26"/>
  <c r="I1740" i="26"/>
  <c r="I1739" i="26"/>
  <c r="I1738" i="26"/>
  <c r="I1737" i="26"/>
  <c r="I1736" i="26"/>
  <c r="I1735" i="26"/>
  <c r="I1734" i="26"/>
  <c r="I1733" i="26"/>
  <c r="I1732" i="26"/>
  <c r="I1731" i="26"/>
  <c r="I1730" i="26"/>
  <c r="I1729" i="26"/>
  <c r="I1728" i="26"/>
  <c r="I1727" i="26"/>
  <c r="I1726" i="26"/>
  <c r="I1725" i="26"/>
  <c r="I1724" i="26"/>
  <c r="I1723" i="26"/>
  <c r="I1722" i="26"/>
  <c r="I1721" i="26"/>
  <c r="I1720" i="26"/>
  <c r="I1719" i="26"/>
  <c r="I1718" i="26"/>
  <c r="I1717" i="26"/>
  <c r="I1716" i="26"/>
  <c r="I1715" i="26"/>
  <c r="I1714" i="26"/>
  <c r="I1713" i="26"/>
  <c r="I1712" i="26"/>
  <c r="I1711" i="26"/>
  <c r="I1710" i="26"/>
  <c r="I1709" i="26"/>
  <c r="I1708" i="26"/>
  <c r="I1707" i="26"/>
  <c r="I1706" i="26"/>
  <c r="I1705" i="26"/>
  <c r="I1704" i="26"/>
  <c r="H1742" i="26"/>
  <c r="H1741" i="26"/>
  <c r="H1740" i="26"/>
  <c r="H1739" i="26"/>
  <c r="H1738" i="26"/>
  <c r="H1737" i="26"/>
  <c r="H1736" i="26"/>
  <c r="H1735" i="26"/>
  <c r="H1734" i="26"/>
  <c r="H1733" i="26"/>
  <c r="H1732" i="26"/>
  <c r="H1731" i="26"/>
  <c r="H1730" i="26"/>
  <c r="H1729" i="26"/>
  <c r="H1728" i="26"/>
  <c r="H1727" i="26"/>
  <c r="H1726" i="26"/>
  <c r="H1725" i="26"/>
  <c r="H1724" i="26"/>
  <c r="H1723" i="26"/>
  <c r="H1722" i="26"/>
  <c r="H1721" i="26"/>
  <c r="H1720" i="26"/>
  <c r="H1719" i="26"/>
  <c r="H1718" i="26"/>
  <c r="H1717" i="26"/>
  <c r="H1716" i="26"/>
  <c r="H1715" i="26"/>
  <c r="H1714" i="26"/>
  <c r="H1713" i="26"/>
  <c r="H1712" i="26"/>
  <c r="H1711" i="26"/>
  <c r="H1710" i="26"/>
  <c r="H1709" i="26"/>
  <c r="H1708" i="26"/>
  <c r="H1707" i="26"/>
  <c r="H1706" i="26"/>
  <c r="H1705" i="26"/>
  <c r="H1704" i="26"/>
  <c r="G1742" i="26"/>
  <c r="G1741" i="26"/>
  <c r="G1740" i="26"/>
  <c r="G1739" i="26"/>
  <c r="G1738" i="26"/>
  <c r="G1737" i="26"/>
  <c r="G1736" i="26"/>
  <c r="G1735" i="26"/>
  <c r="G1734" i="26"/>
  <c r="G1733" i="26"/>
  <c r="G1732" i="26"/>
  <c r="G1731" i="26"/>
  <c r="G1730" i="26"/>
  <c r="G1729" i="26"/>
  <c r="G1728" i="26"/>
  <c r="G1727" i="26"/>
  <c r="G1726" i="26"/>
  <c r="G1725" i="26"/>
  <c r="G1724" i="26"/>
  <c r="G1723" i="26"/>
  <c r="G1722" i="26"/>
  <c r="G1721" i="26"/>
  <c r="G1720" i="26"/>
  <c r="G1719" i="26"/>
  <c r="G1718" i="26"/>
  <c r="G1717" i="26"/>
  <c r="G1716" i="26"/>
  <c r="G1715" i="26"/>
  <c r="G1714" i="26"/>
  <c r="G1713" i="26"/>
  <c r="G1712" i="26"/>
  <c r="G1711" i="26"/>
  <c r="G1710" i="26"/>
  <c r="G1709" i="26"/>
  <c r="G1708" i="26"/>
  <c r="G1707" i="26"/>
  <c r="G1706" i="26"/>
  <c r="G1705" i="26"/>
  <c r="G1704" i="26"/>
  <c r="F1742" i="26"/>
  <c r="F1741" i="26"/>
  <c r="F1740" i="26"/>
  <c r="F1739" i="26"/>
  <c r="F1738" i="26"/>
  <c r="F1737" i="26"/>
  <c r="F1736" i="26"/>
  <c r="F1735" i="26"/>
  <c r="F1734" i="26"/>
  <c r="F1733" i="26"/>
  <c r="F1732" i="26"/>
  <c r="F1731" i="26"/>
  <c r="F1730" i="26"/>
  <c r="F1729" i="26"/>
  <c r="F1728" i="26"/>
  <c r="F1727" i="26"/>
  <c r="F1726" i="26"/>
  <c r="F1725" i="26"/>
  <c r="F1724" i="26"/>
  <c r="F1723" i="26"/>
  <c r="F1722" i="26"/>
  <c r="F1721" i="26"/>
  <c r="F1720" i="26"/>
  <c r="F1719" i="26"/>
  <c r="F1718" i="26"/>
  <c r="F1717" i="26"/>
  <c r="F1716" i="26"/>
  <c r="F1715" i="26"/>
  <c r="F1714" i="26"/>
  <c r="F1713" i="26"/>
  <c r="F1712" i="26"/>
  <c r="F1711" i="26"/>
  <c r="F1710" i="26"/>
  <c r="F1709" i="26"/>
  <c r="F1708" i="26"/>
  <c r="F1707" i="26"/>
  <c r="F1706" i="26"/>
  <c r="F1705" i="26"/>
  <c r="F1704" i="26"/>
  <c r="E1742" i="26"/>
  <c r="E1741" i="26"/>
  <c r="E1740" i="26"/>
  <c r="E1739" i="26"/>
  <c r="E1738" i="26"/>
  <c r="E1737" i="26"/>
  <c r="E1736" i="26"/>
  <c r="E1735" i="26"/>
  <c r="E1734" i="26"/>
  <c r="E1733" i="26"/>
  <c r="E1732" i="26"/>
  <c r="E1731" i="26"/>
  <c r="E1730" i="26"/>
  <c r="E1729" i="26"/>
  <c r="E1728" i="26"/>
  <c r="E1727" i="26"/>
  <c r="E1726" i="26"/>
  <c r="E1725" i="26"/>
  <c r="E1724" i="26"/>
  <c r="E1723" i="26"/>
  <c r="E1722" i="26"/>
  <c r="E1721" i="26"/>
  <c r="E1720" i="26"/>
  <c r="E1719" i="26"/>
  <c r="E1718" i="26"/>
  <c r="E1717" i="26"/>
  <c r="E1716" i="26"/>
  <c r="E1715" i="26"/>
  <c r="E1714" i="26"/>
  <c r="E1713" i="26"/>
  <c r="E1712" i="26"/>
  <c r="E1711" i="26"/>
  <c r="E1710" i="26"/>
  <c r="E1709" i="26"/>
  <c r="E1708" i="26"/>
  <c r="E1707" i="26"/>
  <c r="E1706" i="26"/>
  <c r="E1705" i="26"/>
  <c r="E1704" i="26"/>
  <c r="D1742" i="26"/>
  <c r="D1741" i="26"/>
  <c r="D1740" i="26"/>
  <c r="D1739" i="26"/>
  <c r="D1738" i="26"/>
  <c r="D1737" i="26"/>
  <c r="D1736" i="26"/>
  <c r="D1735" i="26"/>
  <c r="D1734" i="26"/>
  <c r="D1733" i="26"/>
  <c r="D1732" i="26"/>
  <c r="D1731" i="26"/>
  <c r="D1730" i="26"/>
  <c r="D1729" i="26"/>
  <c r="D1728" i="26"/>
  <c r="D1727" i="26"/>
  <c r="D1726" i="26"/>
  <c r="D1725" i="26"/>
  <c r="D1724" i="26"/>
  <c r="D1723" i="26"/>
  <c r="D1722" i="26"/>
  <c r="D1721" i="26"/>
  <c r="D1720" i="26"/>
  <c r="D1719" i="26"/>
  <c r="D1718" i="26"/>
  <c r="D1717" i="26"/>
  <c r="D1716" i="26"/>
  <c r="D1715" i="26"/>
  <c r="D1714" i="26"/>
  <c r="D1713" i="26"/>
  <c r="D1712" i="26"/>
  <c r="D1711" i="26"/>
  <c r="D1710" i="26"/>
  <c r="D1709" i="26"/>
  <c r="D1708" i="26"/>
  <c r="D1707" i="26"/>
  <c r="D1706" i="26"/>
  <c r="D1705" i="26"/>
  <c r="D1704" i="26"/>
  <c r="ARN29" i="3"/>
  <c r="ARQ29" i="3"/>
  <c r="ART29" i="3"/>
  <c r="AN181" i="18"/>
  <c r="AN154" i="18"/>
  <c r="AN143" i="18"/>
  <c r="AN138" i="18"/>
  <c r="AN129" i="18"/>
  <c r="AN120" i="18"/>
  <c r="AN117" i="18"/>
  <c r="AN109" i="18"/>
  <c r="AN101" i="18"/>
  <c r="AN97" i="18"/>
  <c r="AN94" i="18"/>
  <c r="AN84" i="18"/>
  <c r="AN80" i="18"/>
  <c r="AN79" i="18" s="1"/>
  <c r="AWG61" i="3"/>
  <c r="AWD61" i="3"/>
  <c r="AWA61" i="3"/>
  <c r="AVX61" i="3"/>
  <c r="AVU61" i="3"/>
  <c r="AVR61" i="3"/>
  <c r="AVO61" i="3"/>
  <c r="AWG29" i="3"/>
  <c r="AWD29" i="3"/>
  <c r="AWA29" i="3"/>
  <c r="AVX29" i="3"/>
  <c r="AVR29" i="3"/>
  <c r="AVO29" i="3"/>
  <c r="AWG6" i="3"/>
  <c r="AWD6" i="3"/>
  <c r="AWA6" i="3"/>
  <c r="AVX6" i="3"/>
  <c r="AVU6" i="3"/>
  <c r="AVR6" i="3"/>
  <c r="AVO6" i="3"/>
  <c r="AWI5" i="3"/>
  <c r="AWH5" i="3" s="1"/>
  <c r="AVZ5" i="3"/>
  <c r="AVY5" i="3" s="1"/>
  <c r="AVT5" i="3"/>
  <c r="AVS5" i="3" s="1"/>
  <c r="AVL61" i="3"/>
  <c r="AVI61" i="3"/>
  <c r="AVF61" i="3"/>
  <c r="AVL29" i="3"/>
  <c r="AVI29" i="3"/>
  <c r="AVF29" i="3"/>
  <c r="AVC29" i="3"/>
  <c r="AUW29" i="3"/>
  <c r="AUT29" i="3"/>
  <c r="AVL6" i="3"/>
  <c r="AVI6" i="3"/>
  <c r="AVF6" i="3"/>
  <c r="AVC6" i="3"/>
  <c r="AUZ6" i="3"/>
  <c r="AUW6" i="3"/>
  <c r="AUT6" i="3"/>
  <c r="AVN5" i="3"/>
  <c r="AVM5" i="3" s="1"/>
  <c r="AVE5" i="3"/>
  <c r="AVD5" i="3" s="1"/>
  <c r="AUY5" i="3"/>
  <c r="AUX5" i="3" s="1"/>
  <c r="AUE61" i="3"/>
  <c r="AUB29" i="3"/>
  <c r="AUH29" i="3"/>
  <c r="AUK29" i="3"/>
  <c r="AUN29" i="3"/>
  <c r="AUQ29" i="3"/>
  <c r="ATY29" i="3"/>
  <c r="AUD5" i="3"/>
  <c r="AUC5" i="3" s="1"/>
  <c r="AUJ5" i="3"/>
  <c r="AUI5" i="3" s="1"/>
  <c r="AUS5" i="3"/>
  <c r="AUR5" i="3" s="1"/>
  <c r="ATY6" i="3"/>
  <c r="AUB6" i="3"/>
  <c r="AUE6" i="3"/>
  <c r="AUH6" i="3"/>
  <c r="AUK6" i="3"/>
  <c r="AUN6" i="3"/>
  <c r="AUQ6" i="3"/>
  <c r="ATM61" i="3"/>
  <c r="ATG29" i="3"/>
  <c r="ATM29" i="3"/>
  <c r="ATP29" i="3"/>
  <c r="ATS29" i="3"/>
  <c r="ATV29" i="3"/>
  <c r="ATD29" i="3"/>
  <c r="ATI5" i="3"/>
  <c r="ATH5" i="3" s="1"/>
  <c r="ATO5" i="3"/>
  <c r="ATN5" i="3" s="1"/>
  <c r="ATX5" i="3"/>
  <c r="ATW5" i="3" s="1"/>
  <c r="ATD6" i="3"/>
  <c r="ATG6" i="3"/>
  <c r="ATJ6" i="3"/>
  <c r="ATM6" i="3"/>
  <c r="ATP6" i="3"/>
  <c r="ATV6" i="3"/>
  <c r="CV39" i="20"/>
  <c r="CV37" i="20"/>
  <c r="CV35" i="20"/>
  <c r="CV33" i="20"/>
  <c r="CV31" i="20"/>
  <c r="AQY29" i="3"/>
  <c r="K72" i="34"/>
  <c r="K71" i="34"/>
  <c r="K73" i="34"/>
  <c r="K76" i="34"/>
  <c r="K75" i="34"/>
  <c r="K74" i="34"/>
  <c r="K77" i="34"/>
  <c r="K68" i="34"/>
  <c r="K62" i="34"/>
  <c r="K66" i="34"/>
  <c r="K65" i="34"/>
  <c r="K64" i="34"/>
  <c r="K69" i="34"/>
  <c r="K57" i="34"/>
  <c r="K47" i="34"/>
  <c r="K43" i="34"/>
  <c r="K50" i="34"/>
  <c r="K52" i="34"/>
  <c r="K51" i="34"/>
  <c r="K41" i="34"/>
  <c r="K45" i="34"/>
  <c r="K44" i="34"/>
  <c r="K39" i="34"/>
  <c r="K38" i="34"/>
  <c r="K46" i="34"/>
  <c r="K37" i="34"/>
  <c r="K35" i="34"/>
  <c r="K34" i="34"/>
  <c r="K54" i="34"/>
  <c r="K33" i="34"/>
  <c r="K32" i="34"/>
  <c r="K55" i="34"/>
  <c r="K28" i="34"/>
  <c r="K29" i="34"/>
  <c r="K25" i="34"/>
  <c r="K31" i="34"/>
  <c r="K24" i="34"/>
  <c r="K30" i="34"/>
  <c r="K23" i="34"/>
  <c r="K22" i="34"/>
  <c r="K21" i="34"/>
  <c r="K20" i="34"/>
  <c r="K18" i="34"/>
  <c r="K14" i="34"/>
  <c r="K16" i="34"/>
  <c r="K15" i="34"/>
  <c r="K17" i="34"/>
  <c r="K13" i="34"/>
  <c r="K12" i="34"/>
  <c r="K11" i="34"/>
  <c r="K10" i="34"/>
  <c r="K6" i="34"/>
  <c r="K5" i="34"/>
  <c r="K4" i="34"/>
  <c r="K3" i="34"/>
  <c r="H72" i="34"/>
  <c r="H71" i="34"/>
  <c r="H73" i="34"/>
  <c r="H76" i="34"/>
  <c r="H75" i="34"/>
  <c r="H74" i="34"/>
  <c r="H77" i="34"/>
  <c r="H68" i="34"/>
  <c r="H62" i="34"/>
  <c r="H66" i="34"/>
  <c r="H65" i="34"/>
  <c r="H64" i="34"/>
  <c r="H69" i="34"/>
  <c r="H57" i="34"/>
  <c r="H47" i="34"/>
  <c r="H43" i="34"/>
  <c r="H50" i="34"/>
  <c r="H52" i="34"/>
  <c r="H51" i="34"/>
  <c r="H41" i="34"/>
  <c r="H45" i="34"/>
  <c r="H44" i="34"/>
  <c r="H39" i="34"/>
  <c r="H53" i="34"/>
  <c r="H38" i="34"/>
  <c r="H46" i="34"/>
  <c r="H37" i="34"/>
  <c r="H35" i="34"/>
  <c r="H34" i="34"/>
  <c r="H54" i="34"/>
  <c r="H33" i="34"/>
  <c r="H32" i="34"/>
  <c r="H55" i="34"/>
  <c r="H28" i="34"/>
  <c r="H29" i="34"/>
  <c r="H25" i="34"/>
  <c r="H31" i="34"/>
  <c r="H24" i="34"/>
  <c r="H30" i="34"/>
  <c r="H23" i="34"/>
  <c r="H22" i="34"/>
  <c r="H21" i="34"/>
  <c r="H20" i="34"/>
  <c r="H18" i="34"/>
  <c r="H14" i="34"/>
  <c r="H16" i="34"/>
  <c r="H15" i="34"/>
  <c r="H17" i="34"/>
  <c r="H13" i="34"/>
  <c r="H12" i="34"/>
  <c r="H11" i="34"/>
  <c r="H10" i="34"/>
  <c r="H6" i="34"/>
  <c r="H5" i="34"/>
  <c r="H4" i="34"/>
  <c r="H3" i="34"/>
  <c r="M119" i="6"/>
  <c r="K1703" i="26"/>
  <c r="K1702" i="26"/>
  <c r="K1701" i="26"/>
  <c r="K1700" i="26"/>
  <c r="K1699" i="26"/>
  <c r="K1698" i="26"/>
  <c r="K1697" i="26"/>
  <c r="K1696" i="26"/>
  <c r="K1695" i="26"/>
  <c r="K1694" i="26"/>
  <c r="K1693" i="26"/>
  <c r="K1692" i="26"/>
  <c r="K1691" i="26"/>
  <c r="K1690" i="26"/>
  <c r="K1689" i="26"/>
  <c r="K1688" i="26"/>
  <c r="K1687" i="26"/>
  <c r="K1686" i="26"/>
  <c r="K1685" i="26"/>
  <c r="K1684" i="26"/>
  <c r="K1683" i="26"/>
  <c r="K1682" i="26"/>
  <c r="K1681" i="26"/>
  <c r="K1680" i="26"/>
  <c r="K1679" i="26"/>
  <c r="K1678" i="26"/>
  <c r="K1677" i="26"/>
  <c r="K1676" i="26"/>
  <c r="K1675" i="26"/>
  <c r="K1674" i="26"/>
  <c r="K1673" i="26"/>
  <c r="K1672" i="26"/>
  <c r="K1671" i="26"/>
  <c r="K1670" i="26"/>
  <c r="K1669" i="26"/>
  <c r="K1668" i="26"/>
  <c r="K1667" i="26"/>
  <c r="K1666" i="26"/>
  <c r="K1665" i="26"/>
  <c r="K1664" i="26"/>
  <c r="K1663" i="26"/>
  <c r="K1662" i="26"/>
  <c r="K1661" i="26"/>
  <c r="K1660" i="26"/>
  <c r="K1659" i="26"/>
  <c r="K1658" i="26"/>
  <c r="K1657" i="26"/>
  <c r="K1656" i="26"/>
  <c r="K1655" i="26"/>
  <c r="K1654" i="26"/>
  <c r="J1703" i="26"/>
  <c r="J1702" i="26"/>
  <c r="J1701" i="26"/>
  <c r="J1700" i="26"/>
  <c r="J1699" i="26"/>
  <c r="J1698" i="26"/>
  <c r="J1697" i="26"/>
  <c r="J1696" i="26"/>
  <c r="J1695" i="26"/>
  <c r="J1694" i="26"/>
  <c r="J1693" i="26"/>
  <c r="J1692" i="26"/>
  <c r="J1691" i="26"/>
  <c r="J1690" i="26"/>
  <c r="J1689" i="26"/>
  <c r="J1688" i="26"/>
  <c r="J1687" i="26"/>
  <c r="J1686" i="26"/>
  <c r="J1685" i="26"/>
  <c r="J1684" i="26"/>
  <c r="J1683" i="26"/>
  <c r="J1682" i="26"/>
  <c r="J1681" i="26"/>
  <c r="J1680" i="26"/>
  <c r="J1679" i="26"/>
  <c r="J1678" i="26"/>
  <c r="J1677" i="26"/>
  <c r="J1676" i="26"/>
  <c r="J1675" i="26"/>
  <c r="J1674" i="26"/>
  <c r="J1673" i="26"/>
  <c r="J1672" i="26"/>
  <c r="J1671" i="26"/>
  <c r="J1670" i="26"/>
  <c r="J1669" i="26"/>
  <c r="J1668" i="26"/>
  <c r="J1667" i="26"/>
  <c r="J1666" i="26"/>
  <c r="J1665" i="26"/>
  <c r="J1664" i="26"/>
  <c r="J1663" i="26"/>
  <c r="J1662" i="26"/>
  <c r="J1661" i="26"/>
  <c r="J1660" i="26"/>
  <c r="J1659" i="26"/>
  <c r="J1658" i="26"/>
  <c r="J1657" i="26"/>
  <c r="J1656" i="26"/>
  <c r="J1655" i="26"/>
  <c r="J1654" i="26"/>
  <c r="I1703" i="26"/>
  <c r="I1702" i="26"/>
  <c r="I1701" i="26"/>
  <c r="I1700" i="26"/>
  <c r="I1699" i="26"/>
  <c r="I1698" i="26"/>
  <c r="I1697" i="26"/>
  <c r="I1696" i="26"/>
  <c r="I1695" i="26"/>
  <c r="I1694" i="26"/>
  <c r="I1693" i="26"/>
  <c r="I1692" i="26"/>
  <c r="I1691" i="26"/>
  <c r="I1690" i="26"/>
  <c r="I1689" i="26"/>
  <c r="I1688" i="26"/>
  <c r="I1687" i="26"/>
  <c r="I1686" i="26"/>
  <c r="I1685" i="26"/>
  <c r="I1684" i="26"/>
  <c r="I1683" i="26"/>
  <c r="I1682" i="26"/>
  <c r="I1681" i="26"/>
  <c r="I1680" i="26"/>
  <c r="I1679" i="26"/>
  <c r="I1678" i="26"/>
  <c r="I1677" i="26"/>
  <c r="I1676" i="26"/>
  <c r="I1675" i="26"/>
  <c r="I1674" i="26"/>
  <c r="I1673" i="26"/>
  <c r="I1672" i="26"/>
  <c r="I1671" i="26"/>
  <c r="I1670" i="26"/>
  <c r="I1669" i="26"/>
  <c r="I1668" i="26"/>
  <c r="I1667" i="26"/>
  <c r="I1666" i="26"/>
  <c r="I1665" i="26"/>
  <c r="I1664" i="26"/>
  <c r="I1663" i="26"/>
  <c r="I1662" i="26"/>
  <c r="I1661" i="26"/>
  <c r="I1660" i="26"/>
  <c r="I1659" i="26"/>
  <c r="I1658" i="26"/>
  <c r="I1657" i="26"/>
  <c r="I1656" i="26"/>
  <c r="I1655" i="26"/>
  <c r="I1654" i="26"/>
  <c r="H1703" i="26"/>
  <c r="H1702" i="26"/>
  <c r="H1701" i="26"/>
  <c r="H1700" i="26"/>
  <c r="H1699" i="26"/>
  <c r="H1698" i="26"/>
  <c r="H1697" i="26"/>
  <c r="H1696" i="26"/>
  <c r="H1695" i="26"/>
  <c r="H1694" i="26"/>
  <c r="H1693" i="26"/>
  <c r="H1692" i="26"/>
  <c r="H1691" i="26"/>
  <c r="H1690" i="26"/>
  <c r="H1689" i="26"/>
  <c r="H1688" i="26"/>
  <c r="H1687" i="26"/>
  <c r="H1686" i="26"/>
  <c r="H1685" i="26"/>
  <c r="H1684" i="26"/>
  <c r="H1683" i="26"/>
  <c r="H1682" i="26"/>
  <c r="H1681" i="26"/>
  <c r="H1680" i="26"/>
  <c r="H1679" i="26"/>
  <c r="H1678" i="26"/>
  <c r="H1677" i="26"/>
  <c r="H1676" i="26"/>
  <c r="H1675" i="26"/>
  <c r="H1674" i="26"/>
  <c r="H1673" i="26"/>
  <c r="H1672" i="26"/>
  <c r="H1671" i="26"/>
  <c r="H1670" i="26"/>
  <c r="H1669" i="26"/>
  <c r="H1668" i="26"/>
  <c r="H1667" i="26"/>
  <c r="H1666" i="26"/>
  <c r="H1665" i="26"/>
  <c r="H1664" i="26"/>
  <c r="H1663" i="26"/>
  <c r="H1662" i="26"/>
  <c r="H1661" i="26"/>
  <c r="H1660" i="26"/>
  <c r="H1659" i="26"/>
  <c r="H1658" i="26"/>
  <c r="H1657" i="26"/>
  <c r="H1656" i="26"/>
  <c r="H1655" i="26"/>
  <c r="H1654" i="26"/>
  <c r="G1703" i="26"/>
  <c r="G1702" i="26"/>
  <c r="G1701" i="26"/>
  <c r="G1700" i="26"/>
  <c r="G1699" i="26"/>
  <c r="G1698" i="26"/>
  <c r="G1697" i="26"/>
  <c r="G1696" i="26"/>
  <c r="G1695" i="26"/>
  <c r="G1694" i="26"/>
  <c r="G1693" i="26"/>
  <c r="G1692" i="26"/>
  <c r="G1691" i="26"/>
  <c r="G1690" i="26"/>
  <c r="G1689" i="26"/>
  <c r="G1688" i="26"/>
  <c r="G1687" i="26"/>
  <c r="G1686" i="26"/>
  <c r="G1685" i="26"/>
  <c r="G1684" i="26"/>
  <c r="G1683" i="26"/>
  <c r="G1682" i="26"/>
  <c r="G1681" i="26"/>
  <c r="G1680" i="26"/>
  <c r="G1679" i="26"/>
  <c r="G1678" i="26"/>
  <c r="G1677" i="26"/>
  <c r="G1676" i="26"/>
  <c r="G1675" i="26"/>
  <c r="G1674" i="26"/>
  <c r="G1673" i="26"/>
  <c r="G1672" i="26"/>
  <c r="G1671" i="26"/>
  <c r="G1670" i="26"/>
  <c r="G1669" i="26"/>
  <c r="G1668" i="26"/>
  <c r="G1667" i="26"/>
  <c r="G1666" i="26"/>
  <c r="G1665" i="26"/>
  <c r="G1664" i="26"/>
  <c r="G1663" i="26"/>
  <c r="G1662" i="26"/>
  <c r="G1661" i="26"/>
  <c r="G1660" i="26"/>
  <c r="G1659" i="26"/>
  <c r="G1658" i="26"/>
  <c r="G1657" i="26"/>
  <c r="G1656" i="26"/>
  <c r="G1655" i="26"/>
  <c r="G1654" i="26"/>
  <c r="F1703" i="26"/>
  <c r="F1702" i="26"/>
  <c r="F1701" i="26"/>
  <c r="F1700" i="26"/>
  <c r="F1699" i="26"/>
  <c r="F1698" i="26"/>
  <c r="F1697" i="26"/>
  <c r="F1696" i="26"/>
  <c r="F1695" i="26"/>
  <c r="F1694" i="26"/>
  <c r="F1693" i="26"/>
  <c r="F1692" i="26"/>
  <c r="F1691" i="26"/>
  <c r="F1690" i="26"/>
  <c r="F1689" i="26"/>
  <c r="F1688" i="26"/>
  <c r="F1687" i="26"/>
  <c r="F1686" i="26"/>
  <c r="F1685" i="26"/>
  <c r="F1684" i="26"/>
  <c r="F1683" i="26"/>
  <c r="F1682" i="26"/>
  <c r="F1681" i="26"/>
  <c r="F1680" i="26"/>
  <c r="F1679" i="26"/>
  <c r="F1678" i="26"/>
  <c r="F1677" i="26"/>
  <c r="F1676" i="26"/>
  <c r="F1675" i="26"/>
  <c r="F1674" i="26"/>
  <c r="F1673" i="26"/>
  <c r="F1672" i="26"/>
  <c r="F1671" i="26"/>
  <c r="F1670" i="26"/>
  <c r="F1669" i="26"/>
  <c r="F1668" i="26"/>
  <c r="F1667" i="26"/>
  <c r="F1666" i="26"/>
  <c r="F1665" i="26"/>
  <c r="F1664" i="26"/>
  <c r="F1663" i="26"/>
  <c r="F1662" i="26"/>
  <c r="F1661" i="26"/>
  <c r="F1660" i="26"/>
  <c r="F1659" i="26"/>
  <c r="F1658" i="26"/>
  <c r="F1657" i="26"/>
  <c r="F1656" i="26"/>
  <c r="F1655" i="26"/>
  <c r="F1654" i="26"/>
  <c r="E1703" i="26"/>
  <c r="E1702" i="26"/>
  <c r="E1701" i="26"/>
  <c r="E1700" i="26"/>
  <c r="E1699" i="26"/>
  <c r="E1698" i="26"/>
  <c r="E1697" i="26"/>
  <c r="E1696" i="26"/>
  <c r="E1695" i="26"/>
  <c r="E1694" i="26"/>
  <c r="E1693" i="26"/>
  <c r="E1692" i="26"/>
  <c r="E1691" i="26"/>
  <c r="E1690" i="26"/>
  <c r="E1689" i="26"/>
  <c r="E1688" i="26"/>
  <c r="E1687" i="26"/>
  <c r="E1686" i="26"/>
  <c r="E1685" i="26"/>
  <c r="E1684" i="26"/>
  <c r="E1683" i="26"/>
  <c r="E1682" i="26"/>
  <c r="E1681" i="26"/>
  <c r="E1680" i="26"/>
  <c r="E1679" i="26"/>
  <c r="E1678" i="26"/>
  <c r="E1677" i="26"/>
  <c r="E1676" i="26"/>
  <c r="E1675" i="26"/>
  <c r="E1674" i="26"/>
  <c r="E1673" i="26"/>
  <c r="E1672" i="26"/>
  <c r="E1671" i="26"/>
  <c r="E1670" i="26"/>
  <c r="E1669" i="26"/>
  <c r="E1668" i="26"/>
  <c r="E1667" i="26"/>
  <c r="E1666" i="26"/>
  <c r="E1665" i="26"/>
  <c r="E1664" i="26"/>
  <c r="E1663" i="26"/>
  <c r="E1662" i="26"/>
  <c r="E1661" i="26"/>
  <c r="E1660" i="26"/>
  <c r="E1659" i="26"/>
  <c r="E1658" i="26"/>
  <c r="E1657" i="26"/>
  <c r="E1656" i="26"/>
  <c r="E1655" i="26"/>
  <c r="E1654" i="26"/>
  <c r="D1703" i="26"/>
  <c r="D1702" i="26"/>
  <c r="D1701" i="26"/>
  <c r="D1700" i="26"/>
  <c r="D1699" i="26"/>
  <c r="D1698" i="26"/>
  <c r="D1697" i="26"/>
  <c r="D1696" i="26"/>
  <c r="D1695" i="26"/>
  <c r="D1694" i="26"/>
  <c r="D1693" i="26"/>
  <c r="D1692" i="26"/>
  <c r="D1691" i="26"/>
  <c r="D1690" i="26"/>
  <c r="D1689" i="26"/>
  <c r="D1688" i="26"/>
  <c r="D1687" i="26"/>
  <c r="D1686" i="26"/>
  <c r="D1685" i="26"/>
  <c r="D1684" i="26"/>
  <c r="D1683" i="26"/>
  <c r="D1682" i="26"/>
  <c r="D1681" i="26"/>
  <c r="D1680" i="26"/>
  <c r="D1679" i="26"/>
  <c r="D1678" i="26"/>
  <c r="D1677" i="26"/>
  <c r="D1676" i="26"/>
  <c r="D1675" i="26"/>
  <c r="D1674" i="26"/>
  <c r="D1673" i="26"/>
  <c r="D1672" i="26"/>
  <c r="D1671" i="26"/>
  <c r="D1670" i="26"/>
  <c r="D1669" i="26"/>
  <c r="D1668" i="26"/>
  <c r="D1667" i="26"/>
  <c r="D1666" i="26"/>
  <c r="D1665" i="26"/>
  <c r="D1664" i="26"/>
  <c r="D1663" i="26"/>
  <c r="D1662" i="26"/>
  <c r="D1661" i="26"/>
  <c r="D1660" i="26"/>
  <c r="D1659" i="26"/>
  <c r="D1658" i="26"/>
  <c r="D1657" i="26"/>
  <c r="D1656" i="26"/>
  <c r="D1655" i="26"/>
  <c r="D1654" i="26"/>
  <c r="AM196" i="18"/>
  <c r="AN202" i="18"/>
  <c r="AQD29" i="3"/>
  <c r="AQG29" i="3"/>
  <c r="AQJ29" i="3"/>
  <c r="K1607" i="26"/>
  <c r="K1608" i="26"/>
  <c r="K1609" i="26"/>
  <c r="K1610" i="26"/>
  <c r="K1611" i="26"/>
  <c r="K1612" i="26"/>
  <c r="K1613" i="26"/>
  <c r="K1614" i="26"/>
  <c r="K1615" i="26"/>
  <c r="K1616" i="26"/>
  <c r="K1617" i="26"/>
  <c r="K1618" i="26"/>
  <c r="K1619" i="26"/>
  <c r="K1620" i="26"/>
  <c r="K1621" i="26"/>
  <c r="K1622" i="26"/>
  <c r="K1623" i="26"/>
  <c r="K1624" i="26"/>
  <c r="K1625" i="26"/>
  <c r="K1626" i="26"/>
  <c r="K1627" i="26"/>
  <c r="K1628" i="26"/>
  <c r="K1629" i="26"/>
  <c r="K1630" i="26"/>
  <c r="K1631" i="26"/>
  <c r="K1632" i="26"/>
  <c r="K1633" i="26"/>
  <c r="K1634" i="26"/>
  <c r="K1635" i="26"/>
  <c r="K1636" i="26"/>
  <c r="K1637" i="26"/>
  <c r="K1638" i="26"/>
  <c r="K1639" i="26"/>
  <c r="K1640" i="26"/>
  <c r="K1641" i="26"/>
  <c r="K1642" i="26"/>
  <c r="K1643" i="26"/>
  <c r="K1644" i="26"/>
  <c r="K1645" i="26"/>
  <c r="K1646" i="26"/>
  <c r="K1647" i="26"/>
  <c r="K1648" i="26"/>
  <c r="K1649" i="26"/>
  <c r="K1650" i="26"/>
  <c r="K1651" i="26"/>
  <c r="K1652" i="26"/>
  <c r="K1653" i="26"/>
  <c r="J1607" i="26"/>
  <c r="J1608" i="26"/>
  <c r="J1609" i="26"/>
  <c r="J1610" i="26"/>
  <c r="J1611" i="26"/>
  <c r="J1612" i="26"/>
  <c r="J1613" i="26"/>
  <c r="J1614" i="26"/>
  <c r="J1615" i="26"/>
  <c r="J1616" i="26"/>
  <c r="J1617" i="26"/>
  <c r="J1618" i="26"/>
  <c r="J1619" i="26"/>
  <c r="J1620" i="26"/>
  <c r="J1621" i="26"/>
  <c r="J1622" i="26"/>
  <c r="J1623" i="26"/>
  <c r="J1624" i="26"/>
  <c r="J1625" i="26"/>
  <c r="J1626" i="26"/>
  <c r="J1627" i="26"/>
  <c r="J1628" i="26"/>
  <c r="J1629" i="26"/>
  <c r="J1630" i="26"/>
  <c r="J1631" i="26"/>
  <c r="J1632" i="26"/>
  <c r="J1633" i="26"/>
  <c r="J1634" i="26"/>
  <c r="J1635" i="26"/>
  <c r="J1636" i="26"/>
  <c r="J1637" i="26"/>
  <c r="J1638" i="26"/>
  <c r="J1639" i="26"/>
  <c r="J1640" i="26"/>
  <c r="J1641" i="26"/>
  <c r="J1642" i="26"/>
  <c r="J1643" i="26"/>
  <c r="J1644" i="26"/>
  <c r="J1645" i="26"/>
  <c r="J1646" i="26"/>
  <c r="J1647" i="26"/>
  <c r="J1648" i="26"/>
  <c r="J1649" i="26"/>
  <c r="J1650" i="26"/>
  <c r="J1651" i="26"/>
  <c r="J1652" i="26"/>
  <c r="J1653" i="26"/>
  <c r="I1607" i="26"/>
  <c r="I1608" i="26"/>
  <c r="I1609" i="26"/>
  <c r="I1610" i="26"/>
  <c r="I1611" i="26"/>
  <c r="I1612" i="26"/>
  <c r="I1613" i="26"/>
  <c r="I1614" i="26"/>
  <c r="I1615" i="26"/>
  <c r="I1616" i="26"/>
  <c r="I1617" i="26"/>
  <c r="I1618" i="26"/>
  <c r="I1619" i="26"/>
  <c r="I1620" i="26"/>
  <c r="I1621" i="26"/>
  <c r="I1622" i="26"/>
  <c r="I1623" i="26"/>
  <c r="I1624" i="26"/>
  <c r="I1625" i="26"/>
  <c r="I1626" i="26"/>
  <c r="I1627" i="26"/>
  <c r="I1628" i="26"/>
  <c r="I1629" i="26"/>
  <c r="I1630" i="26"/>
  <c r="I1631" i="26"/>
  <c r="I1632" i="26"/>
  <c r="I1633" i="26"/>
  <c r="I1634" i="26"/>
  <c r="I1635" i="26"/>
  <c r="I1636" i="26"/>
  <c r="I1637" i="26"/>
  <c r="I1638" i="26"/>
  <c r="I1639" i="26"/>
  <c r="I1640" i="26"/>
  <c r="I1641" i="26"/>
  <c r="I1642" i="26"/>
  <c r="I1643" i="26"/>
  <c r="I1644" i="26"/>
  <c r="I1645" i="26"/>
  <c r="I1646" i="26"/>
  <c r="I1647" i="26"/>
  <c r="I1648" i="26"/>
  <c r="I1649" i="26"/>
  <c r="I1650" i="26"/>
  <c r="I1651" i="26"/>
  <c r="I1652" i="26"/>
  <c r="I1653" i="26"/>
  <c r="H1607" i="26"/>
  <c r="H1608" i="26"/>
  <c r="H1609" i="26"/>
  <c r="H1610"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G1607" i="26"/>
  <c r="G1608" i="26"/>
  <c r="G1609" i="26"/>
  <c r="G1610" i="26"/>
  <c r="G1611" i="26"/>
  <c r="G1612" i="26"/>
  <c r="G1613" i="26"/>
  <c r="G1614" i="26"/>
  <c r="G1615" i="26"/>
  <c r="G1616" i="26"/>
  <c r="G1617" i="26"/>
  <c r="G1618" i="26"/>
  <c r="G1619" i="26"/>
  <c r="G1620" i="26"/>
  <c r="G1621" i="26"/>
  <c r="G1622" i="26"/>
  <c r="G1623" i="26"/>
  <c r="G1624" i="26"/>
  <c r="G1625" i="26"/>
  <c r="G1626" i="26"/>
  <c r="G1627" i="26"/>
  <c r="G1628" i="26"/>
  <c r="G1629" i="26"/>
  <c r="G1630" i="26"/>
  <c r="G1631" i="26"/>
  <c r="G1632" i="26"/>
  <c r="G1633" i="26"/>
  <c r="G1634" i="26"/>
  <c r="G1635" i="26"/>
  <c r="G1636" i="26"/>
  <c r="G1637" i="26"/>
  <c r="G1638" i="26"/>
  <c r="G1639" i="26"/>
  <c r="G1640" i="26"/>
  <c r="G1641" i="26"/>
  <c r="G1642" i="26"/>
  <c r="G1643" i="26"/>
  <c r="G1644" i="26"/>
  <c r="G1645" i="26"/>
  <c r="G1646" i="26"/>
  <c r="G1647" i="26"/>
  <c r="G1648" i="26"/>
  <c r="G1649" i="26"/>
  <c r="G1650" i="26"/>
  <c r="G1651" i="26"/>
  <c r="G1652" i="26"/>
  <c r="G1653" i="26"/>
  <c r="F1607" i="26"/>
  <c r="F1608" i="26"/>
  <c r="F1609" i="26"/>
  <c r="F1610" i="26"/>
  <c r="F1611" i="26"/>
  <c r="F1612" i="26"/>
  <c r="F1613" i="26"/>
  <c r="F1614" i="26"/>
  <c r="F1615" i="26"/>
  <c r="F1616" i="26"/>
  <c r="F1617" i="26"/>
  <c r="F1618" i="26"/>
  <c r="F1619" i="26"/>
  <c r="F1620" i="26"/>
  <c r="F1621" i="26"/>
  <c r="F1622" i="26"/>
  <c r="F1623" i="26"/>
  <c r="F1624" i="26"/>
  <c r="F1625" i="26"/>
  <c r="F1626" i="26"/>
  <c r="F1627" i="26"/>
  <c r="F1628" i="26"/>
  <c r="F1629" i="26"/>
  <c r="F1630" i="26"/>
  <c r="F1631" i="26"/>
  <c r="F1632" i="26"/>
  <c r="F1633" i="26"/>
  <c r="F1634" i="26"/>
  <c r="F1635" i="26"/>
  <c r="F1636" i="26"/>
  <c r="F1637" i="26"/>
  <c r="F1638" i="26"/>
  <c r="F1639" i="26"/>
  <c r="F1640" i="26"/>
  <c r="F1641" i="26"/>
  <c r="F1642" i="26"/>
  <c r="F1643" i="26"/>
  <c r="F1644" i="26"/>
  <c r="F1645" i="26"/>
  <c r="F1646" i="26"/>
  <c r="F1647" i="26"/>
  <c r="F1648" i="26"/>
  <c r="F1649" i="26"/>
  <c r="F1650" i="26"/>
  <c r="F1651" i="26"/>
  <c r="F1652" i="26"/>
  <c r="F1653" i="26"/>
  <c r="E1607" i="26"/>
  <c r="E1608" i="26"/>
  <c r="E1609" i="26"/>
  <c r="E1610" i="26"/>
  <c r="E1611" i="26"/>
  <c r="E1612" i="26"/>
  <c r="E1613" i="26"/>
  <c r="E1614" i="26"/>
  <c r="E1615" i="26"/>
  <c r="E1616" i="26"/>
  <c r="E1617" i="26"/>
  <c r="E1618" i="26"/>
  <c r="E1619" i="26"/>
  <c r="E1620" i="26"/>
  <c r="E1621" i="26"/>
  <c r="E1622" i="26"/>
  <c r="E1623" i="26"/>
  <c r="E1624" i="26"/>
  <c r="E1625" i="26"/>
  <c r="E1626" i="26"/>
  <c r="E1627" i="26"/>
  <c r="E1628" i="26"/>
  <c r="E1629" i="26"/>
  <c r="E1630" i="26"/>
  <c r="E1631" i="26"/>
  <c r="E1632" i="26"/>
  <c r="E1633" i="26"/>
  <c r="E1634" i="26"/>
  <c r="E1635" i="26"/>
  <c r="E1636" i="26"/>
  <c r="E1637" i="26"/>
  <c r="E1638" i="26"/>
  <c r="E1639" i="26"/>
  <c r="E1640" i="26"/>
  <c r="E1641" i="26"/>
  <c r="E1642" i="26"/>
  <c r="E1643" i="26"/>
  <c r="E1644" i="26"/>
  <c r="E1645" i="26"/>
  <c r="E1646" i="26"/>
  <c r="E1647" i="26"/>
  <c r="E1648" i="26"/>
  <c r="E1649" i="26"/>
  <c r="E1650" i="26"/>
  <c r="E1651" i="26"/>
  <c r="E1652" i="26"/>
  <c r="E1653" i="26"/>
  <c r="D1607" i="26"/>
  <c r="D1608" i="26"/>
  <c r="D1609" i="26"/>
  <c r="D1610" i="26"/>
  <c r="D1611" i="26"/>
  <c r="D1612" i="26"/>
  <c r="D1613" i="26"/>
  <c r="D1614" i="26"/>
  <c r="D1615" i="26"/>
  <c r="D1616" i="26"/>
  <c r="D1617" i="26"/>
  <c r="D1618" i="26"/>
  <c r="D1619" i="26"/>
  <c r="D1620" i="26"/>
  <c r="D1621" i="26"/>
  <c r="D1622" i="26"/>
  <c r="D1623" i="26"/>
  <c r="D1624" i="26"/>
  <c r="D1625" i="26"/>
  <c r="D1626" i="26"/>
  <c r="D1627" i="26"/>
  <c r="D1628" i="26"/>
  <c r="D1629" i="26"/>
  <c r="D1630" i="26"/>
  <c r="D1631" i="26"/>
  <c r="D1632" i="26"/>
  <c r="D1633" i="26"/>
  <c r="D1634" i="26"/>
  <c r="D1635" i="26"/>
  <c r="D1636" i="26"/>
  <c r="D1637" i="26"/>
  <c r="D1638" i="26"/>
  <c r="D1639" i="26"/>
  <c r="D1640" i="26"/>
  <c r="D1641" i="26"/>
  <c r="D1642" i="26"/>
  <c r="D1643" i="26"/>
  <c r="D1644" i="26"/>
  <c r="D1645" i="26"/>
  <c r="D1646" i="26"/>
  <c r="D1647" i="26"/>
  <c r="D1648" i="26"/>
  <c r="D1649" i="26"/>
  <c r="D1650" i="26"/>
  <c r="D1651" i="26"/>
  <c r="D1652" i="26"/>
  <c r="D1653" i="26"/>
  <c r="BC37" i="18"/>
  <c r="APL29" i="3"/>
  <c r="APO29" i="3"/>
  <c r="AN16" i="18"/>
  <c r="AM16" i="18"/>
  <c r="BC195" i="18"/>
  <c r="AN70" i="18"/>
  <c r="AN71" i="18"/>
  <c r="AN169" i="18"/>
  <c r="AN146" i="18"/>
  <c r="AN116" i="18"/>
  <c r="ASO61" i="3"/>
  <c r="ASR61" i="3"/>
  <c r="ASL29" i="3"/>
  <c r="ASR29" i="3"/>
  <c r="ASU29" i="3"/>
  <c r="ASX29" i="3"/>
  <c r="ATA29" i="3"/>
  <c r="ASI29" i="3"/>
  <c r="ASN5" i="3"/>
  <c r="ASM5" i="3" s="1"/>
  <c r="AST5" i="3"/>
  <c r="ASS5" i="3" s="1"/>
  <c r="ATC5" i="3"/>
  <c r="ATB5" i="3" s="1"/>
  <c r="ASI6" i="3"/>
  <c r="ASL6" i="3"/>
  <c r="ASO6" i="3"/>
  <c r="ASR6" i="3"/>
  <c r="ASU6" i="3"/>
  <c r="ASX6" i="3"/>
  <c r="ATA6" i="3"/>
  <c r="ARW29" i="3"/>
  <c r="ARZ29" i="3"/>
  <c r="ASC29" i="3"/>
  <c r="ASF29" i="3"/>
  <c r="ARS5" i="3"/>
  <c r="ARR5" i="3" s="1"/>
  <c r="ARY5" i="3"/>
  <c r="ARX5" i="3" s="1"/>
  <c r="ASH5" i="3"/>
  <c r="ASG5" i="3" s="1"/>
  <c r="ARN6" i="3"/>
  <c r="ARQ6" i="3"/>
  <c r="ART6" i="3"/>
  <c r="ARW6" i="3"/>
  <c r="ARZ6" i="3"/>
  <c r="ASC6" i="3"/>
  <c r="ASF6" i="3"/>
  <c r="ARB61" i="3"/>
  <c r="ARE61" i="3"/>
  <c r="AQV29" i="3"/>
  <c r="ARB29" i="3"/>
  <c r="ARE29" i="3"/>
  <c r="ARH29" i="3"/>
  <c r="AQS29" i="3"/>
  <c r="AQX5" i="3"/>
  <c r="AQW5" i="3" s="1"/>
  <c r="ARD5" i="3"/>
  <c r="ARC5" i="3" s="1"/>
  <c r="ARM5" i="3"/>
  <c r="ARL5" i="3" s="1"/>
  <c r="AQS6" i="3"/>
  <c r="AQV6" i="3"/>
  <c r="AQY6" i="3"/>
  <c r="ARB6" i="3"/>
  <c r="ARE6" i="3"/>
  <c r="ARH6" i="3"/>
  <c r="ARK6" i="3"/>
  <c r="AQM29" i="3"/>
  <c r="AQP29" i="3"/>
  <c r="AQI5" i="3"/>
  <c r="AQH5" i="3" s="1"/>
  <c r="AQR5" i="3"/>
  <c r="AQQ5" i="3" s="1"/>
  <c r="AQD6" i="3"/>
  <c r="AQG6" i="3"/>
  <c r="AQJ6" i="3"/>
  <c r="AQM6" i="3"/>
  <c r="AQP6" i="3"/>
  <c r="M118" i="6"/>
  <c r="K1550" i="26"/>
  <c r="K1551" i="26"/>
  <c r="K1552" i="26"/>
  <c r="K1553" i="26"/>
  <c r="K1554" i="26"/>
  <c r="K1555" i="26"/>
  <c r="K1556" i="26"/>
  <c r="K1557" i="26"/>
  <c r="K1558" i="26"/>
  <c r="K1559" i="26"/>
  <c r="K1560" i="26"/>
  <c r="K1561" i="26"/>
  <c r="K1562" i="26"/>
  <c r="K1563" i="26"/>
  <c r="K1564" i="26"/>
  <c r="K1565" i="26"/>
  <c r="K1566" i="26"/>
  <c r="K1567" i="26"/>
  <c r="K1568" i="26"/>
  <c r="K1569" i="26"/>
  <c r="K1570" i="26"/>
  <c r="K1571" i="26"/>
  <c r="K1572" i="26"/>
  <c r="K1573" i="26"/>
  <c r="K1574" i="26"/>
  <c r="K1575" i="26"/>
  <c r="K1576" i="26"/>
  <c r="K1577" i="26"/>
  <c r="K1578" i="26"/>
  <c r="K1579" i="26"/>
  <c r="K1580" i="26"/>
  <c r="K1581" i="26"/>
  <c r="K1582" i="26"/>
  <c r="K1583" i="26"/>
  <c r="K1584" i="26"/>
  <c r="K1585" i="26"/>
  <c r="K1586" i="26"/>
  <c r="K1587" i="26"/>
  <c r="K1588" i="26"/>
  <c r="K1589" i="26"/>
  <c r="K1590" i="26"/>
  <c r="K1591" i="26"/>
  <c r="K1592" i="26"/>
  <c r="K1593" i="26"/>
  <c r="K1594" i="26"/>
  <c r="K1595" i="26"/>
  <c r="K1596" i="26"/>
  <c r="K1597" i="26"/>
  <c r="K1598" i="26"/>
  <c r="K1599" i="26"/>
  <c r="K1600" i="26"/>
  <c r="K1601" i="26"/>
  <c r="K1602" i="26"/>
  <c r="K1603" i="26"/>
  <c r="K1604" i="26"/>
  <c r="K1605" i="26"/>
  <c r="K1606" i="26"/>
  <c r="J1550" i="26"/>
  <c r="J1551" i="26"/>
  <c r="J1552" i="26"/>
  <c r="J1553" i="26"/>
  <c r="J1554" i="26"/>
  <c r="J1555" i="26"/>
  <c r="J1556" i="26"/>
  <c r="J1557" i="26"/>
  <c r="J1558" i="26"/>
  <c r="J1559" i="26"/>
  <c r="J1560" i="26"/>
  <c r="J1561" i="26"/>
  <c r="J1562" i="26"/>
  <c r="J1563" i="26"/>
  <c r="J1564" i="26"/>
  <c r="J1565" i="26"/>
  <c r="J1566" i="26"/>
  <c r="J1567" i="26"/>
  <c r="J1568" i="26"/>
  <c r="J1569" i="26"/>
  <c r="J1570" i="26"/>
  <c r="J1571" i="26"/>
  <c r="J1572" i="26"/>
  <c r="J1573" i="26"/>
  <c r="J1574" i="26"/>
  <c r="J1575" i="26"/>
  <c r="J1576" i="26"/>
  <c r="J1577" i="26"/>
  <c r="J1578" i="26"/>
  <c r="J1579" i="26"/>
  <c r="J1580" i="26"/>
  <c r="J1581" i="26"/>
  <c r="J1582" i="26"/>
  <c r="J1583" i="26"/>
  <c r="J1584" i="26"/>
  <c r="J1585" i="26"/>
  <c r="J1586" i="26"/>
  <c r="J1587" i="26"/>
  <c r="J1588" i="26"/>
  <c r="J1589" i="26"/>
  <c r="J1590" i="26"/>
  <c r="J1591" i="26"/>
  <c r="J1592" i="26"/>
  <c r="J1593" i="26"/>
  <c r="J1594" i="26"/>
  <c r="J1595" i="26"/>
  <c r="J1596" i="26"/>
  <c r="J1597" i="26"/>
  <c r="J1598" i="26"/>
  <c r="J1599" i="26"/>
  <c r="J1600" i="26"/>
  <c r="J1601" i="26"/>
  <c r="J1602" i="26"/>
  <c r="J1603" i="26"/>
  <c r="J1604" i="26"/>
  <c r="J1605" i="26"/>
  <c r="J1606" i="26"/>
  <c r="I1550" i="26"/>
  <c r="I1551" i="26"/>
  <c r="I1552" i="26"/>
  <c r="I1553" i="26"/>
  <c r="I1554" i="26"/>
  <c r="I1555" i="26"/>
  <c r="I1556" i="26"/>
  <c r="I1557" i="26"/>
  <c r="I1558" i="26"/>
  <c r="I1559" i="26"/>
  <c r="I1560" i="26"/>
  <c r="I1561" i="26"/>
  <c r="I1562" i="26"/>
  <c r="I1563" i="26"/>
  <c r="I1564" i="26"/>
  <c r="I1565" i="26"/>
  <c r="I1566" i="26"/>
  <c r="I1567" i="26"/>
  <c r="I1568" i="26"/>
  <c r="I1569" i="26"/>
  <c r="I1570" i="26"/>
  <c r="I1571" i="26"/>
  <c r="I1572" i="26"/>
  <c r="I1573" i="26"/>
  <c r="I1574" i="26"/>
  <c r="I1575" i="26"/>
  <c r="I1576" i="26"/>
  <c r="I1577" i="26"/>
  <c r="I1578" i="26"/>
  <c r="I1579" i="26"/>
  <c r="I1580" i="26"/>
  <c r="I1581" i="26"/>
  <c r="I1582" i="26"/>
  <c r="I1583" i="26"/>
  <c r="I1584" i="26"/>
  <c r="I1585" i="26"/>
  <c r="I1586" i="26"/>
  <c r="I1587" i="26"/>
  <c r="I1588" i="26"/>
  <c r="I1589" i="26"/>
  <c r="I1590" i="26"/>
  <c r="I1591" i="26"/>
  <c r="I1592" i="26"/>
  <c r="I1593" i="26"/>
  <c r="I1594" i="26"/>
  <c r="I1595" i="26"/>
  <c r="I1596" i="26"/>
  <c r="I1597" i="26"/>
  <c r="I1598" i="26"/>
  <c r="I1599" i="26"/>
  <c r="I1600" i="26"/>
  <c r="I1601" i="26"/>
  <c r="I1602" i="26"/>
  <c r="I1603" i="26"/>
  <c r="I1604" i="26"/>
  <c r="I1605" i="26"/>
  <c r="I1606"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1602" i="26"/>
  <c r="H1603" i="26"/>
  <c r="H1604" i="26"/>
  <c r="H1605" i="26"/>
  <c r="H1606" i="26"/>
  <c r="G1550" i="26"/>
  <c r="G1551" i="26"/>
  <c r="G1552" i="26"/>
  <c r="G1553" i="26"/>
  <c r="G1554" i="26"/>
  <c r="G1555" i="26"/>
  <c r="G1556" i="26"/>
  <c r="G1557" i="26"/>
  <c r="G1558" i="26"/>
  <c r="G1559" i="26"/>
  <c r="G1560" i="26"/>
  <c r="G1561" i="26"/>
  <c r="G1562" i="26"/>
  <c r="G1563" i="26"/>
  <c r="G1564" i="26"/>
  <c r="G1565" i="26"/>
  <c r="G1566" i="26"/>
  <c r="G1567" i="26"/>
  <c r="G1568" i="26"/>
  <c r="G1569" i="26"/>
  <c r="G1570" i="26"/>
  <c r="G1571" i="26"/>
  <c r="G1572" i="26"/>
  <c r="G1573" i="26"/>
  <c r="G1574" i="26"/>
  <c r="G1575" i="26"/>
  <c r="G1576" i="26"/>
  <c r="G1577" i="26"/>
  <c r="G1578" i="26"/>
  <c r="G1579" i="26"/>
  <c r="G1580" i="26"/>
  <c r="G1581" i="26"/>
  <c r="G1582" i="26"/>
  <c r="G1583" i="26"/>
  <c r="G1584" i="26"/>
  <c r="G1585" i="26"/>
  <c r="G1586" i="26"/>
  <c r="G1587" i="26"/>
  <c r="G1588" i="26"/>
  <c r="G1589" i="26"/>
  <c r="G1590" i="26"/>
  <c r="G1591" i="26"/>
  <c r="G1592" i="26"/>
  <c r="G1593" i="26"/>
  <c r="G1594" i="26"/>
  <c r="G1595" i="26"/>
  <c r="G1596" i="26"/>
  <c r="G1597" i="26"/>
  <c r="G1598" i="26"/>
  <c r="G1599" i="26"/>
  <c r="G1600" i="26"/>
  <c r="G1601" i="26"/>
  <c r="G1602" i="26"/>
  <c r="G1603" i="26"/>
  <c r="G1604" i="26"/>
  <c r="G1605" i="26"/>
  <c r="G1606" i="26"/>
  <c r="F1550" i="26"/>
  <c r="F1551" i="26"/>
  <c r="F1552" i="26"/>
  <c r="F1553" i="26"/>
  <c r="F1554" i="26"/>
  <c r="F1555" i="26"/>
  <c r="F1556" i="26"/>
  <c r="F1557" i="26"/>
  <c r="F1558" i="26"/>
  <c r="F1559" i="26"/>
  <c r="F1560" i="26"/>
  <c r="F1561" i="26"/>
  <c r="F1562" i="26"/>
  <c r="F1563" i="26"/>
  <c r="F1564" i="26"/>
  <c r="F1565" i="26"/>
  <c r="F1566" i="26"/>
  <c r="F1567" i="26"/>
  <c r="F1568" i="26"/>
  <c r="F1569" i="26"/>
  <c r="F1570" i="26"/>
  <c r="F1571" i="26"/>
  <c r="F1572" i="26"/>
  <c r="F1573" i="26"/>
  <c r="F1574" i="26"/>
  <c r="F1575" i="26"/>
  <c r="F1576" i="26"/>
  <c r="F1577" i="26"/>
  <c r="F1578" i="26"/>
  <c r="F1579" i="26"/>
  <c r="F1580" i="26"/>
  <c r="F1581" i="26"/>
  <c r="F1582" i="26"/>
  <c r="F1583" i="26"/>
  <c r="F1584" i="26"/>
  <c r="F1585" i="26"/>
  <c r="F1586" i="26"/>
  <c r="F1587" i="26"/>
  <c r="F1588" i="26"/>
  <c r="F1589" i="26"/>
  <c r="F1590" i="26"/>
  <c r="F1591" i="26"/>
  <c r="F1592" i="26"/>
  <c r="F1593" i="26"/>
  <c r="F1594" i="26"/>
  <c r="F1595" i="26"/>
  <c r="F1596" i="26"/>
  <c r="F1597" i="26"/>
  <c r="F1598" i="26"/>
  <c r="F1599" i="26"/>
  <c r="F1600" i="26"/>
  <c r="F1601" i="26"/>
  <c r="F1602" i="26"/>
  <c r="F1603" i="26"/>
  <c r="F1604" i="26"/>
  <c r="F1605" i="26"/>
  <c r="F1606" i="26"/>
  <c r="E1550" i="26"/>
  <c r="E1551" i="26"/>
  <c r="E1552" i="26"/>
  <c r="E1553" i="26"/>
  <c r="E1554" i="26"/>
  <c r="E1555" i="26"/>
  <c r="E1556" i="26"/>
  <c r="E1557" i="26"/>
  <c r="E1558" i="26"/>
  <c r="E1559" i="26"/>
  <c r="E1560" i="26"/>
  <c r="E1561" i="26"/>
  <c r="E1562" i="26"/>
  <c r="E1563" i="26"/>
  <c r="E1564" i="26"/>
  <c r="E1565" i="26"/>
  <c r="E1566" i="26"/>
  <c r="E1567" i="26"/>
  <c r="E1568" i="26"/>
  <c r="E1569" i="26"/>
  <c r="E1570" i="26"/>
  <c r="E1571" i="26"/>
  <c r="E1572" i="26"/>
  <c r="E1573" i="26"/>
  <c r="E1574" i="26"/>
  <c r="E1575" i="26"/>
  <c r="E1576" i="26"/>
  <c r="E1577" i="26"/>
  <c r="E1578" i="26"/>
  <c r="E1579" i="26"/>
  <c r="E1580" i="26"/>
  <c r="E1581" i="26"/>
  <c r="E1582" i="26"/>
  <c r="E1583" i="26"/>
  <c r="E1584" i="26"/>
  <c r="E1585" i="26"/>
  <c r="E1586" i="26"/>
  <c r="E1587" i="26"/>
  <c r="E1588" i="26"/>
  <c r="E1589" i="26"/>
  <c r="E1590" i="26"/>
  <c r="E1591" i="26"/>
  <c r="E1592" i="26"/>
  <c r="E1593" i="26"/>
  <c r="E1594" i="26"/>
  <c r="E1595" i="26"/>
  <c r="E1596" i="26"/>
  <c r="E1597" i="26"/>
  <c r="E1598" i="26"/>
  <c r="E1599" i="26"/>
  <c r="E1600" i="26"/>
  <c r="E1601" i="26"/>
  <c r="E1602" i="26"/>
  <c r="E1603" i="26"/>
  <c r="E1604" i="26"/>
  <c r="E1605" i="26"/>
  <c r="E1606" i="26"/>
  <c r="D1550" i="26"/>
  <c r="D1551" i="26"/>
  <c r="D1552" i="26"/>
  <c r="D1553" i="26"/>
  <c r="D1554" i="26"/>
  <c r="D1555" i="26"/>
  <c r="D1556" i="26"/>
  <c r="D1557" i="26"/>
  <c r="D1558" i="26"/>
  <c r="D1559" i="26"/>
  <c r="D1560" i="26"/>
  <c r="D1561" i="26"/>
  <c r="D1562" i="26"/>
  <c r="D1563" i="26"/>
  <c r="D1564" i="26"/>
  <c r="D1565" i="26"/>
  <c r="D1566" i="26"/>
  <c r="D1567" i="26"/>
  <c r="D1568" i="26"/>
  <c r="D1569" i="26"/>
  <c r="D1570" i="26"/>
  <c r="D1571" i="26"/>
  <c r="D1572" i="26"/>
  <c r="D1573" i="26"/>
  <c r="D1574" i="26"/>
  <c r="D1575" i="26"/>
  <c r="D1576" i="26"/>
  <c r="D1577" i="26"/>
  <c r="D1578" i="26"/>
  <c r="D1579" i="26"/>
  <c r="D1580" i="26"/>
  <c r="D1581" i="26"/>
  <c r="D1582" i="26"/>
  <c r="D1583" i="26"/>
  <c r="D1584" i="26"/>
  <c r="D1585" i="26"/>
  <c r="D1586" i="26"/>
  <c r="D1587" i="26"/>
  <c r="D1588" i="26"/>
  <c r="D1589" i="26"/>
  <c r="D1590" i="26"/>
  <c r="D1591" i="26"/>
  <c r="D1592" i="26"/>
  <c r="D1593" i="26"/>
  <c r="D1594" i="26"/>
  <c r="D1595" i="26"/>
  <c r="D1596" i="26"/>
  <c r="D1597" i="26"/>
  <c r="D1598" i="26"/>
  <c r="D1599" i="26"/>
  <c r="D1600" i="26"/>
  <c r="D1601" i="26"/>
  <c r="D1602" i="26"/>
  <c r="D1603" i="26"/>
  <c r="D1604" i="26"/>
  <c r="D1605" i="26"/>
  <c r="D1606" i="26"/>
  <c r="API29" i="3"/>
  <c r="AON29" i="3"/>
  <c r="AOQ29" i="3"/>
  <c r="AOT29" i="3"/>
  <c r="AOW29" i="3"/>
  <c r="AOZ29" i="3"/>
  <c r="M117" i="6"/>
  <c r="M116" i="6"/>
  <c r="M115" i="6"/>
  <c r="K1549" i="26"/>
  <c r="K1548" i="26"/>
  <c r="K1547" i="26"/>
  <c r="K1546" i="26"/>
  <c r="K1545" i="26"/>
  <c r="K1544" i="26"/>
  <c r="K1543" i="26"/>
  <c r="K1542" i="26"/>
  <c r="K1541" i="26"/>
  <c r="K1540" i="26"/>
  <c r="K1539" i="26"/>
  <c r="K1538" i="26"/>
  <c r="K1537" i="26"/>
  <c r="K1536" i="26"/>
  <c r="K1535" i="26"/>
  <c r="K1534" i="26"/>
  <c r="K1533" i="26"/>
  <c r="K1532" i="26"/>
  <c r="K1531" i="26"/>
  <c r="K1530" i="26"/>
  <c r="K1529" i="26"/>
  <c r="K1528" i="26"/>
  <c r="K1527" i="26"/>
  <c r="K1526" i="26"/>
  <c r="K1525" i="26"/>
  <c r="K1524" i="26"/>
  <c r="K1523" i="26"/>
  <c r="K1522" i="26"/>
  <c r="K1521" i="26"/>
  <c r="K1520" i="26"/>
  <c r="K1519" i="26"/>
  <c r="K1518" i="26"/>
  <c r="K1517" i="26"/>
  <c r="K1516" i="26"/>
  <c r="K1515" i="26"/>
  <c r="K1514" i="26"/>
  <c r="K1513" i="26"/>
  <c r="K1512" i="26"/>
  <c r="K1511" i="26"/>
  <c r="K1510" i="26"/>
  <c r="K1509" i="26"/>
  <c r="K1508" i="26"/>
  <c r="K1507" i="26"/>
  <c r="K1506" i="26"/>
  <c r="K1505" i="26"/>
  <c r="K1504" i="26"/>
  <c r="K1503" i="26"/>
  <c r="J1549" i="26"/>
  <c r="J1548" i="26"/>
  <c r="J1547" i="26"/>
  <c r="J1546" i="26"/>
  <c r="J1545" i="26"/>
  <c r="J1544" i="26"/>
  <c r="J1543" i="26"/>
  <c r="J1542" i="26"/>
  <c r="J1541" i="26"/>
  <c r="J1540" i="26"/>
  <c r="J1539" i="26"/>
  <c r="J1538" i="26"/>
  <c r="J1537" i="26"/>
  <c r="J1536" i="26"/>
  <c r="J1535" i="26"/>
  <c r="J1534" i="26"/>
  <c r="J1533" i="26"/>
  <c r="J1532" i="26"/>
  <c r="J1531" i="26"/>
  <c r="J1530" i="26"/>
  <c r="J1529" i="26"/>
  <c r="J1528" i="26"/>
  <c r="J1527" i="26"/>
  <c r="J1526" i="26"/>
  <c r="J1525" i="26"/>
  <c r="J1524" i="26"/>
  <c r="J1523" i="26"/>
  <c r="J1522" i="26"/>
  <c r="J1521" i="26"/>
  <c r="J1520" i="26"/>
  <c r="J1519" i="26"/>
  <c r="J1518" i="26"/>
  <c r="J1517" i="26"/>
  <c r="J1516" i="26"/>
  <c r="J1515" i="26"/>
  <c r="J1514" i="26"/>
  <c r="J1513" i="26"/>
  <c r="J1512" i="26"/>
  <c r="J1511" i="26"/>
  <c r="J1510" i="26"/>
  <c r="J1509" i="26"/>
  <c r="J1508" i="26"/>
  <c r="J1507" i="26"/>
  <c r="J1506" i="26"/>
  <c r="J1505" i="26"/>
  <c r="J1504" i="26"/>
  <c r="J1503" i="26"/>
  <c r="I1549" i="26"/>
  <c r="I1548" i="26"/>
  <c r="I1547" i="26"/>
  <c r="I1546" i="26"/>
  <c r="I1545" i="26"/>
  <c r="I1544" i="26"/>
  <c r="I1543" i="26"/>
  <c r="I1542" i="26"/>
  <c r="I1541" i="26"/>
  <c r="I1540" i="26"/>
  <c r="I1539" i="26"/>
  <c r="I1538" i="26"/>
  <c r="I1537" i="26"/>
  <c r="I1536" i="26"/>
  <c r="I1535" i="26"/>
  <c r="I1534" i="26"/>
  <c r="I1533" i="26"/>
  <c r="I1532" i="26"/>
  <c r="I1531" i="26"/>
  <c r="I1530" i="26"/>
  <c r="I1529" i="26"/>
  <c r="I1528" i="26"/>
  <c r="I1527" i="26"/>
  <c r="I1526" i="26"/>
  <c r="I1525" i="26"/>
  <c r="I1524" i="26"/>
  <c r="I1523" i="26"/>
  <c r="I1522" i="26"/>
  <c r="I1521" i="26"/>
  <c r="I1520" i="26"/>
  <c r="I1519" i="26"/>
  <c r="I1518" i="26"/>
  <c r="I1517" i="26"/>
  <c r="I1516" i="26"/>
  <c r="I1515" i="26"/>
  <c r="I1514" i="26"/>
  <c r="I1513" i="26"/>
  <c r="I1512" i="26"/>
  <c r="I1511" i="26"/>
  <c r="I1510" i="26"/>
  <c r="I1509" i="26"/>
  <c r="I1508" i="26"/>
  <c r="I1507" i="26"/>
  <c r="I1506" i="26"/>
  <c r="I1505" i="26"/>
  <c r="I1504" i="26"/>
  <c r="I1503" i="26"/>
  <c r="H1549" i="26"/>
  <c r="H1548" i="26"/>
  <c r="H1547" i="26"/>
  <c r="H1546" i="26"/>
  <c r="H1545" i="26"/>
  <c r="H1544" i="26"/>
  <c r="H1543" i="26"/>
  <c r="H1542" i="26"/>
  <c r="H1541" i="26"/>
  <c r="H1540" i="26"/>
  <c r="H1539" i="26"/>
  <c r="H1538" i="26"/>
  <c r="H1537" i="26"/>
  <c r="H1536" i="26"/>
  <c r="H1535" i="26"/>
  <c r="H1534" i="26"/>
  <c r="H1533" i="26"/>
  <c r="H1532" i="26"/>
  <c r="H1531" i="26"/>
  <c r="H1530" i="26"/>
  <c r="H1529" i="26"/>
  <c r="H1528" i="26"/>
  <c r="H1527" i="26"/>
  <c r="H1526" i="26"/>
  <c r="H1525" i="26"/>
  <c r="H1524" i="26"/>
  <c r="H1523" i="26"/>
  <c r="H1522" i="26"/>
  <c r="H1521" i="26"/>
  <c r="H1520" i="26"/>
  <c r="H1519" i="26"/>
  <c r="H1518" i="26"/>
  <c r="H1517" i="26"/>
  <c r="H1516" i="26"/>
  <c r="H1515" i="26"/>
  <c r="H1514" i="26"/>
  <c r="H1513" i="26"/>
  <c r="H1512" i="26"/>
  <c r="H1511" i="26"/>
  <c r="H1510" i="26"/>
  <c r="H1509" i="26"/>
  <c r="H1508" i="26"/>
  <c r="H1507" i="26"/>
  <c r="H1506" i="26"/>
  <c r="H1505" i="26"/>
  <c r="H1504" i="26"/>
  <c r="H1503" i="26"/>
  <c r="G1549" i="26"/>
  <c r="G1548" i="26"/>
  <c r="G1547" i="26"/>
  <c r="G1546" i="26"/>
  <c r="G1545" i="26"/>
  <c r="G1544" i="26"/>
  <c r="G1543" i="26"/>
  <c r="G1542" i="26"/>
  <c r="G1541" i="26"/>
  <c r="G1540" i="26"/>
  <c r="G1539" i="26"/>
  <c r="G1538" i="26"/>
  <c r="G1537" i="26"/>
  <c r="G1536" i="26"/>
  <c r="G1535" i="26"/>
  <c r="G1534" i="26"/>
  <c r="G1533" i="26"/>
  <c r="G1532" i="26"/>
  <c r="G1531" i="26"/>
  <c r="G1530" i="26"/>
  <c r="G1529" i="26"/>
  <c r="G1528" i="26"/>
  <c r="G1527" i="26"/>
  <c r="G1526" i="26"/>
  <c r="G1525" i="26"/>
  <c r="G1524" i="26"/>
  <c r="G1523" i="26"/>
  <c r="G1522" i="26"/>
  <c r="G1521" i="26"/>
  <c r="G1520" i="26"/>
  <c r="G1519" i="26"/>
  <c r="G1518" i="26"/>
  <c r="G1517" i="26"/>
  <c r="G1516" i="26"/>
  <c r="G1515" i="26"/>
  <c r="G1514" i="26"/>
  <c r="G1513" i="26"/>
  <c r="G1512" i="26"/>
  <c r="G1511" i="26"/>
  <c r="G1510" i="26"/>
  <c r="G1509" i="26"/>
  <c r="G1508" i="26"/>
  <c r="G1507" i="26"/>
  <c r="G1506" i="26"/>
  <c r="G1505" i="26"/>
  <c r="G1504" i="26"/>
  <c r="G1503" i="26"/>
  <c r="F1549" i="26"/>
  <c r="F1548" i="26"/>
  <c r="F1547" i="26"/>
  <c r="F1546" i="26"/>
  <c r="F1545" i="26"/>
  <c r="F1544" i="26"/>
  <c r="F1543" i="26"/>
  <c r="F1542" i="26"/>
  <c r="F1541" i="26"/>
  <c r="F1540" i="26"/>
  <c r="F1539" i="26"/>
  <c r="F1538" i="26"/>
  <c r="F1537" i="26"/>
  <c r="F1536" i="26"/>
  <c r="F1535" i="26"/>
  <c r="F1534" i="26"/>
  <c r="F1533" i="26"/>
  <c r="F1532" i="26"/>
  <c r="F1531" i="26"/>
  <c r="F1530" i="26"/>
  <c r="F1529" i="26"/>
  <c r="F1528" i="26"/>
  <c r="F1527" i="26"/>
  <c r="F1526" i="26"/>
  <c r="F1525" i="26"/>
  <c r="F1524" i="26"/>
  <c r="F1523" i="26"/>
  <c r="F1522" i="26"/>
  <c r="F1521" i="26"/>
  <c r="F1520" i="26"/>
  <c r="F1519" i="26"/>
  <c r="F1518" i="26"/>
  <c r="F1517" i="26"/>
  <c r="F1516" i="26"/>
  <c r="F1515" i="26"/>
  <c r="F1514" i="26"/>
  <c r="F1513" i="26"/>
  <c r="F1512" i="26"/>
  <c r="F1511" i="26"/>
  <c r="F1510" i="26"/>
  <c r="F1509" i="26"/>
  <c r="F1508" i="26"/>
  <c r="F1507" i="26"/>
  <c r="F1506" i="26"/>
  <c r="F1505" i="26"/>
  <c r="F1504" i="26"/>
  <c r="F1503" i="26"/>
  <c r="E1549" i="26"/>
  <c r="E1548" i="26"/>
  <c r="E1547" i="26"/>
  <c r="E1546" i="26"/>
  <c r="E1545" i="26"/>
  <c r="E1544" i="26"/>
  <c r="E1543" i="26"/>
  <c r="E1542" i="26"/>
  <c r="E1541" i="26"/>
  <c r="E1540" i="26"/>
  <c r="E1539" i="26"/>
  <c r="E1538" i="26"/>
  <c r="E1537" i="26"/>
  <c r="E1536" i="26"/>
  <c r="E1535" i="26"/>
  <c r="E1534" i="26"/>
  <c r="E1533" i="26"/>
  <c r="E1532" i="26"/>
  <c r="E1531" i="26"/>
  <c r="E1530" i="26"/>
  <c r="E1529" i="26"/>
  <c r="E1528" i="26"/>
  <c r="E1527" i="26"/>
  <c r="E1526" i="26"/>
  <c r="E1525" i="26"/>
  <c r="E1524" i="26"/>
  <c r="E1523" i="26"/>
  <c r="E1522" i="26"/>
  <c r="E1521" i="26"/>
  <c r="E1520" i="26"/>
  <c r="E1519" i="26"/>
  <c r="E1518" i="26"/>
  <c r="E1517" i="26"/>
  <c r="E1516" i="26"/>
  <c r="E1515" i="26"/>
  <c r="E1514" i="26"/>
  <c r="E1513" i="26"/>
  <c r="E1512" i="26"/>
  <c r="E1511" i="26"/>
  <c r="E1510" i="26"/>
  <c r="E1509" i="26"/>
  <c r="E1508" i="26"/>
  <c r="E1507" i="26"/>
  <c r="E1506" i="26"/>
  <c r="E1505" i="26"/>
  <c r="E1504" i="26"/>
  <c r="E1503" i="26"/>
  <c r="D1549" i="26"/>
  <c r="D1548" i="26"/>
  <c r="D1547" i="26"/>
  <c r="D1546" i="26"/>
  <c r="D1545" i="26"/>
  <c r="D1544" i="26"/>
  <c r="D1543" i="26"/>
  <c r="D1542" i="26"/>
  <c r="D1541" i="26"/>
  <c r="D1540" i="26"/>
  <c r="D1539" i="26"/>
  <c r="D1538" i="26"/>
  <c r="D1537" i="26"/>
  <c r="D1536" i="26"/>
  <c r="D1535" i="26"/>
  <c r="D1534" i="26"/>
  <c r="D1533" i="26"/>
  <c r="D1532" i="26"/>
  <c r="D1531" i="26"/>
  <c r="D1530" i="26"/>
  <c r="D1529" i="26"/>
  <c r="D1528" i="26"/>
  <c r="D1527" i="26"/>
  <c r="D1526" i="26"/>
  <c r="D1525" i="26"/>
  <c r="D1524" i="26"/>
  <c r="D1523" i="26"/>
  <c r="D1522" i="26"/>
  <c r="D1521" i="26"/>
  <c r="D1520" i="26"/>
  <c r="D1519" i="26"/>
  <c r="D1518" i="26"/>
  <c r="D1517" i="26"/>
  <c r="D1516" i="26"/>
  <c r="D1515" i="26"/>
  <c r="D1514" i="26"/>
  <c r="D1513" i="26"/>
  <c r="D1512" i="26"/>
  <c r="D1511" i="26"/>
  <c r="D1510" i="26"/>
  <c r="D1509" i="26"/>
  <c r="D1508" i="26"/>
  <c r="D1507" i="26"/>
  <c r="D1506" i="26"/>
  <c r="D1505" i="26"/>
  <c r="D1504" i="26"/>
  <c r="D1503" i="26"/>
  <c r="CZ20" i="20"/>
  <c r="CV15" i="20"/>
  <c r="CW15" i="20" s="1"/>
  <c r="CX15" i="20" s="1"/>
  <c r="CY15" i="20" s="1"/>
  <c r="CZ15" i="20" s="1"/>
  <c r="CV13" i="20"/>
  <c r="CW13" i="20" s="1"/>
  <c r="CX13" i="20" s="1"/>
  <c r="CY13" i="20" s="1"/>
  <c r="CZ13" i="20" s="1"/>
  <c r="DA13" i="20" s="1"/>
  <c r="CV11" i="20"/>
  <c r="CW11" i="20" s="1"/>
  <c r="CX11" i="20" s="1"/>
  <c r="CY11" i="20" s="1"/>
  <c r="CZ11" i="20" s="1"/>
  <c r="DA11" i="20" s="1"/>
  <c r="CV9" i="20"/>
  <c r="CW9" i="20" s="1"/>
  <c r="CX9" i="20" s="1"/>
  <c r="CY9" i="20" s="1"/>
  <c r="CZ9" i="20" s="1"/>
  <c r="DA9" i="20" s="1"/>
  <c r="DA7" i="20"/>
  <c r="AN72" i="18"/>
  <c r="R435" i="26"/>
  <c r="R436" i="26"/>
  <c r="R437" i="26"/>
  <c r="R438" i="26"/>
  <c r="R439" i="26"/>
  <c r="R440" i="26"/>
  <c r="R441" i="26"/>
  <c r="R442" i="26"/>
  <c r="R443" i="26"/>
  <c r="R444" i="26"/>
  <c r="R445" i="26"/>
  <c r="R446" i="26"/>
  <c r="R447" i="26"/>
  <c r="R448" i="26"/>
  <c r="R449" i="26"/>
  <c r="R450" i="26"/>
  <c r="R451" i="26"/>
  <c r="R452" i="26"/>
  <c r="R453" i="26"/>
  <c r="R454" i="26"/>
  <c r="R455" i="26"/>
  <c r="R456" i="26"/>
  <c r="R457" i="26"/>
  <c r="R458" i="26"/>
  <c r="R459" i="26"/>
  <c r="R460" i="26"/>
  <c r="R461" i="26"/>
  <c r="R462" i="26"/>
  <c r="R463" i="26"/>
  <c r="R464" i="26"/>
  <c r="R465" i="26"/>
  <c r="R466" i="26"/>
  <c r="R467" i="26"/>
  <c r="R468" i="26"/>
  <c r="R469" i="26"/>
  <c r="R470" i="26"/>
  <c r="R471" i="26"/>
  <c r="R472" i="26"/>
  <c r="R473" i="26"/>
  <c r="R474" i="26"/>
  <c r="R475" i="26"/>
  <c r="R476" i="26"/>
  <c r="R477" i="26"/>
  <c r="R478" i="26"/>
  <c r="R479" i="26"/>
  <c r="R480" i="26"/>
  <c r="R481" i="26"/>
  <c r="R482" i="26"/>
  <c r="R483" i="26"/>
  <c r="R484" i="26"/>
  <c r="R485" i="26"/>
  <c r="R486" i="26"/>
  <c r="R487" i="26"/>
  <c r="R488" i="26"/>
  <c r="R489" i="26"/>
  <c r="R490" i="26"/>
  <c r="R491" i="26"/>
  <c r="R492" i="26"/>
  <c r="R493" i="26"/>
  <c r="R494" i="26"/>
  <c r="R495" i="26"/>
  <c r="R496" i="26"/>
  <c r="R497" i="26"/>
  <c r="R498" i="26"/>
  <c r="R499" i="26"/>
  <c r="R500" i="26"/>
  <c r="R501" i="26"/>
  <c r="R502" i="26"/>
  <c r="R503" i="26"/>
  <c r="R504" i="26"/>
  <c r="R505" i="26"/>
  <c r="R506" i="26"/>
  <c r="R507" i="26"/>
  <c r="R508" i="26"/>
  <c r="R509" i="26"/>
  <c r="R510" i="26"/>
  <c r="R511" i="26"/>
  <c r="R512" i="26"/>
  <c r="R513" i="26"/>
  <c r="R514" i="26"/>
  <c r="R515" i="26"/>
  <c r="R516" i="26"/>
  <c r="R517" i="26"/>
  <c r="R518" i="26"/>
  <c r="R519" i="26"/>
  <c r="R520" i="26"/>
  <c r="R521" i="26"/>
  <c r="R522" i="26"/>
  <c r="R523" i="26"/>
  <c r="R524" i="26"/>
  <c r="R525" i="26"/>
  <c r="R526" i="26"/>
  <c r="R527" i="26"/>
  <c r="R528" i="26"/>
  <c r="R529" i="26"/>
  <c r="R530" i="26"/>
  <c r="R531" i="26"/>
  <c r="R532" i="26"/>
  <c r="R533" i="26"/>
  <c r="R534" i="26"/>
  <c r="R535" i="26"/>
  <c r="R536" i="26"/>
  <c r="R537" i="26"/>
  <c r="R538" i="26"/>
  <c r="R539" i="26"/>
  <c r="R540" i="26"/>
  <c r="R541" i="26"/>
  <c r="R542" i="26"/>
  <c r="R543" i="26"/>
  <c r="R544" i="26"/>
  <c r="R545" i="26"/>
  <c r="R546" i="26"/>
  <c r="R547" i="26"/>
  <c r="R548" i="26"/>
  <c r="R549" i="26"/>
  <c r="R550" i="26"/>
  <c r="R551" i="26"/>
  <c r="R552" i="26"/>
  <c r="R553" i="26"/>
  <c r="R554" i="26"/>
  <c r="R555" i="26"/>
  <c r="R556" i="26"/>
  <c r="R557" i="26"/>
  <c r="R558" i="26"/>
  <c r="R559" i="26"/>
  <c r="R560" i="26"/>
  <c r="R561" i="26"/>
  <c r="R562" i="26"/>
  <c r="R563" i="26"/>
  <c r="R564" i="26"/>
  <c r="R565" i="26"/>
  <c r="R566" i="26"/>
  <c r="R567" i="26"/>
  <c r="R568" i="26"/>
  <c r="R569" i="26"/>
  <c r="R570" i="26"/>
  <c r="R571" i="26"/>
  <c r="R572" i="26"/>
  <c r="R573" i="26"/>
  <c r="R574" i="26"/>
  <c r="R575" i="26"/>
  <c r="R576" i="26"/>
  <c r="R577" i="26"/>
  <c r="R578" i="26"/>
  <c r="R579" i="26"/>
  <c r="R580" i="26"/>
  <c r="R581" i="26"/>
  <c r="R582" i="26"/>
  <c r="R583" i="26"/>
  <c r="R584" i="26"/>
  <c r="R585" i="26"/>
  <c r="R586" i="26"/>
  <c r="R587" i="26"/>
  <c r="R588" i="26"/>
  <c r="R76" i="26"/>
  <c r="R77" i="26"/>
  <c r="R78" i="26"/>
  <c r="R79" i="26"/>
  <c r="R80" i="26"/>
  <c r="R81" i="26"/>
  <c r="R82" i="26"/>
  <c r="R83" i="26"/>
  <c r="R84" i="26"/>
  <c r="R85" i="26"/>
  <c r="R86" i="26"/>
  <c r="R87" i="26"/>
  <c r="R88" i="26"/>
  <c r="R89" i="26"/>
  <c r="R90" i="26"/>
  <c r="R91" i="26"/>
  <c r="R92" i="26"/>
  <c r="R93" i="26"/>
  <c r="R94" i="26"/>
  <c r="R95" i="26"/>
  <c r="R96" i="26"/>
  <c r="R97" i="26"/>
  <c r="R98" i="26"/>
  <c r="R99" i="26"/>
  <c r="R100" i="26"/>
  <c r="R101" i="26"/>
  <c r="R102" i="26"/>
  <c r="R103" i="26"/>
  <c r="R104" i="26"/>
  <c r="R105" i="26"/>
  <c r="R106" i="26"/>
  <c r="R107" i="26"/>
  <c r="R108" i="26"/>
  <c r="R109" i="26"/>
  <c r="R110" i="26"/>
  <c r="R111" i="26"/>
  <c r="R112" i="26"/>
  <c r="R113" i="26"/>
  <c r="R114" i="26"/>
  <c r="R115" i="26"/>
  <c r="R116" i="26"/>
  <c r="R117" i="26"/>
  <c r="R118" i="26"/>
  <c r="R119" i="26"/>
  <c r="R120" i="26"/>
  <c r="R121" i="26"/>
  <c r="R122" i="26"/>
  <c r="R123" i="26"/>
  <c r="R124" i="26"/>
  <c r="R125" i="26"/>
  <c r="R126" i="26"/>
  <c r="R127" i="26"/>
  <c r="R128" i="26"/>
  <c r="R129" i="26"/>
  <c r="R130" i="26"/>
  <c r="R131" i="26"/>
  <c r="R132" i="26"/>
  <c r="R133" i="26"/>
  <c r="R134" i="26"/>
  <c r="R135" i="26"/>
  <c r="R136" i="26"/>
  <c r="R137" i="26"/>
  <c r="R138" i="26"/>
  <c r="R139" i="26"/>
  <c r="R140" i="26"/>
  <c r="R141" i="26"/>
  <c r="R142" i="26"/>
  <c r="R143" i="26"/>
  <c r="R144" i="26"/>
  <c r="R145" i="26"/>
  <c r="R146" i="26"/>
  <c r="R147" i="26"/>
  <c r="R148" i="26"/>
  <c r="R149" i="26"/>
  <c r="R150" i="26"/>
  <c r="R151" i="26"/>
  <c r="R152" i="26"/>
  <c r="R153" i="26"/>
  <c r="R154" i="26"/>
  <c r="R155" i="26"/>
  <c r="R156" i="26"/>
  <c r="R157" i="26"/>
  <c r="R158" i="26"/>
  <c r="R159" i="26"/>
  <c r="R160" i="26"/>
  <c r="R161" i="26"/>
  <c r="R162" i="26"/>
  <c r="R163" i="26"/>
  <c r="R164" i="26"/>
  <c r="R165" i="26"/>
  <c r="R166" i="26"/>
  <c r="R167" i="26"/>
  <c r="R168" i="26"/>
  <c r="R169" i="26"/>
  <c r="R170" i="26"/>
  <c r="R171" i="26"/>
  <c r="R172" i="26"/>
  <c r="R173" i="26"/>
  <c r="R174" i="26"/>
  <c r="R175" i="26"/>
  <c r="R176" i="26"/>
  <c r="R177" i="26"/>
  <c r="R178" i="26"/>
  <c r="R179" i="26"/>
  <c r="R180" i="26"/>
  <c r="R181" i="26"/>
  <c r="R182" i="26"/>
  <c r="R183" i="26"/>
  <c r="R184" i="26"/>
  <c r="R185" i="26"/>
  <c r="R186" i="26"/>
  <c r="R187" i="26"/>
  <c r="R188" i="26"/>
  <c r="R189" i="26"/>
  <c r="R190" i="26"/>
  <c r="R191" i="26"/>
  <c r="R192" i="26"/>
  <c r="R193" i="26"/>
  <c r="R194" i="26"/>
  <c r="R195" i="26"/>
  <c r="R196" i="26"/>
  <c r="R197" i="26"/>
  <c r="R198" i="26"/>
  <c r="R199" i="26"/>
  <c r="R200" i="26"/>
  <c r="R201" i="26"/>
  <c r="R202" i="26"/>
  <c r="R203" i="26"/>
  <c r="R204" i="26"/>
  <c r="R205" i="26"/>
  <c r="R206" i="26"/>
  <c r="R207" i="26"/>
  <c r="R208" i="26"/>
  <c r="R209" i="26"/>
  <c r="R210" i="26"/>
  <c r="R211" i="26"/>
  <c r="R212" i="26"/>
  <c r="R213" i="26"/>
  <c r="R214" i="26"/>
  <c r="R215" i="26"/>
  <c r="R216" i="26"/>
  <c r="R217" i="26"/>
  <c r="R218" i="26"/>
  <c r="R219" i="26"/>
  <c r="R220" i="26"/>
  <c r="R221" i="26"/>
  <c r="R222" i="26"/>
  <c r="R223" i="26"/>
  <c r="R224" i="26"/>
  <c r="R225" i="26"/>
  <c r="R226" i="26"/>
  <c r="R227" i="26"/>
  <c r="R228" i="26"/>
  <c r="R229" i="26"/>
  <c r="R230" i="26"/>
  <c r="R231" i="26"/>
  <c r="R232" i="26"/>
  <c r="R233" i="26"/>
  <c r="R234" i="26"/>
  <c r="R235" i="26"/>
  <c r="R236" i="26"/>
  <c r="R237" i="26"/>
  <c r="R238" i="26"/>
  <c r="R239" i="26"/>
  <c r="R240" i="26"/>
  <c r="R241" i="26"/>
  <c r="R242" i="26"/>
  <c r="R243" i="26"/>
  <c r="R244" i="26"/>
  <c r="R245" i="26"/>
  <c r="R246" i="26"/>
  <c r="R247" i="26"/>
  <c r="R248" i="26"/>
  <c r="R249" i="26"/>
  <c r="R250" i="26"/>
  <c r="R251" i="26"/>
  <c r="R252" i="26"/>
  <c r="R253" i="26"/>
  <c r="R254" i="26"/>
  <c r="R255" i="26"/>
  <c r="R256" i="26"/>
  <c r="R257" i="26"/>
  <c r="R258" i="26"/>
  <c r="R259" i="26"/>
  <c r="R260" i="26"/>
  <c r="R261" i="26"/>
  <c r="R262" i="26"/>
  <c r="R263" i="26"/>
  <c r="R264" i="26"/>
  <c r="R265" i="26"/>
  <c r="R266" i="26"/>
  <c r="R267" i="26"/>
  <c r="R268" i="26"/>
  <c r="R269" i="26"/>
  <c r="R270" i="26"/>
  <c r="R271" i="26"/>
  <c r="R272" i="26"/>
  <c r="R273" i="26"/>
  <c r="R274" i="26"/>
  <c r="R275" i="26"/>
  <c r="R276" i="26"/>
  <c r="R277" i="26"/>
  <c r="R278" i="26"/>
  <c r="R279" i="26"/>
  <c r="R280" i="26"/>
  <c r="R281" i="26"/>
  <c r="R282" i="26"/>
  <c r="R283" i="26"/>
  <c r="R284" i="26"/>
  <c r="R285" i="26"/>
  <c r="R286" i="26"/>
  <c r="R287" i="26"/>
  <c r="R288" i="26"/>
  <c r="R289" i="26"/>
  <c r="R290" i="26"/>
  <c r="R291" i="26"/>
  <c r="R292" i="26"/>
  <c r="R293" i="26"/>
  <c r="R294" i="26"/>
  <c r="R295" i="26"/>
  <c r="R296" i="26"/>
  <c r="R297" i="26"/>
  <c r="R298" i="26"/>
  <c r="R299" i="26"/>
  <c r="R300" i="26"/>
  <c r="R301" i="26"/>
  <c r="R302" i="26"/>
  <c r="R303" i="26"/>
  <c r="R304" i="26"/>
  <c r="R305" i="26"/>
  <c r="R306" i="26"/>
  <c r="R307" i="26"/>
  <c r="R308" i="26"/>
  <c r="R309" i="26"/>
  <c r="R310" i="26"/>
  <c r="R311" i="26"/>
  <c r="R312" i="26"/>
  <c r="R313" i="26"/>
  <c r="R314" i="26"/>
  <c r="R315" i="26"/>
  <c r="R316" i="26"/>
  <c r="R317" i="26"/>
  <c r="R318" i="26"/>
  <c r="R319" i="26"/>
  <c r="R320" i="26"/>
  <c r="R321" i="26"/>
  <c r="R322" i="26"/>
  <c r="R323" i="26"/>
  <c r="R324" i="26"/>
  <c r="R325" i="26"/>
  <c r="R326" i="26"/>
  <c r="R327" i="26"/>
  <c r="R328" i="26"/>
  <c r="R329" i="26"/>
  <c r="R330" i="26"/>
  <c r="R331" i="26"/>
  <c r="R332" i="26"/>
  <c r="R333" i="26"/>
  <c r="R334" i="26"/>
  <c r="R335" i="26"/>
  <c r="R336" i="26"/>
  <c r="R337" i="26"/>
  <c r="R338" i="26"/>
  <c r="R339" i="26"/>
  <c r="R340" i="26"/>
  <c r="R341" i="26"/>
  <c r="R342" i="26"/>
  <c r="R343" i="26"/>
  <c r="R344" i="26"/>
  <c r="R345" i="26"/>
  <c r="R346" i="26"/>
  <c r="R347" i="26"/>
  <c r="R348" i="26"/>
  <c r="R349" i="26"/>
  <c r="R350" i="26"/>
  <c r="R351" i="26"/>
  <c r="R352" i="26"/>
  <c r="R353" i="26"/>
  <c r="R354" i="26"/>
  <c r="R355" i="26"/>
  <c r="R356" i="26"/>
  <c r="R357" i="26"/>
  <c r="R358" i="26"/>
  <c r="R359" i="26"/>
  <c r="R360" i="26"/>
  <c r="R361" i="26"/>
  <c r="R362" i="26"/>
  <c r="R363" i="26"/>
  <c r="R364" i="26"/>
  <c r="R365" i="26"/>
  <c r="R366" i="26"/>
  <c r="R367" i="26"/>
  <c r="R368" i="26"/>
  <c r="R369" i="26"/>
  <c r="R370" i="26"/>
  <c r="R371" i="26"/>
  <c r="R372" i="26"/>
  <c r="R373" i="26"/>
  <c r="R374" i="26"/>
  <c r="R375" i="26"/>
  <c r="R376" i="26"/>
  <c r="R377" i="26"/>
  <c r="R378" i="26"/>
  <c r="R379" i="26"/>
  <c r="R380" i="26"/>
  <c r="R381" i="26"/>
  <c r="R382" i="26"/>
  <c r="R383" i="26"/>
  <c r="R384" i="26"/>
  <c r="R385" i="26"/>
  <c r="R386" i="26"/>
  <c r="R387" i="26"/>
  <c r="R388" i="26"/>
  <c r="R389" i="26"/>
  <c r="R390" i="26"/>
  <c r="R391" i="26"/>
  <c r="R392" i="26"/>
  <c r="R393" i="26"/>
  <c r="R394" i="26"/>
  <c r="R395" i="26"/>
  <c r="R396" i="26"/>
  <c r="R397" i="26"/>
  <c r="R398" i="26"/>
  <c r="R399" i="26"/>
  <c r="R400" i="26"/>
  <c r="R401" i="26"/>
  <c r="R402" i="26"/>
  <c r="R403" i="26"/>
  <c r="R404" i="26"/>
  <c r="R405" i="26"/>
  <c r="R406" i="26"/>
  <c r="R407" i="26"/>
  <c r="R408" i="26"/>
  <c r="R409" i="26"/>
  <c r="R410" i="26"/>
  <c r="R411" i="26"/>
  <c r="R412" i="26"/>
  <c r="R413" i="26"/>
  <c r="R414" i="26"/>
  <c r="R415" i="26"/>
  <c r="R416" i="26"/>
  <c r="R417" i="26"/>
  <c r="R418" i="26"/>
  <c r="R419" i="26"/>
  <c r="R420" i="26"/>
  <c r="R421" i="26"/>
  <c r="R422" i="26"/>
  <c r="R423" i="26"/>
  <c r="R424" i="26"/>
  <c r="R425" i="26"/>
  <c r="R426" i="26"/>
  <c r="R427" i="26"/>
  <c r="R428" i="26"/>
  <c r="R429" i="26"/>
  <c r="R430" i="26"/>
  <c r="R431" i="26"/>
  <c r="R432" i="26"/>
  <c r="R433" i="26"/>
  <c r="R434" i="26"/>
  <c r="R68" i="26"/>
  <c r="R69" i="26"/>
  <c r="R70" i="26"/>
  <c r="R71" i="26"/>
  <c r="R72" i="26"/>
  <c r="R73" i="26"/>
  <c r="R74" i="26"/>
  <c r="R75" i="26"/>
  <c r="ANV29" i="3"/>
  <c r="ANY29" i="3"/>
  <c r="J1502" i="26"/>
  <c r="J1501" i="26"/>
  <c r="J1500" i="26"/>
  <c r="J1499" i="26"/>
  <c r="J1498" i="26"/>
  <c r="J1497" i="26"/>
  <c r="J1496" i="26"/>
  <c r="J1495" i="26"/>
  <c r="J1494" i="26"/>
  <c r="J1493" i="26"/>
  <c r="J1492" i="26"/>
  <c r="J1491" i="26"/>
  <c r="J1490" i="26"/>
  <c r="J1489" i="26"/>
  <c r="J1488" i="26"/>
  <c r="J1487" i="26"/>
  <c r="J1486" i="26"/>
  <c r="J1485" i="26"/>
  <c r="J1484" i="26"/>
  <c r="J1483" i="26"/>
  <c r="J1482" i="26"/>
  <c r="J1481" i="26"/>
  <c r="J1480" i="26"/>
  <c r="J1479" i="26"/>
  <c r="J1478" i="26"/>
  <c r="J1477" i="26"/>
  <c r="J1476" i="26"/>
  <c r="J1475" i="26"/>
  <c r="J1474" i="26"/>
  <c r="J1473" i="26"/>
  <c r="J1472" i="26"/>
  <c r="J1471" i="26"/>
  <c r="J1470" i="26"/>
  <c r="J1469" i="26"/>
  <c r="J1468" i="26"/>
  <c r="J1467" i="26"/>
  <c r="J1466" i="26"/>
  <c r="J1465" i="26"/>
  <c r="J1464" i="26"/>
  <c r="J1463" i="26"/>
  <c r="J1462" i="26"/>
  <c r="J1461" i="26"/>
  <c r="J1460" i="26"/>
  <c r="J1459" i="26"/>
  <c r="J1458" i="26"/>
  <c r="J1457" i="26"/>
  <c r="J1456" i="26"/>
  <c r="J1455" i="26"/>
  <c r="J1454" i="26"/>
  <c r="J1453" i="26"/>
  <c r="I1502" i="26"/>
  <c r="I1501" i="26"/>
  <c r="I1500" i="26"/>
  <c r="I1499" i="26"/>
  <c r="I1498" i="26"/>
  <c r="I1497" i="26"/>
  <c r="I1496" i="26"/>
  <c r="I1495" i="26"/>
  <c r="I1494" i="26"/>
  <c r="I1493" i="26"/>
  <c r="I1492" i="26"/>
  <c r="I1491" i="26"/>
  <c r="I1490" i="26"/>
  <c r="I1489" i="26"/>
  <c r="I1488" i="26"/>
  <c r="I1487" i="26"/>
  <c r="I1486" i="26"/>
  <c r="I1485" i="26"/>
  <c r="I1484" i="26"/>
  <c r="I1483" i="26"/>
  <c r="I1482" i="26"/>
  <c r="I1481" i="26"/>
  <c r="I1480" i="26"/>
  <c r="I1479" i="26"/>
  <c r="I1478" i="26"/>
  <c r="I1477" i="26"/>
  <c r="I1476" i="26"/>
  <c r="I1475" i="26"/>
  <c r="I1474" i="26"/>
  <c r="I1473" i="26"/>
  <c r="I1472" i="26"/>
  <c r="I1471" i="26"/>
  <c r="I1470" i="26"/>
  <c r="I1469" i="26"/>
  <c r="I1468" i="26"/>
  <c r="I1467" i="26"/>
  <c r="I1466" i="26"/>
  <c r="I1465" i="26"/>
  <c r="I1464" i="26"/>
  <c r="I1463" i="26"/>
  <c r="I1462" i="26"/>
  <c r="I1461" i="26"/>
  <c r="I1460" i="26"/>
  <c r="I1459" i="26"/>
  <c r="I1458" i="26"/>
  <c r="I1457" i="26"/>
  <c r="I1456" i="26"/>
  <c r="I1455" i="26"/>
  <c r="I1454" i="26"/>
  <c r="I1453" i="26"/>
  <c r="H1502" i="26"/>
  <c r="H1501" i="26"/>
  <c r="H1500" i="26"/>
  <c r="H1499" i="26"/>
  <c r="H1498" i="26"/>
  <c r="H1497" i="26"/>
  <c r="H1496" i="26"/>
  <c r="H1495" i="26"/>
  <c r="H1494" i="26"/>
  <c r="H1493" i="26"/>
  <c r="H1492" i="26"/>
  <c r="H1491" i="26"/>
  <c r="H1490" i="26"/>
  <c r="H1489" i="26"/>
  <c r="H1488" i="26"/>
  <c r="H1487" i="26"/>
  <c r="H1486" i="26"/>
  <c r="H1485" i="26"/>
  <c r="H1484" i="26"/>
  <c r="H1483" i="26"/>
  <c r="H1482" i="26"/>
  <c r="H1481" i="26"/>
  <c r="H1480" i="26"/>
  <c r="H1479" i="26"/>
  <c r="H1478" i="26"/>
  <c r="H1477" i="26"/>
  <c r="H1476" i="26"/>
  <c r="H1475" i="26"/>
  <c r="H1474" i="26"/>
  <c r="H1473" i="26"/>
  <c r="H1472" i="26"/>
  <c r="H1471" i="26"/>
  <c r="H1470" i="26"/>
  <c r="H1469" i="26"/>
  <c r="H1468" i="26"/>
  <c r="H1467" i="26"/>
  <c r="H1466" i="26"/>
  <c r="H1465" i="26"/>
  <c r="H1464" i="26"/>
  <c r="H1463" i="26"/>
  <c r="H1462" i="26"/>
  <c r="H1461" i="26"/>
  <c r="H1460" i="26"/>
  <c r="H1459" i="26"/>
  <c r="H1458" i="26"/>
  <c r="H1457" i="26"/>
  <c r="H1456" i="26"/>
  <c r="H1455" i="26"/>
  <c r="H1454" i="26"/>
  <c r="H1453" i="26"/>
  <c r="G1502" i="26"/>
  <c r="G1501" i="26"/>
  <c r="G1500" i="26"/>
  <c r="G1499" i="26"/>
  <c r="G1498" i="26"/>
  <c r="G1497" i="26"/>
  <c r="G1496" i="26"/>
  <c r="G1495" i="26"/>
  <c r="G1494" i="26"/>
  <c r="G1493" i="26"/>
  <c r="G1492" i="26"/>
  <c r="G1491" i="26"/>
  <c r="G1490" i="26"/>
  <c r="G1489" i="26"/>
  <c r="G1488" i="26"/>
  <c r="G1487" i="26"/>
  <c r="G1486" i="26"/>
  <c r="G1485" i="26"/>
  <c r="G1484" i="26"/>
  <c r="G1483" i="26"/>
  <c r="G1482" i="26"/>
  <c r="G1481" i="26"/>
  <c r="G1480" i="26"/>
  <c r="G1479" i="26"/>
  <c r="G1478" i="26"/>
  <c r="G1477" i="26"/>
  <c r="G1476" i="26"/>
  <c r="G1475" i="26"/>
  <c r="G1474" i="26"/>
  <c r="G1473" i="26"/>
  <c r="G1472" i="26"/>
  <c r="G1471" i="26"/>
  <c r="G1470" i="26"/>
  <c r="G1469" i="26"/>
  <c r="G1468" i="26"/>
  <c r="G1467" i="26"/>
  <c r="G1466" i="26"/>
  <c r="G1465" i="26"/>
  <c r="G1464" i="26"/>
  <c r="G1463" i="26"/>
  <c r="G1462" i="26"/>
  <c r="G1461" i="26"/>
  <c r="G1460" i="26"/>
  <c r="G1459" i="26"/>
  <c r="G1458" i="26"/>
  <c r="G1457" i="26"/>
  <c r="G1456" i="26"/>
  <c r="G1455" i="26"/>
  <c r="G1454" i="26"/>
  <c r="G1453" i="26"/>
  <c r="F1502" i="26"/>
  <c r="F1501" i="26"/>
  <c r="F1500" i="26"/>
  <c r="F1499" i="26"/>
  <c r="F1498" i="26"/>
  <c r="F1497" i="26"/>
  <c r="F1496" i="26"/>
  <c r="F1495" i="26"/>
  <c r="F1494" i="26"/>
  <c r="F1493" i="26"/>
  <c r="F1492" i="26"/>
  <c r="F1491" i="26"/>
  <c r="F1490" i="26"/>
  <c r="F1489" i="26"/>
  <c r="F1488" i="26"/>
  <c r="F1487" i="26"/>
  <c r="F1486" i="26"/>
  <c r="F1485" i="26"/>
  <c r="F1484" i="26"/>
  <c r="F1483" i="26"/>
  <c r="F1482" i="26"/>
  <c r="F1481" i="26"/>
  <c r="F1480" i="26"/>
  <c r="F1479" i="26"/>
  <c r="F1478" i="26"/>
  <c r="F1477" i="26"/>
  <c r="F1476" i="26"/>
  <c r="F1475" i="26"/>
  <c r="F1474" i="26"/>
  <c r="F1473" i="26"/>
  <c r="F1472" i="26"/>
  <c r="F1471" i="26"/>
  <c r="F1470" i="26"/>
  <c r="F1469" i="26"/>
  <c r="F1468" i="26"/>
  <c r="F1467" i="26"/>
  <c r="F1466" i="26"/>
  <c r="F1465" i="26"/>
  <c r="F1464" i="26"/>
  <c r="F1463" i="26"/>
  <c r="F1462" i="26"/>
  <c r="F1461" i="26"/>
  <c r="F1460" i="26"/>
  <c r="F1459" i="26"/>
  <c r="F1458" i="26"/>
  <c r="F1457" i="26"/>
  <c r="F1456" i="26"/>
  <c r="F1455" i="26"/>
  <c r="F1454" i="26"/>
  <c r="F1453" i="26"/>
  <c r="E1502" i="26"/>
  <c r="E1501" i="26"/>
  <c r="E1500" i="26"/>
  <c r="E1499" i="26"/>
  <c r="E1498" i="26"/>
  <c r="E1497" i="26"/>
  <c r="E1496" i="26"/>
  <c r="E1495" i="26"/>
  <c r="E1494" i="26"/>
  <c r="E1493" i="26"/>
  <c r="E1492" i="26"/>
  <c r="E1491" i="26"/>
  <c r="E1490" i="26"/>
  <c r="E1489" i="26"/>
  <c r="E1488" i="26"/>
  <c r="E1487" i="26"/>
  <c r="E1486" i="26"/>
  <c r="E1485" i="26"/>
  <c r="E1484" i="26"/>
  <c r="E1483" i="26"/>
  <c r="E1482" i="26"/>
  <c r="E1481" i="26"/>
  <c r="E1480" i="26"/>
  <c r="E1479" i="26"/>
  <c r="E1478" i="26"/>
  <c r="E1477" i="26"/>
  <c r="E1476" i="26"/>
  <c r="E1475" i="26"/>
  <c r="E1474" i="26"/>
  <c r="E1473" i="26"/>
  <c r="E1472" i="26"/>
  <c r="E1471" i="26"/>
  <c r="E1470" i="26"/>
  <c r="E1469" i="26"/>
  <c r="E1468" i="26"/>
  <c r="E1467" i="26"/>
  <c r="E1466" i="26"/>
  <c r="E1465" i="26"/>
  <c r="E1464" i="26"/>
  <c r="E1463" i="26"/>
  <c r="E1462" i="26"/>
  <c r="E1461" i="26"/>
  <c r="E1460" i="26"/>
  <c r="E1459" i="26"/>
  <c r="E1458" i="26"/>
  <c r="E1457" i="26"/>
  <c r="E1456" i="26"/>
  <c r="E1455" i="26"/>
  <c r="E1454" i="26"/>
  <c r="E1453" i="26"/>
  <c r="D1502" i="26"/>
  <c r="D1501" i="26"/>
  <c r="D1500" i="26"/>
  <c r="D1499" i="26"/>
  <c r="D1498" i="26"/>
  <c r="D1497" i="26"/>
  <c r="D1496" i="26"/>
  <c r="D1495" i="26"/>
  <c r="D1494" i="26"/>
  <c r="D1493" i="26"/>
  <c r="D1492" i="26"/>
  <c r="D1491" i="26"/>
  <c r="D1490" i="26"/>
  <c r="D1489" i="26"/>
  <c r="D1488" i="26"/>
  <c r="D1487" i="26"/>
  <c r="D1486" i="26"/>
  <c r="D1485" i="26"/>
  <c r="D1484" i="26"/>
  <c r="D1483" i="26"/>
  <c r="D1482" i="26"/>
  <c r="D1481" i="26"/>
  <c r="D1480" i="26"/>
  <c r="D1479" i="26"/>
  <c r="D1478" i="26"/>
  <c r="D1477" i="26"/>
  <c r="D1476" i="26"/>
  <c r="D1475" i="26"/>
  <c r="D1474" i="26"/>
  <c r="D1473" i="26"/>
  <c r="D1472" i="26"/>
  <c r="D1471" i="26"/>
  <c r="D1470" i="26"/>
  <c r="D1469" i="26"/>
  <c r="D1468" i="26"/>
  <c r="D1467" i="26"/>
  <c r="D1466" i="26"/>
  <c r="D1465" i="26"/>
  <c r="D1464" i="26"/>
  <c r="D1463" i="26"/>
  <c r="D1462" i="26"/>
  <c r="D1461" i="26"/>
  <c r="D1460" i="26"/>
  <c r="D1459" i="26"/>
  <c r="D1458" i="26"/>
  <c r="D1457" i="26"/>
  <c r="D1456" i="26"/>
  <c r="D1455" i="26"/>
  <c r="D1454" i="26"/>
  <c r="D1453" i="26"/>
  <c r="ANS29" i="3"/>
  <c r="AMX29" i="3"/>
  <c r="ANA29" i="3"/>
  <c r="AND29" i="3"/>
  <c r="BC51" i="18"/>
  <c r="BC50" i="18"/>
  <c r="BC49" i="18"/>
  <c r="BC48" i="18"/>
  <c r="BC47" i="18"/>
  <c r="BC43" i="18"/>
  <c r="BC42" i="18"/>
  <c r="BC41" i="18"/>
  <c r="BC40" i="18"/>
  <c r="BC39" i="18"/>
  <c r="BC38" i="18"/>
  <c r="BC36" i="18"/>
  <c r="BC35" i="18"/>
  <c r="BC22" i="18"/>
  <c r="BC21" i="18"/>
  <c r="BC20" i="18"/>
  <c r="BC19" i="18"/>
  <c r="BC18" i="18"/>
  <c r="BC17" i="18"/>
  <c r="BC15" i="18"/>
  <c r="BC14" i="18"/>
  <c r="BC13" i="18"/>
  <c r="BC12" i="18"/>
  <c r="BC9" i="18"/>
  <c r="M114" i="6"/>
  <c r="J1407" i="26"/>
  <c r="J1408" i="26"/>
  <c r="J1409" i="26"/>
  <c r="J1410" i="26"/>
  <c r="J1411" i="26"/>
  <c r="J1412" i="26"/>
  <c r="J1413" i="26"/>
  <c r="J1414" i="26"/>
  <c r="J1415" i="26"/>
  <c r="J1416" i="26"/>
  <c r="J1417" i="26"/>
  <c r="J1418" i="26"/>
  <c r="J1419" i="26"/>
  <c r="J1420" i="26"/>
  <c r="J1421" i="26"/>
  <c r="J1422" i="26"/>
  <c r="J1423" i="26"/>
  <c r="J1424" i="26"/>
  <c r="J1425" i="26"/>
  <c r="J1426" i="26"/>
  <c r="J1427" i="26"/>
  <c r="J1428" i="26"/>
  <c r="J1429" i="26"/>
  <c r="J1430" i="26"/>
  <c r="J1431" i="26"/>
  <c r="J1432" i="26"/>
  <c r="J1433" i="26"/>
  <c r="J1434" i="26"/>
  <c r="J1435" i="26"/>
  <c r="J1436" i="26"/>
  <c r="J1437" i="26"/>
  <c r="J1438" i="26"/>
  <c r="J1439" i="26"/>
  <c r="J1440" i="26"/>
  <c r="J1441" i="26"/>
  <c r="J1442" i="26"/>
  <c r="J1443" i="26"/>
  <c r="J1444" i="26"/>
  <c r="J1445" i="26"/>
  <c r="J1446" i="26"/>
  <c r="J1447" i="26"/>
  <c r="J1448" i="26"/>
  <c r="J1449" i="26"/>
  <c r="J1450" i="26"/>
  <c r="J1451" i="26"/>
  <c r="J1452" i="26"/>
  <c r="I1407" i="26"/>
  <c r="I1408" i="26"/>
  <c r="I1409" i="26"/>
  <c r="I1410" i="26"/>
  <c r="I1411" i="26"/>
  <c r="I1412" i="26"/>
  <c r="I1413" i="26"/>
  <c r="I1414" i="26"/>
  <c r="I1415" i="26"/>
  <c r="I1416" i="26"/>
  <c r="I1417" i="26"/>
  <c r="I1418" i="26"/>
  <c r="I1419" i="26"/>
  <c r="I1420" i="26"/>
  <c r="I1421" i="26"/>
  <c r="I1422" i="26"/>
  <c r="I1423" i="26"/>
  <c r="I1424" i="26"/>
  <c r="I1425" i="26"/>
  <c r="I1426" i="26"/>
  <c r="I1427" i="26"/>
  <c r="I1428" i="26"/>
  <c r="I1429" i="26"/>
  <c r="I1430" i="26"/>
  <c r="I1431" i="26"/>
  <c r="I1432" i="26"/>
  <c r="I1433" i="26"/>
  <c r="I1434" i="26"/>
  <c r="I1435" i="26"/>
  <c r="I1436" i="26"/>
  <c r="I1437" i="26"/>
  <c r="I1438" i="26"/>
  <c r="I1439" i="26"/>
  <c r="I1440" i="26"/>
  <c r="I1441" i="26"/>
  <c r="I1442" i="26"/>
  <c r="I1443" i="26"/>
  <c r="I1444" i="26"/>
  <c r="I1445" i="26"/>
  <c r="I1446" i="26"/>
  <c r="I1447" i="26"/>
  <c r="I1448" i="26"/>
  <c r="I1449" i="26"/>
  <c r="I1450" i="26"/>
  <c r="I1451" i="26"/>
  <c r="I1452" i="26"/>
  <c r="H1407" i="26"/>
  <c r="H1408" i="26"/>
  <c r="H1409" i="26"/>
  <c r="H1410" i="26"/>
  <c r="H1411" i="26"/>
  <c r="H1412" i="26"/>
  <c r="H1413" i="26"/>
  <c r="H1414" i="26"/>
  <c r="H1415" i="26"/>
  <c r="H1416" i="26"/>
  <c r="H1417" i="26"/>
  <c r="H1418" i="26"/>
  <c r="H1419" i="26"/>
  <c r="H1420" i="26"/>
  <c r="H1421" i="26"/>
  <c r="H1422" i="26"/>
  <c r="H1423" i="26"/>
  <c r="H1424" i="26"/>
  <c r="H1425" i="26"/>
  <c r="H1426" i="26"/>
  <c r="H1427" i="26"/>
  <c r="H1428" i="26"/>
  <c r="H1429" i="26"/>
  <c r="H1430" i="26"/>
  <c r="H1431" i="26"/>
  <c r="H1432" i="26"/>
  <c r="H1433" i="26"/>
  <c r="H1434" i="26"/>
  <c r="H1435" i="26"/>
  <c r="H1436" i="26"/>
  <c r="H1437" i="26"/>
  <c r="H1438" i="26"/>
  <c r="H1439" i="26"/>
  <c r="H1440" i="26"/>
  <c r="H1441" i="26"/>
  <c r="H1442" i="26"/>
  <c r="H1443" i="26"/>
  <c r="H1444" i="26"/>
  <c r="H1445" i="26"/>
  <c r="H1446" i="26"/>
  <c r="H1447" i="26"/>
  <c r="H1448" i="26"/>
  <c r="H1449" i="26"/>
  <c r="H1450" i="26"/>
  <c r="H1451" i="26"/>
  <c r="H1452" i="26"/>
  <c r="G1407" i="26"/>
  <c r="G1408" i="26"/>
  <c r="G1409" i="26"/>
  <c r="G1410" i="26"/>
  <c r="G1411" i="26"/>
  <c r="G1412" i="26"/>
  <c r="G1413" i="26"/>
  <c r="G1414" i="26"/>
  <c r="G1415" i="26"/>
  <c r="G1416" i="26"/>
  <c r="G1417" i="26"/>
  <c r="G1418" i="26"/>
  <c r="G1419" i="26"/>
  <c r="G1420" i="26"/>
  <c r="G1421" i="26"/>
  <c r="G1422" i="26"/>
  <c r="G1423" i="26"/>
  <c r="G1424" i="26"/>
  <c r="G1425" i="26"/>
  <c r="G1426" i="26"/>
  <c r="G1427" i="26"/>
  <c r="G1428" i="26"/>
  <c r="G1429" i="26"/>
  <c r="G1430" i="26"/>
  <c r="G1431" i="26"/>
  <c r="G1432" i="26"/>
  <c r="G1433" i="26"/>
  <c r="G1434" i="26"/>
  <c r="G1435" i="26"/>
  <c r="G1436" i="26"/>
  <c r="G1437" i="26"/>
  <c r="G1438" i="26"/>
  <c r="G1439" i="26"/>
  <c r="G1440" i="26"/>
  <c r="G1441" i="26"/>
  <c r="G1442" i="26"/>
  <c r="G1443" i="26"/>
  <c r="G1444" i="26"/>
  <c r="G1445" i="26"/>
  <c r="G1446" i="26"/>
  <c r="G1447" i="26"/>
  <c r="G1448" i="26"/>
  <c r="G1449" i="26"/>
  <c r="G1450" i="26"/>
  <c r="G1451" i="26"/>
  <c r="G1452" i="26"/>
  <c r="F1407" i="26"/>
  <c r="F1408" i="26"/>
  <c r="F1409" i="26"/>
  <c r="F1410" i="26"/>
  <c r="F1411" i="26"/>
  <c r="F1412" i="26"/>
  <c r="F1413" i="26"/>
  <c r="F1414" i="26"/>
  <c r="F1415" i="26"/>
  <c r="F1416" i="26"/>
  <c r="F1417" i="26"/>
  <c r="F1418" i="26"/>
  <c r="F1419" i="26"/>
  <c r="F1420" i="26"/>
  <c r="F1421" i="26"/>
  <c r="F1422" i="26"/>
  <c r="F1423" i="26"/>
  <c r="F1424" i="26"/>
  <c r="F1425" i="26"/>
  <c r="F1426" i="26"/>
  <c r="F1427" i="26"/>
  <c r="F1428" i="26"/>
  <c r="F1429" i="26"/>
  <c r="F1430" i="26"/>
  <c r="F1431" i="26"/>
  <c r="F1432" i="26"/>
  <c r="F1433" i="26"/>
  <c r="F1434" i="26"/>
  <c r="F1435" i="26"/>
  <c r="F1436" i="26"/>
  <c r="F1437" i="26"/>
  <c r="F1438" i="26"/>
  <c r="F1439" i="26"/>
  <c r="F1440" i="26"/>
  <c r="F1441" i="26"/>
  <c r="F1442" i="26"/>
  <c r="F1443" i="26"/>
  <c r="F1444" i="26"/>
  <c r="F1445" i="26"/>
  <c r="F1446" i="26"/>
  <c r="F1447" i="26"/>
  <c r="F1448" i="26"/>
  <c r="F1449" i="26"/>
  <c r="F1450" i="26"/>
  <c r="F1451" i="26"/>
  <c r="F1452" i="26"/>
  <c r="E1407" i="26"/>
  <c r="E1408" i="26"/>
  <c r="E1409" i="26"/>
  <c r="E1410" i="26"/>
  <c r="E1411" i="26"/>
  <c r="E1412" i="26"/>
  <c r="E1413" i="26"/>
  <c r="E1414" i="26"/>
  <c r="E1415" i="26"/>
  <c r="E1416" i="26"/>
  <c r="E1417" i="26"/>
  <c r="E1418" i="26"/>
  <c r="E1419" i="26"/>
  <c r="E1420" i="26"/>
  <c r="E1421" i="26"/>
  <c r="E1422" i="26"/>
  <c r="E1423" i="26"/>
  <c r="E1424" i="26"/>
  <c r="E1425" i="26"/>
  <c r="E1426" i="26"/>
  <c r="E1427" i="26"/>
  <c r="E1428" i="26"/>
  <c r="E1429" i="26"/>
  <c r="E1430" i="26"/>
  <c r="E1431" i="26"/>
  <c r="E1432" i="26"/>
  <c r="E1433" i="26"/>
  <c r="E1434" i="26"/>
  <c r="E1435" i="26"/>
  <c r="E1436" i="26"/>
  <c r="E1437" i="26"/>
  <c r="E1438" i="26"/>
  <c r="E1439" i="26"/>
  <c r="E1440" i="26"/>
  <c r="E1441" i="26"/>
  <c r="E1442" i="26"/>
  <c r="E1443" i="26"/>
  <c r="E1444" i="26"/>
  <c r="E1445" i="26"/>
  <c r="E1446" i="26"/>
  <c r="E1447" i="26"/>
  <c r="E1448" i="26"/>
  <c r="E1449" i="26"/>
  <c r="E1450" i="26"/>
  <c r="E1451" i="26"/>
  <c r="E1452" i="26"/>
  <c r="D1407" i="26"/>
  <c r="D1408" i="26"/>
  <c r="D1409" i="26"/>
  <c r="D1410" i="26"/>
  <c r="D1411" i="26"/>
  <c r="D1412" i="26"/>
  <c r="D1413" i="26"/>
  <c r="D1414" i="26"/>
  <c r="D1415" i="26"/>
  <c r="D1416" i="26"/>
  <c r="D1417" i="26"/>
  <c r="D1418" i="26"/>
  <c r="D1419" i="26"/>
  <c r="D1420" i="26"/>
  <c r="D1421" i="26"/>
  <c r="D1422" i="26"/>
  <c r="D1423" i="26"/>
  <c r="D1424" i="26"/>
  <c r="D1425" i="26"/>
  <c r="D1426" i="26"/>
  <c r="D1427" i="26"/>
  <c r="D1428" i="26"/>
  <c r="D1429" i="26"/>
  <c r="D1430" i="26"/>
  <c r="D1431" i="26"/>
  <c r="D1432" i="26"/>
  <c r="D1433" i="26"/>
  <c r="D1434" i="26"/>
  <c r="D1435" i="26"/>
  <c r="D1436" i="26"/>
  <c r="D1437" i="26"/>
  <c r="D1438" i="26"/>
  <c r="D1439" i="26"/>
  <c r="D1440" i="26"/>
  <c r="D1441" i="26"/>
  <c r="D1442" i="26"/>
  <c r="D1443" i="26"/>
  <c r="D1444" i="26"/>
  <c r="D1445" i="26"/>
  <c r="D1446" i="26"/>
  <c r="D1447" i="26"/>
  <c r="D1448" i="26"/>
  <c r="D1449" i="26"/>
  <c r="D1450" i="26"/>
  <c r="D1451" i="26"/>
  <c r="D1452" i="26"/>
  <c r="ALZ29" i="3"/>
  <c r="AMC29" i="3"/>
  <c r="AMF29" i="3"/>
  <c r="AMI29" i="3"/>
  <c r="AM169" i="18"/>
  <c r="AM146" i="18"/>
  <c r="AM116" i="18"/>
  <c r="AM79" i="18"/>
  <c r="J1406" i="26"/>
  <c r="J1405" i="26"/>
  <c r="J1404" i="26"/>
  <c r="J1403" i="26"/>
  <c r="J1402" i="26"/>
  <c r="J1401" i="26"/>
  <c r="J1400" i="26"/>
  <c r="J1399" i="26"/>
  <c r="J1398" i="26"/>
  <c r="J1397" i="26"/>
  <c r="J1396" i="26"/>
  <c r="J1395" i="26"/>
  <c r="J1394" i="26"/>
  <c r="J1393" i="26"/>
  <c r="J1392" i="26"/>
  <c r="J1391" i="26"/>
  <c r="J1390" i="26"/>
  <c r="J1389" i="26"/>
  <c r="J1388" i="26"/>
  <c r="J1387" i="26"/>
  <c r="J1386" i="26"/>
  <c r="J1385" i="26"/>
  <c r="J1384" i="26"/>
  <c r="J1383" i="26"/>
  <c r="J1382" i="26"/>
  <c r="J1381" i="26"/>
  <c r="J1380" i="26"/>
  <c r="J1379" i="26"/>
  <c r="J1378" i="26"/>
  <c r="J1377" i="26"/>
  <c r="J1376" i="26"/>
  <c r="J1375" i="26"/>
  <c r="J1374" i="26"/>
  <c r="J1373" i="26"/>
  <c r="J1372" i="26"/>
  <c r="J1371" i="26"/>
  <c r="J1370" i="26"/>
  <c r="J1369" i="26"/>
  <c r="J1368" i="26"/>
  <c r="J1367" i="26"/>
  <c r="J1366" i="26"/>
  <c r="J1365" i="26"/>
  <c r="J1364" i="26"/>
  <c r="J1363" i="26"/>
  <c r="J1362" i="26"/>
  <c r="J1361" i="26"/>
  <c r="J1360" i="26"/>
  <c r="J1359" i="26"/>
  <c r="I1406" i="26"/>
  <c r="I1405" i="26"/>
  <c r="I1404" i="26"/>
  <c r="I1403" i="26"/>
  <c r="I1402" i="26"/>
  <c r="I1401" i="26"/>
  <c r="I1400" i="26"/>
  <c r="I1399" i="26"/>
  <c r="I1398" i="26"/>
  <c r="I1397" i="26"/>
  <c r="I1396" i="26"/>
  <c r="I1395" i="26"/>
  <c r="I1394" i="26"/>
  <c r="I1393" i="26"/>
  <c r="I1392" i="26"/>
  <c r="I1391" i="26"/>
  <c r="I1390" i="26"/>
  <c r="I1389" i="26"/>
  <c r="I1388" i="26"/>
  <c r="I1387" i="26"/>
  <c r="I1386" i="26"/>
  <c r="I1385" i="26"/>
  <c r="I1384" i="26"/>
  <c r="I1383" i="26"/>
  <c r="I1382" i="26"/>
  <c r="I1381" i="26"/>
  <c r="I1380" i="26"/>
  <c r="I1379" i="26"/>
  <c r="I1378" i="26"/>
  <c r="I1377" i="26"/>
  <c r="I1376" i="26"/>
  <c r="I1375" i="26"/>
  <c r="I1374" i="26"/>
  <c r="I1373" i="26"/>
  <c r="I1372" i="26"/>
  <c r="I1371" i="26"/>
  <c r="I1370" i="26"/>
  <c r="I1369" i="26"/>
  <c r="I1368" i="26"/>
  <c r="I1367" i="26"/>
  <c r="I1366" i="26"/>
  <c r="I1365" i="26"/>
  <c r="I1364" i="26"/>
  <c r="I1363" i="26"/>
  <c r="I1362" i="26"/>
  <c r="I1361" i="26"/>
  <c r="I1360" i="26"/>
  <c r="I1359" i="26"/>
  <c r="H1406" i="26"/>
  <c r="H1405" i="26"/>
  <c r="H1404" i="26"/>
  <c r="H1403" i="26"/>
  <c r="H1402" i="26"/>
  <c r="H1401" i="26"/>
  <c r="H1400" i="26"/>
  <c r="H1399" i="26"/>
  <c r="H1398" i="26"/>
  <c r="H1397" i="26"/>
  <c r="H1396" i="26"/>
  <c r="H1395" i="26"/>
  <c r="H1394" i="26"/>
  <c r="H1393" i="26"/>
  <c r="H1392" i="26"/>
  <c r="H1391" i="26"/>
  <c r="H1390" i="26"/>
  <c r="H1389" i="26"/>
  <c r="H1388" i="26"/>
  <c r="H1387" i="26"/>
  <c r="H1386" i="26"/>
  <c r="H1385" i="26"/>
  <c r="H1384" i="26"/>
  <c r="H1383" i="26"/>
  <c r="H1382" i="26"/>
  <c r="H1381" i="26"/>
  <c r="H1380" i="26"/>
  <c r="H1379" i="26"/>
  <c r="H1378" i="26"/>
  <c r="H1377" i="26"/>
  <c r="H1376" i="26"/>
  <c r="H1375" i="26"/>
  <c r="H1374" i="26"/>
  <c r="H1373" i="26"/>
  <c r="H1372" i="26"/>
  <c r="H1371" i="26"/>
  <c r="H1370" i="26"/>
  <c r="H1369" i="26"/>
  <c r="H1368" i="26"/>
  <c r="H1367" i="26"/>
  <c r="H1366" i="26"/>
  <c r="H1365" i="26"/>
  <c r="H1364" i="26"/>
  <c r="H1363" i="26"/>
  <c r="H1362" i="26"/>
  <c r="H1361" i="26"/>
  <c r="H1360" i="26"/>
  <c r="H1359" i="26"/>
  <c r="G1406" i="26"/>
  <c r="G1405" i="26"/>
  <c r="G1404" i="26"/>
  <c r="G1403" i="26"/>
  <c r="G1402" i="26"/>
  <c r="G1401" i="26"/>
  <c r="G1400" i="26"/>
  <c r="G1399" i="26"/>
  <c r="G1398" i="26"/>
  <c r="G1397" i="26"/>
  <c r="G1396" i="26"/>
  <c r="G1395" i="26"/>
  <c r="G1394" i="26"/>
  <c r="G1393" i="26"/>
  <c r="G1392" i="26"/>
  <c r="G1391" i="26"/>
  <c r="G1390" i="26"/>
  <c r="G1389" i="26"/>
  <c r="G1388" i="26"/>
  <c r="G1387" i="26"/>
  <c r="G1386" i="26"/>
  <c r="G1385" i="26"/>
  <c r="G1384" i="26"/>
  <c r="G1383" i="26"/>
  <c r="G1382" i="26"/>
  <c r="G1381" i="26"/>
  <c r="G1380" i="26"/>
  <c r="G1379" i="26"/>
  <c r="G1378" i="26"/>
  <c r="G1377" i="26"/>
  <c r="G1376" i="26"/>
  <c r="G1375" i="26"/>
  <c r="G1374" i="26"/>
  <c r="G1373" i="26"/>
  <c r="G1372" i="26"/>
  <c r="G1371" i="26"/>
  <c r="G1370" i="26"/>
  <c r="G1369" i="26"/>
  <c r="G1368" i="26"/>
  <c r="G1367" i="26"/>
  <c r="G1366" i="26"/>
  <c r="G1365" i="26"/>
  <c r="G1364" i="26"/>
  <c r="G1363" i="26"/>
  <c r="G1362" i="26"/>
  <c r="G1361" i="26"/>
  <c r="G1360" i="26"/>
  <c r="G1359" i="26"/>
  <c r="F1406" i="26"/>
  <c r="F1405" i="26"/>
  <c r="F1404" i="26"/>
  <c r="F1403" i="26"/>
  <c r="F1402" i="26"/>
  <c r="F1401" i="26"/>
  <c r="F1400" i="26"/>
  <c r="F1399" i="26"/>
  <c r="F1398" i="26"/>
  <c r="F1397" i="26"/>
  <c r="F1396" i="26"/>
  <c r="F1395" i="26"/>
  <c r="F1394" i="26"/>
  <c r="F1393" i="26"/>
  <c r="F1392" i="26"/>
  <c r="F1391" i="26"/>
  <c r="F1390" i="26"/>
  <c r="F1389" i="26"/>
  <c r="F1388" i="26"/>
  <c r="F1387" i="26"/>
  <c r="F1386" i="26"/>
  <c r="F1385" i="26"/>
  <c r="F1384" i="26"/>
  <c r="F1383" i="26"/>
  <c r="F1382" i="26"/>
  <c r="F1381" i="26"/>
  <c r="F1380" i="26"/>
  <c r="F1379" i="26"/>
  <c r="F1378" i="26"/>
  <c r="F1377" i="26"/>
  <c r="F1376" i="26"/>
  <c r="F1375" i="26"/>
  <c r="F1374" i="26"/>
  <c r="F1373" i="26"/>
  <c r="F1372" i="26"/>
  <c r="F1371" i="26"/>
  <c r="F1370" i="26"/>
  <c r="F1369" i="26"/>
  <c r="F1368" i="26"/>
  <c r="F1367" i="26"/>
  <c r="F1366" i="26"/>
  <c r="F1365" i="26"/>
  <c r="F1364" i="26"/>
  <c r="F1363" i="26"/>
  <c r="F1362" i="26"/>
  <c r="F1361" i="26"/>
  <c r="F1360" i="26"/>
  <c r="F1359" i="26"/>
  <c r="E1406" i="26"/>
  <c r="E1405" i="26"/>
  <c r="E1404" i="26"/>
  <c r="E1403" i="26"/>
  <c r="E1402" i="26"/>
  <c r="E1401" i="26"/>
  <c r="E1400" i="26"/>
  <c r="E1399" i="26"/>
  <c r="E1398" i="26"/>
  <c r="E1397" i="26"/>
  <c r="E1396" i="26"/>
  <c r="E1395" i="26"/>
  <c r="E1394" i="26"/>
  <c r="E1393" i="26"/>
  <c r="E1392" i="26"/>
  <c r="E1391" i="26"/>
  <c r="E1390" i="26"/>
  <c r="E1389" i="26"/>
  <c r="E1388" i="26"/>
  <c r="E1387" i="26"/>
  <c r="E1386" i="26"/>
  <c r="E1385" i="26"/>
  <c r="E1384" i="26"/>
  <c r="E1383" i="26"/>
  <c r="E1382" i="26"/>
  <c r="E1381" i="26"/>
  <c r="E1380" i="26"/>
  <c r="E1379" i="26"/>
  <c r="E1378" i="26"/>
  <c r="E1377" i="26"/>
  <c r="E1376" i="26"/>
  <c r="E1375" i="26"/>
  <c r="E1374" i="26"/>
  <c r="E1373" i="26"/>
  <c r="E1372" i="26"/>
  <c r="E1371" i="26"/>
  <c r="E1370" i="26"/>
  <c r="E1369" i="26"/>
  <c r="E1368" i="26"/>
  <c r="E1367" i="26"/>
  <c r="E1366" i="26"/>
  <c r="E1365" i="26"/>
  <c r="E1364" i="26"/>
  <c r="E1363" i="26"/>
  <c r="E1362" i="26"/>
  <c r="E1361" i="26"/>
  <c r="E1360" i="26"/>
  <c r="E1359" i="26"/>
  <c r="D1406" i="26"/>
  <c r="D1405" i="26"/>
  <c r="D1404" i="26"/>
  <c r="D1403" i="26"/>
  <c r="D1402" i="26"/>
  <c r="D1401" i="26"/>
  <c r="D1400" i="26"/>
  <c r="D1399" i="26"/>
  <c r="D1398" i="26"/>
  <c r="D1397" i="26"/>
  <c r="D1396" i="26"/>
  <c r="D1395" i="26"/>
  <c r="D1394" i="26"/>
  <c r="D1393" i="26"/>
  <c r="D1392" i="26"/>
  <c r="D1391" i="26"/>
  <c r="D1390" i="26"/>
  <c r="D1389" i="26"/>
  <c r="D1388" i="26"/>
  <c r="D1387" i="26"/>
  <c r="D1386" i="26"/>
  <c r="D1385" i="26"/>
  <c r="D1384" i="26"/>
  <c r="D1383" i="26"/>
  <c r="D1382" i="26"/>
  <c r="D1381" i="26"/>
  <c r="D1380" i="26"/>
  <c r="D1379" i="26"/>
  <c r="D1378" i="26"/>
  <c r="D1377" i="26"/>
  <c r="D1376" i="26"/>
  <c r="D1375" i="26"/>
  <c r="D1374" i="26"/>
  <c r="D1373" i="26"/>
  <c r="D1372" i="26"/>
  <c r="D1371" i="26"/>
  <c r="D1370" i="26"/>
  <c r="D1369" i="26"/>
  <c r="D1368" i="26"/>
  <c r="D1367" i="26"/>
  <c r="D1366" i="26"/>
  <c r="D1365" i="26"/>
  <c r="D1364" i="26"/>
  <c r="D1363" i="26"/>
  <c r="D1362" i="26"/>
  <c r="D1361" i="26"/>
  <c r="D1360" i="26"/>
  <c r="D1359" i="26"/>
  <c r="ALW34" i="3"/>
  <c r="AM202" i="18"/>
  <c r="CF31" i="20"/>
  <c r="CG31" i="20"/>
  <c r="CH31" i="20"/>
  <c r="CI31" i="20"/>
  <c r="CJ31" i="20"/>
  <c r="CK31" i="20"/>
  <c r="CN31" i="20"/>
  <c r="CO31" i="20"/>
  <c r="CP31" i="20"/>
  <c r="CQ31" i="20"/>
  <c r="CR31" i="20"/>
  <c r="CS31" i="20"/>
  <c r="CF33" i="20"/>
  <c r="CG33" i="20"/>
  <c r="CH33" i="20"/>
  <c r="CI33" i="20"/>
  <c r="CJ33" i="20"/>
  <c r="CK33" i="20"/>
  <c r="CN33" i="20"/>
  <c r="CO33" i="20"/>
  <c r="CP33" i="20"/>
  <c r="CQ33" i="20"/>
  <c r="CR33" i="20"/>
  <c r="CS33" i="20"/>
  <c r="CF35" i="20"/>
  <c r="CG35" i="20"/>
  <c r="CH35" i="20"/>
  <c r="CI35" i="20"/>
  <c r="CJ35" i="20"/>
  <c r="CK35" i="20"/>
  <c r="CN35" i="20"/>
  <c r="CO35" i="20"/>
  <c r="CP35" i="20"/>
  <c r="CQ35" i="20"/>
  <c r="CR35" i="20"/>
  <c r="CS35" i="20"/>
  <c r="CF37" i="20"/>
  <c r="CG37" i="20" s="1"/>
  <c r="CH37" i="20" s="1"/>
  <c r="CI37" i="20" s="1"/>
  <c r="CJ37" i="20" s="1"/>
  <c r="CN37" i="20"/>
  <c r="CO37" i="20" s="1"/>
  <c r="CP37" i="20" s="1"/>
  <c r="CQ37" i="20" s="1"/>
  <c r="CR37" i="20" s="1"/>
  <c r="APL61" i="3"/>
  <c r="API61" i="3"/>
  <c r="AQA29" i="3"/>
  <c r="APX29" i="3"/>
  <c r="APU29" i="3"/>
  <c r="APR29" i="3"/>
  <c r="APX6" i="3"/>
  <c r="APU6" i="3"/>
  <c r="APR6" i="3"/>
  <c r="APO6" i="3"/>
  <c r="APL6" i="3"/>
  <c r="API6" i="3"/>
  <c r="AQC5" i="3"/>
  <c r="AQB5" i="3" s="1"/>
  <c r="APT5" i="3"/>
  <c r="APS5" i="3" s="1"/>
  <c r="APN5" i="3"/>
  <c r="APM5" i="3" s="1"/>
  <c r="APF29" i="3"/>
  <c r="APC29" i="3"/>
  <c r="APF6" i="3"/>
  <c r="APC6" i="3"/>
  <c r="AOZ6" i="3"/>
  <c r="AOW6" i="3"/>
  <c r="AOT6" i="3"/>
  <c r="AOQ6" i="3"/>
  <c r="AON6" i="3"/>
  <c r="APH5" i="3"/>
  <c r="APG5" i="3" s="1"/>
  <c r="AOY5" i="3"/>
  <c r="AOX5" i="3" s="1"/>
  <c r="AOS5" i="3"/>
  <c r="AOR5" i="3" s="1"/>
  <c r="ANV61" i="3"/>
  <c r="AOK29" i="3"/>
  <c r="AOH29" i="3"/>
  <c r="AOE29" i="3"/>
  <c r="AOB29" i="3"/>
  <c r="AOK6" i="3"/>
  <c r="AOH6" i="3"/>
  <c r="AOE6" i="3"/>
  <c r="AOB6" i="3"/>
  <c r="ANY6" i="3"/>
  <c r="ANV6" i="3"/>
  <c r="ANS6" i="3"/>
  <c r="AOM5" i="3"/>
  <c r="AOL5" i="3" s="1"/>
  <c r="AOD5" i="3"/>
  <c r="AOC5" i="3" s="1"/>
  <c r="ANX5" i="3"/>
  <c r="ANW5" i="3" s="1"/>
  <c r="ANG29" i="3"/>
  <c r="ANJ29" i="3"/>
  <c r="ANM29" i="3"/>
  <c r="ANP29" i="3"/>
  <c r="ANC5" i="3"/>
  <c r="ANB5" i="3" s="1"/>
  <c r="ANI5" i="3"/>
  <c r="ANH5" i="3" s="1"/>
  <c r="ANR5" i="3"/>
  <c r="ANQ5" i="3" s="1"/>
  <c r="AMX6" i="3"/>
  <c r="ANA6" i="3"/>
  <c r="AND6" i="3"/>
  <c r="ANG6" i="3"/>
  <c r="ANJ6" i="3"/>
  <c r="ANM6" i="3"/>
  <c r="ANP6" i="3"/>
  <c r="AMF61" i="3"/>
  <c r="AMU29" i="3"/>
  <c r="AMR29" i="3"/>
  <c r="AMO29" i="3"/>
  <c r="AML29" i="3"/>
  <c r="AMU6" i="3"/>
  <c r="AMR6" i="3"/>
  <c r="AMO6" i="3"/>
  <c r="AML6" i="3"/>
  <c r="AMI6" i="3"/>
  <c r="AMF6" i="3"/>
  <c r="AMC6" i="3"/>
  <c r="AMW5" i="3"/>
  <c r="AMV5" i="3" s="1"/>
  <c r="AMN5" i="3"/>
  <c r="AMM5" i="3" s="1"/>
  <c r="AMH5" i="3"/>
  <c r="AMG5" i="3" s="1"/>
  <c r="J1311" i="26"/>
  <c r="J1312" i="26"/>
  <c r="J1313" i="26"/>
  <c r="J1314" i="26"/>
  <c r="J1315" i="26"/>
  <c r="J1316" i="26"/>
  <c r="J1317" i="26"/>
  <c r="J1318" i="26"/>
  <c r="J1319" i="26"/>
  <c r="J1320" i="26"/>
  <c r="J1321" i="26"/>
  <c r="J1322" i="26"/>
  <c r="J1323" i="26"/>
  <c r="J1324" i="26"/>
  <c r="J1325" i="26"/>
  <c r="J1326" i="26"/>
  <c r="J1327" i="26"/>
  <c r="J1328" i="26"/>
  <c r="J1329" i="26"/>
  <c r="J1330" i="26"/>
  <c r="J1331" i="26"/>
  <c r="J1332" i="26"/>
  <c r="J1333" i="26"/>
  <c r="J1334" i="26"/>
  <c r="J1335" i="26"/>
  <c r="J1336" i="26"/>
  <c r="J1337" i="26"/>
  <c r="J1338" i="26"/>
  <c r="J1339" i="26"/>
  <c r="J1340" i="26"/>
  <c r="J1341" i="26"/>
  <c r="J1342" i="26"/>
  <c r="J1343" i="26"/>
  <c r="J1344" i="26"/>
  <c r="J1345" i="26"/>
  <c r="J1346" i="26"/>
  <c r="J1347" i="26"/>
  <c r="J1348" i="26"/>
  <c r="J1349" i="26"/>
  <c r="J1350" i="26"/>
  <c r="J1351" i="26"/>
  <c r="J1352" i="26"/>
  <c r="J1353" i="26"/>
  <c r="J1354" i="26"/>
  <c r="J1355" i="26"/>
  <c r="J1356" i="26"/>
  <c r="J1357" i="26"/>
  <c r="J1358" i="26"/>
  <c r="I1311" i="26"/>
  <c r="I1312" i="26"/>
  <c r="I1313" i="26"/>
  <c r="I1314" i="26"/>
  <c r="I1315" i="26"/>
  <c r="I1316" i="26"/>
  <c r="I1317" i="26"/>
  <c r="I1318" i="26"/>
  <c r="I1319" i="26"/>
  <c r="I1320" i="26"/>
  <c r="I1321" i="26"/>
  <c r="I1322" i="26"/>
  <c r="I1323" i="26"/>
  <c r="I1324" i="26"/>
  <c r="I1325" i="26"/>
  <c r="I1326" i="26"/>
  <c r="I1327" i="26"/>
  <c r="I1328" i="26"/>
  <c r="I1329" i="26"/>
  <c r="I1330" i="26"/>
  <c r="I1331" i="26"/>
  <c r="I1332" i="26"/>
  <c r="I1333" i="26"/>
  <c r="I1334" i="26"/>
  <c r="I1335" i="26"/>
  <c r="I1336" i="26"/>
  <c r="I1337" i="26"/>
  <c r="I1338" i="26"/>
  <c r="I1339" i="26"/>
  <c r="I1340" i="26"/>
  <c r="I1341" i="26"/>
  <c r="I1342" i="26"/>
  <c r="I1343" i="26"/>
  <c r="I1344" i="26"/>
  <c r="I1345" i="26"/>
  <c r="I1346" i="26"/>
  <c r="I1347" i="26"/>
  <c r="I1348" i="26"/>
  <c r="I1349" i="26"/>
  <c r="I1350" i="26"/>
  <c r="I1351" i="26"/>
  <c r="I1352" i="26"/>
  <c r="I1353" i="26"/>
  <c r="I1354" i="26"/>
  <c r="I1355" i="26"/>
  <c r="I1356" i="26"/>
  <c r="I1357" i="26"/>
  <c r="I1358"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G1311" i="26"/>
  <c r="G1312" i="26"/>
  <c r="G1313" i="26"/>
  <c r="G1314" i="26"/>
  <c r="G1315" i="26"/>
  <c r="G1316" i="26"/>
  <c r="G1317" i="26"/>
  <c r="G1318" i="26"/>
  <c r="G1319" i="26"/>
  <c r="G1320" i="26"/>
  <c r="G1321" i="26"/>
  <c r="G1322" i="26"/>
  <c r="G1323" i="26"/>
  <c r="G1324" i="26"/>
  <c r="G1325" i="26"/>
  <c r="G1326" i="26"/>
  <c r="G1327" i="26"/>
  <c r="G1328" i="26"/>
  <c r="G1329" i="26"/>
  <c r="G1330" i="26"/>
  <c r="G1331" i="26"/>
  <c r="G1332" i="26"/>
  <c r="G1333" i="26"/>
  <c r="G1334" i="26"/>
  <c r="G1335" i="26"/>
  <c r="G1336" i="26"/>
  <c r="G1337" i="26"/>
  <c r="G1338" i="26"/>
  <c r="G1339" i="26"/>
  <c r="G1340" i="26"/>
  <c r="G1341" i="26"/>
  <c r="G1342" i="26"/>
  <c r="G1343" i="26"/>
  <c r="G1344" i="26"/>
  <c r="G1345" i="26"/>
  <c r="G1346" i="26"/>
  <c r="G1347" i="26"/>
  <c r="G1348" i="26"/>
  <c r="G1349" i="26"/>
  <c r="G1350" i="26"/>
  <c r="G1351" i="26"/>
  <c r="G1352" i="26"/>
  <c r="G1353" i="26"/>
  <c r="G1354" i="26"/>
  <c r="G1355" i="26"/>
  <c r="G1356" i="26"/>
  <c r="G1357" i="26"/>
  <c r="G1358" i="26"/>
  <c r="F1311" i="26"/>
  <c r="F1312" i="26"/>
  <c r="F1313" i="26"/>
  <c r="F1314" i="26"/>
  <c r="F1315" i="26"/>
  <c r="F1316" i="26"/>
  <c r="F1317" i="26"/>
  <c r="F1318" i="26"/>
  <c r="F1319" i="26"/>
  <c r="F1320" i="26"/>
  <c r="F1321" i="26"/>
  <c r="F1322" i="26"/>
  <c r="F1323" i="26"/>
  <c r="F1324" i="26"/>
  <c r="F1325" i="26"/>
  <c r="F1326" i="26"/>
  <c r="F1327" i="26"/>
  <c r="F1328" i="26"/>
  <c r="F1329" i="26"/>
  <c r="F1330" i="26"/>
  <c r="F1331" i="26"/>
  <c r="F1332" i="26"/>
  <c r="F1333" i="26"/>
  <c r="F1334" i="26"/>
  <c r="F1335" i="26"/>
  <c r="F1336" i="26"/>
  <c r="F1337" i="26"/>
  <c r="F1338" i="26"/>
  <c r="F1339" i="26"/>
  <c r="F1340" i="26"/>
  <c r="F1341" i="26"/>
  <c r="F1342" i="26"/>
  <c r="F1343" i="26"/>
  <c r="F1344" i="26"/>
  <c r="F1345" i="26"/>
  <c r="F1346" i="26"/>
  <c r="F1347" i="26"/>
  <c r="F1348" i="26"/>
  <c r="F1349" i="26"/>
  <c r="F1350" i="26"/>
  <c r="F1351" i="26"/>
  <c r="F1352" i="26"/>
  <c r="F1353" i="26"/>
  <c r="F1354" i="26"/>
  <c r="F1355" i="26"/>
  <c r="F1356" i="26"/>
  <c r="F1357" i="26"/>
  <c r="F1358" i="26"/>
  <c r="E1311" i="26"/>
  <c r="E1312" i="26"/>
  <c r="E1313" i="26"/>
  <c r="E1314" i="26"/>
  <c r="E1315" i="26"/>
  <c r="E1316" i="26"/>
  <c r="E1317" i="26"/>
  <c r="E1318" i="26"/>
  <c r="E1319" i="26"/>
  <c r="E1320" i="26"/>
  <c r="E1321" i="26"/>
  <c r="E1322" i="26"/>
  <c r="E1323" i="26"/>
  <c r="E1324" i="26"/>
  <c r="E1325" i="26"/>
  <c r="E1326" i="26"/>
  <c r="E1327" i="26"/>
  <c r="E1328" i="26"/>
  <c r="E1329" i="26"/>
  <c r="E1330" i="26"/>
  <c r="E1331" i="26"/>
  <c r="E1332" i="26"/>
  <c r="E1333" i="26"/>
  <c r="E1334" i="26"/>
  <c r="E1335" i="26"/>
  <c r="E1336" i="26"/>
  <c r="E1337" i="26"/>
  <c r="E1338" i="26"/>
  <c r="E1339" i="26"/>
  <c r="E1340" i="26"/>
  <c r="E1341" i="26"/>
  <c r="E1342" i="26"/>
  <c r="E1343" i="26"/>
  <c r="E1344" i="26"/>
  <c r="E1345" i="26"/>
  <c r="E1346" i="26"/>
  <c r="E1347" i="26"/>
  <c r="E1348" i="26"/>
  <c r="E1349" i="26"/>
  <c r="E1350" i="26"/>
  <c r="E1351" i="26"/>
  <c r="E1352" i="26"/>
  <c r="E1353" i="26"/>
  <c r="E1354" i="26"/>
  <c r="E1355" i="26"/>
  <c r="E1356" i="26"/>
  <c r="E1357" i="26"/>
  <c r="E1358" i="26"/>
  <c r="D1311" i="26"/>
  <c r="D1312" i="26"/>
  <c r="D1313" i="26"/>
  <c r="D1314" i="26"/>
  <c r="D1315" i="26"/>
  <c r="D1316" i="26"/>
  <c r="D1317" i="26"/>
  <c r="D1318" i="26"/>
  <c r="D1319" i="26"/>
  <c r="D1320" i="26"/>
  <c r="D1321" i="26"/>
  <c r="D1322" i="26"/>
  <c r="D1323" i="26"/>
  <c r="D1324" i="26"/>
  <c r="D1325" i="26"/>
  <c r="D1326" i="26"/>
  <c r="D1327" i="26"/>
  <c r="D1328" i="26"/>
  <c r="D1329" i="26"/>
  <c r="D1330" i="26"/>
  <c r="D1331" i="26"/>
  <c r="D1332" i="26"/>
  <c r="D1333" i="26"/>
  <c r="D1334" i="26"/>
  <c r="D1335" i="26"/>
  <c r="D1336" i="26"/>
  <c r="D1337" i="26"/>
  <c r="D1338" i="26"/>
  <c r="D1339" i="26"/>
  <c r="D1340" i="26"/>
  <c r="D1341" i="26"/>
  <c r="D1342" i="26"/>
  <c r="D1343" i="26"/>
  <c r="D1344" i="26"/>
  <c r="D1345" i="26"/>
  <c r="D1346" i="26"/>
  <c r="D1347" i="26"/>
  <c r="D1348" i="26"/>
  <c r="D1349" i="26"/>
  <c r="D1350" i="26"/>
  <c r="D1351" i="26"/>
  <c r="D1352" i="26"/>
  <c r="D1353" i="26"/>
  <c r="D1354" i="26"/>
  <c r="D1355" i="26"/>
  <c r="D1356" i="26"/>
  <c r="D1357" i="26"/>
  <c r="D1358" i="26"/>
  <c r="J1310" i="26"/>
  <c r="I1310" i="26"/>
  <c r="H1310" i="26"/>
  <c r="G1310" i="26"/>
  <c r="F1310" i="26"/>
  <c r="E1310" i="26"/>
  <c r="D1310" i="26"/>
  <c r="ALK34" i="3"/>
  <c r="ALH34" i="3"/>
  <c r="ALE34" i="3"/>
  <c r="ALB34" i="3"/>
  <c r="AKP34" i="3"/>
  <c r="AKM34" i="3"/>
  <c r="J1309" i="26"/>
  <c r="J1308" i="26"/>
  <c r="J1307" i="26"/>
  <c r="J1306" i="26"/>
  <c r="J1305" i="26"/>
  <c r="J1304" i="26"/>
  <c r="J1303" i="26"/>
  <c r="J1302" i="26"/>
  <c r="J1301" i="26"/>
  <c r="J1300" i="26"/>
  <c r="J1299" i="26"/>
  <c r="J1298" i="26"/>
  <c r="J1297" i="26"/>
  <c r="J1296" i="26"/>
  <c r="J1295" i="26"/>
  <c r="J1294" i="26"/>
  <c r="J1293" i="26"/>
  <c r="J1292" i="26"/>
  <c r="J1291" i="26"/>
  <c r="J1290" i="26"/>
  <c r="J1289" i="26"/>
  <c r="J1288" i="26"/>
  <c r="J1287" i="26"/>
  <c r="J1286" i="26"/>
  <c r="J1285" i="26"/>
  <c r="J1284" i="26"/>
  <c r="J1283" i="26"/>
  <c r="J1282" i="26"/>
  <c r="J1281" i="26"/>
  <c r="J1280" i="26"/>
  <c r="J1279" i="26"/>
  <c r="J1278" i="26"/>
  <c r="J1277" i="26"/>
  <c r="J1276" i="26"/>
  <c r="J1275" i="26"/>
  <c r="J1274" i="26"/>
  <c r="J1273" i="26"/>
  <c r="J1272" i="26"/>
  <c r="J1271" i="26"/>
  <c r="J1270" i="26"/>
  <c r="J1269" i="26"/>
  <c r="J1268" i="26"/>
  <c r="J1267" i="26"/>
  <c r="J1266" i="26"/>
  <c r="J1265" i="26"/>
  <c r="J1264" i="26"/>
  <c r="J1263" i="26"/>
  <c r="J1262" i="26"/>
  <c r="J1261" i="26"/>
  <c r="J1260" i="26"/>
  <c r="J1259" i="26"/>
  <c r="J1258" i="26"/>
  <c r="J1257" i="26"/>
  <c r="J1256" i="26"/>
  <c r="J1255" i="26"/>
  <c r="J1254" i="26"/>
  <c r="J1253"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I1254" i="26"/>
  <c r="I1253" i="26"/>
  <c r="H1309" i="26"/>
  <c r="H1308" i="26"/>
  <c r="H1307" i="26"/>
  <c r="H1306" i="26"/>
  <c r="H1305" i="26"/>
  <c r="H1304" i="26"/>
  <c r="H1303" i="26"/>
  <c r="H1302" i="26"/>
  <c r="H1301" i="26"/>
  <c r="H1300" i="26"/>
  <c r="H1299" i="26"/>
  <c r="H1298" i="26"/>
  <c r="H1297" i="26"/>
  <c r="H1296" i="26"/>
  <c r="H1295" i="26"/>
  <c r="H1294" i="26"/>
  <c r="H1293" i="26"/>
  <c r="H1292" i="26"/>
  <c r="H1291" i="26"/>
  <c r="H1290" i="26"/>
  <c r="H1289" i="26"/>
  <c r="H1288" i="26"/>
  <c r="H1287" i="26"/>
  <c r="H1286" i="26"/>
  <c r="H1285" i="26"/>
  <c r="H1284" i="26"/>
  <c r="H1283" i="26"/>
  <c r="H1282" i="26"/>
  <c r="H1281" i="26"/>
  <c r="H1280" i="26"/>
  <c r="H1279" i="26"/>
  <c r="H1278" i="26"/>
  <c r="H1277" i="26"/>
  <c r="H1276" i="26"/>
  <c r="H1275" i="26"/>
  <c r="H1274" i="26"/>
  <c r="H1273" i="26"/>
  <c r="H1272" i="26"/>
  <c r="H1271" i="26"/>
  <c r="H1270" i="26"/>
  <c r="H1269" i="26"/>
  <c r="H1268" i="26"/>
  <c r="H1267" i="26"/>
  <c r="H1266" i="26"/>
  <c r="H1265" i="26"/>
  <c r="H1264" i="26"/>
  <c r="H1263" i="26"/>
  <c r="H1262" i="26"/>
  <c r="H1261" i="26"/>
  <c r="H1260" i="26"/>
  <c r="H1259" i="26"/>
  <c r="H1258" i="26"/>
  <c r="H1257" i="26"/>
  <c r="H1256" i="26"/>
  <c r="H1255" i="26"/>
  <c r="H1254" i="26"/>
  <c r="H1253" i="26"/>
  <c r="G1309" i="26"/>
  <c r="G1308" i="26"/>
  <c r="G1307" i="26"/>
  <c r="G1306" i="26"/>
  <c r="G1305" i="26"/>
  <c r="G1304" i="26"/>
  <c r="G1303" i="26"/>
  <c r="G1302" i="26"/>
  <c r="G1301" i="26"/>
  <c r="G1300" i="26"/>
  <c r="G1299" i="26"/>
  <c r="G1298" i="26"/>
  <c r="G1297" i="26"/>
  <c r="G1296" i="26"/>
  <c r="G1295" i="26"/>
  <c r="G1294" i="26"/>
  <c r="G1293" i="26"/>
  <c r="G1292" i="26"/>
  <c r="G1291" i="26"/>
  <c r="G1290" i="26"/>
  <c r="G1289" i="26"/>
  <c r="G1288" i="26"/>
  <c r="G1287" i="26"/>
  <c r="G1286" i="26"/>
  <c r="G1285" i="26"/>
  <c r="G1284" i="26"/>
  <c r="G1283" i="26"/>
  <c r="G1282" i="26"/>
  <c r="G1281" i="26"/>
  <c r="G1280" i="26"/>
  <c r="G1279" i="26"/>
  <c r="G1278" i="26"/>
  <c r="G1277" i="26"/>
  <c r="G1276" i="26"/>
  <c r="G1275" i="26"/>
  <c r="G1274" i="26"/>
  <c r="G1273" i="26"/>
  <c r="G1272" i="26"/>
  <c r="G1271" i="26"/>
  <c r="G1270" i="26"/>
  <c r="G1269" i="26"/>
  <c r="G1268" i="26"/>
  <c r="G1267" i="26"/>
  <c r="G1266" i="26"/>
  <c r="G1265" i="26"/>
  <c r="G1264" i="26"/>
  <c r="G1263" i="26"/>
  <c r="G1262" i="26"/>
  <c r="G1261" i="26"/>
  <c r="G1260" i="26"/>
  <c r="G1259" i="26"/>
  <c r="G1258" i="26"/>
  <c r="G1257" i="26"/>
  <c r="G1256" i="26"/>
  <c r="G1255" i="26"/>
  <c r="G1254" i="26"/>
  <c r="G1253" i="26"/>
  <c r="F1309" i="26"/>
  <c r="F1308" i="26"/>
  <c r="F1307" i="26"/>
  <c r="F1306" i="26"/>
  <c r="F1305" i="26"/>
  <c r="F1304" i="26"/>
  <c r="F1303" i="26"/>
  <c r="F1302" i="26"/>
  <c r="F1301" i="26"/>
  <c r="F1300" i="26"/>
  <c r="F1299" i="26"/>
  <c r="F1298" i="26"/>
  <c r="F1297" i="26"/>
  <c r="F1296" i="26"/>
  <c r="F1295" i="26"/>
  <c r="F1294" i="26"/>
  <c r="F1293" i="26"/>
  <c r="F1292" i="26"/>
  <c r="F1291" i="26"/>
  <c r="F1290" i="26"/>
  <c r="F1289" i="26"/>
  <c r="F1288" i="26"/>
  <c r="F1287" i="26"/>
  <c r="F1286" i="26"/>
  <c r="F1285" i="26"/>
  <c r="F1284" i="26"/>
  <c r="F1283" i="26"/>
  <c r="F1282" i="26"/>
  <c r="F1281" i="26"/>
  <c r="F1280" i="26"/>
  <c r="F1279" i="26"/>
  <c r="F1278" i="26"/>
  <c r="F1277" i="26"/>
  <c r="F1276" i="26"/>
  <c r="F1275" i="26"/>
  <c r="F1274" i="26"/>
  <c r="F1273" i="26"/>
  <c r="F1272" i="26"/>
  <c r="F1271" i="26"/>
  <c r="F1270" i="26"/>
  <c r="F1269" i="26"/>
  <c r="F1268" i="26"/>
  <c r="F1267" i="26"/>
  <c r="F1266" i="26"/>
  <c r="F1265" i="26"/>
  <c r="F1264" i="26"/>
  <c r="F1263" i="26"/>
  <c r="F1262" i="26"/>
  <c r="F1261" i="26"/>
  <c r="F1260" i="26"/>
  <c r="F1259" i="26"/>
  <c r="F1258" i="26"/>
  <c r="F1257" i="26"/>
  <c r="F1256" i="26"/>
  <c r="F1255" i="26"/>
  <c r="F1254" i="26"/>
  <c r="F1253" i="26"/>
  <c r="E1309" i="26"/>
  <c r="E1308" i="26"/>
  <c r="E1307" i="26"/>
  <c r="E1306" i="26"/>
  <c r="E1305" i="26"/>
  <c r="E1304" i="26"/>
  <c r="E1303" i="26"/>
  <c r="E1302" i="26"/>
  <c r="E1301" i="26"/>
  <c r="E1300" i="26"/>
  <c r="E1299" i="26"/>
  <c r="E1298" i="26"/>
  <c r="E1297" i="26"/>
  <c r="E1296" i="26"/>
  <c r="E1295" i="26"/>
  <c r="E1294" i="26"/>
  <c r="E1293" i="26"/>
  <c r="E1292" i="26"/>
  <c r="E1291" i="26"/>
  <c r="E1290" i="26"/>
  <c r="E1289" i="26"/>
  <c r="E1288" i="26"/>
  <c r="E1287" i="26"/>
  <c r="E1286" i="26"/>
  <c r="E1285" i="26"/>
  <c r="E1284" i="26"/>
  <c r="E1283" i="26"/>
  <c r="E1282" i="26"/>
  <c r="E1281" i="26"/>
  <c r="E1280" i="26"/>
  <c r="E1279" i="26"/>
  <c r="E1278" i="26"/>
  <c r="E1277" i="26"/>
  <c r="E1276" i="26"/>
  <c r="E1275" i="26"/>
  <c r="E1274" i="26"/>
  <c r="E1273" i="26"/>
  <c r="E1272" i="26"/>
  <c r="E1271" i="26"/>
  <c r="E1270" i="26"/>
  <c r="E1269" i="26"/>
  <c r="E1268" i="26"/>
  <c r="E1267" i="26"/>
  <c r="E1266" i="26"/>
  <c r="E1265" i="26"/>
  <c r="E1264" i="26"/>
  <c r="E1263" i="26"/>
  <c r="E1262" i="26"/>
  <c r="E1261" i="26"/>
  <c r="E1260" i="26"/>
  <c r="E1259" i="26"/>
  <c r="E1258" i="26"/>
  <c r="E1257" i="26"/>
  <c r="E1256" i="26"/>
  <c r="E1255" i="26"/>
  <c r="E1254" i="26"/>
  <c r="E1253" i="26"/>
  <c r="D1309" i="26"/>
  <c r="D1308" i="26"/>
  <c r="D1307" i="26"/>
  <c r="D1306" i="26"/>
  <c r="D1305" i="26"/>
  <c r="D1304" i="26"/>
  <c r="D1303" i="26"/>
  <c r="D1302" i="26"/>
  <c r="D1301" i="26"/>
  <c r="D1300" i="26"/>
  <c r="D1299" i="26"/>
  <c r="D1298" i="26"/>
  <c r="D1297" i="26"/>
  <c r="D1296" i="26"/>
  <c r="D1295" i="26"/>
  <c r="D1294" i="26"/>
  <c r="D1293" i="26"/>
  <c r="D1292" i="26"/>
  <c r="D1291" i="26"/>
  <c r="D1290" i="26"/>
  <c r="D1289" i="26"/>
  <c r="D1288" i="26"/>
  <c r="D1287" i="26"/>
  <c r="D1286" i="26"/>
  <c r="D1285" i="26"/>
  <c r="D1284" i="26"/>
  <c r="D1283" i="26"/>
  <c r="D1282" i="26"/>
  <c r="D1281" i="26"/>
  <c r="D1280" i="26"/>
  <c r="D1279" i="26"/>
  <c r="D1278" i="26"/>
  <c r="D1277" i="26"/>
  <c r="D1276" i="26"/>
  <c r="D1275" i="26"/>
  <c r="D1274" i="26"/>
  <c r="D1273" i="26"/>
  <c r="D1272" i="26"/>
  <c r="D1271" i="26"/>
  <c r="D1270" i="26"/>
  <c r="D1269" i="26"/>
  <c r="D1268" i="26"/>
  <c r="D1267" i="26"/>
  <c r="D1266" i="26"/>
  <c r="D1265" i="26"/>
  <c r="D1264" i="26"/>
  <c r="D1263" i="26"/>
  <c r="D1262" i="26"/>
  <c r="D1261" i="26"/>
  <c r="D1260" i="26"/>
  <c r="D1259" i="26"/>
  <c r="D1258" i="26"/>
  <c r="D1257" i="26"/>
  <c r="D1256" i="26"/>
  <c r="D1255" i="26"/>
  <c r="D1254" i="26"/>
  <c r="D1253" i="26"/>
  <c r="AL202" i="18"/>
  <c r="AKJ34" i="3"/>
  <c r="AKG34" i="3"/>
  <c r="AK202" i="18"/>
  <c r="AJU34" i="3"/>
  <c r="AJX34" i="3"/>
  <c r="M86" i="6"/>
  <c r="K1299" i="26" s="1"/>
  <c r="M3" i="6"/>
  <c r="M61" i="6"/>
  <c r="M63" i="6"/>
  <c r="M104" i="6"/>
  <c r="M84" i="6"/>
  <c r="K1491" i="26" s="1"/>
  <c r="AJC34" i="3"/>
  <c r="AIZ34" i="3"/>
  <c r="M107" i="6"/>
  <c r="K1298" i="26" s="1"/>
  <c r="M106" i="6"/>
  <c r="M105" i="6"/>
  <c r="M88" i="6"/>
  <c r="M70" i="6"/>
  <c r="M60" i="6"/>
  <c r="M53" i="6"/>
  <c r="K1295" i="26" s="1"/>
  <c r="M50" i="6"/>
  <c r="M48" i="6"/>
  <c r="M43" i="6"/>
  <c r="AL169" i="18"/>
  <c r="AL146" i="18"/>
  <c r="AL116" i="18"/>
  <c r="AL79" i="18"/>
  <c r="K1243" i="26"/>
  <c r="K1242" i="26"/>
  <c r="J1252" i="26"/>
  <c r="J1251" i="26"/>
  <c r="J1250" i="26"/>
  <c r="J1249" i="26"/>
  <c r="J1248" i="26"/>
  <c r="J1247" i="26"/>
  <c r="J1246" i="26"/>
  <c r="J1245" i="26"/>
  <c r="J1244" i="26"/>
  <c r="J1243" i="26"/>
  <c r="J1242" i="26"/>
  <c r="J1241" i="26"/>
  <c r="J1240" i="26"/>
  <c r="J1239" i="26"/>
  <c r="J1238" i="26"/>
  <c r="J1237" i="26"/>
  <c r="J1236" i="26"/>
  <c r="J1235" i="26"/>
  <c r="J1234" i="26"/>
  <c r="J1233" i="26"/>
  <c r="J1232" i="26"/>
  <c r="J1231" i="26"/>
  <c r="J1230" i="26"/>
  <c r="J1229" i="26"/>
  <c r="J1228" i="26"/>
  <c r="J1227" i="26"/>
  <c r="J1226" i="26"/>
  <c r="J1225" i="26"/>
  <c r="J1224" i="26"/>
  <c r="J1223" i="26"/>
  <c r="J1222" i="26"/>
  <c r="J1221" i="26"/>
  <c r="J1220" i="26"/>
  <c r="J1219" i="26"/>
  <c r="J1218" i="26"/>
  <c r="J1217" i="26"/>
  <c r="J1216" i="26"/>
  <c r="J1215" i="26"/>
  <c r="J1214" i="26"/>
  <c r="J1213" i="26"/>
  <c r="J1212" i="26"/>
  <c r="J1211" i="26"/>
  <c r="J1210" i="26"/>
  <c r="J1209" i="26"/>
  <c r="J1208" i="26"/>
  <c r="J1207" i="26"/>
  <c r="J1206" i="26"/>
  <c r="J1205" i="26"/>
  <c r="J1204" i="26"/>
  <c r="J1203" i="26"/>
  <c r="J1202" i="26"/>
  <c r="J1201" i="26"/>
  <c r="J1200" i="26"/>
  <c r="J1199"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H1252" i="26"/>
  <c r="H1251" i="26"/>
  <c r="H1250" i="26"/>
  <c r="H1249" i="26"/>
  <c r="H1248" i="26"/>
  <c r="H1247" i="26"/>
  <c r="H1246" i="26"/>
  <c r="H1245" i="26"/>
  <c r="H1244" i="26"/>
  <c r="H1243" i="26"/>
  <c r="H1242" i="26"/>
  <c r="H1241" i="26"/>
  <c r="H1240" i="26"/>
  <c r="H1239" i="26"/>
  <c r="H1238" i="26"/>
  <c r="H1237" i="26"/>
  <c r="H1236" i="26"/>
  <c r="H1235" i="26"/>
  <c r="H1234" i="26"/>
  <c r="H1233" i="26"/>
  <c r="H1232" i="26"/>
  <c r="H1231" i="26"/>
  <c r="H1230" i="26"/>
  <c r="H1229" i="26"/>
  <c r="H1228" i="26"/>
  <c r="H1227" i="26"/>
  <c r="H1226" i="26"/>
  <c r="H1225" i="26"/>
  <c r="H1224" i="26"/>
  <c r="H1223" i="26"/>
  <c r="H1222" i="26"/>
  <c r="H1221" i="26"/>
  <c r="H1220" i="26"/>
  <c r="H1219" i="26"/>
  <c r="H1218" i="26"/>
  <c r="H1217" i="26"/>
  <c r="H1216" i="26"/>
  <c r="H1215" i="26"/>
  <c r="H1214" i="26"/>
  <c r="H1213" i="26"/>
  <c r="H1212" i="26"/>
  <c r="H1211" i="26"/>
  <c r="H1210" i="26"/>
  <c r="H1209" i="26"/>
  <c r="H1208" i="26"/>
  <c r="H1207" i="26"/>
  <c r="H1206" i="26"/>
  <c r="H1205" i="26"/>
  <c r="H1204" i="26"/>
  <c r="H1203" i="26"/>
  <c r="H1202" i="26"/>
  <c r="H1201" i="26"/>
  <c r="H1200" i="26"/>
  <c r="H1199" i="26"/>
  <c r="G1252" i="26"/>
  <c r="G1251" i="26"/>
  <c r="G1250" i="26"/>
  <c r="G1249" i="26"/>
  <c r="G1248" i="26"/>
  <c r="G1247" i="26"/>
  <c r="G1246" i="26"/>
  <c r="G1245" i="26"/>
  <c r="G1244" i="26"/>
  <c r="G1243" i="26"/>
  <c r="G1242" i="26"/>
  <c r="G1241" i="26"/>
  <c r="G1240" i="26"/>
  <c r="G1239" i="26"/>
  <c r="G1238" i="26"/>
  <c r="G1237" i="26"/>
  <c r="G1236" i="26"/>
  <c r="G1235" i="26"/>
  <c r="G1234" i="26"/>
  <c r="G1233" i="26"/>
  <c r="G1232" i="26"/>
  <c r="G1231" i="26"/>
  <c r="G1230" i="26"/>
  <c r="G1229" i="26"/>
  <c r="G1228" i="26"/>
  <c r="G1227" i="26"/>
  <c r="G1226" i="26"/>
  <c r="G1225" i="26"/>
  <c r="G1224" i="26"/>
  <c r="G1223" i="26"/>
  <c r="G1222" i="26"/>
  <c r="G1221" i="26"/>
  <c r="G1220" i="26"/>
  <c r="G1219" i="26"/>
  <c r="G1218" i="26"/>
  <c r="G1217" i="26"/>
  <c r="G1216" i="26"/>
  <c r="G1215" i="26"/>
  <c r="G1214" i="26"/>
  <c r="G1213" i="26"/>
  <c r="G1212" i="26"/>
  <c r="G1211" i="26"/>
  <c r="G1210" i="26"/>
  <c r="G1209" i="26"/>
  <c r="G1208" i="26"/>
  <c r="G1207" i="26"/>
  <c r="G1206" i="26"/>
  <c r="G1205" i="26"/>
  <c r="G1204" i="26"/>
  <c r="G1203" i="26"/>
  <c r="G1202" i="26"/>
  <c r="G1201" i="26"/>
  <c r="G1200" i="26"/>
  <c r="G1199" i="26"/>
  <c r="F1252" i="26"/>
  <c r="F1251" i="26"/>
  <c r="F1250" i="26"/>
  <c r="F1249" i="26"/>
  <c r="F1248" i="26"/>
  <c r="F1247" i="26"/>
  <c r="F1246" i="26"/>
  <c r="F1245" i="26"/>
  <c r="F1244" i="26"/>
  <c r="F1243" i="26"/>
  <c r="F1242" i="26"/>
  <c r="F1241" i="26"/>
  <c r="F1240" i="26"/>
  <c r="F1239" i="26"/>
  <c r="F1238" i="26"/>
  <c r="F1237" i="26"/>
  <c r="F1236" i="26"/>
  <c r="F1235" i="26"/>
  <c r="F1234" i="26"/>
  <c r="F1233" i="26"/>
  <c r="F1232" i="26"/>
  <c r="F1231" i="26"/>
  <c r="F1230" i="26"/>
  <c r="F1229" i="26"/>
  <c r="F1228" i="26"/>
  <c r="F1227" i="26"/>
  <c r="F1226" i="26"/>
  <c r="F1225" i="26"/>
  <c r="F1224" i="26"/>
  <c r="F1223" i="26"/>
  <c r="F1222" i="26"/>
  <c r="F1221" i="26"/>
  <c r="F1220" i="26"/>
  <c r="F1219" i="26"/>
  <c r="F1218" i="26"/>
  <c r="F1217" i="26"/>
  <c r="F1216" i="26"/>
  <c r="F1215" i="26"/>
  <c r="F1214" i="26"/>
  <c r="F1213" i="26"/>
  <c r="F1212" i="26"/>
  <c r="F1211" i="26"/>
  <c r="F1210" i="26"/>
  <c r="F1209" i="26"/>
  <c r="F1208" i="26"/>
  <c r="F1207" i="26"/>
  <c r="F1206" i="26"/>
  <c r="F1205" i="26"/>
  <c r="F1204" i="26"/>
  <c r="F1203" i="26"/>
  <c r="F1202" i="26"/>
  <c r="F1201" i="26"/>
  <c r="F1200" i="26"/>
  <c r="F1199" i="26"/>
  <c r="E1252" i="26"/>
  <c r="E1251" i="26"/>
  <c r="E1250" i="26"/>
  <c r="E1249" i="26"/>
  <c r="E1248" i="26"/>
  <c r="E1247" i="26"/>
  <c r="E1246" i="26"/>
  <c r="E1245" i="26"/>
  <c r="E1244" i="26"/>
  <c r="E1243" i="26"/>
  <c r="E1242" i="26"/>
  <c r="E1241" i="26"/>
  <c r="E1240" i="26"/>
  <c r="E1239" i="26"/>
  <c r="E1238" i="26"/>
  <c r="E1237" i="26"/>
  <c r="E1236" i="26"/>
  <c r="E1235" i="26"/>
  <c r="E1234" i="26"/>
  <c r="E1233" i="26"/>
  <c r="E1232" i="26"/>
  <c r="E1231" i="26"/>
  <c r="E1230" i="26"/>
  <c r="E1229" i="26"/>
  <c r="E1228" i="26"/>
  <c r="E1227" i="26"/>
  <c r="E1226" i="26"/>
  <c r="E1225" i="26"/>
  <c r="E1224" i="26"/>
  <c r="E1223" i="26"/>
  <c r="E1222" i="26"/>
  <c r="E1221" i="26"/>
  <c r="E1220" i="26"/>
  <c r="E1219" i="26"/>
  <c r="E1218" i="26"/>
  <c r="E1217" i="26"/>
  <c r="E1216" i="26"/>
  <c r="E1215" i="26"/>
  <c r="E1214" i="26"/>
  <c r="E1213" i="26"/>
  <c r="E1212" i="26"/>
  <c r="E1211" i="26"/>
  <c r="E1210" i="26"/>
  <c r="E1209" i="26"/>
  <c r="E1208" i="26"/>
  <c r="E1207" i="26"/>
  <c r="E1206" i="26"/>
  <c r="E1205" i="26"/>
  <c r="E1204" i="26"/>
  <c r="E1203" i="26"/>
  <c r="E1202" i="26"/>
  <c r="E1201" i="26"/>
  <c r="E1200" i="26"/>
  <c r="E1199" i="26"/>
  <c r="D1252" i="26"/>
  <c r="D1251" i="26"/>
  <c r="D1250" i="26"/>
  <c r="D1249" i="26"/>
  <c r="D1248" i="26"/>
  <c r="D1247" i="26"/>
  <c r="D1246" i="26"/>
  <c r="D1245" i="26"/>
  <c r="D1244" i="26"/>
  <c r="D1243" i="26"/>
  <c r="D1242" i="26"/>
  <c r="D1241" i="26"/>
  <c r="D1240" i="26"/>
  <c r="D1239" i="26"/>
  <c r="D1238" i="26"/>
  <c r="D1237" i="26"/>
  <c r="D1236" i="26"/>
  <c r="D1235" i="26"/>
  <c r="D1234" i="26"/>
  <c r="D1233" i="26"/>
  <c r="D1232" i="26"/>
  <c r="D1231" i="26"/>
  <c r="D1230" i="26"/>
  <c r="D1229" i="26"/>
  <c r="D1228" i="26"/>
  <c r="D1227" i="26"/>
  <c r="D1226" i="26"/>
  <c r="D1225" i="26"/>
  <c r="D1224" i="26"/>
  <c r="D1223" i="26"/>
  <c r="D1222" i="26"/>
  <c r="D1221" i="26"/>
  <c r="D1220" i="26"/>
  <c r="D1219" i="26"/>
  <c r="D1218" i="26"/>
  <c r="D1217" i="26"/>
  <c r="D1216" i="26"/>
  <c r="D1215" i="26"/>
  <c r="D1214" i="26"/>
  <c r="D1213" i="26"/>
  <c r="D1212" i="26"/>
  <c r="D1211" i="26"/>
  <c r="D1210" i="26"/>
  <c r="D1209" i="26"/>
  <c r="D1208" i="26"/>
  <c r="D1207" i="26"/>
  <c r="D1206" i="26"/>
  <c r="D1205" i="26"/>
  <c r="D1204" i="26"/>
  <c r="D1203" i="26"/>
  <c r="D1202" i="26"/>
  <c r="D1201" i="26"/>
  <c r="D1200" i="26"/>
  <c r="D1199" i="26"/>
  <c r="AJR34" i="3"/>
  <c r="CJ20" i="20"/>
  <c r="CR23" i="20"/>
  <c r="AO4" i="18" s="1"/>
  <c r="CR20" i="20"/>
  <c r="CN15" i="20"/>
  <c r="CO15" i="20" s="1"/>
  <c r="CP15" i="20" s="1"/>
  <c r="CQ15" i="20" s="1"/>
  <c r="CR15" i="20" s="1"/>
  <c r="CN13" i="20"/>
  <c r="CO13" i="20" s="1"/>
  <c r="CP13" i="20" s="1"/>
  <c r="CQ13" i="20" s="1"/>
  <c r="CR13" i="20" s="1"/>
  <c r="CS13" i="20" s="1"/>
  <c r="CN11" i="20"/>
  <c r="CO11" i="20" s="1"/>
  <c r="CP11" i="20" s="1"/>
  <c r="CQ11" i="20" s="1"/>
  <c r="CR11" i="20" s="1"/>
  <c r="CS11" i="20" s="1"/>
  <c r="CN9" i="20"/>
  <c r="CO9" i="20" s="1"/>
  <c r="CP9" i="20" s="1"/>
  <c r="CQ9" i="20" s="1"/>
  <c r="CR9" i="20" s="1"/>
  <c r="CS9" i="20" s="1"/>
  <c r="CS7" i="20"/>
  <c r="CJ23" i="20"/>
  <c r="AN4" i="18" s="1"/>
  <c r="CF15" i="20"/>
  <c r="CG15" i="20" s="1"/>
  <c r="CH15" i="20" s="1"/>
  <c r="CI15" i="20" s="1"/>
  <c r="CJ15" i="20" s="1"/>
  <c r="CF13" i="20"/>
  <c r="CG13" i="20" s="1"/>
  <c r="CH13" i="20" s="1"/>
  <c r="CI13" i="20" s="1"/>
  <c r="CJ13" i="20" s="1"/>
  <c r="CK13" i="20" s="1"/>
  <c r="CF11" i="20"/>
  <c r="CG11" i="20" s="1"/>
  <c r="CH11" i="20" s="1"/>
  <c r="CI11" i="20" s="1"/>
  <c r="CJ11" i="20" s="1"/>
  <c r="CK11" i="20" s="1"/>
  <c r="CF9" i="20"/>
  <c r="CG9" i="20" s="1"/>
  <c r="CH9" i="20" s="1"/>
  <c r="CI9" i="20" s="1"/>
  <c r="CJ9" i="20" s="1"/>
  <c r="CK9" i="20" s="1"/>
  <c r="CH7" i="20"/>
  <c r="CI7" i="20" s="1"/>
  <c r="CJ7" i="20" s="1"/>
  <c r="CK7" i="20" s="1"/>
  <c r="AL10" i="18"/>
  <c r="AL16" i="18"/>
  <c r="BC16" i="18" s="1"/>
  <c r="AJL34" i="3"/>
  <c r="AJO34" i="3"/>
  <c r="AGL54" i="3"/>
  <c r="AL196" i="18"/>
  <c r="AJF34" i="3"/>
  <c r="J102" i="26"/>
  <c r="M111" i="6"/>
  <c r="M112" i="6"/>
  <c r="K1301" i="26" s="1"/>
  <c r="M113" i="6"/>
  <c r="M110" i="6"/>
  <c r="M99" i="6"/>
  <c r="K1398" i="26" s="1"/>
  <c r="AIW34" i="3"/>
  <c r="K1197" i="26"/>
  <c r="K1195" i="26"/>
  <c r="K1192" i="26"/>
  <c r="J1198" i="26"/>
  <c r="J1197" i="26"/>
  <c r="J1196" i="26"/>
  <c r="J1195" i="26"/>
  <c r="J1194" i="26"/>
  <c r="J1193" i="26"/>
  <c r="J1192" i="26"/>
  <c r="J1191" i="26"/>
  <c r="J1190" i="26"/>
  <c r="J1189" i="26"/>
  <c r="J1188" i="26"/>
  <c r="J1187" i="26"/>
  <c r="J1186" i="26"/>
  <c r="J1185" i="26"/>
  <c r="J1184" i="26"/>
  <c r="J1183" i="26"/>
  <c r="J1182" i="26"/>
  <c r="J1181" i="26"/>
  <c r="J1180" i="26"/>
  <c r="J1179" i="26"/>
  <c r="J1178" i="26"/>
  <c r="J1177" i="26"/>
  <c r="J1176" i="26"/>
  <c r="J1175" i="26"/>
  <c r="J1174" i="26"/>
  <c r="J1173" i="26"/>
  <c r="J1172" i="26"/>
  <c r="J1171" i="26"/>
  <c r="J1170" i="26"/>
  <c r="J1169" i="26"/>
  <c r="J1168" i="26"/>
  <c r="J1167" i="26"/>
  <c r="J1166" i="26"/>
  <c r="J1165" i="26"/>
  <c r="J1164" i="26"/>
  <c r="J1163" i="26"/>
  <c r="J1162" i="26"/>
  <c r="J1161" i="26"/>
  <c r="J1160" i="26"/>
  <c r="J1159" i="26"/>
  <c r="J1158" i="26"/>
  <c r="J1157" i="26"/>
  <c r="J1156" i="26"/>
  <c r="J1155" i="26"/>
  <c r="J1154" i="26"/>
  <c r="J1153" i="26"/>
  <c r="J1152" i="26"/>
  <c r="J1151" i="26"/>
  <c r="J1150" i="26"/>
  <c r="J1149" i="26"/>
  <c r="J1148" i="26"/>
  <c r="J1147" i="26"/>
  <c r="J1146" i="26"/>
  <c r="J1145" i="26"/>
  <c r="I1198" i="26"/>
  <c r="I1197" i="26"/>
  <c r="I1196" i="26"/>
  <c r="I1195" i="26"/>
  <c r="I1194" i="26"/>
  <c r="I1193" i="26"/>
  <c r="I1192" i="26"/>
  <c r="I1191" i="26"/>
  <c r="I1190" i="26"/>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H1198" i="26"/>
  <c r="H1197" i="26"/>
  <c r="H1196" i="26"/>
  <c r="H1195" i="26"/>
  <c r="H1194" i="26"/>
  <c r="H1193" i="26"/>
  <c r="H1192" i="26"/>
  <c r="H1191" i="26"/>
  <c r="H1190" i="26"/>
  <c r="H1189" i="26"/>
  <c r="H1188" i="26"/>
  <c r="H1187" i="26"/>
  <c r="H1186" i="26"/>
  <c r="H1185" i="26"/>
  <c r="H1184" i="26"/>
  <c r="H1183" i="26"/>
  <c r="H1182" i="26"/>
  <c r="H1181" i="26"/>
  <c r="H1180" i="26"/>
  <c r="H1179" i="26"/>
  <c r="H1178" i="26"/>
  <c r="H1177" i="26"/>
  <c r="H1176" i="26"/>
  <c r="H1175" i="26"/>
  <c r="H1174" i="26"/>
  <c r="H1173" i="26"/>
  <c r="H1172" i="26"/>
  <c r="H1171" i="26"/>
  <c r="H1170" i="26"/>
  <c r="H1169" i="26"/>
  <c r="H1168" i="26"/>
  <c r="H1167" i="26"/>
  <c r="H1166" i="26"/>
  <c r="H1165" i="26"/>
  <c r="H1164" i="26"/>
  <c r="H1163" i="26"/>
  <c r="H1162" i="26"/>
  <c r="H1161" i="26"/>
  <c r="H1160" i="26"/>
  <c r="H1159" i="26"/>
  <c r="H1158" i="26"/>
  <c r="H1157" i="26"/>
  <c r="H1156" i="26"/>
  <c r="H1155" i="26"/>
  <c r="H1154" i="26"/>
  <c r="H1153" i="26"/>
  <c r="H1152" i="26"/>
  <c r="H1151" i="26"/>
  <c r="H1150" i="26"/>
  <c r="H1149" i="26"/>
  <c r="H1148" i="26"/>
  <c r="H1147" i="26"/>
  <c r="H1146" i="26"/>
  <c r="H1145" i="26"/>
  <c r="G1198" i="26"/>
  <c r="G1197" i="26"/>
  <c r="G1196" i="26"/>
  <c r="G1195" i="26"/>
  <c r="G1194" i="26"/>
  <c r="G1193" i="26"/>
  <c r="G1192" i="26"/>
  <c r="G1191" i="26"/>
  <c r="G1190" i="26"/>
  <c r="G1189" i="26"/>
  <c r="G1188" i="26"/>
  <c r="G1187" i="26"/>
  <c r="G1186" i="26"/>
  <c r="G1185" i="26"/>
  <c r="G1184" i="26"/>
  <c r="G1183" i="26"/>
  <c r="G1182" i="26"/>
  <c r="G1181" i="26"/>
  <c r="G1180" i="26"/>
  <c r="G1179" i="26"/>
  <c r="G1178" i="26"/>
  <c r="G1177" i="26"/>
  <c r="G1176" i="26"/>
  <c r="G1175" i="26"/>
  <c r="G1174" i="26"/>
  <c r="G1173" i="26"/>
  <c r="G1172" i="26"/>
  <c r="G1171" i="26"/>
  <c r="G1170" i="26"/>
  <c r="G1169" i="26"/>
  <c r="G1168" i="26"/>
  <c r="G1167" i="26"/>
  <c r="G1166" i="26"/>
  <c r="G1165" i="26"/>
  <c r="G1164" i="26"/>
  <c r="G1163" i="26"/>
  <c r="G1162" i="26"/>
  <c r="G1161" i="26"/>
  <c r="G1160" i="26"/>
  <c r="G1159" i="26"/>
  <c r="G1158" i="26"/>
  <c r="G1157" i="26"/>
  <c r="G1156" i="26"/>
  <c r="G1155" i="26"/>
  <c r="G1154" i="26"/>
  <c r="G1153" i="26"/>
  <c r="G1152" i="26"/>
  <c r="G1151" i="26"/>
  <c r="G1150" i="26"/>
  <c r="G1149" i="26"/>
  <c r="G1148" i="26"/>
  <c r="G1147" i="26"/>
  <c r="G1146" i="26"/>
  <c r="G1145" i="26"/>
  <c r="F1198" i="26"/>
  <c r="F1197" i="26"/>
  <c r="F1196" i="26"/>
  <c r="F1195" i="26"/>
  <c r="F1194" i="26"/>
  <c r="F1193" i="26"/>
  <c r="F1192" i="26"/>
  <c r="F1191" i="26"/>
  <c r="F1190" i="26"/>
  <c r="F1189" i="26"/>
  <c r="F1188" i="26"/>
  <c r="F1187" i="26"/>
  <c r="F1186" i="26"/>
  <c r="F1185" i="26"/>
  <c r="F1184" i="26"/>
  <c r="F1183" i="26"/>
  <c r="F1182" i="26"/>
  <c r="F1181" i="26"/>
  <c r="F1180" i="26"/>
  <c r="F1179" i="26"/>
  <c r="F1178" i="26"/>
  <c r="F1177" i="26"/>
  <c r="F1176" i="26"/>
  <c r="F1175" i="26"/>
  <c r="F1174" i="26"/>
  <c r="F1173" i="26"/>
  <c r="F1172" i="26"/>
  <c r="F1171" i="26"/>
  <c r="F1170" i="26"/>
  <c r="F1169" i="26"/>
  <c r="F1168" i="26"/>
  <c r="F1167" i="26"/>
  <c r="F1166" i="26"/>
  <c r="F1165" i="26"/>
  <c r="F1164" i="26"/>
  <c r="F1163" i="26"/>
  <c r="F1162" i="26"/>
  <c r="F1161" i="26"/>
  <c r="F1160" i="26"/>
  <c r="F1159" i="26"/>
  <c r="F1158" i="26"/>
  <c r="F1157" i="26"/>
  <c r="F1156" i="26"/>
  <c r="F1155" i="26"/>
  <c r="F1154" i="26"/>
  <c r="F1153" i="26"/>
  <c r="F1152" i="26"/>
  <c r="F1151" i="26"/>
  <c r="F1150" i="26"/>
  <c r="F1149" i="26"/>
  <c r="F1148" i="26"/>
  <c r="F1147" i="26"/>
  <c r="F1146" i="26"/>
  <c r="F1145" i="26"/>
  <c r="E1198" i="26"/>
  <c r="E1197" i="26"/>
  <c r="E1196" i="26"/>
  <c r="E1195" i="26"/>
  <c r="E1194" i="26"/>
  <c r="E1193" i="26"/>
  <c r="E1192" i="26"/>
  <c r="E1191" i="26"/>
  <c r="E1190" i="26"/>
  <c r="E1189" i="26"/>
  <c r="E1188" i="26"/>
  <c r="E1187" i="26"/>
  <c r="E1186" i="26"/>
  <c r="E1185" i="26"/>
  <c r="E1184" i="26"/>
  <c r="E1183" i="26"/>
  <c r="E1182" i="26"/>
  <c r="E1181" i="26"/>
  <c r="E1180" i="26"/>
  <c r="E1179" i="26"/>
  <c r="E1178" i="26"/>
  <c r="E1177" i="26"/>
  <c r="E1176" i="26"/>
  <c r="E1175" i="26"/>
  <c r="E1174" i="26"/>
  <c r="E1173" i="26"/>
  <c r="E1172" i="26"/>
  <c r="E1171" i="26"/>
  <c r="E1170" i="26"/>
  <c r="E1169" i="26"/>
  <c r="E1168" i="26"/>
  <c r="E1167" i="26"/>
  <c r="E1166" i="26"/>
  <c r="E1165" i="26"/>
  <c r="E1164" i="26"/>
  <c r="E1163" i="26"/>
  <c r="E1162" i="26"/>
  <c r="E1161" i="26"/>
  <c r="E1160" i="26"/>
  <c r="E1159" i="26"/>
  <c r="E1158" i="26"/>
  <c r="E1157" i="26"/>
  <c r="E1156" i="26"/>
  <c r="E1155" i="26"/>
  <c r="E1154" i="26"/>
  <c r="E1153" i="26"/>
  <c r="E1152" i="26"/>
  <c r="E1151" i="26"/>
  <c r="E1150" i="26"/>
  <c r="E1149" i="26"/>
  <c r="E1148" i="26"/>
  <c r="E1147" i="26"/>
  <c r="E1146" i="26"/>
  <c r="E1145" i="26"/>
  <c r="D1198" i="26"/>
  <c r="D1197" i="26"/>
  <c r="D1196" i="26"/>
  <c r="D1195" i="26"/>
  <c r="D1194" i="26"/>
  <c r="D1193" i="26"/>
  <c r="D1192" i="26"/>
  <c r="D1191" i="26"/>
  <c r="D1190" i="26"/>
  <c r="D1189" i="26"/>
  <c r="D1188" i="26"/>
  <c r="D1187" i="26"/>
  <c r="D1186" i="26"/>
  <c r="D1185" i="26"/>
  <c r="D1184" i="26"/>
  <c r="D1183" i="26"/>
  <c r="D1182" i="26"/>
  <c r="D1181" i="26"/>
  <c r="D1180" i="26"/>
  <c r="D1179" i="26"/>
  <c r="D1178" i="26"/>
  <c r="D1177" i="26"/>
  <c r="D1176" i="26"/>
  <c r="D1175" i="26"/>
  <c r="D1174" i="26"/>
  <c r="D1173" i="26"/>
  <c r="D1172" i="26"/>
  <c r="D1171" i="26"/>
  <c r="D1170" i="26"/>
  <c r="D1169" i="26"/>
  <c r="D1168" i="26"/>
  <c r="D1167" i="26"/>
  <c r="D1166" i="26"/>
  <c r="D1165" i="26"/>
  <c r="D1164" i="26"/>
  <c r="D1163" i="26"/>
  <c r="D1162" i="26"/>
  <c r="D1161" i="26"/>
  <c r="D1160" i="26"/>
  <c r="D1159" i="26"/>
  <c r="D1158" i="26"/>
  <c r="D1157" i="26"/>
  <c r="D1156" i="26"/>
  <c r="D1155" i="26"/>
  <c r="D1154" i="26"/>
  <c r="D1153" i="26"/>
  <c r="D1152" i="26"/>
  <c r="D1151" i="26"/>
  <c r="D1150" i="26"/>
  <c r="D1149" i="26"/>
  <c r="D1148" i="26"/>
  <c r="D1147" i="26"/>
  <c r="D1146" i="26"/>
  <c r="D1145" i="26"/>
  <c r="AIT34" i="3"/>
  <c r="AIQ46" i="3"/>
  <c r="AIQ34" i="3"/>
  <c r="K1142" i="26"/>
  <c r="K1140" i="26"/>
  <c r="K1138" i="26"/>
  <c r="K1137" i="26"/>
  <c r="J1144" i="26"/>
  <c r="J1143" i="26"/>
  <c r="J1142" i="26"/>
  <c r="J1141" i="26"/>
  <c r="J1140" i="26"/>
  <c r="J1139" i="26"/>
  <c r="J1138" i="26"/>
  <c r="J1137" i="26"/>
  <c r="J1136" i="26"/>
  <c r="J1135" i="26"/>
  <c r="J1134" i="26"/>
  <c r="J1133" i="26"/>
  <c r="J1132" i="26"/>
  <c r="J1131" i="26"/>
  <c r="J1130" i="26"/>
  <c r="J1129" i="26"/>
  <c r="J1128" i="26"/>
  <c r="J1127" i="26"/>
  <c r="J1126" i="26"/>
  <c r="J1125" i="26"/>
  <c r="J1124" i="26"/>
  <c r="J1123" i="26"/>
  <c r="J1122" i="26"/>
  <c r="J1121" i="26"/>
  <c r="J1120" i="26"/>
  <c r="J1119" i="26"/>
  <c r="J1118" i="26"/>
  <c r="J1117" i="26"/>
  <c r="J1116" i="26"/>
  <c r="J1115" i="26"/>
  <c r="J1114" i="26"/>
  <c r="J1113" i="26"/>
  <c r="J1112" i="26"/>
  <c r="J1111" i="26"/>
  <c r="J1110" i="26"/>
  <c r="J1109" i="26"/>
  <c r="J1108" i="26"/>
  <c r="J1107" i="26"/>
  <c r="J1106" i="26"/>
  <c r="J1105" i="26"/>
  <c r="J1104" i="26"/>
  <c r="J1103" i="26"/>
  <c r="J1102" i="26"/>
  <c r="J1101" i="26"/>
  <c r="J1100" i="26"/>
  <c r="J1099" i="26"/>
  <c r="J1098" i="26"/>
  <c r="J1097" i="26"/>
  <c r="J1096" i="26"/>
  <c r="J1095" i="26"/>
  <c r="J1094" i="26"/>
  <c r="J1093" i="26"/>
  <c r="J1092" i="26"/>
  <c r="J1091" i="26"/>
  <c r="J1090" i="26"/>
  <c r="I1144" i="26"/>
  <c r="I1143" i="26"/>
  <c r="I1142" i="26"/>
  <c r="I1141" i="26"/>
  <c r="I1140" i="26"/>
  <c r="I1139" i="26"/>
  <c r="I1138" i="26"/>
  <c r="I1137" i="26"/>
  <c r="I1136" i="26"/>
  <c r="I1135" i="26"/>
  <c r="I1134" i="26"/>
  <c r="I1133" i="26"/>
  <c r="I1132" i="26"/>
  <c r="I1131" i="26"/>
  <c r="I1130" i="26"/>
  <c r="I1129" i="26"/>
  <c r="I1128" i="26"/>
  <c r="I1127" i="26"/>
  <c r="I1126" i="26"/>
  <c r="I1125" i="26"/>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H1144" i="26"/>
  <c r="H1143" i="26"/>
  <c r="H1142" i="26"/>
  <c r="H1141" i="26"/>
  <c r="H1140" i="26"/>
  <c r="H1139" i="26"/>
  <c r="H1138" i="26"/>
  <c r="H1137" i="26"/>
  <c r="H1136" i="26"/>
  <c r="H1135" i="26"/>
  <c r="H1134" i="26"/>
  <c r="H1133" i="26"/>
  <c r="H1132" i="26"/>
  <c r="H1131" i="26"/>
  <c r="H1130" i="26"/>
  <c r="H1129" i="26"/>
  <c r="H1128" i="26"/>
  <c r="H1127" i="26"/>
  <c r="H1126" i="26"/>
  <c r="H1125" i="26"/>
  <c r="H1124" i="26"/>
  <c r="H1123" i="26"/>
  <c r="H1122" i="26"/>
  <c r="H1121" i="26"/>
  <c r="H1120" i="26"/>
  <c r="H1119" i="26"/>
  <c r="H1118" i="26"/>
  <c r="H1117" i="26"/>
  <c r="H1116" i="26"/>
  <c r="H1115" i="26"/>
  <c r="H1114" i="26"/>
  <c r="H1113" i="26"/>
  <c r="H1112" i="26"/>
  <c r="H1111" i="26"/>
  <c r="H1110" i="26"/>
  <c r="H1109" i="26"/>
  <c r="H1108" i="26"/>
  <c r="H1107" i="26"/>
  <c r="H1106" i="26"/>
  <c r="H1105" i="26"/>
  <c r="H1104" i="26"/>
  <c r="H1103" i="26"/>
  <c r="H1102" i="26"/>
  <c r="H1101" i="26"/>
  <c r="H1100" i="26"/>
  <c r="H1099" i="26"/>
  <c r="H1098" i="26"/>
  <c r="H1097" i="26"/>
  <c r="H1096" i="26"/>
  <c r="H1095" i="26"/>
  <c r="H1094" i="26"/>
  <c r="H1093" i="26"/>
  <c r="H1092" i="26"/>
  <c r="H1091" i="26"/>
  <c r="H1090" i="26"/>
  <c r="G1144" i="26"/>
  <c r="G1143" i="26"/>
  <c r="G1142" i="26"/>
  <c r="G1141" i="26"/>
  <c r="G1140" i="26"/>
  <c r="G1139" i="26"/>
  <c r="G1138" i="26"/>
  <c r="G1137" i="26"/>
  <c r="G1136" i="26"/>
  <c r="G1135" i="26"/>
  <c r="G1134" i="26"/>
  <c r="G1133" i="26"/>
  <c r="G1132" i="26"/>
  <c r="G1131" i="26"/>
  <c r="G1130" i="26"/>
  <c r="G1129" i="26"/>
  <c r="G1128" i="26"/>
  <c r="G1127" i="26"/>
  <c r="G1126" i="26"/>
  <c r="G1125" i="26"/>
  <c r="G1124" i="26"/>
  <c r="G1123" i="26"/>
  <c r="G1122" i="26"/>
  <c r="G1121" i="26"/>
  <c r="G1120" i="26"/>
  <c r="G1119" i="26"/>
  <c r="G1118" i="26"/>
  <c r="G1117" i="26"/>
  <c r="G1116" i="26"/>
  <c r="G1115" i="26"/>
  <c r="G1114" i="26"/>
  <c r="G1113" i="26"/>
  <c r="G1112" i="26"/>
  <c r="G1111" i="26"/>
  <c r="G1110" i="26"/>
  <c r="G1109" i="26"/>
  <c r="G1108" i="26"/>
  <c r="G1107" i="26"/>
  <c r="G1106" i="26"/>
  <c r="G1105" i="26"/>
  <c r="G1104" i="26"/>
  <c r="G1103" i="26"/>
  <c r="G1102" i="26"/>
  <c r="G1101" i="26"/>
  <c r="G1100" i="26"/>
  <c r="G1099" i="26"/>
  <c r="G1098" i="26"/>
  <c r="G1097" i="26"/>
  <c r="G1096" i="26"/>
  <c r="G1095" i="26"/>
  <c r="G1094" i="26"/>
  <c r="G1093" i="26"/>
  <c r="G1092" i="26"/>
  <c r="G1091" i="26"/>
  <c r="G1090" i="26"/>
  <c r="F1144" i="26"/>
  <c r="F1143" i="26"/>
  <c r="F1142" i="26"/>
  <c r="F1141" i="26"/>
  <c r="F1140" i="26"/>
  <c r="F1139" i="26"/>
  <c r="F1138" i="26"/>
  <c r="F1137" i="26"/>
  <c r="F1136" i="26"/>
  <c r="F1135" i="26"/>
  <c r="F1134" i="26"/>
  <c r="F1133" i="26"/>
  <c r="F1132" i="26"/>
  <c r="F1131" i="26"/>
  <c r="F1130" i="26"/>
  <c r="F1129" i="26"/>
  <c r="F1128" i="26"/>
  <c r="F1127" i="26"/>
  <c r="F1126" i="26"/>
  <c r="F1125" i="26"/>
  <c r="F1124" i="26"/>
  <c r="F1123" i="26"/>
  <c r="F1122" i="26"/>
  <c r="F1121" i="26"/>
  <c r="F1120" i="26"/>
  <c r="F1119" i="26"/>
  <c r="F1118" i="26"/>
  <c r="F1117" i="26"/>
  <c r="F1116" i="26"/>
  <c r="F1115" i="26"/>
  <c r="F1114" i="26"/>
  <c r="F1113" i="26"/>
  <c r="F1112" i="26"/>
  <c r="F1111" i="26"/>
  <c r="F1110" i="26"/>
  <c r="F1109" i="26"/>
  <c r="F1108" i="26"/>
  <c r="F1107" i="26"/>
  <c r="F1106" i="26"/>
  <c r="F1105" i="26"/>
  <c r="F1104" i="26"/>
  <c r="F1103" i="26"/>
  <c r="F1102" i="26"/>
  <c r="F1101" i="26"/>
  <c r="F1100" i="26"/>
  <c r="F1099" i="26"/>
  <c r="F1098" i="26"/>
  <c r="F1097" i="26"/>
  <c r="F1096" i="26"/>
  <c r="F1095" i="26"/>
  <c r="F1094" i="26"/>
  <c r="F1093" i="26"/>
  <c r="F1092" i="26"/>
  <c r="F1091" i="26"/>
  <c r="F1090" i="26"/>
  <c r="E1144" i="26"/>
  <c r="E1143" i="26"/>
  <c r="E1142" i="26"/>
  <c r="E1141" i="26"/>
  <c r="E1140" i="26"/>
  <c r="E1139" i="26"/>
  <c r="E1138" i="26"/>
  <c r="E1137" i="26"/>
  <c r="E1136" i="26"/>
  <c r="E1135" i="26"/>
  <c r="E1134" i="26"/>
  <c r="E1133" i="26"/>
  <c r="E1132" i="26"/>
  <c r="E1131" i="26"/>
  <c r="E1130" i="26"/>
  <c r="E1129" i="26"/>
  <c r="E1128" i="26"/>
  <c r="E1127" i="26"/>
  <c r="E1126" i="26"/>
  <c r="E1125" i="26"/>
  <c r="E1124" i="26"/>
  <c r="E1123" i="26"/>
  <c r="E1122" i="26"/>
  <c r="E1121" i="26"/>
  <c r="E1120" i="26"/>
  <c r="E1119" i="26"/>
  <c r="E1118" i="26"/>
  <c r="E1117" i="26"/>
  <c r="E1116" i="26"/>
  <c r="E1115" i="26"/>
  <c r="E1114" i="26"/>
  <c r="E1113" i="26"/>
  <c r="E1112" i="26"/>
  <c r="E1111" i="26"/>
  <c r="E1110" i="26"/>
  <c r="E1109" i="26"/>
  <c r="E1108" i="26"/>
  <c r="E1107" i="26"/>
  <c r="E1106" i="26"/>
  <c r="E1105" i="26"/>
  <c r="E1104" i="26"/>
  <c r="E1103" i="26"/>
  <c r="E1102" i="26"/>
  <c r="E1101" i="26"/>
  <c r="E1100" i="26"/>
  <c r="E1099" i="26"/>
  <c r="E1098" i="26"/>
  <c r="E1097" i="26"/>
  <c r="E1096" i="26"/>
  <c r="E1095" i="26"/>
  <c r="E1094" i="26"/>
  <c r="E1093" i="26"/>
  <c r="E1092" i="26"/>
  <c r="E1091" i="26"/>
  <c r="E1090" i="26"/>
  <c r="D1144" i="26"/>
  <c r="D1143" i="26"/>
  <c r="D1142" i="26"/>
  <c r="D1141" i="26"/>
  <c r="D1140" i="26"/>
  <c r="D1139" i="26"/>
  <c r="D1138" i="26"/>
  <c r="D1137" i="26"/>
  <c r="D1136" i="26"/>
  <c r="D1135" i="26"/>
  <c r="D1134" i="26"/>
  <c r="D1133" i="26"/>
  <c r="D1132" i="26"/>
  <c r="D1131" i="26"/>
  <c r="D1130" i="26"/>
  <c r="D1129" i="26"/>
  <c r="D1128" i="26"/>
  <c r="D1127" i="26"/>
  <c r="D1126" i="26"/>
  <c r="D1125" i="26"/>
  <c r="D1124" i="26"/>
  <c r="D1123" i="26"/>
  <c r="D1122" i="26"/>
  <c r="D1121" i="26"/>
  <c r="D1120" i="26"/>
  <c r="D1119" i="26"/>
  <c r="D1118" i="26"/>
  <c r="D1117" i="26"/>
  <c r="D1116" i="26"/>
  <c r="D1115" i="26"/>
  <c r="D1114" i="26"/>
  <c r="D1113" i="26"/>
  <c r="D1112" i="26"/>
  <c r="D1111" i="26"/>
  <c r="D1110" i="26"/>
  <c r="D1109" i="26"/>
  <c r="D1108" i="26"/>
  <c r="D1107" i="26"/>
  <c r="D1106" i="26"/>
  <c r="D1105" i="26"/>
  <c r="D1104" i="26"/>
  <c r="D1103" i="26"/>
  <c r="D1102" i="26"/>
  <c r="D1101" i="26"/>
  <c r="D1100" i="26"/>
  <c r="D1099" i="26"/>
  <c r="D1098" i="26"/>
  <c r="D1097" i="26"/>
  <c r="D1096" i="26"/>
  <c r="D1095" i="26"/>
  <c r="D1094" i="26"/>
  <c r="D1093" i="26"/>
  <c r="D1092" i="26"/>
  <c r="D1091" i="26"/>
  <c r="D1090" i="26"/>
  <c r="AM72" i="18"/>
  <c r="AM71" i="18"/>
  <c r="AL71" i="18"/>
  <c r="AK71" i="18"/>
  <c r="AJ71" i="18"/>
  <c r="AM70" i="18"/>
  <c r="AL70" i="18"/>
  <c r="AK70" i="18"/>
  <c r="AJ70" i="18"/>
  <c r="ALW61" i="3"/>
  <c r="ALT34" i="3"/>
  <c r="ALQ34" i="3"/>
  <c r="ALN34" i="3"/>
  <c r="ALW29" i="3"/>
  <c r="ALT29" i="3"/>
  <c r="ALQ29" i="3"/>
  <c r="ALN29" i="3"/>
  <c r="ALK29" i="3"/>
  <c r="ALH29" i="3"/>
  <c r="ALZ6" i="3"/>
  <c r="ALW6" i="3"/>
  <c r="ALT6" i="3"/>
  <c r="ALQ6" i="3"/>
  <c r="ALN6" i="3"/>
  <c r="ALK6" i="3"/>
  <c r="ALH6" i="3"/>
  <c r="AMB5" i="3"/>
  <c r="AMA5" i="3" s="1"/>
  <c r="ALS5" i="3"/>
  <c r="ALR5" i="3" s="1"/>
  <c r="ALM5" i="3"/>
  <c r="ALL5" i="3" s="1"/>
  <c r="ALB61" i="3"/>
  <c r="AKY34" i="3"/>
  <c r="AKV34" i="3"/>
  <c r="AKS34" i="3"/>
  <c r="ALE29" i="3"/>
  <c r="ALB29" i="3"/>
  <c r="AKY29" i="3"/>
  <c r="AKV29" i="3"/>
  <c r="AKS29" i="3"/>
  <c r="AKP29" i="3"/>
  <c r="AKM29" i="3"/>
  <c r="ALE6" i="3"/>
  <c r="ALB6" i="3"/>
  <c r="AKY6" i="3"/>
  <c r="AKV6" i="3"/>
  <c r="AKS6" i="3"/>
  <c r="AKP6" i="3"/>
  <c r="AKM6" i="3"/>
  <c r="ALG5" i="3"/>
  <c r="ALF5" i="3" s="1"/>
  <c r="AKX5" i="3"/>
  <c r="AKW5" i="3" s="1"/>
  <c r="AKR5" i="3"/>
  <c r="AKQ5" i="3" s="1"/>
  <c r="AKD34" i="3"/>
  <c r="AKA34" i="3"/>
  <c r="AKJ29" i="3"/>
  <c r="AKG29" i="3"/>
  <c r="AKD29" i="3"/>
  <c r="AKA29" i="3"/>
  <c r="AJX29" i="3"/>
  <c r="AJU29" i="3"/>
  <c r="AJR29" i="3"/>
  <c r="AKJ6" i="3"/>
  <c r="AKG6" i="3"/>
  <c r="AKD6" i="3"/>
  <c r="AKA6" i="3"/>
  <c r="AJX6" i="3"/>
  <c r="AJU6" i="3"/>
  <c r="AJR6" i="3"/>
  <c r="AKL5" i="3"/>
  <c r="AKK5" i="3" s="1"/>
  <c r="AKC5" i="3"/>
  <c r="AKB5" i="3" s="1"/>
  <c r="AJW5" i="3"/>
  <c r="AJV5" i="3" s="1"/>
  <c r="AIZ61" i="3"/>
  <c r="AJI34" i="3"/>
  <c r="AJO29" i="3"/>
  <c r="AJL29" i="3"/>
  <c r="AJI29" i="3"/>
  <c r="AJF29" i="3"/>
  <c r="AJC29" i="3"/>
  <c r="AIZ29" i="3"/>
  <c r="AIW29" i="3"/>
  <c r="AJO6" i="3"/>
  <c r="AJL6" i="3"/>
  <c r="AJI6" i="3"/>
  <c r="AJF6" i="3"/>
  <c r="AJC6" i="3"/>
  <c r="AIZ6" i="3"/>
  <c r="AIW6" i="3"/>
  <c r="AJQ5" i="3"/>
  <c r="AJP5" i="3" s="1"/>
  <c r="AJH5" i="3"/>
  <c r="AJG5" i="3" s="1"/>
  <c r="AJB5" i="3"/>
  <c r="AJA5" i="3" s="1"/>
  <c r="AIN34" i="3"/>
  <c r="AIK34" i="3"/>
  <c r="AIH34" i="3"/>
  <c r="AIT29" i="3"/>
  <c r="AIQ29" i="3"/>
  <c r="AIN29" i="3"/>
  <c r="AIK29" i="3"/>
  <c r="AIH29" i="3"/>
  <c r="AIT6" i="3"/>
  <c r="AIQ6" i="3"/>
  <c r="AIN6" i="3"/>
  <c r="AIK6" i="3"/>
  <c r="AIH6" i="3"/>
  <c r="AIV5" i="3"/>
  <c r="AIU5" i="3" s="1"/>
  <c r="AIM5" i="3"/>
  <c r="AIL5" i="3" s="1"/>
  <c r="K1088" i="26"/>
  <c r="K1087" i="26"/>
  <c r="K1086" i="26"/>
  <c r="J1089" i="26"/>
  <c r="J1088" i="26"/>
  <c r="J1087" i="26"/>
  <c r="J1086" i="26"/>
  <c r="J1085" i="26"/>
  <c r="J1084" i="26"/>
  <c r="J1083" i="26"/>
  <c r="J1082" i="26"/>
  <c r="J1081" i="26"/>
  <c r="J1080" i="26"/>
  <c r="J1079" i="26"/>
  <c r="J1078" i="26"/>
  <c r="J1077" i="26"/>
  <c r="J1076" i="26"/>
  <c r="J1075" i="26"/>
  <c r="J1074" i="26"/>
  <c r="J1073" i="26"/>
  <c r="J1072" i="26"/>
  <c r="J1071" i="26"/>
  <c r="J1070" i="26"/>
  <c r="J1069" i="26"/>
  <c r="J1068" i="26"/>
  <c r="J1067" i="26"/>
  <c r="J1066" i="26"/>
  <c r="J1065" i="26"/>
  <c r="J1064" i="26"/>
  <c r="J1063" i="26"/>
  <c r="J1062" i="26"/>
  <c r="J1061" i="26"/>
  <c r="J1060" i="26"/>
  <c r="J1059" i="26"/>
  <c r="J1058" i="26"/>
  <c r="J1057" i="26"/>
  <c r="J1056" i="26"/>
  <c r="J1055" i="26"/>
  <c r="J1054" i="26"/>
  <c r="J1053" i="26"/>
  <c r="J1052" i="26"/>
  <c r="J1051" i="26"/>
  <c r="J1050" i="26"/>
  <c r="J1049" i="26"/>
  <c r="J1048" i="26"/>
  <c r="J1047" i="26"/>
  <c r="J1046" i="26"/>
  <c r="J1045" i="26"/>
  <c r="J1044" i="26"/>
  <c r="J1043" i="26"/>
  <c r="J1042" i="26"/>
  <c r="J1041" i="26"/>
  <c r="J1040" i="26"/>
  <c r="J1039" i="26"/>
  <c r="J1038"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H1089" i="26"/>
  <c r="H1088" i="26"/>
  <c r="H1087" i="26"/>
  <c r="H1086" i="26"/>
  <c r="H1085" i="26"/>
  <c r="H1084" i="26"/>
  <c r="H1083" i="26"/>
  <c r="H1082" i="26"/>
  <c r="H1081" i="26"/>
  <c r="H1080" i="26"/>
  <c r="H1079" i="26"/>
  <c r="H1078" i="26"/>
  <c r="H1077" i="26"/>
  <c r="H1076" i="26"/>
  <c r="H1075" i="26"/>
  <c r="H1074" i="26"/>
  <c r="H1073" i="26"/>
  <c r="H1072" i="26"/>
  <c r="H1071" i="26"/>
  <c r="H1070" i="26"/>
  <c r="H1069" i="26"/>
  <c r="H1068" i="26"/>
  <c r="H1067" i="26"/>
  <c r="H1066" i="26"/>
  <c r="H1065" i="26"/>
  <c r="H1064" i="26"/>
  <c r="H1063" i="26"/>
  <c r="H1062" i="26"/>
  <c r="H1061" i="26"/>
  <c r="H1060" i="26"/>
  <c r="H1059" i="26"/>
  <c r="H1058" i="26"/>
  <c r="H1057" i="26"/>
  <c r="H1056" i="26"/>
  <c r="H1055" i="26"/>
  <c r="H1054" i="26"/>
  <c r="H1053" i="26"/>
  <c r="H1052" i="26"/>
  <c r="H1051" i="26"/>
  <c r="H1050" i="26"/>
  <c r="H1049" i="26"/>
  <c r="H1048" i="26"/>
  <c r="H1047" i="26"/>
  <c r="H1046" i="26"/>
  <c r="H1045" i="26"/>
  <c r="H1044" i="26"/>
  <c r="H1043" i="26"/>
  <c r="H1042" i="26"/>
  <c r="H1041" i="26"/>
  <c r="H1040" i="26"/>
  <c r="H1039" i="26"/>
  <c r="H1038" i="26"/>
  <c r="G1089" i="26"/>
  <c r="G1088" i="26"/>
  <c r="G1087" i="26"/>
  <c r="G1086" i="26"/>
  <c r="G1085" i="26"/>
  <c r="G1084" i="26"/>
  <c r="G1083" i="26"/>
  <c r="G1082" i="26"/>
  <c r="G1081" i="26"/>
  <c r="G1080" i="26"/>
  <c r="G1079" i="26"/>
  <c r="G1078" i="26"/>
  <c r="G1077" i="26"/>
  <c r="G1076" i="26"/>
  <c r="G1075" i="26"/>
  <c r="G1074" i="26"/>
  <c r="G1073" i="26"/>
  <c r="G1072" i="26"/>
  <c r="G1071" i="26"/>
  <c r="G1070" i="26"/>
  <c r="G1069" i="26"/>
  <c r="G1068" i="26"/>
  <c r="G1067" i="26"/>
  <c r="G1066" i="26"/>
  <c r="G1065" i="26"/>
  <c r="G1064" i="26"/>
  <c r="G1063" i="26"/>
  <c r="G1062" i="26"/>
  <c r="G1061" i="26"/>
  <c r="G1060" i="26"/>
  <c r="G1059" i="26"/>
  <c r="G1058" i="26"/>
  <c r="G1057" i="26"/>
  <c r="G1056" i="26"/>
  <c r="G1055" i="26"/>
  <c r="G1054" i="26"/>
  <c r="G1053" i="26"/>
  <c r="G1052" i="26"/>
  <c r="G1051" i="26"/>
  <c r="G1050" i="26"/>
  <c r="G1049" i="26"/>
  <c r="G1048" i="26"/>
  <c r="G1047" i="26"/>
  <c r="G1046" i="26"/>
  <c r="G1045" i="26"/>
  <c r="G1044" i="26"/>
  <c r="G1043" i="26"/>
  <c r="G1042" i="26"/>
  <c r="G1041" i="26"/>
  <c r="G1040" i="26"/>
  <c r="G1039" i="26"/>
  <c r="G1038" i="26"/>
  <c r="F1089" i="26"/>
  <c r="F1088" i="26"/>
  <c r="F1087" i="26"/>
  <c r="F1086" i="26"/>
  <c r="F1085" i="26"/>
  <c r="F1084" i="26"/>
  <c r="F1083" i="26"/>
  <c r="F1082" i="26"/>
  <c r="F1081" i="26"/>
  <c r="F1080" i="26"/>
  <c r="F1079" i="26"/>
  <c r="F1078" i="26"/>
  <c r="F1077" i="26"/>
  <c r="F1076" i="26"/>
  <c r="F1075" i="26"/>
  <c r="F1074" i="26"/>
  <c r="F1073" i="26"/>
  <c r="F1072" i="26"/>
  <c r="F1071" i="26"/>
  <c r="F1070" i="26"/>
  <c r="F1069" i="26"/>
  <c r="F1068" i="26"/>
  <c r="F1067" i="26"/>
  <c r="F1066" i="26"/>
  <c r="F1065" i="26"/>
  <c r="F1064" i="26"/>
  <c r="F1063" i="26"/>
  <c r="F1062" i="26"/>
  <c r="F1061" i="26"/>
  <c r="F1060" i="26"/>
  <c r="F1059" i="26"/>
  <c r="F1058" i="26"/>
  <c r="F1057" i="26"/>
  <c r="F1056" i="26"/>
  <c r="F1055" i="26"/>
  <c r="F1054" i="26"/>
  <c r="F1053" i="26"/>
  <c r="F1052" i="26"/>
  <c r="F1051" i="26"/>
  <c r="F1050" i="26"/>
  <c r="F1049" i="26"/>
  <c r="F1048" i="26"/>
  <c r="F1047" i="26"/>
  <c r="F1046" i="26"/>
  <c r="F1045" i="26"/>
  <c r="F1044" i="26"/>
  <c r="F1043" i="26"/>
  <c r="F1042" i="26"/>
  <c r="F1041" i="26"/>
  <c r="F1040" i="26"/>
  <c r="F1039" i="26"/>
  <c r="F1038" i="26"/>
  <c r="E1089" i="26"/>
  <c r="E1088" i="26"/>
  <c r="E1087" i="26"/>
  <c r="E1086" i="26"/>
  <c r="E1085" i="26"/>
  <c r="E1084" i="26"/>
  <c r="E1083" i="26"/>
  <c r="E1082" i="26"/>
  <c r="E1081" i="26"/>
  <c r="E1080" i="26"/>
  <c r="E1079" i="26"/>
  <c r="E1078" i="26"/>
  <c r="E1077" i="26"/>
  <c r="E1076" i="26"/>
  <c r="E1075" i="26"/>
  <c r="E1074" i="26"/>
  <c r="E1073" i="26"/>
  <c r="E1072" i="26"/>
  <c r="E1071" i="26"/>
  <c r="E1070" i="26"/>
  <c r="E1069" i="26"/>
  <c r="E1068" i="26"/>
  <c r="E1067" i="26"/>
  <c r="E1066" i="26"/>
  <c r="E1065" i="26"/>
  <c r="E1064" i="26"/>
  <c r="E1063" i="26"/>
  <c r="E1062" i="26"/>
  <c r="E1061" i="26"/>
  <c r="E1060" i="26"/>
  <c r="E1059" i="26"/>
  <c r="E1058" i="26"/>
  <c r="E1057" i="26"/>
  <c r="E1056" i="26"/>
  <c r="E1055" i="26"/>
  <c r="E1054" i="26"/>
  <c r="E1053" i="26"/>
  <c r="E1052" i="26"/>
  <c r="E1051" i="26"/>
  <c r="E1050" i="26"/>
  <c r="E1049" i="26"/>
  <c r="E1048" i="26"/>
  <c r="E1047" i="26"/>
  <c r="E1046" i="26"/>
  <c r="E1045" i="26"/>
  <c r="E1044" i="26"/>
  <c r="E1043" i="26"/>
  <c r="E1042" i="26"/>
  <c r="E1041" i="26"/>
  <c r="E1040" i="26"/>
  <c r="E1039" i="26"/>
  <c r="E1038" i="26"/>
  <c r="D1089" i="26"/>
  <c r="D1088" i="26"/>
  <c r="D1087" i="26"/>
  <c r="D1086" i="26"/>
  <c r="D1085" i="26"/>
  <c r="D1084" i="26"/>
  <c r="D1083" i="26"/>
  <c r="D1082" i="26"/>
  <c r="D1081" i="26"/>
  <c r="D1080" i="26"/>
  <c r="D1079" i="26"/>
  <c r="D1078" i="26"/>
  <c r="D1077" i="26"/>
  <c r="D1076" i="26"/>
  <c r="D1075" i="26"/>
  <c r="D1074" i="26"/>
  <c r="D1073" i="26"/>
  <c r="D1072" i="26"/>
  <c r="D1071" i="26"/>
  <c r="D1070" i="26"/>
  <c r="D1069" i="26"/>
  <c r="D1068" i="26"/>
  <c r="D1067" i="26"/>
  <c r="D1066" i="26"/>
  <c r="D1065" i="26"/>
  <c r="D1064" i="26"/>
  <c r="D1063" i="26"/>
  <c r="D1062" i="26"/>
  <c r="D1061" i="26"/>
  <c r="D1060" i="26"/>
  <c r="D1059" i="26"/>
  <c r="D1058" i="26"/>
  <c r="D1057" i="26"/>
  <c r="D1056" i="26"/>
  <c r="D1055" i="26"/>
  <c r="D1054" i="26"/>
  <c r="D1053" i="26"/>
  <c r="D1052" i="26"/>
  <c r="D1051" i="26"/>
  <c r="D1050" i="26"/>
  <c r="D1049" i="26"/>
  <c r="D1048" i="26"/>
  <c r="D1047" i="26"/>
  <c r="D1046" i="26"/>
  <c r="D1045" i="26"/>
  <c r="D1044" i="26"/>
  <c r="D1043" i="26"/>
  <c r="D1042" i="26"/>
  <c r="D1041" i="26"/>
  <c r="D1040" i="26"/>
  <c r="D1039" i="26"/>
  <c r="D1038" i="26"/>
  <c r="F21" i="26"/>
  <c r="F105" i="26"/>
  <c r="F112"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470" i="26"/>
  <c r="K1033" i="26"/>
  <c r="K1032" i="26"/>
  <c r="K1030" i="26"/>
  <c r="K1027" i="26"/>
  <c r="K1020" i="26"/>
  <c r="J1037" i="26"/>
  <c r="J1036" i="26"/>
  <c r="J1035" i="26"/>
  <c r="J1034" i="26"/>
  <c r="J1033" i="26"/>
  <c r="J1032" i="26"/>
  <c r="J1031" i="26"/>
  <c r="J1030" i="26"/>
  <c r="J1029" i="26"/>
  <c r="J1028" i="26"/>
  <c r="J1027" i="26"/>
  <c r="J1026" i="26"/>
  <c r="J1025" i="26"/>
  <c r="J1024" i="26"/>
  <c r="J1023" i="26"/>
  <c r="J1022" i="26"/>
  <c r="J1021" i="26"/>
  <c r="J1020" i="26"/>
  <c r="J1019" i="26"/>
  <c r="J1018" i="26"/>
  <c r="J1017" i="26"/>
  <c r="J1016" i="26"/>
  <c r="J1015" i="26"/>
  <c r="J1014" i="26"/>
  <c r="J1013" i="26"/>
  <c r="J1012" i="26"/>
  <c r="J1011" i="26"/>
  <c r="J1010" i="26"/>
  <c r="J1009" i="26"/>
  <c r="J1008" i="26"/>
  <c r="J1007" i="26"/>
  <c r="J1006" i="26"/>
  <c r="J1005" i="26"/>
  <c r="J1004" i="26"/>
  <c r="J1003" i="26"/>
  <c r="J1002" i="26"/>
  <c r="J1001" i="26"/>
  <c r="J1000" i="26"/>
  <c r="J999" i="26"/>
  <c r="J998" i="26"/>
  <c r="J997" i="26"/>
  <c r="J996" i="26"/>
  <c r="J995" i="26"/>
  <c r="J994" i="26"/>
  <c r="J993" i="26"/>
  <c r="J992" i="26"/>
  <c r="J991" i="26"/>
  <c r="J990" i="26"/>
  <c r="J989" i="26"/>
  <c r="J988" i="26"/>
  <c r="J987" i="26"/>
  <c r="J986" i="26"/>
  <c r="J985"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H1037" i="26"/>
  <c r="H1036" i="26"/>
  <c r="H1035" i="26"/>
  <c r="H1034" i="26"/>
  <c r="H1033" i="26"/>
  <c r="H1032" i="26"/>
  <c r="H1031" i="26"/>
  <c r="H1030" i="26"/>
  <c r="H1029" i="26"/>
  <c r="H1028" i="26"/>
  <c r="H1027" i="26"/>
  <c r="H1026" i="26"/>
  <c r="H1025" i="26"/>
  <c r="H1024" i="26"/>
  <c r="H1023" i="26"/>
  <c r="H1022" i="26"/>
  <c r="H1021" i="26"/>
  <c r="H1020" i="26"/>
  <c r="H1019" i="26"/>
  <c r="H1018" i="26"/>
  <c r="H1017" i="26"/>
  <c r="H1016" i="26"/>
  <c r="H1015" i="26"/>
  <c r="H1014" i="26"/>
  <c r="H1013" i="26"/>
  <c r="H1012" i="26"/>
  <c r="H1011" i="26"/>
  <c r="H1010" i="26"/>
  <c r="H1009" i="26"/>
  <c r="H1008" i="26"/>
  <c r="H1007" i="26"/>
  <c r="H1006" i="26"/>
  <c r="H1005" i="26"/>
  <c r="H1004" i="26"/>
  <c r="H1003" i="26"/>
  <c r="H1002" i="26"/>
  <c r="H1001" i="26"/>
  <c r="H1000" i="26"/>
  <c r="H999" i="26"/>
  <c r="H998" i="26"/>
  <c r="H997" i="26"/>
  <c r="H996" i="26"/>
  <c r="H995" i="26"/>
  <c r="H994" i="26"/>
  <c r="H993" i="26"/>
  <c r="H992" i="26"/>
  <c r="H991" i="26"/>
  <c r="H990" i="26"/>
  <c r="H989" i="26"/>
  <c r="H988" i="26"/>
  <c r="H987" i="26"/>
  <c r="H986" i="26"/>
  <c r="H985" i="26"/>
  <c r="G1037" i="26"/>
  <c r="G1036" i="26"/>
  <c r="G1035" i="26"/>
  <c r="G1034" i="26"/>
  <c r="G1033" i="26"/>
  <c r="G1032" i="26"/>
  <c r="G1031" i="26"/>
  <c r="G1030" i="26"/>
  <c r="G1029" i="26"/>
  <c r="G1028" i="26"/>
  <c r="G1027" i="26"/>
  <c r="G1026" i="26"/>
  <c r="G1025" i="26"/>
  <c r="G1024" i="26"/>
  <c r="G1023" i="26"/>
  <c r="G1022" i="26"/>
  <c r="G1021" i="26"/>
  <c r="G1020" i="26"/>
  <c r="G1019" i="26"/>
  <c r="G1018" i="26"/>
  <c r="G1017" i="26"/>
  <c r="G1016" i="26"/>
  <c r="G1015" i="26"/>
  <c r="G1014" i="26"/>
  <c r="G1013" i="26"/>
  <c r="G1012" i="26"/>
  <c r="G1011" i="26"/>
  <c r="G1010" i="26"/>
  <c r="G1009" i="26"/>
  <c r="G1008" i="26"/>
  <c r="G1007" i="26"/>
  <c r="G1006" i="26"/>
  <c r="G1005" i="26"/>
  <c r="G1004" i="26"/>
  <c r="G1003" i="26"/>
  <c r="G1002" i="26"/>
  <c r="G1001" i="26"/>
  <c r="G1000" i="26"/>
  <c r="G999" i="26"/>
  <c r="G998" i="26"/>
  <c r="G997" i="26"/>
  <c r="G996" i="26"/>
  <c r="G995" i="26"/>
  <c r="G994" i="26"/>
  <c r="G993" i="26"/>
  <c r="G992" i="26"/>
  <c r="G991" i="26"/>
  <c r="G990" i="26"/>
  <c r="G989" i="26"/>
  <c r="G988" i="26"/>
  <c r="G987" i="26"/>
  <c r="G986" i="26"/>
  <c r="G985" i="26"/>
  <c r="F1037" i="26"/>
  <c r="F1036" i="26"/>
  <c r="F1035" i="26"/>
  <c r="F1034" i="26"/>
  <c r="F1033" i="26"/>
  <c r="F1032" i="26"/>
  <c r="F1031" i="26"/>
  <c r="F1030" i="26"/>
  <c r="F1029" i="26"/>
  <c r="F1028" i="26"/>
  <c r="F1027" i="26"/>
  <c r="F1026" i="26"/>
  <c r="F1025" i="26"/>
  <c r="F1024" i="26"/>
  <c r="F1023" i="26"/>
  <c r="F1022" i="26"/>
  <c r="F1021" i="26"/>
  <c r="F1020" i="26"/>
  <c r="F1019" i="26"/>
  <c r="F1018" i="26"/>
  <c r="F1017" i="26"/>
  <c r="F1016" i="26"/>
  <c r="F1015" i="26"/>
  <c r="F1014" i="26"/>
  <c r="F1013" i="26"/>
  <c r="F1012" i="26"/>
  <c r="F1011" i="26"/>
  <c r="F1010" i="26"/>
  <c r="F1009" i="26"/>
  <c r="F1008" i="26"/>
  <c r="F1007" i="26"/>
  <c r="F1006" i="26"/>
  <c r="F1005" i="26"/>
  <c r="F1004" i="26"/>
  <c r="F1003" i="26"/>
  <c r="F1002" i="26"/>
  <c r="F1001" i="26"/>
  <c r="F1000" i="26"/>
  <c r="F999" i="26"/>
  <c r="F998" i="26"/>
  <c r="F997" i="26"/>
  <c r="F996" i="26"/>
  <c r="F995" i="26"/>
  <c r="F994" i="26"/>
  <c r="F993" i="26"/>
  <c r="F992" i="26"/>
  <c r="F991" i="26"/>
  <c r="F990" i="26"/>
  <c r="F989" i="26"/>
  <c r="F988" i="26"/>
  <c r="F987" i="26"/>
  <c r="F986" i="26"/>
  <c r="F985" i="26"/>
  <c r="E1037" i="26"/>
  <c r="E1036" i="26"/>
  <c r="E1035" i="26"/>
  <c r="E1034" i="26"/>
  <c r="E1033" i="26"/>
  <c r="E1032" i="26"/>
  <c r="E1031" i="26"/>
  <c r="E1030" i="26"/>
  <c r="E1029" i="26"/>
  <c r="E1028" i="26"/>
  <c r="E1027" i="26"/>
  <c r="E1026" i="26"/>
  <c r="E1025" i="26"/>
  <c r="E1024" i="26"/>
  <c r="E1023" i="26"/>
  <c r="E1022" i="26"/>
  <c r="E1021" i="26"/>
  <c r="E1020" i="26"/>
  <c r="E1019" i="26"/>
  <c r="E1018" i="26"/>
  <c r="E1017" i="26"/>
  <c r="E1016" i="26"/>
  <c r="E1015" i="26"/>
  <c r="E1014" i="26"/>
  <c r="E1013" i="26"/>
  <c r="E1012" i="26"/>
  <c r="E1011" i="26"/>
  <c r="E1010" i="26"/>
  <c r="E1009" i="26"/>
  <c r="E1008" i="26"/>
  <c r="E1007" i="26"/>
  <c r="E1006" i="26"/>
  <c r="E1005" i="26"/>
  <c r="E1004" i="26"/>
  <c r="E1003" i="26"/>
  <c r="E1002" i="26"/>
  <c r="E1001" i="26"/>
  <c r="E1000" i="26"/>
  <c r="E999" i="26"/>
  <c r="E998" i="26"/>
  <c r="E997" i="26"/>
  <c r="E996" i="26"/>
  <c r="E995" i="26"/>
  <c r="E994" i="26"/>
  <c r="E993" i="26"/>
  <c r="E992" i="26"/>
  <c r="E991" i="26"/>
  <c r="E990" i="26"/>
  <c r="E989" i="26"/>
  <c r="E988" i="26"/>
  <c r="E987" i="26"/>
  <c r="E986" i="26"/>
  <c r="E985" i="26"/>
  <c r="D1037" i="26"/>
  <c r="D1036" i="26"/>
  <c r="D1035" i="26"/>
  <c r="D1034" i="26"/>
  <c r="D1033" i="26"/>
  <c r="D1032" i="26"/>
  <c r="D1031" i="26"/>
  <c r="D1030" i="26"/>
  <c r="D1029" i="26"/>
  <c r="D1028" i="26"/>
  <c r="D1027" i="26"/>
  <c r="D1026" i="26"/>
  <c r="D1025" i="26"/>
  <c r="D1024" i="26"/>
  <c r="D1023" i="26"/>
  <c r="D1022" i="26"/>
  <c r="D1021" i="26"/>
  <c r="D1020" i="26"/>
  <c r="D1019" i="26"/>
  <c r="D1018" i="26"/>
  <c r="D1017" i="26"/>
  <c r="D1016" i="26"/>
  <c r="D1015" i="26"/>
  <c r="D1014" i="26"/>
  <c r="D1013" i="26"/>
  <c r="D1012" i="26"/>
  <c r="D1011" i="26"/>
  <c r="D1010" i="26"/>
  <c r="D1009" i="26"/>
  <c r="D1008" i="26"/>
  <c r="D1007" i="26"/>
  <c r="D1006" i="26"/>
  <c r="D1005" i="26"/>
  <c r="D1004" i="26"/>
  <c r="D1003" i="26"/>
  <c r="D1002" i="26"/>
  <c r="D1001" i="26"/>
  <c r="D1000" i="26"/>
  <c r="D999" i="26"/>
  <c r="D998" i="26"/>
  <c r="D997" i="26"/>
  <c r="D996" i="26"/>
  <c r="D995" i="26"/>
  <c r="D994" i="26"/>
  <c r="D993" i="26"/>
  <c r="D992" i="26"/>
  <c r="D991" i="26"/>
  <c r="D990" i="26"/>
  <c r="D989" i="26"/>
  <c r="D988" i="26"/>
  <c r="D987" i="26"/>
  <c r="D986" i="26"/>
  <c r="D985" i="26"/>
  <c r="K975" i="26"/>
  <c r="J984" i="26"/>
  <c r="J983" i="26"/>
  <c r="J982" i="26"/>
  <c r="J981" i="26"/>
  <c r="J980" i="26"/>
  <c r="J979" i="26"/>
  <c r="J978" i="26"/>
  <c r="J977" i="26"/>
  <c r="J976" i="26"/>
  <c r="J975" i="26"/>
  <c r="J974" i="26"/>
  <c r="J973" i="26"/>
  <c r="J972" i="26"/>
  <c r="J971" i="26"/>
  <c r="J970" i="26"/>
  <c r="J969" i="26"/>
  <c r="J968" i="26"/>
  <c r="J967" i="26"/>
  <c r="J966" i="26"/>
  <c r="J965" i="26"/>
  <c r="I984" i="26"/>
  <c r="I983" i="26"/>
  <c r="I982" i="26"/>
  <c r="I981" i="26"/>
  <c r="I980" i="26"/>
  <c r="I979" i="26"/>
  <c r="I978" i="26"/>
  <c r="I977" i="26"/>
  <c r="I976" i="26"/>
  <c r="I975" i="26"/>
  <c r="I974" i="26"/>
  <c r="I973" i="26"/>
  <c r="I972" i="26"/>
  <c r="I971" i="26"/>
  <c r="I970" i="26"/>
  <c r="I969" i="26"/>
  <c r="I968" i="26"/>
  <c r="I967" i="26"/>
  <c r="I966" i="26"/>
  <c r="I965" i="26"/>
  <c r="H984" i="26"/>
  <c r="H983" i="26"/>
  <c r="H982" i="26"/>
  <c r="H981" i="26"/>
  <c r="H980" i="26"/>
  <c r="H979" i="26"/>
  <c r="H978" i="26"/>
  <c r="H977" i="26"/>
  <c r="H976" i="26"/>
  <c r="H975" i="26"/>
  <c r="H974" i="26"/>
  <c r="H973" i="26"/>
  <c r="H972" i="26"/>
  <c r="H971" i="26"/>
  <c r="H970" i="26"/>
  <c r="H969" i="26"/>
  <c r="H968" i="26"/>
  <c r="H967" i="26"/>
  <c r="H966" i="26"/>
  <c r="H965" i="26"/>
  <c r="G984" i="26"/>
  <c r="G983" i="26"/>
  <c r="G982" i="26"/>
  <c r="G981" i="26"/>
  <c r="G980" i="26"/>
  <c r="G979" i="26"/>
  <c r="G978" i="26"/>
  <c r="G977" i="26"/>
  <c r="G976" i="26"/>
  <c r="G975" i="26"/>
  <c r="G974" i="26"/>
  <c r="G973" i="26"/>
  <c r="G972" i="26"/>
  <c r="G971" i="26"/>
  <c r="G970" i="26"/>
  <c r="G969" i="26"/>
  <c r="G968" i="26"/>
  <c r="G967" i="26"/>
  <c r="G966" i="26"/>
  <c r="G965" i="26"/>
  <c r="F984" i="26"/>
  <c r="F983" i="26"/>
  <c r="F982" i="26"/>
  <c r="F981" i="26"/>
  <c r="F980" i="26"/>
  <c r="F979" i="26"/>
  <c r="F978" i="26"/>
  <c r="F977" i="26"/>
  <c r="F976" i="26"/>
  <c r="F975" i="26"/>
  <c r="F974" i="26"/>
  <c r="F973" i="26"/>
  <c r="F972" i="26"/>
  <c r="F971" i="26"/>
  <c r="F970" i="26"/>
  <c r="F969" i="26"/>
  <c r="F968" i="26"/>
  <c r="F967" i="26"/>
  <c r="F966" i="26"/>
  <c r="F965" i="26"/>
  <c r="E984" i="26"/>
  <c r="E983" i="26"/>
  <c r="E982" i="26"/>
  <c r="E981" i="26"/>
  <c r="E980" i="26"/>
  <c r="E979" i="26"/>
  <c r="E978" i="26"/>
  <c r="E977" i="26"/>
  <c r="E976" i="26"/>
  <c r="E975" i="26"/>
  <c r="E974" i="26"/>
  <c r="E973" i="26"/>
  <c r="E972" i="26"/>
  <c r="E971" i="26"/>
  <c r="E970" i="26"/>
  <c r="E969" i="26"/>
  <c r="E968" i="26"/>
  <c r="E967" i="26"/>
  <c r="E966" i="26"/>
  <c r="E965" i="26"/>
  <c r="D984" i="26"/>
  <c r="D983" i="26"/>
  <c r="D982" i="26"/>
  <c r="D981" i="26"/>
  <c r="D980" i="26"/>
  <c r="D979" i="26"/>
  <c r="D978" i="26"/>
  <c r="D977" i="26"/>
  <c r="D976" i="26"/>
  <c r="D975" i="26"/>
  <c r="D974" i="26"/>
  <c r="D973" i="26"/>
  <c r="D972" i="26"/>
  <c r="D971" i="26"/>
  <c r="D970" i="26"/>
  <c r="D969" i="26"/>
  <c r="D968" i="26"/>
  <c r="D967" i="26"/>
  <c r="D966" i="26"/>
  <c r="D965" i="26"/>
  <c r="H961" i="26"/>
  <c r="H960" i="26"/>
  <c r="H959" i="26"/>
  <c r="H958" i="26"/>
  <c r="H957" i="26"/>
  <c r="H956" i="26"/>
  <c r="H955" i="26"/>
  <c r="H954" i="26"/>
  <c r="H952" i="26"/>
  <c r="H951" i="26"/>
  <c r="H950" i="26"/>
  <c r="H949" i="26"/>
  <c r="H948" i="26"/>
  <c r="H947" i="26"/>
  <c r="H946" i="26"/>
  <c r="H945" i="26"/>
  <c r="H944" i="26"/>
  <c r="H943" i="26"/>
  <c r="H942" i="26"/>
  <c r="H941" i="26"/>
  <c r="H940" i="26"/>
  <c r="H939" i="26"/>
  <c r="H938" i="26"/>
  <c r="H937" i="26"/>
  <c r="H936" i="26"/>
  <c r="H935" i="26"/>
  <c r="H934" i="26"/>
  <c r="H933" i="26"/>
  <c r="H932" i="26"/>
  <c r="H931" i="26"/>
  <c r="H930" i="26"/>
  <c r="H929" i="26"/>
  <c r="H928" i="26"/>
  <c r="H927" i="26"/>
  <c r="H926" i="26"/>
  <c r="H925" i="26"/>
  <c r="H924" i="26"/>
  <c r="H923" i="26"/>
  <c r="H922" i="26"/>
  <c r="H921" i="26"/>
  <c r="H920" i="26"/>
  <c r="H919" i="26"/>
  <c r="H918" i="26"/>
  <c r="H917" i="26"/>
  <c r="H916" i="26"/>
  <c r="H915" i="26"/>
  <c r="H914" i="26"/>
  <c r="H913" i="26"/>
  <c r="H912" i="26"/>
  <c r="H911" i="26"/>
  <c r="H910" i="26"/>
  <c r="H909" i="26"/>
  <c r="H908" i="26"/>
  <c r="H907" i="26"/>
  <c r="H906" i="26"/>
  <c r="H905" i="26"/>
  <c r="H904" i="26"/>
  <c r="H903" i="26"/>
  <c r="H902" i="26"/>
  <c r="H901" i="26"/>
  <c r="H900" i="26"/>
  <c r="H899" i="26"/>
  <c r="H898" i="26"/>
  <c r="H897" i="26"/>
  <c r="H896" i="26"/>
  <c r="H895" i="26"/>
  <c r="H894" i="26"/>
  <c r="H893" i="26"/>
  <c r="H892" i="26"/>
  <c r="H891" i="26"/>
  <c r="H890" i="26"/>
  <c r="H889" i="26"/>
  <c r="H888" i="26"/>
  <c r="H887" i="26"/>
  <c r="H886" i="26"/>
  <c r="H885" i="26"/>
  <c r="H884" i="26"/>
  <c r="H883" i="26"/>
  <c r="H882" i="26"/>
  <c r="H881" i="26"/>
  <c r="H880" i="26"/>
  <c r="H879" i="26"/>
  <c r="H878" i="26"/>
  <c r="H877" i="26"/>
  <c r="H876" i="26"/>
  <c r="H875" i="26"/>
  <c r="H874" i="26"/>
  <c r="H873" i="26"/>
  <c r="H872" i="26"/>
  <c r="H871" i="26"/>
  <c r="H870" i="26"/>
  <c r="H869" i="26"/>
  <c r="H868" i="26"/>
  <c r="H867" i="26"/>
  <c r="H866" i="26"/>
  <c r="H865" i="26"/>
  <c r="H864" i="26"/>
  <c r="H863" i="26"/>
  <c r="H862" i="26"/>
  <c r="H861" i="26"/>
  <c r="H860" i="26"/>
  <c r="H859" i="26"/>
  <c r="H858" i="26"/>
  <c r="H857" i="26"/>
  <c r="H856" i="26"/>
  <c r="H855" i="26"/>
  <c r="H854" i="26"/>
  <c r="H853" i="26"/>
  <c r="H852" i="26"/>
  <c r="H851" i="26"/>
  <c r="H850" i="26"/>
  <c r="H849" i="26"/>
  <c r="H848" i="26"/>
  <c r="H847" i="26"/>
  <c r="H846" i="26"/>
  <c r="H845" i="26"/>
  <c r="H844" i="26"/>
  <c r="H843" i="26"/>
  <c r="H842" i="26"/>
  <c r="H841" i="26"/>
  <c r="H840" i="26"/>
  <c r="H839" i="26"/>
  <c r="H838" i="26"/>
  <c r="H837" i="26"/>
  <c r="H836" i="26"/>
  <c r="H835" i="26"/>
  <c r="H834" i="26"/>
  <c r="H833" i="26"/>
  <c r="H832" i="26"/>
  <c r="H831" i="26"/>
  <c r="H830" i="26"/>
  <c r="H829" i="26"/>
  <c r="H828" i="26"/>
  <c r="H827" i="26"/>
  <c r="H826" i="26"/>
  <c r="H825" i="26"/>
  <c r="H824" i="26"/>
  <c r="H823" i="26"/>
  <c r="H822" i="26"/>
  <c r="H821" i="26"/>
  <c r="H820" i="26"/>
  <c r="H819" i="26"/>
  <c r="H818" i="26"/>
  <c r="H817" i="26"/>
  <c r="H816" i="26"/>
  <c r="H815" i="26"/>
  <c r="H814" i="26"/>
  <c r="H813" i="26"/>
  <c r="H812" i="26"/>
  <c r="H811" i="26"/>
  <c r="H810" i="26"/>
  <c r="H809" i="26"/>
  <c r="H808" i="26"/>
  <c r="H807" i="26"/>
  <c r="H806" i="26"/>
  <c r="H805" i="26"/>
  <c r="H804" i="26"/>
  <c r="H803" i="26"/>
  <c r="H802" i="26"/>
  <c r="H801" i="26"/>
  <c r="H800" i="26"/>
  <c r="H799" i="26"/>
  <c r="H798" i="26"/>
  <c r="H797" i="26"/>
  <c r="H796" i="26"/>
  <c r="H795" i="26"/>
  <c r="H794" i="26"/>
  <c r="H793" i="26"/>
  <c r="H792" i="26"/>
  <c r="H791" i="26"/>
  <c r="H790" i="26"/>
  <c r="H789" i="26"/>
  <c r="H788" i="26"/>
  <c r="H787" i="26"/>
  <c r="H786" i="26"/>
  <c r="H785" i="26"/>
  <c r="H784" i="26"/>
  <c r="H783" i="26"/>
  <c r="H782" i="26"/>
  <c r="H781" i="26"/>
  <c r="H780" i="26"/>
  <c r="H779" i="26"/>
  <c r="H778" i="26"/>
  <c r="H777" i="26"/>
  <c r="H776" i="26"/>
  <c r="H775" i="26"/>
  <c r="H774" i="26"/>
  <c r="H773" i="26"/>
  <c r="H772" i="26"/>
  <c r="H771" i="26"/>
  <c r="H770" i="26"/>
  <c r="H769" i="26"/>
  <c r="H768" i="26"/>
  <c r="H767" i="26"/>
  <c r="H766" i="26"/>
  <c r="H765" i="26"/>
  <c r="H764" i="26"/>
  <c r="H763" i="26"/>
  <c r="H762" i="26"/>
  <c r="H761" i="26"/>
  <c r="H760" i="26"/>
  <c r="H759" i="26"/>
  <c r="H758" i="26"/>
  <c r="H757" i="26"/>
  <c r="H756" i="26"/>
  <c r="H755" i="26"/>
  <c r="H754" i="26"/>
  <c r="H753" i="26"/>
  <c r="H752" i="26"/>
  <c r="H751" i="26"/>
  <c r="H750" i="26"/>
  <c r="H749" i="26"/>
  <c r="H748" i="26"/>
  <c r="H747" i="26"/>
  <c r="H746" i="26"/>
  <c r="H745" i="26"/>
  <c r="H744" i="26"/>
  <c r="H743" i="26"/>
  <c r="H742" i="26"/>
  <c r="H741" i="26"/>
  <c r="H740" i="26"/>
  <c r="H739" i="26"/>
  <c r="H738" i="26"/>
  <c r="H737" i="26"/>
  <c r="H736" i="26"/>
  <c r="H735" i="26"/>
  <c r="H734" i="26"/>
  <c r="H733" i="26"/>
  <c r="H732" i="26"/>
  <c r="H731" i="26"/>
  <c r="H730" i="26"/>
  <c r="H729" i="26"/>
  <c r="H728" i="26"/>
  <c r="H727" i="26"/>
  <c r="H726" i="26"/>
  <c r="H725" i="26"/>
  <c r="H724" i="26"/>
  <c r="H723" i="26"/>
  <c r="H722" i="26"/>
  <c r="H721" i="26"/>
  <c r="H720" i="26"/>
  <c r="H719" i="26"/>
  <c r="H718" i="26"/>
  <c r="H717" i="26"/>
  <c r="H716" i="26"/>
  <c r="H715" i="26"/>
  <c r="H714" i="26"/>
  <c r="H713" i="26"/>
  <c r="H712" i="26"/>
  <c r="H711" i="26"/>
  <c r="H710" i="26"/>
  <c r="H709" i="26"/>
  <c r="H708" i="26"/>
  <c r="H707" i="26"/>
  <c r="H706" i="26"/>
  <c r="H705" i="26"/>
  <c r="H704" i="26"/>
  <c r="H703" i="26"/>
  <c r="H702" i="26"/>
  <c r="H701" i="26"/>
  <c r="H700" i="26"/>
  <c r="H699" i="26"/>
  <c r="H698" i="26"/>
  <c r="H697" i="26"/>
  <c r="H696" i="26"/>
  <c r="H695" i="26"/>
  <c r="H694" i="26"/>
  <c r="H693" i="26"/>
  <c r="H692" i="26"/>
  <c r="H691" i="26"/>
  <c r="H690" i="26"/>
  <c r="H689" i="26"/>
  <c r="H688" i="26"/>
  <c r="H687" i="26"/>
  <c r="H686" i="26"/>
  <c r="H685" i="26"/>
  <c r="H684" i="26"/>
  <c r="H683" i="26"/>
  <c r="H682" i="26"/>
  <c r="H681" i="26"/>
  <c r="H680" i="26"/>
  <c r="H679" i="26"/>
  <c r="H678" i="26"/>
  <c r="H677" i="26"/>
  <c r="H676" i="26"/>
  <c r="H675" i="26"/>
  <c r="H674" i="26"/>
  <c r="H673" i="26"/>
  <c r="H672" i="26"/>
  <c r="H671" i="26"/>
  <c r="H670" i="26"/>
  <c r="H669" i="26"/>
  <c r="H668" i="26"/>
  <c r="H667" i="26"/>
  <c r="H666" i="26"/>
  <c r="H665" i="26"/>
  <c r="H664" i="26"/>
  <c r="H663" i="26"/>
  <c r="H662" i="26"/>
  <c r="H661" i="26"/>
  <c r="H660" i="26"/>
  <c r="H659" i="26"/>
  <c r="H658" i="26"/>
  <c r="H657" i="26"/>
  <c r="H656" i="26"/>
  <c r="H655" i="26"/>
  <c r="H654" i="26"/>
  <c r="H653" i="26"/>
  <c r="H652" i="26"/>
  <c r="H651" i="26"/>
  <c r="H650" i="26"/>
  <c r="H649" i="26"/>
  <c r="H648" i="26"/>
  <c r="H647" i="26"/>
  <c r="H646" i="26"/>
  <c r="H645" i="26"/>
  <c r="H644" i="26"/>
  <c r="H643" i="26"/>
  <c r="H642" i="26"/>
  <c r="H641" i="26"/>
  <c r="H640" i="26"/>
  <c r="H639" i="26"/>
  <c r="H638" i="26"/>
  <c r="H637" i="26"/>
  <c r="H636" i="26"/>
  <c r="H635" i="26"/>
  <c r="H634" i="26"/>
  <c r="H633" i="26"/>
  <c r="H632" i="26"/>
  <c r="H631" i="26"/>
  <c r="H630" i="26"/>
  <c r="H629" i="26"/>
  <c r="H628" i="26"/>
  <c r="H627" i="26"/>
  <c r="H626" i="26"/>
  <c r="H625" i="26"/>
  <c r="H624" i="26"/>
  <c r="H623" i="26"/>
  <c r="H622" i="26"/>
  <c r="H621" i="26"/>
  <c r="H620" i="26"/>
  <c r="H619" i="26"/>
  <c r="H618" i="26"/>
  <c r="H617" i="26"/>
  <c r="H616" i="26"/>
  <c r="H615" i="26"/>
  <c r="H614" i="26"/>
  <c r="H613" i="26"/>
  <c r="H612" i="26"/>
  <c r="H611" i="26"/>
  <c r="H610" i="26"/>
  <c r="H609" i="26"/>
  <c r="H608" i="26"/>
  <c r="H607" i="26"/>
  <c r="H606" i="26"/>
  <c r="H605" i="26"/>
  <c r="H604" i="26"/>
  <c r="H603" i="26"/>
  <c r="H602" i="26"/>
  <c r="H601" i="26"/>
  <c r="H600" i="26"/>
  <c r="H599" i="26"/>
  <c r="H598" i="26"/>
  <c r="H597" i="26"/>
  <c r="H596" i="26"/>
  <c r="H595" i="26"/>
  <c r="H594" i="26"/>
  <c r="H593" i="26"/>
  <c r="H592" i="26"/>
  <c r="H591" i="26"/>
  <c r="H590" i="26"/>
  <c r="H589" i="26"/>
  <c r="H588" i="26"/>
  <c r="H587" i="26"/>
  <c r="H586" i="26"/>
  <c r="H585" i="26"/>
  <c r="H584" i="26"/>
  <c r="H583" i="26"/>
  <c r="H582" i="26"/>
  <c r="H581" i="26"/>
  <c r="H580" i="26"/>
  <c r="H579" i="26"/>
  <c r="H578" i="26"/>
  <c r="H577" i="26"/>
  <c r="H576" i="26"/>
  <c r="H575" i="26"/>
  <c r="H574" i="26"/>
  <c r="H573" i="26"/>
  <c r="H572" i="26"/>
  <c r="H571" i="26"/>
  <c r="H570" i="26"/>
  <c r="H569" i="26"/>
  <c r="H568" i="26"/>
  <c r="H567" i="26"/>
  <c r="H566" i="26"/>
  <c r="H565" i="26"/>
  <c r="H564" i="26"/>
  <c r="H563" i="26"/>
  <c r="H562" i="26"/>
  <c r="H561" i="26"/>
  <c r="H560" i="26"/>
  <c r="H559" i="26"/>
  <c r="H558" i="26"/>
  <c r="H557" i="26"/>
  <c r="H556" i="26"/>
  <c r="H555" i="26"/>
  <c r="H554" i="26"/>
  <c r="H553" i="26"/>
  <c r="H552" i="26"/>
  <c r="H551" i="26"/>
  <c r="H550" i="26"/>
  <c r="H549" i="26"/>
  <c r="H548" i="26"/>
  <c r="H547" i="26"/>
  <c r="H546" i="26"/>
  <c r="H545" i="26"/>
  <c r="H544" i="26"/>
  <c r="H543" i="26"/>
  <c r="H542" i="26"/>
  <c r="H541" i="26"/>
  <c r="H540" i="26"/>
  <c r="H539" i="26"/>
  <c r="H538" i="26"/>
  <c r="H537" i="26"/>
  <c r="H536" i="26"/>
  <c r="H535" i="26"/>
  <c r="H534" i="26"/>
  <c r="H533" i="26"/>
  <c r="H532" i="26"/>
  <c r="H531" i="26"/>
  <c r="H530" i="26"/>
  <c r="H529" i="26"/>
  <c r="H528" i="26"/>
  <c r="H527" i="26"/>
  <c r="H526" i="26"/>
  <c r="H525" i="26"/>
  <c r="H524" i="26"/>
  <c r="H523" i="26"/>
  <c r="H522" i="26"/>
  <c r="H521" i="26"/>
  <c r="H520" i="26"/>
  <c r="H519" i="26"/>
  <c r="H518" i="26"/>
  <c r="H517" i="26"/>
  <c r="H516" i="26"/>
  <c r="H515" i="26"/>
  <c r="H514" i="26"/>
  <c r="H513" i="26"/>
  <c r="H512" i="26"/>
  <c r="H511" i="26"/>
  <c r="H510" i="26"/>
  <c r="H509" i="26"/>
  <c r="H508" i="26"/>
  <c r="H507" i="26"/>
  <c r="H506" i="26"/>
  <c r="H505" i="26"/>
  <c r="H504" i="26"/>
  <c r="H503" i="26"/>
  <c r="H502" i="26"/>
  <c r="H501" i="26"/>
  <c r="H500" i="26"/>
  <c r="H499" i="26"/>
  <c r="H498" i="26"/>
  <c r="H497" i="26"/>
  <c r="H496" i="26"/>
  <c r="H495" i="26"/>
  <c r="H494" i="26"/>
  <c r="H493" i="26"/>
  <c r="H492" i="26"/>
  <c r="H491" i="26"/>
  <c r="H490" i="26"/>
  <c r="H489" i="26"/>
  <c r="H488" i="26"/>
  <c r="H487" i="26"/>
  <c r="H486" i="26"/>
  <c r="H485" i="26"/>
  <c r="H484" i="26"/>
  <c r="H483" i="26"/>
  <c r="H482" i="26"/>
  <c r="H481" i="26"/>
  <c r="H480" i="26"/>
  <c r="H479" i="26"/>
  <c r="H478" i="26"/>
  <c r="H477" i="26"/>
  <c r="H476" i="26"/>
  <c r="H475" i="26"/>
  <c r="H474" i="26"/>
  <c r="H473" i="26"/>
  <c r="H472" i="26"/>
  <c r="H471" i="26"/>
  <c r="H470" i="26"/>
  <c r="H469" i="26"/>
  <c r="H468" i="26"/>
  <c r="H467" i="26"/>
  <c r="H466" i="26"/>
  <c r="H465" i="26"/>
  <c r="H464" i="26"/>
  <c r="H463" i="26"/>
  <c r="H462" i="26"/>
  <c r="H461" i="26"/>
  <c r="H460" i="26"/>
  <c r="H459" i="26"/>
  <c r="H458" i="26"/>
  <c r="H457" i="26"/>
  <c r="H456" i="26"/>
  <c r="H455" i="26"/>
  <c r="H454" i="26"/>
  <c r="H453" i="26"/>
  <c r="H452" i="26"/>
  <c r="H451" i="26"/>
  <c r="H450" i="26"/>
  <c r="H449" i="26"/>
  <c r="H448" i="26"/>
  <c r="H447" i="26"/>
  <c r="H446" i="26"/>
  <c r="H445" i="26"/>
  <c r="H444" i="26"/>
  <c r="H443" i="26"/>
  <c r="H442" i="26"/>
  <c r="H441" i="26"/>
  <c r="H440" i="26"/>
  <c r="H439" i="26"/>
  <c r="H438" i="26"/>
  <c r="H437" i="26"/>
  <c r="H436" i="26"/>
  <c r="H435" i="26"/>
  <c r="H434" i="26"/>
  <c r="H433" i="26"/>
  <c r="H432" i="26"/>
  <c r="H431" i="26"/>
  <c r="H430" i="26"/>
  <c r="H429" i="26"/>
  <c r="H428" i="26"/>
  <c r="H427" i="26"/>
  <c r="H426" i="26"/>
  <c r="H425" i="26"/>
  <c r="H424" i="26"/>
  <c r="H423" i="26"/>
  <c r="H422" i="26"/>
  <c r="H421" i="26"/>
  <c r="H420" i="26"/>
  <c r="H419" i="26"/>
  <c r="H418" i="26"/>
  <c r="H417" i="26"/>
  <c r="H416" i="26"/>
  <c r="H415" i="26"/>
  <c r="H414" i="26"/>
  <c r="H413" i="26"/>
  <c r="H412" i="26"/>
  <c r="H411" i="26"/>
  <c r="H410" i="26"/>
  <c r="H409" i="26"/>
  <c r="H408" i="26"/>
  <c r="H407" i="26"/>
  <c r="H406" i="26"/>
  <c r="H405" i="26"/>
  <c r="H404" i="26"/>
  <c r="H403" i="26"/>
  <c r="H402" i="26"/>
  <c r="H401" i="26"/>
  <c r="H400" i="26"/>
  <c r="H399" i="26"/>
  <c r="H398" i="26"/>
  <c r="H397" i="26"/>
  <c r="H396" i="26"/>
  <c r="H395" i="26"/>
  <c r="H394" i="26"/>
  <c r="H393" i="26"/>
  <c r="H392" i="26"/>
  <c r="H391" i="26"/>
  <c r="H390" i="26"/>
  <c r="H389" i="26"/>
  <c r="H388" i="26"/>
  <c r="H387" i="26"/>
  <c r="H386" i="26"/>
  <c r="H385" i="26"/>
  <c r="H384" i="26"/>
  <c r="H383" i="26"/>
  <c r="H382" i="26"/>
  <c r="H381" i="26"/>
  <c r="H380" i="26"/>
  <c r="H379" i="26"/>
  <c r="H378" i="26"/>
  <c r="H377" i="26"/>
  <c r="H376" i="26"/>
  <c r="H375" i="26"/>
  <c r="H374" i="26"/>
  <c r="H373" i="26"/>
  <c r="H372" i="26"/>
  <c r="H371" i="26"/>
  <c r="H370" i="26"/>
  <c r="H369" i="26"/>
  <c r="H368" i="26"/>
  <c r="H367" i="26"/>
  <c r="H366" i="26"/>
  <c r="H365" i="26"/>
  <c r="H364" i="26"/>
  <c r="H363" i="26"/>
  <c r="H362" i="26"/>
  <c r="H361" i="26"/>
  <c r="H360" i="26"/>
  <c r="H359" i="26"/>
  <c r="H358" i="26"/>
  <c r="H357" i="26"/>
  <c r="H356" i="26"/>
  <c r="H355" i="26"/>
  <c r="H354" i="26"/>
  <c r="H353" i="26"/>
  <c r="H352" i="26"/>
  <c r="H351" i="26"/>
  <c r="H350" i="26"/>
  <c r="H349" i="26"/>
  <c r="H348" i="26"/>
  <c r="H347" i="26"/>
  <c r="H346" i="26"/>
  <c r="H345" i="26"/>
  <c r="H344" i="26"/>
  <c r="H343" i="26"/>
  <c r="H342" i="26"/>
  <c r="H341" i="26"/>
  <c r="H340" i="26"/>
  <c r="H339" i="26"/>
  <c r="H338" i="26"/>
  <c r="H337" i="26"/>
  <c r="H336" i="26"/>
  <c r="H335" i="26"/>
  <c r="H334" i="26"/>
  <c r="H333" i="26"/>
  <c r="H332" i="26"/>
  <c r="H331" i="26"/>
  <c r="H330" i="26"/>
  <c r="H329" i="26"/>
  <c r="H328" i="26"/>
  <c r="H327" i="26"/>
  <c r="H326" i="26"/>
  <c r="H325" i="26"/>
  <c r="H324" i="26"/>
  <c r="H323" i="26"/>
  <c r="H322" i="26"/>
  <c r="H321" i="26"/>
  <c r="H320" i="26"/>
  <c r="H319" i="26"/>
  <c r="H318" i="26"/>
  <c r="H317" i="26"/>
  <c r="H316" i="26"/>
  <c r="H315" i="26"/>
  <c r="H314" i="26"/>
  <c r="H313" i="26"/>
  <c r="H312" i="26"/>
  <c r="H311" i="26"/>
  <c r="H310" i="26"/>
  <c r="H309" i="26"/>
  <c r="H308" i="26"/>
  <c r="H307" i="26"/>
  <c r="H306" i="26"/>
  <c r="H305" i="26"/>
  <c r="H304" i="26"/>
  <c r="H303" i="26"/>
  <c r="H302" i="26"/>
  <c r="H301" i="26"/>
  <c r="H300" i="26"/>
  <c r="H299" i="26"/>
  <c r="H298" i="26"/>
  <c r="H297" i="26"/>
  <c r="H296" i="26"/>
  <c r="H295" i="26"/>
  <c r="H294" i="26"/>
  <c r="H293" i="26"/>
  <c r="H292" i="26"/>
  <c r="H291" i="26"/>
  <c r="H290" i="26"/>
  <c r="H289" i="26"/>
  <c r="H288" i="26"/>
  <c r="H287" i="26"/>
  <c r="H286" i="26"/>
  <c r="H285" i="26"/>
  <c r="H284" i="26"/>
  <c r="H283" i="26"/>
  <c r="H282" i="26"/>
  <c r="H281" i="26"/>
  <c r="H280" i="26"/>
  <c r="H279" i="26"/>
  <c r="H278" i="26"/>
  <c r="H277" i="26"/>
  <c r="H276" i="26"/>
  <c r="H275" i="26"/>
  <c r="H274" i="26"/>
  <c r="H273" i="26"/>
  <c r="H272" i="26"/>
  <c r="H271" i="26"/>
  <c r="H270" i="26"/>
  <c r="H269" i="26"/>
  <c r="H268" i="26"/>
  <c r="H267" i="26"/>
  <c r="H266" i="26"/>
  <c r="H265" i="26"/>
  <c r="H264" i="26"/>
  <c r="H263" i="26"/>
  <c r="H262" i="26"/>
  <c r="H261" i="26"/>
  <c r="H260" i="26"/>
  <c r="H259" i="26"/>
  <c r="H258" i="26"/>
  <c r="H257" i="26"/>
  <c r="H256" i="26"/>
  <c r="H255" i="26"/>
  <c r="H254" i="26"/>
  <c r="H253" i="26"/>
  <c r="H252" i="26"/>
  <c r="H251" i="26"/>
  <c r="H250" i="26"/>
  <c r="H249" i="26"/>
  <c r="H248" i="26"/>
  <c r="H247" i="26"/>
  <c r="H246" i="26"/>
  <c r="H245" i="26"/>
  <c r="H244" i="26"/>
  <c r="H243" i="26"/>
  <c r="H242" i="26"/>
  <c r="H241" i="26"/>
  <c r="H240" i="26"/>
  <c r="H239" i="26"/>
  <c r="H238" i="26"/>
  <c r="H237" i="26"/>
  <c r="H236" i="26"/>
  <c r="H235" i="26"/>
  <c r="H234" i="26"/>
  <c r="H233" i="26"/>
  <c r="H232" i="26"/>
  <c r="H231" i="26"/>
  <c r="H230" i="26"/>
  <c r="H229" i="26"/>
  <c r="H228" i="26"/>
  <c r="H227" i="26"/>
  <c r="H226" i="26"/>
  <c r="H225" i="26"/>
  <c r="H224" i="26"/>
  <c r="H223" i="26"/>
  <c r="H222" i="26"/>
  <c r="H221" i="26"/>
  <c r="H220" i="26"/>
  <c r="H219" i="26"/>
  <c r="H218" i="26"/>
  <c r="H217" i="26"/>
  <c r="H216" i="26"/>
  <c r="H215" i="26"/>
  <c r="H214" i="26"/>
  <c r="H213" i="26"/>
  <c r="H212" i="26"/>
  <c r="H211" i="26"/>
  <c r="H210" i="26"/>
  <c r="H209" i="26"/>
  <c r="H208" i="26"/>
  <c r="H207" i="26"/>
  <c r="H206" i="26"/>
  <c r="H205" i="26"/>
  <c r="H204" i="26"/>
  <c r="H203" i="26"/>
  <c r="H202" i="26"/>
  <c r="H201" i="26"/>
  <c r="H200" i="26"/>
  <c r="H199" i="26"/>
  <c r="H198" i="26"/>
  <c r="H197" i="26"/>
  <c r="H196" i="26"/>
  <c r="H195" i="26"/>
  <c r="H194" i="26"/>
  <c r="H193" i="26"/>
  <c r="H192" i="26"/>
  <c r="H191" i="26"/>
  <c r="H190" i="26"/>
  <c r="H189" i="26"/>
  <c r="H188" i="26"/>
  <c r="H187" i="26"/>
  <c r="H186" i="26"/>
  <c r="H185" i="26"/>
  <c r="H184" i="26"/>
  <c r="H183" i="26"/>
  <c r="H182" i="26"/>
  <c r="H181" i="26"/>
  <c r="H180" i="26"/>
  <c r="H179" i="26"/>
  <c r="H178" i="26"/>
  <c r="H177" i="26"/>
  <c r="H176" i="26"/>
  <c r="H175" i="26"/>
  <c r="H174" i="26"/>
  <c r="H173" i="26"/>
  <c r="H172" i="26"/>
  <c r="H171" i="26"/>
  <c r="H170" i="26"/>
  <c r="H169" i="26"/>
  <c r="H168" i="26"/>
  <c r="H167" i="26"/>
  <c r="H166" i="26"/>
  <c r="H165" i="26"/>
  <c r="H164" i="26"/>
  <c r="H163" i="26"/>
  <c r="H162" i="26"/>
  <c r="H161" i="26"/>
  <c r="H160" i="26"/>
  <c r="H159" i="26"/>
  <c r="H158" i="26"/>
  <c r="H157" i="26"/>
  <c r="H156" i="26"/>
  <c r="H155" i="26"/>
  <c r="H154" i="26"/>
  <c r="H153" i="26"/>
  <c r="H152" i="26"/>
  <c r="H151" i="26"/>
  <c r="H150" i="26"/>
  <c r="H149" i="26"/>
  <c r="H148" i="26"/>
  <c r="H147" i="26"/>
  <c r="H146" i="26"/>
  <c r="H145" i="26"/>
  <c r="H144" i="26"/>
  <c r="H143" i="26"/>
  <c r="H142" i="26"/>
  <c r="H141" i="26"/>
  <c r="H140" i="26"/>
  <c r="H139" i="26"/>
  <c r="H138" i="26"/>
  <c r="H137" i="26"/>
  <c r="H136" i="26"/>
  <c r="H135" i="26"/>
  <c r="H134" i="26"/>
  <c r="H133" i="26"/>
  <c r="H132" i="26"/>
  <c r="H131" i="26"/>
  <c r="H130" i="26"/>
  <c r="H129" i="26"/>
  <c r="H128" i="26"/>
  <c r="H127" i="26"/>
  <c r="H126" i="26"/>
  <c r="H125" i="26"/>
  <c r="H124" i="26"/>
  <c r="H123" i="26"/>
  <c r="H122" i="26"/>
  <c r="H121" i="26"/>
  <c r="H120" i="26"/>
  <c r="H119" i="26"/>
  <c r="H118" i="26"/>
  <c r="H117" i="26"/>
  <c r="H116" i="26"/>
  <c r="H115" i="26"/>
  <c r="H114" i="26"/>
  <c r="H113" i="26"/>
  <c r="H112" i="26"/>
  <c r="H111" i="26"/>
  <c r="H110" i="26"/>
  <c r="H109" i="26"/>
  <c r="H108" i="26"/>
  <c r="H107" i="26"/>
  <c r="H106" i="26"/>
  <c r="H105" i="26"/>
  <c r="H104" i="26"/>
  <c r="H103" i="26"/>
  <c r="H102" i="26"/>
  <c r="H101" i="26"/>
  <c r="H100" i="26"/>
  <c r="H99" i="26"/>
  <c r="H98" i="26"/>
  <c r="H97" i="26"/>
  <c r="H96" i="26"/>
  <c r="H95" i="26"/>
  <c r="H94" i="26"/>
  <c r="H93" i="26"/>
  <c r="H92" i="26"/>
  <c r="H91" i="26"/>
  <c r="H90" i="26"/>
  <c r="H89" i="26"/>
  <c r="H88" i="26"/>
  <c r="H87" i="26"/>
  <c r="H86" i="26"/>
  <c r="H85" i="26"/>
  <c r="H84" i="26"/>
  <c r="H83" i="26"/>
  <c r="H82" i="26"/>
  <c r="H81" i="26"/>
  <c r="H80" i="26"/>
  <c r="H79" i="26"/>
  <c r="H78" i="26"/>
  <c r="H77" i="26"/>
  <c r="H76" i="26"/>
  <c r="H75" i="26"/>
  <c r="H74" i="26"/>
  <c r="H73" i="26"/>
  <c r="H72" i="26"/>
  <c r="H71" i="26"/>
  <c r="H70" i="26"/>
  <c r="H69" i="26"/>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10" i="26"/>
  <c r="H9" i="26"/>
  <c r="H8" i="26"/>
  <c r="H7" i="26"/>
  <c r="H6" i="26"/>
  <c r="H5" i="26"/>
  <c r="H4" i="26"/>
  <c r="H3" i="26"/>
  <c r="H2" i="26"/>
  <c r="M109" i="6"/>
  <c r="K931" i="26"/>
  <c r="K927" i="26"/>
  <c r="J964" i="26"/>
  <c r="J963" i="26"/>
  <c r="J962" i="26"/>
  <c r="J961" i="26"/>
  <c r="J960" i="26"/>
  <c r="J959" i="26"/>
  <c r="J958" i="26"/>
  <c r="J957" i="26"/>
  <c r="J956" i="26"/>
  <c r="J955" i="26"/>
  <c r="J954" i="26"/>
  <c r="J953" i="26"/>
  <c r="J952" i="26"/>
  <c r="J951" i="26"/>
  <c r="J950" i="26"/>
  <c r="J949" i="26"/>
  <c r="J948" i="26"/>
  <c r="J947" i="26"/>
  <c r="J946" i="26"/>
  <c r="J945" i="26"/>
  <c r="J944" i="26"/>
  <c r="J943" i="26"/>
  <c r="J942" i="26"/>
  <c r="J941" i="26"/>
  <c r="J940" i="26"/>
  <c r="J939" i="26"/>
  <c r="J938" i="26"/>
  <c r="J937" i="26"/>
  <c r="J936" i="26"/>
  <c r="J935" i="26"/>
  <c r="J934" i="26"/>
  <c r="J933" i="26"/>
  <c r="J932" i="26"/>
  <c r="J931" i="26"/>
  <c r="J930" i="26"/>
  <c r="J929" i="26"/>
  <c r="J928" i="26"/>
  <c r="J927" i="26"/>
  <c r="J926" i="26"/>
  <c r="J925" i="26"/>
  <c r="J924" i="26"/>
  <c r="J923" i="26"/>
  <c r="J922" i="26"/>
  <c r="J921" i="26"/>
  <c r="J920" i="26"/>
  <c r="J919" i="26"/>
  <c r="J918" i="26"/>
  <c r="J917" i="26"/>
  <c r="J916" i="26"/>
  <c r="J915" i="26"/>
  <c r="J914"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H964" i="26"/>
  <c r="H963" i="26"/>
  <c r="H962" i="26"/>
  <c r="H953" i="26"/>
  <c r="G964" i="26"/>
  <c r="G963" i="26"/>
  <c r="G962" i="26"/>
  <c r="G961" i="26"/>
  <c r="G960" i="26"/>
  <c r="G959" i="26"/>
  <c r="G958" i="26"/>
  <c r="G957" i="26"/>
  <c r="G956" i="26"/>
  <c r="G955" i="26"/>
  <c r="G954" i="26"/>
  <c r="G953" i="26"/>
  <c r="G952" i="26"/>
  <c r="G951" i="26"/>
  <c r="G950" i="26"/>
  <c r="G949" i="26"/>
  <c r="G948" i="26"/>
  <c r="G947" i="26"/>
  <c r="G946" i="26"/>
  <c r="G945" i="26"/>
  <c r="G944" i="26"/>
  <c r="G943" i="26"/>
  <c r="G942" i="26"/>
  <c r="G941" i="26"/>
  <c r="G940" i="26"/>
  <c r="G939" i="26"/>
  <c r="G938" i="26"/>
  <c r="G937" i="26"/>
  <c r="G936" i="26"/>
  <c r="G935" i="26"/>
  <c r="G934" i="26"/>
  <c r="G933" i="26"/>
  <c r="G932" i="26"/>
  <c r="G931" i="26"/>
  <c r="G930" i="26"/>
  <c r="G929" i="26"/>
  <c r="G928" i="26"/>
  <c r="G927" i="26"/>
  <c r="G926" i="26"/>
  <c r="G925" i="26"/>
  <c r="G924" i="26"/>
  <c r="G923" i="26"/>
  <c r="G922" i="26"/>
  <c r="G921" i="26"/>
  <c r="G920" i="26"/>
  <c r="G919" i="26"/>
  <c r="G918" i="26"/>
  <c r="G917" i="26"/>
  <c r="G916" i="26"/>
  <c r="G915" i="26"/>
  <c r="G914" i="26"/>
  <c r="F964" i="26"/>
  <c r="F963" i="26"/>
  <c r="F962" i="26"/>
  <c r="F961" i="26"/>
  <c r="F960" i="26"/>
  <c r="F959" i="26"/>
  <c r="F958" i="26"/>
  <c r="F957" i="26"/>
  <c r="F956" i="26"/>
  <c r="F955" i="26"/>
  <c r="F954" i="26"/>
  <c r="F953" i="26"/>
  <c r="F952" i="26"/>
  <c r="F951" i="26"/>
  <c r="F950" i="26"/>
  <c r="F949" i="26"/>
  <c r="F948" i="26"/>
  <c r="F947" i="26"/>
  <c r="F946" i="26"/>
  <c r="F945" i="26"/>
  <c r="F944" i="26"/>
  <c r="F943" i="26"/>
  <c r="F942" i="26"/>
  <c r="F941" i="26"/>
  <c r="F940" i="26"/>
  <c r="F939" i="26"/>
  <c r="F938" i="26"/>
  <c r="F937" i="26"/>
  <c r="F936" i="26"/>
  <c r="F935" i="26"/>
  <c r="F934" i="26"/>
  <c r="F933" i="26"/>
  <c r="F932" i="26"/>
  <c r="F931" i="26"/>
  <c r="F930" i="26"/>
  <c r="F929" i="26"/>
  <c r="F928" i="26"/>
  <c r="F927" i="26"/>
  <c r="F926" i="26"/>
  <c r="F925" i="26"/>
  <c r="F924" i="26"/>
  <c r="F923" i="26"/>
  <c r="F922" i="26"/>
  <c r="F921" i="26"/>
  <c r="F920" i="26"/>
  <c r="F919" i="26"/>
  <c r="F918" i="26"/>
  <c r="F917" i="26"/>
  <c r="F916" i="26"/>
  <c r="F915" i="26"/>
  <c r="F914" i="26"/>
  <c r="E964" i="26"/>
  <c r="E963" i="26"/>
  <c r="E962" i="26"/>
  <c r="E961" i="26"/>
  <c r="E960" i="26"/>
  <c r="E959" i="26"/>
  <c r="E958" i="26"/>
  <c r="E957" i="26"/>
  <c r="E956" i="26"/>
  <c r="E955" i="26"/>
  <c r="E954" i="26"/>
  <c r="E953" i="26"/>
  <c r="E952" i="26"/>
  <c r="E951" i="26"/>
  <c r="E950" i="26"/>
  <c r="E949" i="26"/>
  <c r="E948" i="26"/>
  <c r="E947" i="26"/>
  <c r="E946" i="26"/>
  <c r="E945" i="26"/>
  <c r="E944" i="26"/>
  <c r="E943" i="26"/>
  <c r="E942" i="26"/>
  <c r="E941" i="26"/>
  <c r="E940" i="26"/>
  <c r="E939" i="26"/>
  <c r="E938" i="26"/>
  <c r="E937" i="26"/>
  <c r="E936" i="26"/>
  <c r="E935" i="26"/>
  <c r="E934" i="26"/>
  <c r="E933" i="26"/>
  <c r="E932" i="26"/>
  <c r="E931" i="26"/>
  <c r="E930" i="26"/>
  <c r="E929" i="26"/>
  <c r="E928" i="26"/>
  <c r="E927" i="26"/>
  <c r="E926" i="26"/>
  <c r="E925" i="26"/>
  <c r="E924" i="26"/>
  <c r="E923" i="26"/>
  <c r="E922" i="26"/>
  <c r="E921" i="26"/>
  <c r="E920" i="26"/>
  <c r="E919" i="26"/>
  <c r="E918" i="26"/>
  <c r="E917" i="26"/>
  <c r="E916" i="26"/>
  <c r="E915" i="26"/>
  <c r="E914" i="26"/>
  <c r="D964" i="26"/>
  <c r="D963" i="26"/>
  <c r="D962" i="26"/>
  <c r="D961" i="26"/>
  <c r="D960" i="26"/>
  <c r="D959" i="26"/>
  <c r="D958" i="26"/>
  <c r="D957" i="26"/>
  <c r="D956" i="26"/>
  <c r="D955" i="26"/>
  <c r="D954" i="26"/>
  <c r="D953" i="26"/>
  <c r="D952" i="26"/>
  <c r="D951" i="26"/>
  <c r="D950" i="26"/>
  <c r="D949" i="26"/>
  <c r="D948" i="26"/>
  <c r="D947" i="26"/>
  <c r="D946" i="26"/>
  <c r="D945" i="26"/>
  <c r="D944" i="26"/>
  <c r="D943" i="26"/>
  <c r="D942" i="26"/>
  <c r="D941" i="26"/>
  <c r="D940" i="26"/>
  <c r="D939" i="26"/>
  <c r="D938" i="26"/>
  <c r="D937" i="26"/>
  <c r="D936" i="26"/>
  <c r="D935" i="26"/>
  <c r="D934" i="26"/>
  <c r="D933" i="26"/>
  <c r="D932" i="26"/>
  <c r="D931" i="26"/>
  <c r="D930" i="26"/>
  <c r="D929" i="26"/>
  <c r="D928" i="26"/>
  <c r="D927" i="26"/>
  <c r="D926" i="26"/>
  <c r="D925" i="26"/>
  <c r="D924" i="26"/>
  <c r="D923" i="26"/>
  <c r="D922" i="26"/>
  <c r="D921" i="26"/>
  <c r="D920" i="26"/>
  <c r="D919" i="26"/>
  <c r="D918" i="26"/>
  <c r="D917" i="26"/>
  <c r="D916" i="26"/>
  <c r="D915" i="26"/>
  <c r="D914" i="26"/>
  <c r="AGI44" i="3"/>
  <c r="AGI42" i="3"/>
  <c r="AGC45" i="3"/>
  <c r="AGC46" i="3"/>
  <c r="AGC52" i="3"/>
  <c r="AGC48" i="3"/>
  <c r="G308" i="31"/>
  <c r="G307" i="31"/>
  <c r="G306" i="31"/>
  <c r="G305" i="31"/>
  <c r="G304" i="31"/>
  <c r="G310" i="31"/>
  <c r="G309" i="31"/>
  <c r="AE202" i="18"/>
  <c r="AC202" i="18"/>
  <c r="AJ202" i="18"/>
  <c r="AI202" i="18"/>
  <c r="BA202" i="18"/>
  <c r="BB202" i="18"/>
  <c r="G288" i="31"/>
  <c r="AK169" i="18"/>
  <c r="AK146" i="18"/>
  <c r="AK116" i="18"/>
  <c r="AK79" i="18"/>
  <c r="K881" i="26"/>
  <c r="K878" i="26"/>
  <c r="K874" i="26"/>
  <c r="K873" i="26"/>
  <c r="J913" i="26"/>
  <c r="J912" i="26"/>
  <c r="J911" i="26"/>
  <c r="J910" i="26"/>
  <c r="J909" i="26"/>
  <c r="J908" i="26"/>
  <c r="J907" i="26"/>
  <c r="J906" i="26"/>
  <c r="J905" i="26"/>
  <c r="J904" i="26"/>
  <c r="J903" i="26"/>
  <c r="J902" i="26"/>
  <c r="J901" i="26"/>
  <c r="J900" i="26"/>
  <c r="J899" i="26"/>
  <c r="J898" i="26"/>
  <c r="J897" i="26"/>
  <c r="J896" i="26"/>
  <c r="J895" i="26"/>
  <c r="J894" i="26"/>
  <c r="J893" i="26"/>
  <c r="J892" i="26"/>
  <c r="J891" i="26"/>
  <c r="J890" i="26"/>
  <c r="J889" i="26"/>
  <c r="J888" i="26"/>
  <c r="J887" i="26"/>
  <c r="J886" i="26"/>
  <c r="J885" i="26"/>
  <c r="J884" i="26"/>
  <c r="J883" i="26"/>
  <c r="J882" i="26"/>
  <c r="J881" i="26"/>
  <c r="J880" i="26"/>
  <c r="J879" i="26"/>
  <c r="J878" i="26"/>
  <c r="J877" i="26"/>
  <c r="J876" i="26"/>
  <c r="J875" i="26"/>
  <c r="J874" i="26"/>
  <c r="J873" i="26"/>
  <c r="J872" i="26"/>
  <c r="J871" i="26"/>
  <c r="J870" i="26"/>
  <c r="J869" i="26"/>
  <c r="J868" i="26"/>
  <c r="J867" i="26"/>
  <c r="J866"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G913" i="26"/>
  <c r="G912" i="26"/>
  <c r="G911" i="26"/>
  <c r="G910" i="26"/>
  <c r="G909" i="26"/>
  <c r="G908" i="26"/>
  <c r="G907" i="26"/>
  <c r="G906" i="26"/>
  <c r="G905" i="26"/>
  <c r="G904" i="26"/>
  <c r="G903" i="26"/>
  <c r="G902" i="26"/>
  <c r="G901" i="26"/>
  <c r="G900" i="26"/>
  <c r="G899" i="26"/>
  <c r="G898" i="26"/>
  <c r="G897" i="26"/>
  <c r="G896" i="26"/>
  <c r="G895" i="26"/>
  <c r="G894" i="26"/>
  <c r="G893" i="26"/>
  <c r="G892" i="26"/>
  <c r="G891" i="26"/>
  <c r="G890" i="26"/>
  <c r="G889" i="26"/>
  <c r="G888" i="26"/>
  <c r="G887" i="26"/>
  <c r="G886" i="26"/>
  <c r="G885" i="26"/>
  <c r="G884" i="26"/>
  <c r="G883" i="26"/>
  <c r="G882" i="26"/>
  <c r="G881" i="26"/>
  <c r="G880" i="26"/>
  <c r="G879" i="26"/>
  <c r="G878" i="26"/>
  <c r="G877" i="26"/>
  <c r="G876" i="26"/>
  <c r="G875" i="26"/>
  <c r="G874" i="26"/>
  <c r="G873" i="26"/>
  <c r="G872" i="26"/>
  <c r="G871" i="26"/>
  <c r="G870" i="26"/>
  <c r="G869" i="26"/>
  <c r="G868" i="26"/>
  <c r="G867" i="26"/>
  <c r="G866" i="26"/>
  <c r="F913" i="26"/>
  <c r="F912" i="26"/>
  <c r="F911" i="26"/>
  <c r="F910" i="26"/>
  <c r="F909" i="26"/>
  <c r="F908" i="26"/>
  <c r="F907" i="26"/>
  <c r="F906" i="26"/>
  <c r="F905" i="26"/>
  <c r="F904" i="26"/>
  <c r="F903" i="26"/>
  <c r="F902" i="26"/>
  <c r="F901" i="26"/>
  <c r="F900" i="26"/>
  <c r="F899" i="26"/>
  <c r="F898" i="26"/>
  <c r="F897" i="26"/>
  <c r="F896" i="26"/>
  <c r="F895" i="26"/>
  <c r="F894" i="26"/>
  <c r="F893" i="26"/>
  <c r="F892" i="26"/>
  <c r="F891" i="26"/>
  <c r="F890" i="26"/>
  <c r="F889" i="26"/>
  <c r="F888" i="26"/>
  <c r="F887" i="26"/>
  <c r="F886" i="26"/>
  <c r="F885" i="26"/>
  <c r="F884" i="26"/>
  <c r="F883" i="26"/>
  <c r="F882" i="26"/>
  <c r="F881" i="26"/>
  <c r="F880" i="26"/>
  <c r="F879" i="26"/>
  <c r="F878" i="26"/>
  <c r="F877" i="26"/>
  <c r="F876" i="26"/>
  <c r="F875" i="26"/>
  <c r="F874" i="26"/>
  <c r="F873" i="26"/>
  <c r="F872" i="26"/>
  <c r="F871" i="26"/>
  <c r="F870" i="26"/>
  <c r="F869" i="26"/>
  <c r="F868" i="26"/>
  <c r="F867" i="26"/>
  <c r="F866" i="26"/>
  <c r="E913" i="26"/>
  <c r="E912" i="26"/>
  <c r="E911" i="26"/>
  <c r="E910" i="26"/>
  <c r="E909" i="26"/>
  <c r="E908" i="26"/>
  <c r="E907" i="26"/>
  <c r="E906" i="26"/>
  <c r="E905" i="26"/>
  <c r="E904" i="26"/>
  <c r="E903" i="26"/>
  <c r="E902" i="26"/>
  <c r="E901" i="26"/>
  <c r="E900" i="26"/>
  <c r="E899" i="26"/>
  <c r="E898" i="26"/>
  <c r="E897" i="26"/>
  <c r="E896" i="26"/>
  <c r="E895" i="26"/>
  <c r="E894" i="26"/>
  <c r="E893" i="26"/>
  <c r="E892" i="26"/>
  <c r="E891" i="26"/>
  <c r="E890" i="26"/>
  <c r="E889" i="26"/>
  <c r="E888" i="26"/>
  <c r="E887" i="26"/>
  <c r="E886" i="26"/>
  <c r="E885" i="26"/>
  <c r="E884" i="26"/>
  <c r="E883" i="26"/>
  <c r="E882" i="26"/>
  <c r="E881" i="26"/>
  <c r="E880" i="26"/>
  <c r="E879" i="26"/>
  <c r="E878" i="26"/>
  <c r="E877" i="26"/>
  <c r="E876" i="26"/>
  <c r="E875" i="26"/>
  <c r="E874" i="26"/>
  <c r="E873" i="26"/>
  <c r="E872" i="26"/>
  <c r="E871" i="26"/>
  <c r="E870" i="26"/>
  <c r="E869" i="26"/>
  <c r="E868" i="26"/>
  <c r="E867" i="26"/>
  <c r="E866" i="26"/>
  <c r="D913" i="26"/>
  <c r="D912" i="26"/>
  <c r="D911" i="26"/>
  <c r="D910" i="26"/>
  <c r="D909" i="26"/>
  <c r="D908" i="26"/>
  <c r="D907" i="26"/>
  <c r="D906" i="26"/>
  <c r="D905" i="26"/>
  <c r="D904" i="26"/>
  <c r="D903" i="26"/>
  <c r="D902" i="26"/>
  <c r="D901" i="26"/>
  <c r="D900" i="26"/>
  <c r="D899" i="26"/>
  <c r="D898" i="26"/>
  <c r="D897" i="26"/>
  <c r="D896" i="26"/>
  <c r="D895" i="26"/>
  <c r="D894" i="26"/>
  <c r="D893" i="26"/>
  <c r="D892" i="26"/>
  <c r="D891" i="26"/>
  <c r="D890" i="26"/>
  <c r="D889" i="26"/>
  <c r="D888" i="26"/>
  <c r="D887" i="26"/>
  <c r="D886" i="26"/>
  <c r="D885" i="26"/>
  <c r="D884" i="26"/>
  <c r="D883" i="26"/>
  <c r="D882" i="26"/>
  <c r="D881" i="26"/>
  <c r="D880" i="26"/>
  <c r="D879" i="26"/>
  <c r="D878" i="26"/>
  <c r="D877" i="26"/>
  <c r="D876" i="26"/>
  <c r="D875" i="26"/>
  <c r="D874" i="26"/>
  <c r="D873" i="26"/>
  <c r="D872" i="26"/>
  <c r="D871" i="26"/>
  <c r="D870" i="26"/>
  <c r="D869" i="26"/>
  <c r="D868" i="26"/>
  <c r="D867" i="26"/>
  <c r="D866" i="26"/>
  <c r="AFN46" i="3"/>
  <c r="AFN45" i="3"/>
  <c r="AFN52" i="3"/>
  <c r="AFN48" i="3"/>
  <c r="D2" i="31"/>
  <c r="B2" i="31"/>
  <c r="K229" i="31"/>
  <c r="M224" i="31"/>
  <c r="N205" i="31"/>
  <c r="N179" i="31"/>
  <c r="A264" i="31"/>
  <c r="B264" i="31"/>
  <c r="D264" i="31"/>
  <c r="G264" i="31"/>
  <c r="K264" i="31"/>
  <c r="L264" i="31"/>
  <c r="M264" i="31"/>
  <c r="N264" i="31"/>
  <c r="O264" i="31"/>
  <c r="P264" i="31"/>
  <c r="Q264" i="31"/>
  <c r="R264" i="31"/>
  <c r="S264" i="31"/>
  <c r="A265" i="31"/>
  <c r="B265" i="31"/>
  <c r="D265" i="31"/>
  <c r="G265" i="31"/>
  <c r="C265" i="31" s="1"/>
  <c r="K265" i="31"/>
  <c r="L265" i="31"/>
  <c r="M265" i="31"/>
  <c r="N265" i="31"/>
  <c r="O265" i="31"/>
  <c r="P265" i="31"/>
  <c r="Q265" i="31"/>
  <c r="R265" i="31"/>
  <c r="S265" i="31"/>
  <c r="A266" i="31"/>
  <c r="B266" i="31"/>
  <c r="D266" i="31"/>
  <c r="G266" i="31"/>
  <c r="C266" i="31" s="1"/>
  <c r="K266" i="31"/>
  <c r="L266" i="31"/>
  <c r="M266" i="31"/>
  <c r="N266" i="31"/>
  <c r="O266" i="31"/>
  <c r="P266" i="31"/>
  <c r="Q266" i="31"/>
  <c r="R266" i="31"/>
  <c r="S266" i="31"/>
  <c r="A267" i="31"/>
  <c r="B267" i="31"/>
  <c r="D267" i="31"/>
  <c r="G267" i="31"/>
  <c r="C267" i="31" s="1"/>
  <c r="K267" i="31"/>
  <c r="L267" i="31"/>
  <c r="M267" i="31"/>
  <c r="N267" i="31"/>
  <c r="O267" i="31"/>
  <c r="P267" i="31"/>
  <c r="Q267" i="31"/>
  <c r="R267" i="31"/>
  <c r="S267" i="31"/>
  <c r="A268" i="31"/>
  <c r="B268" i="31"/>
  <c r="D268" i="31"/>
  <c r="G268" i="31"/>
  <c r="C268" i="31" s="1"/>
  <c r="K268" i="31"/>
  <c r="L268" i="31"/>
  <c r="M268" i="31"/>
  <c r="N268" i="31"/>
  <c r="O268" i="31"/>
  <c r="P268" i="31"/>
  <c r="Q268" i="31"/>
  <c r="R268" i="31"/>
  <c r="S268" i="31"/>
  <c r="A269" i="31"/>
  <c r="B269" i="31"/>
  <c r="D269" i="31"/>
  <c r="G269" i="31"/>
  <c r="C269" i="31" s="1"/>
  <c r="K269" i="31"/>
  <c r="L269" i="31"/>
  <c r="M269" i="31"/>
  <c r="N269" i="31"/>
  <c r="O269" i="31"/>
  <c r="P269" i="31"/>
  <c r="Q269" i="31"/>
  <c r="R269" i="31"/>
  <c r="S269" i="31"/>
  <c r="A270" i="31"/>
  <c r="B270" i="31"/>
  <c r="D270" i="31"/>
  <c r="G270" i="31"/>
  <c r="C270" i="31" s="1"/>
  <c r="K270" i="31"/>
  <c r="L270" i="31"/>
  <c r="M270" i="31"/>
  <c r="N270" i="31"/>
  <c r="O270" i="31"/>
  <c r="P270" i="31"/>
  <c r="Q270" i="31"/>
  <c r="R270" i="31"/>
  <c r="S270" i="31"/>
  <c r="A271" i="31"/>
  <c r="B271" i="31"/>
  <c r="D271" i="31"/>
  <c r="G271" i="31"/>
  <c r="C271" i="31" s="1"/>
  <c r="K271" i="31"/>
  <c r="L271" i="31"/>
  <c r="M271" i="31"/>
  <c r="N271" i="31"/>
  <c r="O271" i="31"/>
  <c r="P271" i="31"/>
  <c r="Q271" i="31"/>
  <c r="R271" i="31"/>
  <c r="S271" i="31"/>
  <c r="A272" i="31"/>
  <c r="B272" i="31"/>
  <c r="D272" i="31"/>
  <c r="G272" i="31"/>
  <c r="C272" i="31" s="1"/>
  <c r="K272" i="31"/>
  <c r="L272" i="31"/>
  <c r="M272" i="31"/>
  <c r="N272" i="31"/>
  <c r="O272" i="31"/>
  <c r="P272" i="31"/>
  <c r="Q272" i="31"/>
  <c r="R272" i="31"/>
  <c r="S272" i="31"/>
  <c r="A273" i="31"/>
  <c r="B273" i="31"/>
  <c r="D273" i="31"/>
  <c r="G273" i="31"/>
  <c r="C273" i="31" s="1"/>
  <c r="K273" i="31"/>
  <c r="L273" i="31"/>
  <c r="M273" i="31"/>
  <c r="N273" i="31"/>
  <c r="O273" i="31"/>
  <c r="P273" i="31"/>
  <c r="Q273" i="31"/>
  <c r="R273" i="31"/>
  <c r="S273" i="31"/>
  <c r="A274" i="31"/>
  <c r="B274" i="31"/>
  <c r="D274" i="31"/>
  <c r="G274" i="31"/>
  <c r="C274" i="31" s="1"/>
  <c r="K274" i="31"/>
  <c r="L274" i="31"/>
  <c r="M274" i="31"/>
  <c r="N274" i="31"/>
  <c r="O274" i="31"/>
  <c r="P274" i="31"/>
  <c r="Q274" i="31"/>
  <c r="R274" i="31"/>
  <c r="S274" i="31"/>
  <c r="A275" i="31"/>
  <c r="B275" i="31"/>
  <c r="D275" i="31"/>
  <c r="G275" i="31"/>
  <c r="C275" i="31" s="1"/>
  <c r="K275" i="31"/>
  <c r="L275" i="31"/>
  <c r="M275" i="31"/>
  <c r="N275" i="31"/>
  <c r="O275" i="31"/>
  <c r="P275" i="31"/>
  <c r="Q275" i="31"/>
  <c r="R275" i="31"/>
  <c r="S275" i="31"/>
  <c r="A276" i="31"/>
  <c r="B276" i="31"/>
  <c r="D276" i="31"/>
  <c r="G276" i="31"/>
  <c r="C276" i="31" s="1"/>
  <c r="K276" i="31"/>
  <c r="L276" i="31"/>
  <c r="M276" i="31"/>
  <c r="N276" i="31"/>
  <c r="O276" i="31"/>
  <c r="P276" i="31"/>
  <c r="Q276" i="31"/>
  <c r="R276" i="31"/>
  <c r="S276" i="31"/>
  <c r="A277" i="31"/>
  <c r="B277" i="31"/>
  <c r="D277" i="31"/>
  <c r="G277" i="31"/>
  <c r="C277" i="31" s="1"/>
  <c r="K277" i="31"/>
  <c r="L277" i="31"/>
  <c r="M277" i="31"/>
  <c r="N277" i="31"/>
  <c r="O277" i="31"/>
  <c r="P277" i="31"/>
  <c r="Q277" i="31"/>
  <c r="R277" i="31"/>
  <c r="S277" i="31"/>
  <c r="A278" i="31"/>
  <c r="B278" i="31"/>
  <c r="D278" i="31"/>
  <c r="G278" i="31"/>
  <c r="C278" i="31" s="1"/>
  <c r="K278" i="31"/>
  <c r="L278" i="31"/>
  <c r="M278" i="31"/>
  <c r="N278" i="31"/>
  <c r="O278" i="31"/>
  <c r="P278" i="31"/>
  <c r="Q278" i="31"/>
  <c r="R278" i="31"/>
  <c r="S278" i="31"/>
  <c r="A279" i="31"/>
  <c r="B279" i="31"/>
  <c r="D279" i="31"/>
  <c r="G279" i="31"/>
  <c r="C279" i="31" s="1"/>
  <c r="K279" i="31"/>
  <c r="L279" i="31"/>
  <c r="M279" i="31"/>
  <c r="N279" i="31"/>
  <c r="O279" i="31"/>
  <c r="P279" i="31"/>
  <c r="Q279" i="31"/>
  <c r="R279" i="31"/>
  <c r="S279" i="31"/>
  <c r="A280" i="31"/>
  <c r="B280" i="31"/>
  <c r="D280" i="31"/>
  <c r="G280" i="31"/>
  <c r="C280" i="31" s="1"/>
  <c r="K280" i="31"/>
  <c r="L280" i="31"/>
  <c r="M280" i="31"/>
  <c r="N280" i="31"/>
  <c r="O280" i="31"/>
  <c r="P280" i="31"/>
  <c r="Q280" i="31"/>
  <c r="R280" i="31"/>
  <c r="S280" i="31"/>
  <c r="A281" i="31"/>
  <c r="B281" i="31"/>
  <c r="D281" i="31"/>
  <c r="G281" i="31"/>
  <c r="C281" i="31" s="1"/>
  <c r="K281" i="31"/>
  <c r="L281" i="31"/>
  <c r="M281" i="31"/>
  <c r="N281" i="31"/>
  <c r="O281" i="31"/>
  <c r="P281" i="31"/>
  <c r="Q281" i="31"/>
  <c r="R281" i="31"/>
  <c r="S281" i="31"/>
  <c r="A282" i="31"/>
  <c r="B282" i="31"/>
  <c r="D282" i="31"/>
  <c r="G282" i="31"/>
  <c r="C282" i="31" s="1"/>
  <c r="K282" i="31"/>
  <c r="L282" i="31"/>
  <c r="M282" i="31"/>
  <c r="N282" i="31"/>
  <c r="O282" i="31"/>
  <c r="P282" i="31"/>
  <c r="Q282" i="31"/>
  <c r="R282" i="31"/>
  <c r="S282" i="31"/>
  <c r="A283" i="31"/>
  <c r="B283" i="31"/>
  <c r="D283" i="31"/>
  <c r="G283" i="31"/>
  <c r="C283" i="31" s="1"/>
  <c r="K283" i="31"/>
  <c r="L283" i="31"/>
  <c r="M283" i="31"/>
  <c r="N283" i="31"/>
  <c r="O283" i="31"/>
  <c r="P283" i="31"/>
  <c r="Q283" i="31"/>
  <c r="R283" i="31"/>
  <c r="S283" i="31"/>
  <c r="A284" i="31"/>
  <c r="B284" i="31"/>
  <c r="D284" i="31"/>
  <c r="G284" i="31"/>
  <c r="C284" i="31" s="1"/>
  <c r="K284" i="31"/>
  <c r="L284" i="31"/>
  <c r="M284" i="31"/>
  <c r="N284" i="31"/>
  <c r="O284" i="31"/>
  <c r="P284" i="31"/>
  <c r="Q284" i="31"/>
  <c r="R284" i="31"/>
  <c r="S284" i="31"/>
  <c r="A285" i="31"/>
  <c r="B285" i="31"/>
  <c r="D285" i="31"/>
  <c r="G285" i="31"/>
  <c r="C285" i="31" s="1"/>
  <c r="K285" i="31"/>
  <c r="L285" i="31"/>
  <c r="M285" i="31"/>
  <c r="N285" i="31"/>
  <c r="O285" i="31"/>
  <c r="P285" i="31"/>
  <c r="Q285" i="31"/>
  <c r="R285" i="31"/>
  <c r="S285" i="31"/>
  <c r="A286" i="31"/>
  <c r="B286" i="31"/>
  <c r="D286" i="31"/>
  <c r="G286" i="31"/>
  <c r="C286" i="31" s="1"/>
  <c r="K286" i="31"/>
  <c r="L286" i="31"/>
  <c r="M286" i="31"/>
  <c r="N286" i="31"/>
  <c r="O286" i="31"/>
  <c r="P286" i="31"/>
  <c r="Q286" i="31"/>
  <c r="R286" i="31"/>
  <c r="S286" i="31"/>
  <c r="A287" i="31"/>
  <c r="B287" i="31"/>
  <c r="D287" i="31"/>
  <c r="G287" i="31"/>
  <c r="C287" i="31" s="1"/>
  <c r="K287" i="31"/>
  <c r="L287" i="31"/>
  <c r="M287" i="31"/>
  <c r="N287" i="31"/>
  <c r="O287" i="31"/>
  <c r="P287" i="31"/>
  <c r="Q287" i="31"/>
  <c r="R287" i="31"/>
  <c r="S287" i="31"/>
  <c r="A288" i="31"/>
  <c r="B288" i="31"/>
  <c r="D288" i="31"/>
  <c r="C288" i="31"/>
  <c r="K288" i="31"/>
  <c r="L288" i="31"/>
  <c r="M288" i="31"/>
  <c r="N288" i="31"/>
  <c r="O288" i="31"/>
  <c r="P288" i="31"/>
  <c r="Q288" i="31"/>
  <c r="R288" i="31"/>
  <c r="S288" i="31"/>
  <c r="A289" i="31"/>
  <c r="B289" i="31"/>
  <c r="D289" i="31"/>
  <c r="G289" i="31"/>
  <c r="C289" i="31" s="1"/>
  <c r="K289" i="31"/>
  <c r="L289" i="31"/>
  <c r="M289" i="31"/>
  <c r="N289" i="31"/>
  <c r="O289" i="31"/>
  <c r="P289" i="31"/>
  <c r="Q289" i="31"/>
  <c r="R289" i="31"/>
  <c r="S289" i="31"/>
  <c r="A290" i="31"/>
  <c r="B290" i="31"/>
  <c r="D290" i="31"/>
  <c r="G290" i="31"/>
  <c r="C290" i="31" s="1"/>
  <c r="K290" i="31"/>
  <c r="L290" i="31"/>
  <c r="M290" i="31"/>
  <c r="N290" i="31"/>
  <c r="O290" i="31"/>
  <c r="P290" i="31"/>
  <c r="Q290" i="31"/>
  <c r="R290" i="31"/>
  <c r="S290" i="31"/>
  <c r="A291" i="31"/>
  <c r="B291" i="31"/>
  <c r="D291" i="31"/>
  <c r="G291" i="31"/>
  <c r="C291" i="31" s="1"/>
  <c r="K291" i="31"/>
  <c r="L291" i="31"/>
  <c r="M291" i="31"/>
  <c r="N291" i="31"/>
  <c r="O291" i="31"/>
  <c r="P291" i="31"/>
  <c r="Q291" i="31"/>
  <c r="R291" i="31"/>
  <c r="S291" i="31"/>
  <c r="A292" i="31"/>
  <c r="B292" i="31"/>
  <c r="D292" i="31"/>
  <c r="G292" i="31"/>
  <c r="C292" i="31" s="1"/>
  <c r="K292" i="31"/>
  <c r="L292" i="31"/>
  <c r="M292" i="31"/>
  <c r="N292" i="31"/>
  <c r="O292" i="31"/>
  <c r="P292" i="31"/>
  <c r="Q292" i="31"/>
  <c r="R292" i="31"/>
  <c r="S292" i="31"/>
  <c r="A293" i="31"/>
  <c r="B293" i="31"/>
  <c r="D293" i="31"/>
  <c r="G293" i="31"/>
  <c r="C293" i="31" s="1"/>
  <c r="K293" i="31"/>
  <c r="L293" i="31"/>
  <c r="M293" i="31"/>
  <c r="N293" i="31"/>
  <c r="O293" i="31"/>
  <c r="P293" i="31"/>
  <c r="Q293" i="31"/>
  <c r="R293" i="31"/>
  <c r="S293" i="31"/>
  <c r="A294" i="31"/>
  <c r="B294" i="31"/>
  <c r="D294" i="31"/>
  <c r="G294" i="31"/>
  <c r="C294" i="31" s="1"/>
  <c r="K294" i="31"/>
  <c r="L294" i="31"/>
  <c r="M294" i="31"/>
  <c r="N294" i="31"/>
  <c r="O294" i="31"/>
  <c r="P294" i="31"/>
  <c r="Q294" i="31"/>
  <c r="R294" i="31"/>
  <c r="S294" i="31"/>
  <c r="A295" i="31"/>
  <c r="B295" i="31"/>
  <c r="D295" i="31"/>
  <c r="G295" i="31"/>
  <c r="C295" i="31" s="1"/>
  <c r="K295" i="31"/>
  <c r="L295" i="31"/>
  <c r="M295" i="31"/>
  <c r="N295" i="31"/>
  <c r="O295" i="31"/>
  <c r="P295" i="31"/>
  <c r="Q295" i="31"/>
  <c r="R295" i="31"/>
  <c r="S295" i="31"/>
  <c r="A296" i="31"/>
  <c r="B296" i="31"/>
  <c r="D296" i="31"/>
  <c r="G296" i="31"/>
  <c r="C296" i="31" s="1"/>
  <c r="K296" i="31"/>
  <c r="L296" i="31"/>
  <c r="M296" i="31"/>
  <c r="N296" i="31"/>
  <c r="O296" i="31"/>
  <c r="P296" i="31"/>
  <c r="Q296" i="31"/>
  <c r="R296" i="31"/>
  <c r="S296" i="31"/>
  <c r="A297" i="31"/>
  <c r="B297" i="31"/>
  <c r="D297" i="31"/>
  <c r="G297" i="31"/>
  <c r="C297" i="31" s="1"/>
  <c r="K297" i="31"/>
  <c r="L297" i="31"/>
  <c r="M297" i="31"/>
  <c r="N297" i="31"/>
  <c r="O297" i="31"/>
  <c r="P297" i="31"/>
  <c r="Q297" i="31"/>
  <c r="R297" i="31"/>
  <c r="S297" i="31"/>
  <c r="A298" i="31"/>
  <c r="B298" i="31"/>
  <c r="D298" i="31"/>
  <c r="G298" i="31"/>
  <c r="C298" i="31" s="1"/>
  <c r="K298" i="31"/>
  <c r="L298" i="31"/>
  <c r="M298" i="31"/>
  <c r="N298" i="31"/>
  <c r="O298" i="31"/>
  <c r="P298" i="31"/>
  <c r="Q298" i="31"/>
  <c r="R298" i="31"/>
  <c r="S298" i="31"/>
  <c r="A299" i="31"/>
  <c r="B299" i="31"/>
  <c r="D299" i="31"/>
  <c r="G299" i="31"/>
  <c r="C299" i="31" s="1"/>
  <c r="K299" i="31"/>
  <c r="L299" i="31"/>
  <c r="M299" i="31"/>
  <c r="N299" i="31"/>
  <c r="O299" i="31"/>
  <c r="P299" i="31"/>
  <c r="Q299" i="31"/>
  <c r="R299" i="31"/>
  <c r="S299" i="31"/>
  <c r="A300" i="31"/>
  <c r="B300" i="31"/>
  <c r="D300" i="31"/>
  <c r="G300" i="31"/>
  <c r="C300" i="31" s="1"/>
  <c r="K300" i="31"/>
  <c r="L300" i="31"/>
  <c r="M300" i="31"/>
  <c r="N300" i="31"/>
  <c r="O300" i="31"/>
  <c r="P300" i="31"/>
  <c r="Q300" i="31"/>
  <c r="R300" i="31"/>
  <c r="S300" i="31"/>
  <c r="A301" i="31"/>
  <c r="B301" i="31"/>
  <c r="D301" i="31"/>
  <c r="G301" i="31"/>
  <c r="C301" i="31" s="1"/>
  <c r="K301" i="31"/>
  <c r="L301" i="31"/>
  <c r="M301" i="31"/>
  <c r="N301" i="31"/>
  <c r="O301" i="31"/>
  <c r="P301" i="31"/>
  <c r="Q301" i="31"/>
  <c r="R301" i="31"/>
  <c r="S301" i="31"/>
  <c r="A302" i="31"/>
  <c r="B302" i="31"/>
  <c r="D302" i="31"/>
  <c r="G302" i="31"/>
  <c r="C302" i="31" s="1"/>
  <c r="K302" i="31"/>
  <c r="L302" i="31"/>
  <c r="M302" i="31"/>
  <c r="N302" i="31"/>
  <c r="O302" i="31"/>
  <c r="P302" i="31"/>
  <c r="Q302" i="31"/>
  <c r="R302" i="31"/>
  <c r="S302" i="31"/>
  <c r="A303" i="31"/>
  <c r="B303" i="31"/>
  <c r="D303" i="31"/>
  <c r="G303" i="31"/>
  <c r="C303" i="31" s="1"/>
  <c r="K303" i="31"/>
  <c r="L303" i="31"/>
  <c r="M303" i="31"/>
  <c r="N303" i="31"/>
  <c r="O303" i="31"/>
  <c r="P303" i="31"/>
  <c r="Q303" i="31"/>
  <c r="R303" i="31"/>
  <c r="S303" i="31"/>
  <c r="A304" i="31"/>
  <c r="B304" i="31"/>
  <c r="D304" i="31"/>
  <c r="C304" i="31"/>
  <c r="K304" i="31"/>
  <c r="L304" i="31"/>
  <c r="M304" i="31"/>
  <c r="N304" i="31"/>
  <c r="O304" i="31"/>
  <c r="P304" i="31"/>
  <c r="Q304" i="31"/>
  <c r="R304" i="31"/>
  <c r="S304" i="31"/>
  <c r="A305" i="31"/>
  <c r="B305" i="31"/>
  <c r="D305" i="31"/>
  <c r="C305" i="31"/>
  <c r="K305" i="31"/>
  <c r="L305" i="31"/>
  <c r="M305" i="31"/>
  <c r="N305" i="31"/>
  <c r="O305" i="31"/>
  <c r="P305" i="31"/>
  <c r="Q305" i="31"/>
  <c r="R305" i="31"/>
  <c r="S305" i="31"/>
  <c r="A306" i="31"/>
  <c r="B306" i="31"/>
  <c r="D306" i="31"/>
  <c r="C306" i="31"/>
  <c r="K306" i="31"/>
  <c r="L306" i="31"/>
  <c r="M306" i="31"/>
  <c r="N306" i="31"/>
  <c r="O306" i="31"/>
  <c r="P306" i="31"/>
  <c r="Q306" i="31"/>
  <c r="R306" i="31"/>
  <c r="S306" i="31"/>
  <c r="A307" i="31"/>
  <c r="B307" i="31"/>
  <c r="D307" i="31"/>
  <c r="C307" i="31"/>
  <c r="K307" i="31"/>
  <c r="L307" i="31"/>
  <c r="M307" i="31"/>
  <c r="N307" i="31"/>
  <c r="O307" i="31"/>
  <c r="P307" i="31"/>
  <c r="Q307" i="31"/>
  <c r="R307" i="31"/>
  <c r="S307" i="31"/>
  <c r="A308" i="31"/>
  <c r="B308" i="31"/>
  <c r="D308" i="31"/>
  <c r="C308" i="31"/>
  <c r="K308" i="31"/>
  <c r="L308" i="31"/>
  <c r="M308" i="31"/>
  <c r="N308" i="31"/>
  <c r="O308" i="31"/>
  <c r="P308" i="31"/>
  <c r="Q308" i="31"/>
  <c r="R308" i="31"/>
  <c r="S308" i="31"/>
  <c r="A309" i="31"/>
  <c r="B309" i="31"/>
  <c r="D309" i="31"/>
  <c r="C309" i="31"/>
  <c r="K309" i="31"/>
  <c r="L309" i="31"/>
  <c r="M309" i="31"/>
  <c r="N309" i="31"/>
  <c r="O309" i="31"/>
  <c r="P309" i="31"/>
  <c r="Q309" i="31"/>
  <c r="R309" i="31"/>
  <c r="S309" i="31"/>
  <c r="A310" i="31"/>
  <c r="B310" i="31"/>
  <c r="D310" i="31"/>
  <c r="C310" i="31"/>
  <c r="K310" i="31"/>
  <c r="L310" i="31"/>
  <c r="M310" i="31"/>
  <c r="N310" i="31"/>
  <c r="O310" i="31"/>
  <c r="P310" i="31"/>
  <c r="Q310" i="31"/>
  <c r="R310" i="31"/>
  <c r="S310" i="31"/>
  <c r="A311" i="31"/>
  <c r="B311" i="31"/>
  <c r="D311" i="31"/>
  <c r="G311" i="31"/>
  <c r="C311" i="31" s="1"/>
  <c r="K311" i="31"/>
  <c r="L311" i="31"/>
  <c r="M311" i="31"/>
  <c r="N311" i="31"/>
  <c r="O311" i="31"/>
  <c r="P311" i="31"/>
  <c r="Q311" i="31"/>
  <c r="R311" i="31"/>
  <c r="S311" i="31"/>
  <c r="A312" i="31"/>
  <c r="B312" i="31"/>
  <c r="D312" i="31"/>
  <c r="G312" i="31"/>
  <c r="C312" i="31" s="1"/>
  <c r="K312" i="31"/>
  <c r="L312" i="31"/>
  <c r="M312" i="31"/>
  <c r="N312" i="31"/>
  <c r="O312" i="31"/>
  <c r="P312" i="31"/>
  <c r="Q312" i="31"/>
  <c r="R312" i="31"/>
  <c r="S312" i="31"/>
  <c r="A313" i="31"/>
  <c r="B313" i="31"/>
  <c r="D313" i="31"/>
  <c r="G313" i="31"/>
  <c r="C313" i="31" s="1"/>
  <c r="K313" i="31"/>
  <c r="L313" i="31"/>
  <c r="M313" i="31"/>
  <c r="N313" i="31"/>
  <c r="O313" i="31"/>
  <c r="P313" i="31"/>
  <c r="Q313" i="31"/>
  <c r="R313" i="31"/>
  <c r="S313" i="31"/>
  <c r="A314" i="31"/>
  <c r="B314" i="31"/>
  <c r="D314" i="31"/>
  <c r="G314" i="31"/>
  <c r="C314" i="31" s="1"/>
  <c r="K314" i="31"/>
  <c r="L314" i="31"/>
  <c r="M314" i="31"/>
  <c r="N314" i="31"/>
  <c r="O314" i="31"/>
  <c r="P314" i="31"/>
  <c r="Q314" i="31"/>
  <c r="R314" i="31"/>
  <c r="S314" i="31"/>
  <c r="A315" i="31"/>
  <c r="B315" i="31"/>
  <c r="D315" i="31"/>
  <c r="G315" i="31"/>
  <c r="C315" i="31" s="1"/>
  <c r="K315" i="31"/>
  <c r="L315" i="31"/>
  <c r="M315" i="31"/>
  <c r="N315" i="31"/>
  <c r="O315" i="31"/>
  <c r="P315" i="31"/>
  <c r="Q315" i="31"/>
  <c r="R315" i="31"/>
  <c r="S315" i="31"/>
  <c r="A316" i="31"/>
  <c r="B316" i="31"/>
  <c r="D316" i="31"/>
  <c r="G316" i="31"/>
  <c r="C316" i="31" s="1"/>
  <c r="K316" i="31"/>
  <c r="L316" i="31"/>
  <c r="M316" i="31"/>
  <c r="N316" i="31"/>
  <c r="O316" i="31"/>
  <c r="P316" i="31"/>
  <c r="Q316" i="31"/>
  <c r="R316" i="31"/>
  <c r="S316" i="31"/>
  <c r="A317" i="31"/>
  <c r="B317" i="31"/>
  <c r="D317" i="31"/>
  <c r="G317" i="31"/>
  <c r="C317" i="31" s="1"/>
  <c r="K317" i="31"/>
  <c r="L317" i="31"/>
  <c r="M317" i="31"/>
  <c r="N317" i="31"/>
  <c r="O317" i="31"/>
  <c r="P317" i="31"/>
  <c r="Q317" i="31"/>
  <c r="R317" i="31"/>
  <c r="S317" i="31"/>
  <c r="A318" i="31"/>
  <c r="B318" i="31"/>
  <c r="D318" i="31"/>
  <c r="G318" i="31"/>
  <c r="C318" i="31" s="1"/>
  <c r="K318" i="31"/>
  <c r="L318" i="31"/>
  <c r="M318" i="31"/>
  <c r="N318" i="31"/>
  <c r="O318" i="31"/>
  <c r="P318" i="31"/>
  <c r="Q318" i="31"/>
  <c r="R318" i="31"/>
  <c r="S318" i="31"/>
  <c r="A319" i="31"/>
  <c r="B319" i="31"/>
  <c r="D319" i="31"/>
  <c r="G319" i="31"/>
  <c r="C319" i="31" s="1"/>
  <c r="K319" i="31"/>
  <c r="L319" i="31"/>
  <c r="M319" i="31"/>
  <c r="N319" i="31"/>
  <c r="O319" i="31"/>
  <c r="P319" i="31"/>
  <c r="Q319" i="31"/>
  <c r="R319" i="31"/>
  <c r="S319" i="31"/>
  <c r="A320" i="31"/>
  <c r="B320" i="31"/>
  <c r="D320" i="31"/>
  <c r="G320" i="31"/>
  <c r="C320" i="31" s="1"/>
  <c r="K320" i="31"/>
  <c r="L320" i="31"/>
  <c r="M320" i="31"/>
  <c r="N320" i="31"/>
  <c r="O320" i="31"/>
  <c r="P320" i="31"/>
  <c r="Q320" i="31"/>
  <c r="R320" i="31"/>
  <c r="S320" i="31"/>
  <c r="A321" i="31"/>
  <c r="B321" i="31"/>
  <c r="D321" i="31"/>
  <c r="G321" i="31"/>
  <c r="C321" i="31" s="1"/>
  <c r="K321" i="31"/>
  <c r="L321" i="31"/>
  <c r="M321" i="31"/>
  <c r="N321" i="31"/>
  <c r="O321" i="31"/>
  <c r="P321" i="31"/>
  <c r="Q321" i="31"/>
  <c r="R321" i="31"/>
  <c r="S321" i="31"/>
  <c r="A322" i="31"/>
  <c r="B322" i="31"/>
  <c r="D322" i="31"/>
  <c r="G322" i="31"/>
  <c r="C322" i="31" s="1"/>
  <c r="K322" i="31"/>
  <c r="L322" i="31"/>
  <c r="M322" i="31"/>
  <c r="N322" i="31"/>
  <c r="O322" i="31"/>
  <c r="P322" i="31"/>
  <c r="Q322" i="31"/>
  <c r="R322" i="31"/>
  <c r="S322" i="31"/>
  <c r="A323" i="31"/>
  <c r="B323" i="31"/>
  <c r="D323" i="31"/>
  <c r="G323" i="31"/>
  <c r="C323" i="31" s="1"/>
  <c r="K323" i="31"/>
  <c r="L323" i="31"/>
  <c r="M323" i="31"/>
  <c r="N323" i="31"/>
  <c r="O323" i="31"/>
  <c r="P323" i="31"/>
  <c r="Q323" i="31"/>
  <c r="R323" i="31"/>
  <c r="S323" i="31"/>
  <c r="A324" i="31"/>
  <c r="B324" i="31"/>
  <c r="D324" i="31"/>
  <c r="G324" i="31"/>
  <c r="C324" i="31" s="1"/>
  <c r="K324" i="31"/>
  <c r="L324" i="31"/>
  <c r="M324" i="31"/>
  <c r="N324" i="31"/>
  <c r="O324" i="31"/>
  <c r="P324" i="31"/>
  <c r="Q324" i="31"/>
  <c r="R324" i="31"/>
  <c r="S324" i="31"/>
  <c r="A325" i="31"/>
  <c r="B325" i="31"/>
  <c r="D325" i="31"/>
  <c r="G325" i="31"/>
  <c r="C325" i="31" s="1"/>
  <c r="K325" i="31"/>
  <c r="L325" i="31"/>
  <c r="M325" i="31"/>
  <c r="N325" i="31"/>
  <c r="O325" i="31"/>
  <c r="P325" i="31"/>
  <c r="Q325" i="31"/>
  <c r="R325" i="31"/>
  <c r="S325" i="31"/>
  <c r="A326" i="31"/>
  <c r="B326" i="31"/>
  <c r="D326" i="31"/>
  <c r="G326" i="31"/>
  <c r="C326" i="31" s="1"/>
  <c r="K326" i="31"/>
  <c r="L326" i="31"/>
  <c r="M326" i="31"/>
  <c r="N326" i="31"/>
  <c r="O326" i="31"/>
  <c r="P326" i="31"/>
  <c r="Q326" i="31"/>
  <c r="R326" i="31"/>
  <c r="S326" i="31"/>
  <c r="A327" i="31"/>
  <c r="B327" i="31"/>
  <c r="D327" i="31"/>
  <c r="G327" i="31"/>
  <c r="C327" i="31" s="1"/>
  <c r="K327" i="31"/>
  <c r="L327" i="31"/>
  <c r="M327" i="31"/>
  <c r="N327" i="31"/>
  <c r="O327" i="31"/>
  <c r="P327" i="31"/>
  <c r="Q327" i="31"/>
  <c r="R327" i="31"/>
  <c r="S327" i="31"/>
  <c r="A328" i="31"/>
  <c r="B328" i="31"/>
  <c r="D328" i="31"/>
  <c r="G328" i="31"/>
  <c r="C328" i="31" s="1"/>
  <c r="K328" i="31"/>
  <c r="L328" i="31"/>
  <c r="M328" i="31"/>
  <c r="N328" i="31"/>
  <c r="O328" i="31"/>
  <c r="P328" i="31"/>
  <c r="Q328" i="31"/>
  <c r="R328" i="31"/>
  <c r="S328" i="31"/>
  <c r="A329" i="31"/>
  <c r="B329" i="31"/>
  <c r="D329" i="31"/>
  <c r="G329" i="31"/>
  <c r="C329" i="31" s="1"/>
  <c r="K329" i="31"/>
  <c r="L329" i="31"/>
  <c r="M329" i="31"/>
  <c r="N329" i="31"/>
  <c r="O329" i="31"/>
  <c r="P329" i="31"/>
  <c r="Q329" i="31"/>
  <c r="R329" i="31"/>
  <c r="S329" i="31"/>
  <c r="A330" i="31"/>
  <c r="B330" i="31"/>
  <c r="D330" i="31"/>
  <c r="G330" i="31"/>
  <c r="C330" i="31" s="1"/>
  <c r="K330" i="31"/>
  <c r="L330" i="31"/>
  <c r="M330" i="31"/>
  <c r="N330" i="31"/>
  <c r="O330" i="31"/>
  <c r="P330" i="31"/>
  <c r="Q330" i="31"/>
  <c r="R330" i="31"/>
  <c r="S330" i="31"/>
  <c r="A331" i="31"/>
  <c r="B331" i="31"/>
  <c r="D331" i="31"/>
  <c r="G331" i="31"/>
  <c r="C331" i="31" s="1"/>
  <c r="K331" i="31"/>
  <c r="L331" i="31"/>
  <c r="M331" i="31"/>
  <c r="N331" i="31"/>
  <c r="O331" i="31"/>
  <c r="P331" i="31"/>
  <c r="Q331" i="31"/>
  <c r="R331" i="31"/>
  <c r="S331" i="31"/>
  <c r="A332" i="31"/>
  <c r="B332" i="31"/>
  <c r="D332" i="31"/>
  <c r="G332" i="31"/>
  <c r="C332" i="31" s="1"/>
  <c r="K332" i="31"/>
  <c r="L332" i="31"/>
  <c r="M332" i="31"/>
  <c r="N332" i="31"/>
  <c r="O332" i="31"/>
  <c r="P332" i="31"/>
  <c r="Q332" i="31"/>
  <c r="R332" i="31"/>
  <c r="S332" i="31"/>
  <c r="A333" i="31"/>
  <c r="B333" i="31"/>
  <c r="D333" i="31"/>
  <c r="G333" i="31"/>
  <c r="C333" i="31" s="1"/>
  <c r="K333" i="31"/>
  <c r="L333" i="31"/>
  <c r="M333" i="31"/>
  <c r="N333" i="31"/>
  <c r="O333" i="31"/>
  <c r="P333" i="31"/>
  <c r="Q333" i="31"/>
  <c r="R333" i="31"/>
  <c r="S333" i="31"/>
  <c r="A334" i="31"/>
  <c r="B334" i="31"/>
  <c r="D334" i="31"/>
  <c r="G334" i="31"/>
  <c r="C334" i="31" s="1"/>
  <c r="K334" i="31"/>
  <c r="L334" i="31"/>
  <c r="M334" i="31"/>
  <c r="N334" i="31"/>
  <c r="O334" i="31"/>
  <c r="P334" i="31"/>
  <c r="Q334" i="31"/>
  <c r="R334" i="31"/>
  <c r="S334" i="31"/>
  <c r="K251" i="31"/>
  <c r="L251" i="31"/>
  <c r="M251" i="31"/>
  <c r="N251" i="31"/>
  <c r="O251" i="31"/>
  <c r="P251" i="31"/>
  <c r="Q251" i="31"/>
  <c r="R251" i="31"/>
  <c r="S251" i="31"/>
  <c r="L252" i="31"/>
  <c r="M252" i="31"/>
  <c r="N252" i="31"/>
  <c r="P252" i="31"/>
  <c r="Q252" i="31"/>
  <c r="R252" i="31"/>
  <c r="S252" i="31"/>
  <c r="K253" i="31"/>
  <c r="L253" i="31"/>
  <c r="M253" i="31"/>
  <c r="N253" i="31"/>
  <c r="O253" i="31"/>
  <c r="P253" i="31"/>
  <c r="Q253" i="31"/>
  <c r="R253" i="31"/>
  <c r="S253" i="31"/>
  <c r="K254" i="31"/>
  <c r="L254" i="31"/>
  <c r="M254" i="31"/>
  <c r="N254" i="31"/>
  <c r="O254" i="31"/>
  <c r="P254" i="31"/>
  <c r="Q254" i="31"/>
  <c r="R254" i="31"/>
  <c r="S254" i="31"/>
  <c r="L255" i="31"/>
  <c r="M255" i="31"/>
  <c r="N255" i="31"/>
  <c r="P255" i="31"/>
  <c r="Q255" i="31"/>
  <c r="R255" i="31"/>
  <c r="S255" i="31"/>
  <c r="K257" i="31"/>
  <c r="L257" i="31"/>
  <c r="M257" i="31"/>
  <c r="N257" i="31"/>
  <c r="O257" i="31"/>
  <c r="P257" i="31"/>
  <c r="Q257" i="31"/>
  <c r="R257" i="31"/>
  <c r="S257" i="31"/>
  <c r="K258" i="31"/>
  <c r="L258" i="31"/>
  <c r="M258" i="31"/>
  <c r="N258" i="31"/>
  <c r="O258" i="31"/>
  <c r="P258" i="31"/>
  <c r="Q258" i="31"/>
  <c r="R258" i="31"/>
  <c r="S258" i="31"/>
  <c r="K259" i="31"/>
  <c r="L259" i="31"/>
  <c r="M259" i="31"/>
  <c r="N259" i="31"/>
  <c r="O259" i="31"/>
  <c r="P259" i="31"/>
  <c r="Q259" i="31"/>
  <c r="R259" i="31"/>
  <c r="S259" i="31"/>
  <c r="K260" i="31"/>
  <c r="L260" i="31"/>
  <c r="M260" i="31"/>
  <c r="N260" i="31"/>
  <c r="O260" i="31"/>
  <c r="P260" i="31"/>
  <c r="Q260" i="31"/>
  <c r="R260" i="31"/>
  <c r="S260" i="31"/>
  <c r="K261" i="31"/>
  <c r="L261" i="31"/>
  <c r="M261" i="31"/>
  <c r="N261" i="31"/>
  <c r="O261" i="31"/>
  <c r="P261" i="31"/>
  <c r="Q261" i="31"/>
  <c r="R261" i="31"/>
  <c r="S261" i="31"/>
  <c r="K262" i="31"/>
  <c r="L262" i="31"/>
  <c r="M262" i="31"/>
  <c r="N262" i="31"/>
  <c r="O262" i="31"/>
  <c r="P262" i="31"/>
  <c r="Q262" i="31"/>
  <c r="R262" i="31"/>
  <c r="S262" i="31"/>
  <c r="K263" i="31"/>
  <c r="L263" i="31"/>
  <c r="M263" i="31"/>
  <c r="N263" i="31"/>
  <c r="O263" i="31"/>
  <c r="P263" i="31"/>
  <c r="Q263" i="31"/>
  <c r="R263" i="31"/>
  <c r="S263" i="31"/>
  <c r="A251" i="31"/>
  <c r="B251" i="31"/>
  <c r="D251" i="31"/>
  <c r="A252" i="31"/>
  <c r="B252" i="31"/>
  <c r="D252" i="31"/>
  <c r="A253" i="31"/>
  <c r="B253" i="31"/>
  <c r="D253" i="31"/>
  <c r="A254" i="31"/>
  <c r="B254" i="31"/>
  <c r="D254" i="31"/>
  <c r="A255" i="31"/>
  <c r="B255" i="31"/>
  <c r="D255" i="31"/>
  <c r="A256" i="31"/>
  <c r="B256" i="31"/>
  <c r="D256" i="31"/>
  <c r="A257" i="31"/>
  <c r="B257" i="31"/>
  <c r="D257" i="31"/>
  <c r="A258" i="31"/>
  <c r="B258" i="31"/>
  <c r="D258" i="31"/>
  <c r="A259" i="31"/>
  <c r="B259" i="31"/>
  <c r="D259" i="31"/>
  <c r="A260" i="31"/>
  <c r="B260" i="31"/>
  <c r="D260" i="31"/>
  <c r="A261" i="31"/>
  <c r="B261" i="31"/>
  <c r="D261" i="31"/>
  <c r="A262" i="31"/>
  <c r="B262" i="31"/>
  <c r="D262" i="31"/>
  <c r="A263" i="31"/>
  <c r="B263" i="31"/>
  <c r="D263" i="31"/>
  <c r="G253" i="31"/>
  <c r="G254" i="31"/>
  <c r="G255" i="31"/>
  <c r="G256" i="31"/>
  <c r="G257" i="31"/>
  <c r="C257" i="31" s="1"/>
  <c r="G258" i="31"/>
  <c r="C258" i="31" s="1"/>
  <c r="G259" i="31"/>
  <c r="C259" i="31" s="1"/>
  <c r="G260" i="31"/>
  <c r="C260" i="31" s="1"/>
  <c r="G261" i="31"/>
  <c r="C261" i="31" s="1"/>
  <c r="G262" i="31"/>
  <c r="C262" i="31" s="1"/>
  <c r="G263" i="31"/>
  <c r="G251" i="31"/>
  <c r="G252" i="31"/>
  <c r="C252" i="31" s="1"/>
  <c r="J865" i="26"/>
  <c r="J864" i="26"/>
  <c r="J863" i="26"/>
  <c r="J862" i="26"/>
  <c r="J861" i="26"/>
  <c r="J860" i="26"/>
  <c r="J859" i="26"/>
  <c r="J858" i="26"/>
  <c r="J857" i="26"/>
  <c r="J856" i="26"/>
  <c r="J855" i="26"/>
  <c r="J854" i="26"/>
  <c r="J853" i="26"/>
  <c r="J852" i="26"/>
  <c r="J851" i="26"/>
  <c r="J850" i="26"/>
  <c r="J849" i="26"/>
  <c r="J848" i="26"/>
  <c r="J847" i="26"/>
  <c r="J846" i="26"/>
  <c r="J845" i="26"/>
  <c r="J844" i="26"/>
  <c r="J843" i="26"/>
  <c r="J842" i="26"/>
  <c r="J841" i="26"/>
  <c r="J840" i="26"/>
  <c r="J839" i="26"/>
  <c r="J838" i="26"/>
  <c r="J837" i="26"/>
  <c r="J836" i="26"/>
  <c r="J835" i="26"/>
  <c r="J834" i="26"/>
  <c r="J833" i="26"/>
  <c r="J832" i="26"/>
  <c r="J831" i="26"/>
  <c r="J830" i="26"/>
  <c r="J829" i="26"/>
  <c r="J828" i="26"/>
  <c r="J827" i="26"/>
  <c r="J826" i="26"/>
  <c r="J825" i="26"/>
  <c r="J824" i="26"/>
  <c r="J823" i="26"/>
  <c r="J822" i="26"/>
  <c r="J821" i="26"/>
  <c r="J820" i="26"/>
  <c r="J819"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G865" i="26"/>
  <c r="G864" i="26"/>
  <c r="G863" i="26"/>
  <c r="G862" i="26"/>
  <c r="G861" i="26"/>
  <c r="G860" i="26"/>
  <c r="G859" i="26"/>
  <c r="G858" i="26"/>
  <c r="G857" i="26"/>
  <c r="G856" i="26"/>
  <c r="G855" i="26"/>
  <c r="G854" i="26"/>
  <c r="G853" i="26"/>
  <c r="G852" i="26"/>
  <c r="G851" i="26"/>
  <c r="G850" i="26"/>
  <c r="G849" i="26"/>
  <c r="G848" i="26"/>
  <c r="G847" i="26"/>
  <c r="G846" i="26"/>
  <c r="G845" i="26"/>
  <c r="G844" i="26"/>
  <c r="G843" i="26"/>
  <c r="G842" i="26"/>
  <c r="G841" i="26"/>
  <c r="G840" i="26"/>
  <c r="G839" i="26"/>
  <c r="G838" i="26"/>
  <c r="G837" i="26"/>
  <c r="G836" i="26"/>
  <c r="G835" i="26"/>
  <c r="G834" i="26"/>
  <c r="G833" i="26"/>
  <c r="G832" i="26"/>
  <c r="G831" i="26"/>
  <c r="G830" i="26"/>
  <c r="G829" i="26"/>
  <c r="G828" i="26"/>
  <c r="G827" i="26"/>
  <c r="G826" i="26"/>
  <c r="G825" i="26"/>
  <c r="G824" i="26"/>
  <c r="G823" i="26"/>
  <c r="G822" i="26"/>
  <c r="G821" i="26"/>
  <c r="G820" i="26"/>
  <c r="G819" i="26"/>
  <c r="F865" i="26"/>
  <c r="F864" i="26"/>
  <c r="F863" i="26"/>
  <c r="F862" i="26"/>
  <c r="F861" i="26"/>
  <c r="F860" i="26"/>
  <c r="F859" i="26"/>
  <c r="F858" i="26"/>
  <c r="F857" i="26"/>
  <c r="F856" i="26"/>
  <c r="F855" i="26"/>
  <c r="F854" i="26"/>
  <c r="F853" i="26"/>
  <c r="F852" i="26"/>
  <c r="F851" i="26"/>
  <c r="F850" i="26"/>
  <c r="F849" i="26"/>
  <c r="F848" i="26"/>
  <c r="F847" i="26"/>
  <c r="F846" i="26"/>
  <c r="F845" i="26"/>
  <c r="F844" i="26"/>
  <c r="F843" i="26"/>
  <c r="F842" i="26"/>
  <c r="F841" i="26"/>
  <c r="F840" i="26"/>
  <c r="F839" i="26"/>
  <c r="F838" i="26"/>
  <c r="F837" i="26"/>
  <c r="F836" i="26"/>
  <c r="F835" i="26"/>
  <c r="F834" i="26"/>
  <c r="F833" i="26"/>
  <c r="F832" i="26"/>
  <c r="F831" i="26"/>
  <c r="F830" i="26"/>
  <c r="F829" i="26"/>
  <c r="F828" i="26"/>
  <c r="F827" i="26"/>
  <c r="F826" i="26"/>
  <c r="F825" i="26"/>
  <c r="F824" i="26"/>
  <c r="F823" i="26"/>
  <c r="F822" i="26"/>
  <c r="F821" i="26"/>
  <c r="F820" i="26"/>
  <c r="F819" i="26"/>
  <c r="E865" i="26"/>
  <c r="E864" i="26"/>
  <c r="E863" i="26"/>
  <c r="E862" i="26"/>
  <c r="E861" i="26"/>
  <c r="E860" i="26"/>
  <c r="E859" i="26"/>
  <c r="E858" i="26"/>
  <c r="E857" i="26"/>
  <c r="E856" i="26"/>
  <c r="E855" i="26"/>
  <c r="E854" i="26"/>
  <c r="E853" i="26"/>
  <c r="E852" i="26"/>
  <c r="E851" i="26"/>
  <c r="E850" i="26"/>
  <c r="E849" i="26"/>
  <c r="E848" i="26"/>
  <c r="E847" i="26"/>
  <c r="E846" i="26"/>
  <c r="E845" i="26"/>
  <c r="E844" i="26"/>
  <c r="E843" i="26"/>
  <c r="E842" i="26"/>
  <c r="E841" i="26"/>
  <c r="E840" i="26"/>
  <c r="E839" i="26"/>
  <c r="E838" i="26"/>
  <c r="E837" i="26"/>
  <c r="E836" i="26"/>
  <c r="E835" i="26"/>
  <c r="E834" i="26"/>
  <c r="E833" i="26"/>
  <c r="E832" i="26"/>
  <c r="E831" i="26"/>
  <c r="E830" i="26"/>
  <c r="E829" i="26"/>
  <c r="E828" i="26"/>
  <c r="E827" i="26"/>
  <c r="E826" i="26"/>
  <c r="E825" i="26"/>
  <c r="E824" i="26"/>
  <c r="E823" i="26"/>
  <c r="E822" i="26"/>
  <c r="E821" i="26"/>
  <c r="E820" i="26"/>
  <c r="E819" i="26"/>
  <c r="D865" i="26"/>
  <c r="D864" i="26"/>
  <c r="D863" i="26"/>
  <c r="D862" i="26"/>
  <c r="D861" i="26"/>
  <c r="D860" i="26"/>
  <c r="D859" i="26"/>
  <c r="D858" i="26"/>
  <c r="D857" i="26"/>
  <c r="D856" i="26"/>
  <c r="D855" i="26"/>
  <c r="D854" i="26"/>
  <c r="D853" i="26"/>
  <c r="D852" i="26"/>
  <c r="D851" i="26"/>
  <c r="D850" i="26"/>
  <c r="D849" i="26"/>
  <c r="D848" i="26"/>
  <c r="D847" i="26"/>
  <c r="D846" i="26"/>
  <c r="D845" i="26"/>
  <c r="D844" i="26"/>
  <c r="D843" i="26"/>
  <c r="D842" i="26"/>
  <c r="D841" i="26"/>
  <c r="D840" i="26"/>
  <c r="D839" i="26"/>
  <c r="D838" i="26"/>
  <c r="D837" i="26"/>
  <c r="D836" i="26"/>
  <c r="D835" i="26"/>
  <c r="D834" i="26"/>
  <c r="D833" i="26"/>
  <c r="D832" i="26"/>
  <c r="D831" i="26"/>
  <c r="D830" i="26"/>
  <c r="D829" i="26"/>
  <c r="D828" i="26"/>
  <c r="D827" i="26"/>
  <c r="D826" i="26"/>
  <c r="D825" i="26"/>
  <c r="D824" i="26"/>
  <c r="D823" i="26"/>
  <c r="D822" i="26"/>
  <c r="D821" i="26"/>
  <c r="D820" i="26"/>
  <c r="D819" i="26"/>
  <c r="G212" i="31"/>
  <c r="G213" i="31"/>
  <c r="G214" i="31"/>
  <c r="G215" i="31"/>
  <c r="G216" i="31"/>
  <c r="G217" i="31"/>
  <c r="G218" i="31"/>
  <c r="G219" i="31"/>
  <c r="G220" i="31"/>
  <c r="G221" i="31"/>
  <c r="G222" i="31"/>
  <c r="G223" i="31"/>
  <c r="G224" i="31"/>
  <c r="G225" i="31"/>
  <c r="G226" i="31"/>
  <c r="G227" i="31"/>
  <c r="G228" i="31"/>
  <c r="G229" i="31"/>
  <c r="G230" i="31"/>
  <c r="G231" i="31"/>
  <c r="G232" i="31"/>
  <c r="G233" i="31"/>
  <c r="G234" i="31"/>
  <c r="G235" i="31"/>
  <c r="G236" i="31"/>
  <c r="G237" i="31"/>
  <c r="G239" i="31"/>
  <c r="G240" i="31"/>
  <c r="G241" i="31"/>
  <c r="G242" i="31"/>
  <c r="G243" i="31"/>
  <c r="G244" i="31"/>
  <c r="G246" i="31"/>
  <c r="G247" i="31"/>
  <c r="G248" i="31"/>
  <c r="G249" i="31"/>
  <c r="K200" i="31"/>
  <c r="L200" i="31"/>
  <c r="M200" i="31"/>
  <c r="N200" i="31"/>
  <c r="O200" i="31"/>
  <c r="P200" i="31"/>
  <c r="Q200" i="31"/>
  <c r="S200" i="31"/>
  <c r="K201" i="31"/>
  <c r="N201" i="31"/>
  <c r="O201" i="31"/>
  <c r="P201" i="31"/>
  <c r="Q201" i="31"/>
  <c r="R201" i="31"/>
  <c r="S201" i="31"/>
  <c r="K202" i="31"/>
  <c r="O202" i="31"/>
  <c r="P202" i="31"/>
  <c r="Q202" i="31"/>
  <c r="R202" i="31"/>
  <c r="S202" i="31"/>
  <c r="K203" i="31"/>
  <c r="O203" i="31"/>
  <c r="P203" i="31"/>
  <c r="Q203" i="31"/>
  <c r="R203" i="31"/>
  <c r="S203" i="31"/>
  <c r="K204" i="31"/>
  <c r="L204" i="31"/>
  <c r="M204" i="31"/>
  <c r="N204" i="31"/>
  <c r="P204" i="31"/>
  <c r="Q204" i="31"/>
  <c r="R204" i="31"/>
  <c r="S204" i="31"/>
  <c r="K205" i="31"/>
  <c r="L205" i="31"/>
  <c r="M205" i="31"/>
  <c r="P205" i="31"/>
  <c r="Q205" i="31"/>
  <c r="R205" i="31"/>
  <c r="S205" i="31"/>
  <c r="K206" i="31"/>
  <c r="L206" i="31"/>
  <c r="M206" i="31"/>
  <c r="N206" i="31"/>
  <c r="P206" i="31"/>
  <c r="Q206" i="31"/>
  <c r="R206" i="31"/>
  <c r="S206" i="31"/>
  <c r="K207" i="31"/>
  <c r="L207" i="31"/>
  <c r="M207" i="31"/>
  <c r="N207" i="31"/>
  <c r="P207" i="31"/>
  <c r="Q207" i="31"/>
  <c r="R207" i="31"/>
  <c r="S207" i="31"/>
  <c r="K208" i="31"/>
  <c r="L208" i="31"/>
  <c r="M208" i="31"/>
  <c r="N208" i="31"/>
  <c r="P208" i="31"/>
  <c r="Q208" i="31"/>
  <c r="R208" i="31"/>
  <c r="S208" i="31"/>
  <c r="K209" i="31"/>
  <c r="L209" i="31"/>
  <c r="M209" i="31"/>
  <c r="N209" i="31"/>
  <c r="P209" i="31"/>
  <c r="Q209" i="31"/>
  <c r="R209" i="31"/>
  <c r="S209" i="31"/>
  <c r="K210" i="31"/>
  <c r="L210" i="31"/>
  <c r="M210" i="31"/>
  <c r="N210" i="31"/>
  <c r="O210" i="31"/>
  <c r="P210" i="31"/>
  <c r="Q210" i="31"/>
  <c r="R210" i="31"/>
  <c r="S210" i="31"/>
  <c r="M211" i="31"/>
  <c r="N211" i="31"/>
  <c r="P211" i="31"/>
  <c r="Q211" i="31"/>
  <c r="R211" i="31"/>
  <c r="S211" i="31"/>
  <c r="K212" i="31"/>
  <c r="P212" i="31"/>
  <c r="Q212" i="31"/>
  <c r="R212" i="31"/>
  <c r="S212" i="31"/>
  <c r="K213" i="31"/>
  <c r="M213" i="31"/>
  <c r="O213" i="31"/>
  <c r="P213" i="31"/>
  <c r="Q213" i="31"/>
  <c r="R213" i="31"/>
  <c r="S213" i="31"/>
  <c r="K214" i="31"/>
  <c r="M214" i="31"/>
  <c r="O214" i="31"/>
  <c r="P214" i="31"/>
  <c r="Q214" i="31"/>
  <c r="R214" i="31"/>
  <c r="S214" i="31"/>
  <c r="M215" i="31"/>
  <c r="N215" i="31"/>
  <c r="P215" i="31"/>
  <c r="Q215" i="31"/>
  <c r="R215" i="31"/>
  <c r="S215" i="31"/>
  <c r="M216" i="31"/>
  <c r="N216" i="31"/>
  <c r="P216" i="31"/>
  <c r="Q216" i="31"/>
  <c r="R216" i="31"/>
  <c r="S216" i="31"/>
  <c r="K217" i="31"/>
  <c r="L217" i="31"/>
  <c r="M217" i="31"/>
  <c r="N217" i="31"/>
  <c r="O217" i="31"/>
  <c r="P217" i="31"/>
  <c r="Q217" i="31"/>
  <c r="R217" i="31"/>
  <c r="S217" i="31"/>
  <c r="K218" i="31"/>
  <c r="L218" i="31"/>
  <c r="M218" i="31"/>
  <c r="N218" i="31"/>
  <c r="O218" i="31"/>
  <c r="P218" i="31"/>
  <c r="Q218" i="31"/>
  <c r="R218" i="31"/>
  <c r="S218" i="31"/>
  <c r="K219" i="31"/>
  <c r="M219" i="31"/>
  <c r="O219" i="31"/>
  <c r="P219" i="31"/>
  <c r="Q219" i="31"/>
  <c r="R219" i="31"/>
  <c r="S219" i="31"/>
  <c r="K221" i="31"/>
  <c r="L221" i="31"/>
  <c r="M221" i="31"/>
  <c r="O221" i="31"/>
  <c r="P221" i="31"/>
  <c r="Q221" i="31"/>
  <c r="R221" i="31"/>
  <c r="S221" i="31"/>
  <c r="K222" i="31"/>
  <c r="L222" i="31"/>
  <c r="M222" i="31"/>
  <c r="O222" i="31"/>
  <c r="P222" i="31"/>
  <c r="Q222" i="31"/>
  <c r="R222" i="31"/>
  <c r="S222" i="31"/>
  <c r="K223" i="31"/>
  <c r="L223" i="31"/>
  <c r="M223" i="31"/>
  <c r="P223" i="31"/>
  <c r="Q223" i="31"/>
  <c r="R223" i="31"/>
  <c r="S223" i="31"/>
  <c r="K224" i="31"/>
  <c r="L224" i="31"/>
  <c r="O224" i="31"/>
  <c r="P224" i="31"/>
  <c r="Q224" i="31"/>
  <c r="R224" i="31"/>
  <c r="S224" i="31"/>
  <c r="K225" i="31"/>
  <c r="L225" i="31"/>
  <c r="M225" i="31"/>
  <c r="O225" i="31"/>
  <c r="P225" i="31"/>
  <c r="Q225" i="31"/>
  <c r="R225" i="31"/>
  <c r="S225" i="31"/>
  <c r="K226" i="31"/>
  <c r="L226" i="31"/>
  <c r="M226" i="31"/>
  <c r="O226" i="31"/>
  <c r="P226" i="31"/>
  <c r="Q226" i="31"/>
  <c r="R226" i="31"/>
  <c r="S226" i="31"/>
  <c r="K227" i="31"/>
  <c r="L227" i="31"/>
  <c r="M227" i="31"/>
  <c r="N227" i="31"/>
  <c r="O227" i="31"/>
  <c r="P227" i="31"/>
  <c r="Q227" i="31"/>
  <c r="R227" i="31"/>
  <c r="S227" i="31"/>
  <c r="K228" i="31"/>
  <c r="L228" i="31"/>
  <c r="M228" i="31"/>
  <c r="N228" i="31"/>
  <c r="O228" i="31"/>
  <c r="P228" i="31"/>
  <c r="Q228" i="31"/>
  <c r="S228" i="31"/>
  <c r="L229" i="31"/>
  <c r="M229" i="31"/>
  <c r="N229" i="31"/>
  <c r="O229" i="31"/>
  <c r="P229" i="31"/>
  <c r="Q229" i="31"/>
  <c r="R229" i="31"/>
  <c r="S229" i="31"/>
  <c r="K230" i="31"/>
  <c r="L230" i="31"/>
  <c r="M230" i="31"/>
  <c r="N230" i="31"/>
  <c r="P230" i="31"/>
  <c r="Q230" i="31"/>
  <c r="R230" i="31"/>
  <c r="S230" i="31"/>
  <c r="K231" i="31"/>
  <c r="L231" i="31"/>
  <c r="M231" i="31"/>
  <c r="N231" i="31"/>
  <c r="P231" i="31"/>
  <c r="Q231" i="31"/>
  <c r="R231" i="31"/>
  <c r="S231" i="31"/>
  <c r="K232" i="31"/>
  <c r="L232" i="31"/>
  <c r="M232" i="31"/>
  <c r="N232" i="31"/>
  <c r="P232" i="31"/>
  <c r="Q232" i="31"/>
  <c r="R232" i="31"/>
  <c r="S232" i="31"/>
  <c r="K233" i="31"/>
  <c r="L233" i="31"/>
  <c r="M233" i="31"/>
  <c r="N233" i="31"/>
  <c r="P233" i="31"/>
  <c r="Q233" i="31"/>
  <c r="R233" i="31"/>
  <c r="S233" i="31"/>
  <c r="K234" i="31"/>
  <c r="L234" i="31"/>
  <c r="M234" i="31"/>
  <c r="N234" i="31"/>
  <c r="P234" i="31"/>
  <c r="Q234" i="31"/>
  <c r="R234" i="31"/>
  <c r="S234" i="31"/>
  <c r="K235" i="31"/>
  <c r="L235" i="31"/>
  <c r="M235" i="31"/>
  <c r="P235" i="31"/>
  <c r="Q235" i="31"/>
  <c r="R235" i="31"/>
  <c r="S235" i="31"/>
  <c r="K236" i="31"/>
  <c r="L236" i="31"/>
  <c r="M236" i="31"/>
  <c r="N236" i="31"/>
  <c r="O236" i="31"/>
  <c r="P236" i="31"/>
  <c r="Q236" i="31"/>
  <c r="R236" i="31"/>
  <c r="S236" i="31"/>
  <c r="K237" i="31"/>
  <c r="L237" i="31"/>
  <c r="M237" i="31"/>
  <c r="P237" i="31"/>
  <c r="Q237" i="31"/>
  <c r="R237" i="31"/>
  <c r="S237" i="31"/>
  <c r="K239" i="31"/>
  <c r="L239" i="31"/>
  <c r="M239" i="31"/>
  <c r="N239" i="31"/>
  <c r="O239" i="31"/>
  <c r="P239" i="31"/>
  <c r="Q239" i="31"/>
  <c r="R239" i="31"/>
  <c r="S239" i="31"/>
  <c r="K240" i="31"/>
  <c r="L240" i="31"/>
  <c r="M240" i="31"/>
  <c r="N240" i="31"/>
  <c r="O240" i="31"/>
  <c r="P240" i="31"/>
  <c r="Q240" i="31"/>
  <c r="R240" i="31"/>
  <c r="S240" i="31"/>
  <c r="K241" i="31"/>
  <c r="L241" i="31"/>
  <c r="M241" i="31"/>
  <c r="N241" i="31"/>
  <c r="O241" i="31"/>
  <c r="P241" i="31"/>
  <c r="Q241" i="31"/>
  <c r="R241" i="31"/>
  <c r="S241" i="31"/>
  <c r="K242" i="31"/>
  <c r="L242" i="31"/>
  <c r="M242" i="31"/>
  <c r="N242" i="31"/>
  <c r="O242" i="31"/>
  <c r="P242" i="31"/>
  <c r="Q242" i="31"/>
  <c r="R242" i="31"/>
  <c r="S242" i="31"/>
  <c r="K244" i="31"/>
  <c r="L244" i="31"/>
  <c r="M244" i="31"/>
  <c r="N244" i="31"/>
  <c r="O244" i="31"/>
  <c r="P244" i="31"/>
  <c r="Q244" i="31"/>
  <c r="R244" i="31"/>
  <c r="S244" i="31"/>
  <c r="K246" i="31"/>
  <c r="L246" i="31"/>
  <c r="M246" i="31"/>
  <c r="N246" i="31"/>
  <c r="O246" i="31"/>
  <c r="P246" i="31"/>
  <c r="Q246" i="31"/>
  <c r="R246" i="31"/>
  <c r="S246" i="31"/>
  <c r="L247" i="31"/>
  <c r="M247" i="31"/>
  <c r="N247" i="31"/>
  <c r="P247" i="31"/>
  <c r="Q247" i="31"/>
  <c r="R247" i="31"/>
  <c r="S247" i="31"/>
  <c r="K248" i="31"/>
  <c r="L248" i="31"/>
  <c r="M248" i="31"/>
  <c r="N248" i="31"/>
  <c r="O248" i="31"/>
  <c r="P248" i="31"/>
  <c r="Q248" i="31"/>
  <c r="R248" i="31"/>
  <c r="S248" i="31"/>
  <c r="L249" i="31"/>
  <c r="M249" i="31"/>
  <c r="N249" i="31"/>
  <c r="P249" i="31"/>
  <c r="Q249" i="31"/>
  <c r="R249" i="31"/>
  <c r="S249" i="31"/>
  <c r="A200" i="31"/>
  <c r="B200" i="31"/>
  <c r="D200" i="31"/>
  <c r="A201" i="31"/>
  <c r="B201" i="31"/>
  <c r="D201" i="31"/>
  <c r="A202" i="31"/>
  <c r="B202" i="31"/>
  <c r="D202" i="31"/>
  <c r="A203" i="31"/>
  <c r="B203" i="31"/>
  <c r="D203" i="31"/>
  <c r="A204" i="31"/>
  <c r="B204" i="31"/>
  <c r="D204" i="31"/>
  <c r="A205" i="31"/>
  <c r="B205" i="31"/>
  <c r="D205" i="31"/>
  <c r="A206" i="31"/>
  <c r="B206" i="31"/>
  <c r="D206" i="31"/>
  <c r="A207" i="31"/>
  <c r="B207" i="31"/>
  <c r="D207" i="31"/>
  <c r="A208" i="31"/>
  <c r="B208" i="31"/>
  <c r="D208" i="31"/>
  <c r="A209" i="31"/>
  <c r="B209" i="31"/>
  <c r="D209" i="31"/>
  <c r="A210" i="31"/>
  <c r="B210" i="31"/>
  <c r="D210" i="31"/>
  <c r="A211" i="31"/>
  <c r="B211" i="31"/>
  <c r="D211" i="31"/>
  <c r="A212" i="31"/>
  <c r="B212" i="31"/>
  <c r="D212" i="31"/>
  <c r="A213" i="31"/>
  <c r="B213" i="31"/>
  <c r="C213" i="31"/>
  <c r="D213" i="31"/>
  <c r="A214" i="31"/>
  <c r="B214" i="31"/>
  <c r="C214" i="31"/>
  <c r="D214" i="31"/>
  <c r="A215" i="31"/>
  <c r="B215" i="31"/>
  <c r="C215" i="31"/>
  <c r="D215" i="31"/>
  <c r="A216" i="31"/>
  <c r="B216" i="31"/>
  <c r="C216" i="31"/>
  <c r="D216" i="31"/>
  <c r="A217" i="31"/>
  <c r="B217" i="31"/>
  <c r="C217" i="31"/>
  <c r="D217" i="31"/>
  <c r="A218" i="31"/>
  <c r="B218" i="31"/>
  <c r="C218" i="31"/>
  <c r="D218" i="31"/>
  <c r="A219" i="31"/>
  <c r="B219" i="31"/>
  <c r="C219" i="31"/>
  <c r="D219" i="31"/>
  <c r="A220" i="31"/>
  <c r="B220" i="31"/>
  <c r="C220" i="31"/>
  <c r="D220" i="31"/>
  <c r="A221" i="31"/>
  <c r="B221" i="31"/>
  <c r="C221" i="31"/>
  <c r="D221" i="31"/>
  <c r="A222" i="31"/>
  <c r="B222" i="31"/>
  <c r="C222" i="31"/>
  <c r="D222" i="31"/>
  <c r="A223" i="31"/>
  <c r="B223" i="31"/>
  <c r="C223" i="31"/>
  <c r="D223" i="31"/>
  <c r="A224" i="31"/>
  <c r="B224" i="31"/>
  <c r="C224" i="31"/>
  <c r="D224" i="31"/>
  <c r="A225" i="31"/>
  <c r="B225" i="31"/>
  <c r="C225" i="31"/>
  <c r="D225" i="31"/>
  <c r="A226" i="31"/>
  <c r="B226" i="31"/>
  <c r="C226" i="31"/>
  <c r="D226" i="31"/>
  <c r="A227" i="31"/>
  <c r="B227" i="31"/>
  <c r="C227" i="31"/>
  <c r="D227" i="31"/>
  <c r="A228" i="31"/>
  <c r="B228" i="31"/>
  <c r="C228" i="31"/>
  <c r="D228" i="31"/>
  <c r="A229" i="31"/>
  <c r="B229" i="31"/>
  <c r="C229" i="31"/>
  <c r="D229" i="31"/>
  <c r="A230" i="31"/>
  <c r="B230" i="31"/>
  <c r="C230" i="31"/>
  <c r="D230" i="31"/>
  <c r="A231" i="31"/>
  <c r="B231" i="31"/>
  <c r="C231" i="31"/>
  <c r="D231" i="31"/>
  <c r="A232" i="31"/>
  <c r="B232" i="31"/>
  <c r="C232" i="31"/>
  <c r="D232" i="31"/>
  <c r="A233" i="31"/>
  <c r="B233" i="31"/>
  <c r="C233" i="31"/>
  <c r="D233" i="31"/>
  <c r="A234" i="31"/>
  <c r="B234" i="31"/>
  <c r="C234" i="31"/>
  <c r="D234" i="31"/>
  <c r="A235" i="31"/>
  <c r="B235" i="31"/>
  <c r="C235" i="31"/>
  <c r="D235" i="31"/>
  <c r="A236" i="31"/>
  <c r="B236" i="31"/>
  <c r="C236" i="31"/>
  <c r="D236" i="31"/>
  <c r="A237" i="31"/>
  <c r="B237" i="31"/>
  <c r="C237" i="31"/>
  <c r="D237" i="31"/>
  <c r="A238" i="31"/>
  <c r="B238" i="31"/>
  <c r="C238" i="31"/>
  <c r="D238" i="31"/>
  <c r="A239" i="31"/>
  <c r="B239" i="31"/>
  <c r="C239" i="31"/>
  <c r="D239" i="31"/>
  <c r="A240" i="31"/>
  <c r="B240" i="31"/>
  <c r="C240" i="31"/>
  <c r="D240" i="31"/>
  <c r="A241" i="31"/>
  <c r="B241" i="31"/>
  <c r="C241" i="31"/>
  <c r="D241" i="31"/>
  <c r="A242" i="31"/>
  <c r="B242" i="31"/>
  <c r="C242" i="31"/>
  <c r="D242" i="31"/>
  <c r="A243" i="31"/>
  <c r="B243" i="31"/>
  <c r="C243" i="31"/>
  <c r="D243" i="31"/>
  <c r="A244" i="31"/>
  <c r="B244" i="31"/>
  <c r="C244" i="31"/>
  <c r="D244" i="31"/>
  <c r="A245" i="31"/>
  <c r="B245" i="31"/>
  <c r="C245" i="31"/>
  <c r="D245" i="31"/>
  <c r="A246" i="31"/>
  <c r="B246" i="31"/>
  <c r="C246" i="31"/>
  <c r="D246" i="31"/>
  <c r="A247" i="31"/>
  <c r="B247" i="31"/>
  <c r="C247" i="31"/>
  <c r="D247" i="31"/>
  <c r="A248" i="31"/>
  <c r="B248" i="31"/>
  <c r="C248" i="31"/>
  <c r="D248" i="31"/>
  <c r="A249" i="31"/>
  <c r="B249" i="31"/>
  <c r="C249" i="31"/>
  <c r="D249" i="31"/>
  <c r="A250" i="31"/>
  <c r="B250" i="31"/>
  <c r="C250" i="31"/>
  <c r="D250" i="31"/>
  <c r="AC64" i="18"/>
  <c r="AM64" i="18"/>
  <c r="AL64" i="18"/>
  <c r="G208" i="31"/>
  <c r="G209" i="31"/>
  <c r="C209" i="31" s="1"/>
  <c r="G210" i="31"/>
  <c r="C210" i="31" s="1"/>
  <c r="G211" i="31"/>
  <c r="G200" i="31"/>
  <c r="G201" i="31"/>
  <c r="C201" i="31" s="1"/>
  <c r="G202" i="31"/>
  <c r="C202" i="31" s="1"/>
  <c r="G203" i="31"/>
  <c r="C203" i="31" s="1"/>
  <c r="G194" i="31"/>
  <c r="G195" i="31"/>
  <c r="G196" i="31"/>
  <c r="G197" i="31"/>
  <c r="G198" i="31"/>
  <c r="G199" i="31"/>
  <c r="G205" i="31"/>
  <c r="G206" i="31"/>
  <c r="C206" i="31" s="1"/>
  <c r="G207" i="31"/>
  <c r="C207" i="31" s="1"/>
  <c r="G204" i="31"/>
  <c r="C204" i="31" s="1"/>
  <c r="M94" i="6"/>
  <c r="M91" i="6"/>
  <c r="M83" i="6"/>
  <c r="M76" i="6"/>
  <c r="M75" i="6"/>
  <c r="M74" i="6"/>
  <c r="M71" i="6"/>
  <c r="K880" i="26" s="1"/>
  <c r="M69" i="6"/>
  <c r="K1302" i="26" s="1"/>
  <c r="M51" i="6"/>
  <c r="M44" i="6"/>
  <c r="G181" i="31"/>
  <c r="G179" i="31"/>
  <c r="A34" i="30"/>
  <c r="A33" i="30"/>
  <c r="A30" i="30"/>
  <c r="A29" i="30"/>
  <c r="A23" i="30"/>
  <c r="A6" i="30"/>
  <c r="A8" i="30" s="1"/>
  <c r="A10" i="30" s="1"/>
  <c r="A12" i="30" s="1"/>
  <c r="A14" i="30" s="1"/>
  <c r="A16" i="30" s="1"/>
  <c r="A18" i="30" s="1"/>
  <c r="A20" i="30" s="1"/>
  <c r="A22" i="30" s="1"/>
  <c r="A24" i="30" s="1"/>
  <c r="A26" i="30" s="1"/>
  <c r="A28" i="30" s="1"/>
  <c r="A5" i="30"/>
  <c r="A7" i="30" s="1"/>
  <c r="A9" i="30" s="1"/>
  <c r="A11" i="30" s="1"/>
  <c r="A13" i="30" s="1"/>
  <c r="A15" i="30" s="1"/>
  <c r="A17" i="30" s="1"/>
  <c r="A21" i="30" s="1"/>
  <c r="A25" i="30" s="1"/>
  <c r="A27" i="30" s="1"/>
  <c r="S169" i="31"/>
  <c r="M5" i="6"/>
  <c r="M6" i="6"/>
  <c r="M8" i="6"/>
  <c r="M9" i="6"/>
  <c r="M11" i="6"/>
  <c r="M12" i="6"/>
  <c r="K1308" i="26" s="1"/>
  <c r="M13" i="6"/>
  <c r="K1307" i="26" s="1"/>
  <c r="M15" i="6"/>
  <c r="M16" i="6"/>
  <c r="M18" i="6"/>
  <c r="M19" i="6"/>
  <c r="K1240" i="26" s="1"/>
  <c r="M20" i="6"/>
  <c r="M22" i="6"/>
  <c r="M23" i="6"/>
  <c r="M24" i="6"/>
  <c r="M25" i="6"/>
  <c r="M26" i="6"/>
  <c r="M27" i="6"/>
  <c r="M29" i="6"/>
  <c r="M32" i="6"/>
  <c r="M33" i="6"/>
  <c r="M34" i="6"/>
  <c r="K1193" i="26" s="1"/>
  <c r="M35" i="6"/>
  <c r="M36" i="6"/>
  <c r="M37" i="6"/>
  <c r="K1029" i="26" s="1"/>
  <c r="M38" i="6"/>
  <c r="M39" i="6"/>
  <c r="M40" i="6"/>
  <c r="M42" i="6"/>
  <c r="M45" i="6"/>
  <c r="M46" i="6"/>
  <c r="M47" i="6"/>
  <c r="M49" i="6"/>
  <c r="M52" i="6"/>
  <c r="M54" i="6"/>
  <c r="M55" i="6"/>
  <c r="K1304" i="26" s="1"/>
  <c r="M57" i="6"/>
  <c r="M58" i="6"/>
  <c r="M59" i="6"/>
  <c r="M62" i="6"/>
  <c r="M64" i="6"/>
  <c r="M65" i="6"/>
  <c r="M67" i="6"/>
  <c r="M72" i="6"/>
  <c r="M73" i="6"/>
  <c r="K1500" i="26" s="1"/>
  <c r="M77" i="6"/>
  <c r="M78" i="6"/>
  <c r="M80" i="6"/>
  <c r="M81" i="6"/>
  <c r="M82" i="6"/>
  <c r="M85" i="6"/>
  <c r="K984" i="26"/>
  <c r="M87" i="6"/>
  <c r="M89" i="6"/>
  <c r="M90" i="6"/>
  <c r="M92" i="6"/>
  <c r="M93" i="6"/>
  <c r="M95" i="6"/>
  <c r="M96" i="6"/>
  <c r="M97" i="6"/>
  <c r="M98" i="6"/>
  <c r="M100" i="6"/>
  <c r="M101" i="6"/>
  <c r="M102" i="6"/>
  <c r="M108" i="6"/>
  <c r="M4" i="6"/>
  <c r="M2" i="6"/>
  <c r="ABP6" i="3"/>
  <c r="XY62" i="3"/>
  <c r="YE62" i="3"/>
  <c r="YH62" i="3"/>
  <c r="YT62" i="3"/>
  <c r="ZC62" i="3"/>
  <c r="E668" i="26"/>
  <c r="F667" i="26"/>
  <c r="AEM52" i="3"/>
  <c r="AEM48" i="3"/>
  <c r="AEM46" i="3"/>
  <c r="AEM45" i="3"/>
  <c r="A167" i="31"/>
  <c r="B167" i="31"/>
  <c r="D167" i="31"/>
  <c r="G167" i="31"/>
  <c r="K167" i="31"/>
  <c r="L167" i="31"/>
  <c r="M167" i="31"/>
  <c r="N167" i="31"/>
  <c r="O167" i="31"/>
  <c r="P167" i="31"/>
  <c r="Q167" i="31"/>
  <c r="R167" i="31"/>
  <c r="S167" i="31"/>
  <c r="A168" i="31"/>
  <c r="B168" i="31"/>
  <c r="D168" i="31"/>
  <c r="G168" i="31"/>
  <c r="C168" i="31" s="1"/>
  <c r="K168" i="31"/>
  <c r="L168" i="31"/>
  <c r="M168" i="31"/>
  <c r="P168" i="31"/>
  <c r="Q168" i="31"/>
  <c r="R168" i="31"/>
  <c r="A169" i="31"/>
  <c r="B169" i="31"/>
  <c r="D169" i="31"/>
  <c r="G169" i="31"/>
  <c r="C169" i="31" s="1"/>
  <c r="K169" i="31"/>
  <c r="L169" i="31"/>
  <c r="M169" i="31"/>
  <c r="N169" i="31"/>
  <c r="P169" i="31"/>
  <c r="Q169" i="31"/>
  <c r="R169" i="31"/>
  <c r="A170" i="31"/>
  <c r="B170" i="31"/>
  <c r="D170" i="31"/>
  <c r="G170" i="31"/>
  <c r="C170" i="31" s="1"/>
  <c r="K170" i="31"/>
  <c r="L170" i="31"/>
  <c r="M170" i="31"/>
  <c r="P170" i="31"/>
  <c r="Q170" i="31"/>
  <c r="R170" i="31"/>
  <c r="S170" i="31"/>
  <c r="A171" i="31"/>
  <c r="B171" i="31"/>
  <c r="D171" i="31"/>
  <c r="C171" i="31"/>
  <c r="A172" i="31"/>
  <c r="B172" i="31"/>
  <c r="D172" i="31"/>
  <c r="G172" i="31"/>
  <c r="C172" i="31" s="1"/>
  <c r="K172" i="31"/>
  <c r="L172" i="31"/>
  <c r="M172" i="31"/>
  <c r="P172" i="31"/>
  <c r="Q172" i="31"/>
  <c r="R172" i="31"/>
  <c r="S172" i="31"/>
  <c r="A173" i="31"/>
  <c r="B173" i="31"/>
  <c r="D173" i="31"/>
  <c r="G173" i="31"/>
  <c r="C173" i="31" s="1"/>
  <c r="K173" i="31"/>
  <c r="M173" i="31"/>
  <c r="O173" i="31"/>
  <c r="P173" i="31"/>
  <c r="Q173" i="31"/>
  <c r="R173" i="31"/>
  <c r="S173" i="31"/>
  <c r="A174" i="31"/>
  <c r="B174" i="31"/>
  <c r="D174" i="31"/>
  <c r="G174" i="31"/>
  <c r="C174" i="31" s="1"/>
  <c r="K174" i="31"/>
  <c r="M174" i="31"/>
  <c r="O174" i="31"/>
  <c r="P174" i="31"/>
  <c r="Q174" i="31"/>
  <c r="R174" i="31"/>
  <c r="S174" i="31"/>
  <c r="A175" i="31"/>
  <c r="B175" i="31"/>
  <c r="D175" i="31"/>
  <c r="G175" i="31"/>
  <c r="C175" i="31" s="1"/>
  <c r="K175" i="31"/>
  <c r="M175" i="31"/>
  <c r="O175" i="31"/>
  <c r="P175" i="31"/>
  <c r="Q175" i="31"/>
  <c r="R175" i="31"/>
  <c r="S175" i="31"/>
  <c r="A176" i="31"/>
  <c r="B176" i="31"/>
  <c r="D176" i="31"/>
  <c r="G176" i="31"/>
  <c r="C176" i="31" s="1"/>
  <c r="K176" i="31"/>
  <c r="M176" i="31"/>
  <c r="O176" i="31"/>
  <c r="P176" i="31"/>
  <c r="Q176" i="31"/>
  <c r="R176" i="31"/>
  <c r="S176" i="31"/>
  <c r="A177" i="31"/>
  <c r="B177" i="31"/>
  <c r="D177" i="31"/>
  <c r="G177" i="31"/>
  <c r="C177" i="31" s="1"/>
  <c r="K177" i="31"/>
  <c r="M177" i="31"/>
  <c r="O177" i="31"/>
  <c r="P177" i="31"/>
  <c r="Q177" i="31"/>
  <c r="R177" i="31"/>
  <c r="S177" i="31"/>
  <c r="A178" i="31"/>
  <c r="B178" i="31"/>
  <c r="D178" i="31"/>
  <c r="G178" i="31"/>
  <c r="C178" i="31" s="1"/>
  <c r="K178" i="31"/>
  <c r="M178" i="31"/>
  <c r="O178" i="31"/>
  <c r="P178" i="31"/>
  <c r="Q178" i="31"/>
  <c r="R178" i="31"/>
  <c r="S178" i="31"/>
  <c r="A179" i="31"/>
  <c r="B179" i="31"/>
  <c r="D179" i="31"/>
  <c r="C179" i="31"/>
  <c r="K179" i="31"/>
  <c r="L179" i="31"/>
  <c r="M179" i="31"/>
  <c r="O179" i="31"/>
  <c r="P179" i="31"/>
  <c r="Q179" i="31"/>
  <c r="R179" i="31"/>
  <c r="S179" i="31"/>
  <c r="A180" i="31"/>
  <c r="B180" i="31"/>
  <c r="D180" i="31"/>
  <c r="G180" i="31"/>
  <c r="C180" i="31" s="1"/>
  <c r="K180" i="31"/>
  <c r="L180" i="31"/>
  <c r="M180" i="31"/>
  <c r="N180" i="31"/>
  <c r="O180" i="31"/>
  <c r="P180" i="31"/>
  <c r="Q180" i="31"/>
  <c r="R180" i="31"/>
  <c r="S180" i="31"/>
  <c r="A181" i="31"/>
  <c r="B181" i="31"/>
  <c r="D181" i="31"/>
  <c r="L181" i="31"/>
  <c r="M181" i="31"/>
  <c r="N181" i="31"/>
  <c r="O181" i="31"/>
  <c r="P181" i="31"/>
  <c r="Q181" i="31"/>
  <c r="S181" i="31"/>
  <c r="A182" i="31"/>
  <c r="B182" i="31"/>
  <c r="D182" i="31"/>
  <c r="C182" i="31"/>
  <c r="N182" i="31"/>
  <c r="O182" i="31"/>
  <c r="P182" i="31"/>
  <c r="Q182" i="31"/>
  <c r="S182" i="31"/>
  <c r="A183" i="31"/>
  <c r="B183" i="31"/>
  <c r="D183" i="31"/>
  <c r="G183" i="31"/>
  <c r="C183" i="31" s="1"/>
  <c r="L183" i="31"/>
  <c r="M183" i="31"/>
  <c r="P183" i="31"/>
  <c r="Q183" i="31"/>
  <c r="R183" i="31"/>
  <c r="S183" i="31"/>
  <c r="A184" i="31"/>
  <c r="B184" i="31"/>
  <c r="D184" i="31"/>
  <c r="G184" i="31"/>
  <c r="C184" i="31" s="1"/>
  <c r="K184" i="31"/>
  <c r="L184" i="31"/>
  <c r="M184" i="31"/>
  <c r="N184" i="31"/>
  <c r="O184" i="31"/>
  <c r="P184" i="31"/>
  <c r="Q184" i="31"/>
  <c r="R184" i="31"/>
  <c r="S184" i="31"/>
  <c r="A185" i="31"/>
  <c r="B185" i="31"/>
  <c r="D185" i="31"/>
  <c r="C185" i="31"/>
  <c r="A186" i="31"/>
  <c r="B186" i="31"/>
  <c r="D186" i="31"/>
  <c r="G186" i="31"/>
  <c r="C186" i="31" s="1"/>
  <c r="K186" i="31"/>
  <c r="L186" i="31"/>
  <c r="M186" i="31"/>
  <c r="N186" i="31"/>
  <c r="O186" i="31"/>
  <c r="P186" i="31"/>
  <c r="Q186" i="31"/>
  <c r="R186" i="31"/>
  <c r="S186" i="31"/>
  <c r="A187" i="31"/>
  <c r="B187" i="31"/>
  <c r="D187" i="31"/>
  <c r="G187" i="31"/>
  <c r="C187" i="31" s="1"/>
  <c r="K187" i="31"/>
  <c r="L187" i="31"/>
  <c r="M187" i="31"/>
  <c r="N187" i="31"/>
  <c r="O187" i="31"/>
  <c r="P187" i="31"/>
  <c r="Q187" i="31"/>
  <c r="R187" i="31"/>
  <c r="S187" i="31"/>
  <c r="A188" i="31"/>
  <c r="B188" i="31"/>
  <c r="D188" i="31"/>
  <c r="G188" i="31"/>
  <c r="C188" i="31" s="1"/>
  <c r="K188" i="31"/>
  <c r="L188" i="31"/>
  <c r="M188" i="31"/>
  <c r="N188" i="31"/>
  <c r="O188" i="31"/>
  <c r="P188" i="31"/>
  <c r="Q188" i="31"/>
  <c r="R188" i="31"/>
  <c r="S188" i="31"/>
  <c r="A189" i="31"/>
  <c r="B189" i="31"/>
  <c r="D189" i="31"/>
  <c r="G189" i="31"/>
  <c r="C189" i="31" s="1"/>
  <c r="K189" i="31"/>
  <c r="L189" i="31"/>
  <c r="M189" i="31"/>
  <c r="N189" i="31"/>
  <c r="O189" i="31"/>
  <c r="P189" i="31"/>
  <c r="Q189" i="31"/>
  <c r="R189" i="31"/>
  <c r="S189" i="31"/>
  <c r="A190" i="31"/>
  <c r="B190" i="31"/>
  <c r="D190" i="31"/>
  <c r="G190" i="31"/>
  <c r="C190" i="31" s="1"/>
  <c r="A191" i="31"/>
  <c r="B191" i="31"/>
  <c r="D191" i="31"/>
  <c r="G191" i="31"/>
  <c r="C191" i="31" s="1"/>
  <c r="K191" i="31"/>
  <c r="L191" i="31"/>
  <c r="M191" i="31"/>
  <c r="N191" i="31"/>
  <c r="O191" i="31"/>
  <c r="Q191" i="31"/>
  <c r="R191" i="31"/>
  <c r="S191" i="31"/>
  <c r="A192" i="31"/>
  <c r="B192" i="31"/>
  <c r="D192" i="31"/>
  <c r="G192" i="31"/>
  <c r="C192" i="31" s="1"/>
  <c r="K192" i="31"/>
  <c r="L192" i="31"/>
  <c r="M192" i="31"/>
  <c r="N192" i="31"/>
  <c r="O192" i="31"/>
  <c r="Q192" i="31"/>
  <c r="R192" i="31"/>
  <c r="S192" i="31"/>
  <c r="A193" i="31"/>
  <c r="B193" i="31"/>
  <c r="D193" i="31"/>
  <c r="G193" i="31"/>
  <c r="C193" i="31" s="1"/>
  <c r="K193" i="31"/>
  <c r="L193" i="31"/>
  <c r="M193" i="31"/>
  <c r="N193" i="31"/>
  <c r="O193" i="31"/>
  <c r="P193" i="31"/>
  <c r="Q193" i="31"/>
  <c r="R193" i="31"/>
  <c r="S193" i="31"/>
  <c r="A194" i="31"/>
  <c r="B194" i="31"/>
  <c r="D194" i="31"/>
  <c r="C194" i="31"/>
  <c r="K194" i="31"/>
  <c r="L194" i="31"/>
  <c r="M194" i="31"/>
  <c r="N194" i="31"/>
  <c r="O194" i="31"/>
  <c r="P194" i="31"/>
  <c r="Q194" i="31"/>
  <c r="R194" i="31"/>
  <c r="S194" i="31"/>
  <c r="A195" i="31"/>
  <c r="B195" i="31"/>
  <c r="D195" i="31"/>
  <c r="C195" i="31"/>
  <c r="K195" i="31"/>
  <c r="L195" i="31"/>
  <c r="M195" i="31"/>
  <c r="O195" i="31"/>
  <c r="P195" i="31"/>
  <c r="Q195" i="31"/>
  <c r="R195" i="31"/>
  <c r="S195" i="31"/>
  <c r="A196" i="31"/>
  <c r="B196" i="31"/>
  <c r="D196" i="31"/>
  <c r="C196" i="31"/>
  <c r="K196" i="31"/>
  <c r="L196" i="31"/>
  <c r="M196" i="31"/>
  <c r="P196" i="31"/>
  <c r="Q196" i="31"/>
  <c r="R196" i="31"/>
  <c r="S196" i="31"/>
  <c r="A197" i="31"/>
  <c r="B197" i="31"/>
  <c r="D197" i="31"/>
  <c r="C197" i="31"/>
  <c r="K197" i="31"/>
  <c r="L197" i="31"/>
  <c r="M197" i="31"/>
  <c r="O197" i="31"/>
  <c r="P197" i="31"/>
  <c r="Q197" i="31"/>
  <c r="R197" i="31"/>
  <c r="S197" i="31"/>
  <c r="A198" i="31"/>
  <c r="B198" i="31"/>
  <c r="D198" i="31"/>
  <c r="C198" i="31"/>
  <c r="K198" i="31"/>
  <c r="L198" i="31"/>
  <c r="M198" i="31"/>
  <c r="P198" i="31"/>
  <c r="Q198" i="31"/>
  <c r="R198" i="31"/>
  <c r="A199" i="31"/>
  <c r="B199" i="31"/>
  <c r="D199" i="31"/>
  <c r="C199" i="31"/>
  <c r="K199" i="31"/>
  <c r="L199" i="31"/>
  <c r="M199" i="31"/>
  <c r="O199" i="31"/>
  <c r="P199" i="31"/>
  <c r="Q199" i="31"/>
  <c r="R199" i="31"/>
  <c r="S199" i="31"/>
  <c r="K818" i="26"/>
  <c r="K817" i="26"/>
  <c r="K816" i="26"/>
  <c r="K815" i="26"/>
  <c r="K814" i="26"/>
  <c r="K813" i="26"/>
  <c r="K812" i="26"/>
  <c r="K811" i="26"/>
  <c r="K810" i="26"/>
  <c r="K809" i="26"/>
  <c r="K808" i="26"/>
  <c r="K807" i="26"/>
  <c r="K806" i="26"/>
  <c r="K805" i="26"/>
  <c r="K804" i="26"/>
  <c r="K803" i="26"/>
  <c r="K802" i="26"/>
  <c r="K801" i="26"/>
  <c r="K800" i="26"/>
  <c r="K799" i="26"/>
  <c r="K798" i="26"/>
  <c r="K797" i="26"/>
  <c r="K796" i="26"/>
  <c r="K795" i="26"/>
  <c r="K794" i="26"/>
  <c r="K793" i="26"/>
  <c r="K792" i="26"/>
  <c r="K791" i="26"/>
  <c r="K790" i="26"/>
  <c r="K789" i="26"/>
  <c r="K788" i="26"/>
  <c r="K787" i="26"/>
  <c r="K786" i="26"/>
  <c r="K785" i="26"/>
  <c r="K784" i="26"/>
  <c r="K783" i="26"/>
  <c r="K782" i="26"/>
  <c r="K781" i="26"/>
  <c r="K780" i="26"/>
  <c r="K779" i="26"/>
  <c r="K778" i="26"/>
  <c r="K777" i="26"/>
  <c r="K776" i="26"/>
  <c r="K775" i="26"/>
  <c r="K774" i="26"/>
  <c r="K773" i="26"/>
  <c r="K772" i="26"/>
  <c r="K771" i="26"/>
  <c r="K770" i="26"/>
  <c r="K769" i="26"/>
  <c r="J818" i="26"/>
  <c r="J817" i="26"/>
  <c r="J816" i="26"/>
  <c r="J815" i="26"/>
  <c r="J814" i="26"/>
  <c r="J813" i="26"/>
  <c r="J812" i="26"/>
  <c r="J811" i="26"/>
  <c r="J810" i="26"/>
  <c r="J809" i="26"/>
  <c r="J808" i="26"/>
  <c r="J807" i="26"/>
  <c r="J806" i="26"/>
  <c r="J805" i="26"/>
  <c r="J804" i="26"/>
  <c r="J803" i="26"/>
  <c r="J802" i="26"/>
  <c r="J801" i="26"/>
  <c r="J800" i="26"/>
  <c r="J799" i="26"/>
  <c r="J798" i="26"/>
  <c r="J797" i="26"/>
  <c r="J796" i="26"/>
  <c r="J795" i="26"/>
  <c r="J794" i="26"/>
  <c r="J793" i="26"/>
  <c r="J792" i="26"/>
  <c r="J791" i="26"/>
  <c r="J790" i="26"/>
  <c r="J789" i="26"/>
  <c r="J788" i="26"/>
  <c r="J787" i="26"/>
  <c r="J786" i="26"/>
  <c r="J785" i="26"/>
  <c r="J784" i="26"/>
  <c r="J783" i="26"/>
  <c r="J782" i="26"/>
  <c r="J781" i="26"/>
  <c r="J780" i="26"/>
  <c r="J779" i="26"/>
  <c r="J778" i="26"/>
  <c r="J777" i="26"/>
  <c r="J776" i="26"/>
  <c r="J775" i="26"/>
  <c r="J774" i="26"/>
  <c r="J773" i="26"/>
  <c r="J772" i="26"/>
  <c r="J771" i="26"/>
  <c r="J770" i="26"/>
  <c r="J76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G818" i="26"/>
  <c r="G817" i="26"/>
  <c r="G816" i="26"/>
  <c r="G815" i="26"/>
  <c r="G814" i="26"/>
  <c r="G813" i="26"/>
  <c r="G812" i="26"/>
  <c r="G811" i="26"/>
  <c r="G810" i="26"/>
  <c r="G809" i="26"/>
  <c r="G808" i="26"/>
  <c r="G807" i="26"/>
  <c r="G806" i="26"/>
  <c r="G805" i="26"/>
  <c r="G804" i="26"/>
  <c r="G803" i="26"/>
  <c r="G802" i="26"/>
  <c r="G801" i="26"/>
  <c r="G800" i="26"/>
  <c r="G799" i="26"/>
  <c r="G798" i="26"/>
  <c r="G797" i="26"/>
  <c r="G796" i="26"/>
  <c r="G795" i="26"/>
  <c r="G794" i="26"/>
  <c r="G793" i="26"/>
  <c r="G792" i="26"/>
  <c r="G791" i="26"/>
  <c r="G790" i="26"/>
  <c r="G789" i="26"/>
  <c r="G788" i="26"/>
  <c r="G787" i="26"/>
  <c r="G786" i="26"/>
  <c r="G785" i="26"/>
  <c r="G784" i="26"/>
  <c r="G783" i="26"/>
  <c r="G782" i="26"/>
  <c r="G781" i="26"/>
  <c r="G780" i="26"/>
  <c r="G779" i="26"/>
  <c r="G778" i="26"/>
  <c r="G777" i="26"/>
  <c r="G776" i="26"/>
  <c r="G775" i="26"/>
  <c r="G774" i="26"/>
  <c r="G773" i="26"/>
  <c r="G772" i="26"/>
  <c r="G771" i="26"/>
  <c r="G770" i="26"/>
  <c r="G769" i="26"/>
  <c r="F818" i="26"/>
  <c r="F817" i="26"/>
  <c r="F816" i="26"/>
  <c r="F815" i="26"/>
  <c r="F814" i="26"/>
  <c r="F813" i="26"/>
  <c r="F812" i="26"/>
  <c r="F811" i="26"/>
  <c r="F810" i="26"/>
  <c r="F809" i="26"/>
  <c r="F808" i="26"/>
  <c r="F807" i="26"/>
  <c r="F806" i="26"/>
  <c r="F805" i="26"/>
  <c r="F804" i="26"/>
  <c r="F803" i="26"/>
  <c r="F802" i="26"/>
  <c r="F801" i="26"/>
  <c r="F800" i="26"/>
  <c r="F799" i="26"/>
  <c r="F798" i="26"/>
  <c r="F797" i="26"/>
  <c r="F796" i="26"/>
  <c r="F795" i="26"/>
  <c r="F794" i="26"/>
  <c r="F793" i="26"/>
  <c r="F792" i="26"/>
  <c r="F791" i="26"/>
  <c r="F790" i="26"/>
  <c r="F789" i="26"/>
  <c r="F788" i="26"/>
  <c r="F787" i="26"/>
  <c r="F786" i="26"/>
  <c r="F785" i="26"/>
  <c r="F784" i="26"/>
  <c r="F783" i="26"/>
  <c r="F782" i="26"/>
  <c r="F781" i="26"/>
  <c r="F780" i="26"/>
  <c r="F779" i="26"/>
  <c r="F778" i="26"/>
  <c r="F777" i="26"/>
  <c r="F776" i="26"/>
  <c r="F775" i="26"/>
  <c r="F774" i="26"/>
  <c r="F773" i="26"/>
  <c r="F772" i="26"/>
  <c r="F771" i="26"/>
  <c r="F770" i="26"/>
  <c r="F769" i="26"/>
  <c r="E818" i="26"/>
  <c r="E817" i="26"/>
  <c r="E816" i="26"/>
  <c r="E815" i="26"/>
  <c r="E814" i="26"/>
  <c r="E813" i="26"/>
  <c r="E812" i="26"/>
  <c r="E811" i="26"/>
  <c r="E810" i="26"/>
  <c r="E809" i="26"/>
  <c r="E808" i="26"/>
  <c r="E807" i="26"/>
  <c r="E806" i="26"/>
  <c r="E805" i="26"/>
  <c r="E804" i="26"/>
  <c r="E803" i="26"/>
  <c r="E802" i="26"/>
  <c r="E801" i="26"/>
  <c r="E800" i="26"/>
  <c r="E799" i="26"/>
  <c r="E798" i="26"/>
  <c r="E797" i="26"/>
  <c r="E796" i="26"/>
  <c r="E795" i="26"/>
  <c r="E794" i="26"/>
  <c r="E793" i="26"/>
  <c r="E792" i="26"/>
  <c r="E791" i="26"/>
  <c r="E790" i="26"/>
  <c r="E789" i="26"/>
  <c r="E788" i="26"/>
  <c r="E787" i="26"/>
  <c r="E786" i="26"/>
  <c r="E785" i="26"/>
  <c r="E784" i="26"/>
  <c r="E783" i="26"/>
  <c r="E782" i="26"/>
  <c r="E781" i="26"/>
  <c r="E780" i="26"/>
  <c r="E779" i="26"/>
  <c r="E778" i="26"/>
  <c r="E777" i="26"/>
  <c r="E776" i="26"/>
  <c r="E775" i="26"/>
  <c r="E774" i="26"/>
  <c r="E773" i="26"/>
  <c r="E772" i="26"/>
  <c r="E771" i="26"/>
  <c r="E770" i="26"/>
  <c r="E769" i="26"/>
  <c r="D818" i="26"/>
  <c r="D817" i="26"/>
  <c r="D816" i="26"/>
  <c r="D815" i="26"/>
  <c r="D814" i="26"/>
  <c r="D813" i="26"/>
  <c r="D812" i="26"/>
  <c r="D811" i="26"/>
  <c r="D810" i="26"/>
  <c r="D809" i="26"/>
  <c r="D808" i="26"/>
  <c r="D807" i="26"/>
  <c r="D806" i="26"/>
  <c r="D805" i="26"/>
  <c r="D804" i="26"/>
  <c r="D803" i="26"/>
  <c r="D802" i="26"/>
  <c r="D801" i="26"/>
  <c r="D800" i="26"/>
  <c r="D799" i="26"/>
  <c r="D798" i="26"/>
  <c r="D797" i="26"/>
  <c r="D796" i="26"/>
  <c r="D795" i="26"/>
  <c r="D794" i="26"/>
  <c r="D793" i="26"/>
  <c r="D792" i="26"/>
  <c r="D791" i="26"/>
  <c r="D790" i="26"/>
  <c r="D789" i="26"/>
  <c r="D788" i="26"/>
  <c r="D787" i="26"/>
  <c r="D786" i="26"/>
  <c r="D785" i="26"/>
  <c r="D784" i="26"/>
  <c r="D783" i="26"/>
  <c r="D782" i="26"/>
  <c r="D781" i="26"/>
  <c r="D780" i="26"/>
  <c r="D779" i="26"/>
  <c r="D778" i="26"/>
  <c r="D777" i="26"/>
  <c r="D776" i="26"/>
  <c r="D775" i="26"/>
  <c r="D774" i="26"/>
  <c r="D773" i="26"/>
  <c r="D772" i="26"/>
  <c r="D771" i="26"/>
  <c r="D770" i="26"/>
  <c r="D769" i="26"/>
  <c r="D3" i="31"/>
  <c r="D4" i="31"/>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97" i="31"/>
  <c r="D98" i="31"/>
  <c r="D99" i="31"/>
  <c r="D100" i="31"/>
  <c r="D101" i="31"/>
  <c r="D102" i="31"/>
  <c r="D103" i="31"/>
  <c r="D104" i="31"/>
  <c r="D105" i="31"/>
  <c r="D106" i="31"/>
  <c r="D107" i="31"/>
  <c r="D108" i="31"/>
  <c r="D109" i="31"/>
  <c r="D110" i="31"/>
  <c r="D111" i="31"/>
  <c r="D112" i="31"/>
  <c r="D113" i="31"/>
  <c r="D114" i="31"/>
  <c r="D115" i="31"/>
  <c r="D116" i="31"/>
  <c r="D117" i="31"/>
  <c r="D118" i="31"/>
  <c r="D119" i="31"/>
  <c r="D120" i="31"/>
  <c r="D121" i="31"/>
  <c r="D122" i="31"/>
  <c r="D123" i="31"/>
  <c r="D124" i="31"/>
  <c r="D125" i="31"/>
  <c r="D126" i="31"/>
  <c r="D127" i="31"/>
  <c r="D128" i="31"/>
  <c r="D129" i="31"/>
  <c r="D130" i="31"/>
  <c r="D131" i="31"/>
  <c r="D132" i="31"/>
  <c r="D133" i="31"/>
  <c r="D134" i="31"/>
  <c r="D135" i="31"/>
  <c r="D136" i="31"/>
  <c r="D137" i="31"/>
  <c r="D138" i="31"/>
  <c r="D139" i="31"/>
  <c r="D140" i="31"/>
  <c r="D141" i="31"/>
  <c r="D142" i="31"/>
  <c r="D143" i="31"/>
  <c r="D144" i="31"/>
  <c r="D145" i="31"/>
  <c r="D146" i="31"/>
  <c r="D147" i="31"/>
  <c r="D148" i="31"/>
  <c r="D149" i="31"/>
  <c r="D150" i="31"/>
  <c r="D151" i="31"/>
  <c r="D152" i="31"/>
  <c r="D153" i="31"/>
  <c r="D154" i="31"/>
  <c r="D155" i="31"/>
  <c r="D156" i="31"/>
  <c r="D157" i="31"/>
  <c r="D158" i="31"/>
  <c r="D159" i="31"/>
  <c r="D160" i="31"/>
  <c r="D161" i="31"/>
  <c r="D162" i="31"/>
  <c r="D163" i="31"/>
  <c r="D164" i="31"/>
  <c r="D165" i="31"/>
  <c r="D166" i="31"/>
  <c r="C71" i="31"/>
  <c r="A141" i="31"/>
  <c r="B141" i="31"/>
  <c r="G141" i="31"/>
  <c r="K141" i="31"/>
  <c r="L141" i="31"/>
  <c r="M141" i="31"/>
  <c r="N141" i="31"/>
  <c r="O141" i="31"/>
  <c r="P141" i="31"/>
  <c r="Q141" i="31"/>
  <c r="R141" i="31"/>
  <c r="S141" i="31"/>
  <c r="A142" i="31"/>
  <c r="B142" i="31"/>
  <c r="G142" i="31"/>
  <c r="C142" i="31" s="1"/>
  <c r="K142" i="31"/>
  <c r="L142" i="31"/>
  <c r="M142" i="31"/>
  <c r="N142" i="31"/>
  <c r="O142" i="31"/>
  <c r="P142" i="31"/>
  <c r="Q142" i="31"/>
  <c r="R142" i="31"/>
  <c r="S142" i="31"/>
  <c r="A143" i="31"/>
  <c r="B143" i="31"/>
  <c r="G143" i="31"/>
  <c r="C143" i="31" s="1"/>
  <c r="K143" i="31"/>
  <c r="L143" i="31"/>
  <c r="M143" i="31"/>
  <c r="N143" i="31"/>
  <c r="O143" i="31"/>
  <c r="P143" i="31"/>
  <c r="Q143" i="31"/>
  <c r="R143" i="31"/>
  <c r="S143" i="31"/>
  <c r="A144" i="31"/>
  <c r="B144" i="31"/>
  <c r="G144" i="31"/>
  <c r="C144" i="31" s="1"/>
  <c r="K144" i="31"/>
  <c r="L144" i="31"/>
  <c r="M144" i="31"/>
  <c r="N144" i="31"/>
  <c r="O144" i="31"/>
  <c r="P144" i="31"/>
  <c r="Q144" i="31"/>
  <c r="R144" i="31"/>
  <c r="S144" i="31"/>
  <c r="A145" i="31"/>
  <c r="B145" i="31"/>
  <c r="G145" i="31"/>
  <c r="C145" i="31" s="1"/>
  <c r="K145" i="31"/>
  <c r="L145" i="31"/>
  <c r="M145" i="31"/>
  <c r="N145" i="31"/>
  <c r="O145" i="31"/>
  <c r="P145" i="31"/>
  <c r="Q145" i="31"/>
  <c r="R145" i="31"/>
  <c r="S145" i="31"/>
  <c r="A146" i="31"/>
  <c r="B146" i="31"/>
  <c r="G146" i="31"/>
  <c r="C146" i="31" s="1"/>
  <c r="K146" i="31"/>
  <c r="L146" i="31"/>
  <c r="M146" i="31"/>
  <c r="N146" i="31"/>
  <c r="O146" i="31"/>
  <c r="P146" i="31"/>
  <c r="Q146" i="31"/>
  <c r="R146" i="31"/>
  <c r="S146" i="31"/>
  <c r="A147" i="31"/>
  <c r="B147" i="31"/>
  <c r="G147" i="31"/>
  <c r="C147" i="31" s="1"/>
  <c r="K147" i="31"/>
  <c r="L147" i="31"/>
  <c r="M147" i="31"/>
  <c r="N147" i="31"/>
  <c r="O147" i="31"/>
  <c r="P147" i="31"/>
  <c r="Q147" i="31"/>
  <c r="R147" i="31"/>
  <c r="S147" i="31"/>
  <c r="A148" i="31"/>
  <c r="B148" i="31"/>
  <c r="G148" i="31"/>
  <c r="C148" i="31" s="1"/>
  <c r="K148" i="31"/>
  <c r="L148" i="31"/>
  <c r="M148" i="31"/>
  <c r="N148" i="31"/>
  <c r="O148" i="31"/>
  <c r="P148" i="31"/>
  <c r="Q148" i="31"/>
  <c r="R148" i="31"/>
  <c r="S148" i="31"/>
  <c r="A149" i="31"/>
  <c r="B149" i="31"/>
  <c r="G149" i="31"/>
  <c r="C149" i="31" s="1"/>
  <c r="K149" i="31"/>
  <c r="M149" i="31"/>
  <c r="N149" i="31"/>
  <c r="P149" i="31"/>
  <c r="Q149" i="31"/>
  <c r="R149" i="31"/>
  <c r="S149" i="31"/>
  <c r="A150" i="31"/>
  <c r="B150" i="31"/>
  <c r="G150" i="31"/>
  <c r="C150" i="31" s="1"/>
  <c r="K150" i="31"/>
  <c r="L150" i="31"/>
  <c r="M150" i="31"/>
  <c r="O150" i="31"/>
  <c r="P150" i="31"/>
  <c r="Q150" i="31"/>
  <c r="R150" i="31"/>
  <c r="S150" i="31"/>
  <c r="A151" i="31"/>
  <c r="B151" i="31"/>
  <c r="G151" i="31"/>
  <c r="C151" i="31" s="1"/>
  <c r="K151" i="31"/>
  <c r="L151" i="31"/>
  <c r="M151" i="31"/>
  <c r="O151" i="31"/>
  <c r="P151" i="31"/>
  <c r="Q151" i="31"/>
  <c r="R151" i="31"/>
  <c r="S151" i="31"/>
  <c r="A152" i="31"/>
  <c r="B152" i="31"/>
  <c r="G152" i="31"/>
  <c r="C152" i="31" s="1"/>
  <c r="K152" i="31"/>
  <c r="L152" i="31"/>
  <c r="M152" i="31"/>
  <c r="N152" i="31"/>
  <c r="O152" i="31"/>
  <c r="P152" i="31"/>
  <c r="Q152" i="31"/>
  <c r="R152" i="31"/>
  <c r="S152" i="31"/>
  <c r="A153" i="31"/>
  <c r="B153" i="31"/>
  <c r="G153" i="31"/>
  <c r="C153" i="31" s="1"/>
  <c r="K153" i="31"/>
  <c r="L153" i="31"/>
  <c r="M153" i="31"/>
  <c r="O153" i="31"/>
  <c r="P153" i="31"/>
  <c r="Q153" i="31"/>
  <c r="R153" i="31"/>
  <c r="S153" i="31"/>
  <c r="A154" i="31"/>
  <c r="B154" i="31"/>
  <c r="G154" i="31"/>
  <c r="C154" i="31" s="1"/>
  <c r="K154" i="31"/>
  <c r="L154" i="31"/>
  <c r="M154" i="31"/>
  <c r="O154" i="31"/>
  <c r="P154" i="31"/>
  <c r="Q154" i="31"/>
  <c r="R154" i="31"/>
  <c r="S154" i="31"/>
  <c r="A155" i="31"/>
  <c r="B155" i="31"/>
  <c r="G155" i="31"/>
  <c r="C155" i="31" s="1"/>
  <c r="K155" i="31"/>
  <c r="L155" i="31"/>
  <c r="M155" i="31"/>
  <c r="O155" i="31"/>
  <c r="P155" i="31"/>
  <c r="Q155" i="31"/>
  <c r="R155" i="31"/>
  <c r="S155" i="31"/>
  <c r="A156" i="31"/>
  <c r="B156" i="31"/>
  <c r="G156" i="31"/>
  <c r="C156" i="31" s="1"/>
  <c r="K156" i="31"/>
  <c r="L156" i="31"/>
  <c r="M156" i="31"/>
  <c r="N156" i="31"/>
  <c r="O156" i="31"/>
  <c r="P156" i="31"/>
  <c r="Q156" i="31"/>
  <c r="R156" i="31"/>
  <c r="S156" i="31"/>
  <c r="A157" i="31"/>
  <c r="B157" i="31"/>
  <c r="G157" i="31"/>
  <c r="C157" i="31" s="1"/>
  <c r="A158" i="31"/>
  <c r="B158" i="31"/>
  <c r="G158" i="31"/>
  <c r="C158" i="31" s="1"/>
  <c r="K158" i="31"/>
  <c r="L158" i="31"/>
  <c r="M158" i="31"/>
  <c r="N158" i="31"/>
  <c r="O158" i="31"/>
  <c r="P158" i="31"/>
  <c r="Q158" i="31"/>
  <c r="R158" i="31"/>
  <c r="S158" i="31"/>
  <c r="A159" i="31"/>
  <c r="B159" i="31"/>
  <c r="G159" i="31"/>
  <c r="C159" i="31" s="1"/>
  <c r="K159" i="31"/>
  <c r="L159" i="31"/>
  <c r="M159" i="31"/>
  <c r="N159" i="31"/>
  <c r="O159" i="31"/>
  <c r="P159" i="31"/>
  <c r="Q159" i="31"/>
  <c r="R159" i="31"/>
  <c r="S159" i="31"/>
  <c r="A160" i="31"/>
  <c r="B160" i="31"/>
  <c r="C160" i="31"/>
  <c r="A161" i="31"/>
  <c r="B161" i="31"/>
  <c r="G161" i="31"/>
  <c r="C161" i="31" s="1"/>
  <c r="L161" i="31"/>
  <c r="M161" i="31"/>
  <c r="P161" i="31"/>
  <c r="Q161" i="31"/>
  <c r="R161" i="31"/>
  <c r="S161" i="31"/>
  <c r="A162" i="31"/>
  <c r="B162" i="31"/>
  <c r="G162" i="31"/>
  <c r="C162" i="31" s="1"/>
  <c r="L162" i="31"/>
  <c r="M162" i="31"/>
  <c r="O162" i="31"/>
  <c r="P162" i="31"/>
  <c r="Q162" i="31"/>
  <c r="R162" i="31"/>
  <c r="S162" i="31"/>
  <c r="A163" i="31"/>
  <c r="B163" i="31"/>
  <c r="G163" i="31"/>
  <c r="C163" i="31" s="1"/>
  <c r="A164" i="31"/>
  <c r="B164" i="31"/>
  <c r="C164" i="31"/>
  <c r="A165" i="31"/>
  <c r="B165" i="31"/>
  <c r="G165" i="31"/>
  <c r="C165" i="31" s="1"/>
  <c r="K165" i="31"/>
  <c r="L165" i="31"/>
  <c r="M165" i="31"/>
  <c r="N165" i="31"/>
  <c r="P165" i="31"/>
  <c r="Q165" i="31"/>
  <c r="R165" i="31"/>
  <c r="S165" i="31"/>
  <c r="A166" i="31"/>
  <c r="B166" i="31"/>
  <c r="G166" i="31"/>
  <c r="C166" i="31" s="1"/>
  <c r="K166" i="31"/>
  <c r="L166" i="31"/>
  <c r="M166" i="31"/>
  <c r="N166" i="31"/>
  <c r="P166" i="31"/>
  <c r="Q166" i="31"/>
  <c r="R166" i="31"/>
  <c r="S166" i="31"/>
  <c r="G131" i="31"/>
  <c r="K124" i="31"/>
  <c r="L124" i="31"/>
  <c r="M124" i="31"/>
  <c r="N124" i="31"/>
  <c r="O124" i="31"/>
  <c r="P124" i="31"/>
  <c r="Q124" i="31"/>
  <c r="R124" i="31"/>
  <c r="S124" i="31"/>
  <c r="K125" i="31"/>
  <c r="N125" i="31"/>
  <c r="P125" i="31"/>
  <c r="Q125" i="31"/>
  <c r="R125" i="31"/>
  <c r="S125" i="31"/>
  <c r="K126" i="31"/>
  <c r="N126" i="31"/>
  <c r="P126" i="31"/>
  <c r="Q126" i="31"/>
  <c r="R126" i="31"/>
  <c r="S126" i="31"/>
  <c r="N127" i="31"/>
  <c r="O127" i="31"/>
  <c r="P127" i="31"/>
  <c r="Q127" i="31"/>
  <c r="R127" i="31"/>
  <c r="S127" i="31"/>
  <c r="K128" i="31"/>
  <c r="L128" i="31"/>
  <c r="M128" i="31"/>
  <c r="N128" i="31"/>
  <c r="O128" i="31"/>
  <c r="P128" i="31"/>
  <c r="Q128" i="31"/>
  <c r="S128" i="31"/>
  <c r="K129" i="31"/>
  <c r="L129" i="31"/>
  <c r="M129" i="31"/>
  <c r="N129" i="31"/>
  <c r="O129" i="31"/>
  <c r="P129" i="31"/>
  <c r="Q129" i="31"/>
  <c r="S129" i="31"/>
  <c r="K131" i="31"/>
  <c r="L131" i="31"/>
  <c r="M131" i="31"/>
  <c r="N131" i="31"/>
  <c r="O131" i="31"/>
  <c r="P131" i="31"/>
  <c r="Q131" i="31"/>
  <c r="R131" i="31"/>
  <c r="S131" i="31"/>
  <c r="K132" i="31"/>
  <c r="L132" i="31"/>
  <c r="M132" i="31"/>
  <c r="N132" i="31"/>
  <c r="O132" i="31"/>
  <c r="P132" i="31"/>
  <c r="Q132" i="31"/>
  <c r="R132" i="31"/>
  <c r="S132" i="31"/>
  <c r="K133" i="31"/>
  <c r="L133" i="31"/>
  <c r="M133" i="31"/>
  <c r="N133" i="31"/>
  <c r="O133" i="31"/>
  <c r="P133" i="31"/>
  <c r="Q133" i="31"/>
  <c r="R133" i="31"/>
  <c r="S133" i="31"/>
  <c r="L135" i="31"/>
  <c r="M135" i="31"/>
  <c r="P135" i="31"/>
  <c r="Q135" i="31"/>
  <c r="R135" i="31"/>
  <c r="S135" i="31"/>
  <c r="K138" i="31"/>
  <c r="L138" i="31"/>
  <c r="M138" i="31"/>
  <c r="N138" i="31"/>
  <c r="O138" i="31"/>
  <c r="P138" i="31"/>
  <c r="Q138" i="31"/>
  <c r="R138" i="31"/>
  <c r="K139" i="31"/>
  <c r="L139" i="31"/>
  <c r="M139" i="31"/>
  <c r="N139" i="31"/>
  <c r="O139" i="31"/>
  <c r="P139" i="31"/>
  <c r="Q139" i="31"/>
  <c r="R139" i="31"/>
  <c r="K140" i="31"/>
  <c r="L140" i="31"/>
  <c r="M140" i="31"/>
  <c r="N140" i="31"/>
  <c r="O140" i="31"/>
  <c r="P140" i="31"/>
  <c r="Q140" i="31"/>
  <c r="R140" i="31"/>
  <c r="S140" i="31"/>
  <c r="M123" i="31"/>
  <c r="N123" i="31"/>
  <c r="O123" i="31"/>
  <c r="P123" i="31"/>
  <c r="Q123" i="31"/>
  <c r="R123" i="31"/>
  <c r="S123" i="31"/>
  <c r="L123" i="31"/>
  <c r="K123" i="31"/>
  <c r="G128" i="31"/>
  <c r="G129" i="31"/>
  <c r="C129" i="31" s="1"/>
  <c r="G130" i="31"/>
  <c r="C130" i="31" s="1"/>
  <c r="G132" i="31"/>
  <c r="C132" i="31" s="1"/>
  <c r="G133" i="31"/>
  <c r="C133" i="31" s="1"/>
  <c r="C134" i="31"/>
  <c r="G135" i="31"/>
  <c r="C135" i="31" s="1"/>
  <c r="C136" i="31"/>
  <c r="C137" i="31"/>
  <c r="G138" i="31"/>
  <c r="C138" i="31" s="1"/>
  <c r="G139" i="31"/>
  <c r="C139" i="31" s="1"/>
  <c r="G140" i="31"/>
  <c r="C140" i="31" s="1"/>
  <c r="G124" i="31"/>
  <c r="G125" i="31"/>
  <c r="C125" i="31" s="1"/>
  <c r="G126" i="31"/>
  <c r="C126" i="31" s="1"/>
  <c r="G127" i="31"/>
  <c r="C127" i="31" s="1"/>
  <c r="G123" i="31"/>
  <c r="A124" i="31"/>
  <c r="B124" i="31"/>
  <c r="A125" i="31"/>
  <c r="B125" i="31"/>
  <c r="A126" i="31"/>
  <c r="B126" i="31"/>
  <c r="A127" i="31"/>
  <c r="B127" i="31"/>
  <c r="A128" i="31"/>
  <c r="B128" i="31"/>
  <c r="A129" i="31"/>
  <c r="B129" i="31"/>
  <c r="A130" i="31"/>
  <c r="B130" i="31"/>
  <c r="A131" i="31"/>
  <c r="B131" i="31"/>
  <c r="A132" i="31"/>
  <c r="B132" i="31"/>
  <c r="A133" i="31"/>
  <c r="B133" i="31"/>
  <c r="A134" i="31"/>
  <c r="B134" i="31"/>
  <c r="A135" i="31"/>
  <c r="B135" i="31"/>
  <c r="A136" i="31"/>
  <c r="B136" i="31"/>
  <c r="A137" i="31"/>
  <c r="B137" i="31"/>
  <c r="A138" i="31"/>
  <c r="B138" i="31"/>
  <c r="A139" i="31"/>
  <c r="B139" i="31"/>
  <c r="A140" i="31"/>
  <c r="B140" i="31"/>
  <c r="B123" i="31"/>
  <c r="A123" i="31"/>
  <c r="B122" i="31"/>
  <c r="B121" i="31"/>
  <c r="B120" i="31"/>
  <c r="B119" i="31"/>
  <c r="B118" i="31"/>
  <c r="B117" i="31"/>
  <c r="B116" i="31"/>
  <c r="B115" i="31"/>
  <c r="B114" i="31"/>
  <c r="B113" i="31"/>
  <c r="B112" i="31"/>
  <c r="B111" i="31"/>
  <c r="B110" i="31"/>
  <c r="B109" i="31"/>
  <c r="B108" i="31"/>
  <c r="B107" i="31"/>
  <c r="B106" i="31"/>
  <c r="B105" i="31"/>
  <c r="B104" i="31"/>
  <c r="B103" i="31"/>
  <c r="B102" i="31"/>
  <c r="B101" i="31"/>
  <c r="B100" i="31"/>
  <c r="B99" i="31"/>
  <c r="B98" i="31"/>
  <c r="B97" i="31"/>
  <c r="B96" i="31"/>
  <c r="B95" i="31"/>
  <c r="B94" i="31"/>
  <c r="B93" i="31"/>
  <c r="B92" i="31"/>
  <c r="B91" i="31"/>
  <c r="B90" i="31"/>
  <c r="B89" i="31"/>
  <c r="B88" i="31"/>
  <c r="B87" i="31"/>
  <c r="B86" i="31"/>
  <c r="B85" i="31"/>
  <c r="B84" i="31"/>
  <c r="B83" i="31"/>
  <c r="B82" i="31"/>
  <c r="B81" i="31"/>
  <c r="B80" i="31"/>
  <c r="B79" i="31"/>
  <c r="B78" i="31"/>
  <c r="B77" i="31"/>
  <c r="B76" i="31"/>
  <c r="B75" i="31"/>
  <c r="B74" i="31"/>
  <c r="B73" i="31"/>
  <c r="B72" i="31"/>
  <c r="B71" i="31"/>
  <c r="B70" i="31"/>
  <c r="B69" i="31"/>
  <c r="B68" i="31"/>
  <c r="B67" i="31"/>
  <c r="B66" i="31"/>
  <c r="B65" i="31"/>
  <c r="B64" i="31"/>
  <c r="B63" i="31"/>
  <c r="B62" i="31"/>
  <c r="B61" i="31"/>
  <c r="B60" i="31"/>
  <c r="B59" i="31"/>
  <c r="B58" i="31"/>
  <c r="B57" i="31"/>
  <c r="B56" i="31"/>
  <c r="B55" i="31"/>
  <c r="B54" i="31"/>
  <c r="B53" i="31"/>
  <c r="B52" i="31"/>
  <c r="B51" i="31"/>
  <c r="B50" i="31"/>
  <c r="B49" i="31"/>
  <c r="B48" i="31"/>
  <c r="B47" i="31"/>
  <c r="B46" i="31"/>
  <c r="B45" i="31"/>
  <c r="B44" i="31"/>
  <c r="B43" i="31"/>
  <c r="B42" i="31"/>
  <c r="B41" i="31"/>
  <c r="B40" i="31"/>
  <c r="B39" i="31"/>
  <c r="B38" i="31"/>
  <c r="B37" i="31"/>
  <c r="B36" i="31"/>
  <c r="B35" i="31"/>
  <c r="B34" i="31"/>
  <c r="B33" i="31"/>
  <c r="B32" i="31"/>
  <c r="B31" i="31"/>
  <c r="B30" i="31"/>
  <c r="B29" i="31"/>
  <c r="B28" i="31"/>
  <c r="B27" i="31"/>
  <c r="B26" i="31"/>
  <c r="B25" i="31"/>
  <c r="B24" i="31"/>
  <c r="B23" i="31"/>
  <c r="B22" i="31"/>
  <c r="B21" i="31"/>
  <c r="B20" i="31"/>
  <c r="B19" i="31"/>
  <c r="B18" i="31"/>
  <c r="B17" i="31"/>
  <c r="B16" i="31"/>
  <c r="B15" i="31"/>
  <c r="B14" i="31"/>
  <c r="B13" i="31"/>
  <c r="B12" i="31"/>
  <c r="B11" i="31"/>
  <c r="B10" i="31"/>
  <c r="B3" i="31"/>
  <c r="B4" i="31"/>
  <c r="B5" i="31"/>
  <c r="B6" i="31"/>
  <c r="B7" i="31"/>
  <c r="B8" i="31"/>
  <c r="B9" i="31"/>
  <c r="A3" i="31"/>
  <c r="A4" i="31"/>
  <c r="A5" i="31"/>
  <c r="A6" i="31"/>
  <c r="A7" i="31"/>
  <c r="A8" i="31"/>
  <c r="A9" i="31"/>
  <c r="A10" i="31"/>
  <c r="A11" i="31"/>
  <c r="A12" i="31"/>
  <c r="A13" i="31"/>
  <c r="A14" i="31"/>
  <c r="A15" i="31"/>
  <c r="A16" i="31"/>
  <c r="A17" i="31"/>
  <c r="A18" i="31"/>
  <c r="A19" i="31"/>
  <c r="A20" i="31"/>
  <c r="A21" i="31"/>
  <c r="A22" i="31"/>
  <c r="A23" i="31"/>
  <c r="A24" i="31"/>
  <c r="A25" i="31"/>
  <c r="A26" i="31"/>
  <c r="A27" i="31"/>
  <c r="A28" i="31"/>
  <c r="A29" i="31"/>
  <c r="A30" i="31"/>
  <c r="A31" i="31"/>
  <c r="A32" i="31"/>
  <c r="A33" i="31"/>
  <c r="A34" i="31"/>
  <c r="A35" i="31"/>
  <c r="A36" i="31"/>
  <c r="A37" i="31"/>
  <c r="A38" i="31"/>
  <c r="A39" i="31"/>
  <c r="A40" i="31"/>
  <c r="A41" i="31"/>
  <c r="A42" i="31"/>
  <c r="A43" i="31"/>
  <c r="A44" i="31"/>
  <c r="A45" i="31"/>
  <c r="A46" i="31"/>
  <c r="A47" i="31"/>
  <c r="A48" i="31"/>
  <c r="A49" i="31"/>
  <c r="A50" i="31"/>
  <c r="A51" i="31"/>
  <c r="A52" i="31"/>
  <c r="A53" i="31"/>
  <c r="A54" i="31"/>
  <c r="A55" i="31"/>
  <c r="A56" i="31"/>
  <c r="A57" i="31"/>
  <c r="A58" i="31"/>
  <c r="A59" i="31"/>
  <c r="A60" i="31"/>
  <c r="A61" i="31"/>
  <c r="A62" i="31"/>
  <c r="A63" i="31"/>
  <c r="A64" i="31"/>
  <c r="A65" i="31"/>
  <c r="A66" i="31"/>
  <c r="A67" i="31"/>
  <c r="A68" i="31"/>
  <c r="A69" i="31"/>
  <c r="A70" i="31"/>
  <c r="A71" i="31"/>
  <c r="A72" i="31"/>
  <c r="A73" i="31"/>
  <c r="A74" i="31"/>
  <c r="A75" i="31"/>
  <c r="A76" i="31"/>
  <c r="A77" i="31"/>
  <c r="A78" i="31"/>
  <c r="A79" i="31"/>
  <c r="A80" i="31"/>
  <c r="A81" i="31"/>
  <c r="A82" i="31"/>
  <c r="A83" i="31"/>
  <c r="A84" i="31"/>
  <c r="A85" i="31"/>
  <c r="A86" i="31"/>
  <c r="A87" i="31"/>
  <c r="A88" i="31"/>
  <c r="A89" i="31"/>
  <c r="A90" i="31"/>
  <c r="A91" i="31"/>
  <c r="A92" i="31"/>
  <c r="A93" i="31"/>
  <c r="A94" i="31"/>
  <c r="A95" i="31"/>
  <c r="A96" i="31"/>
  <c r="A97" i="31"/>
  <c r="A98" i="31"/>
  <c r="A99" i="31"/>
  <c r="A100" i="31"/>
  <c r="A101" i="31"/>
  <c r="A102" i="31"/>
  <c r="A103" i="31"/>
  <c r="A104" i="31"/>
  <c r="A105" i="31"/>
  <c r="A106" i="31"/>
  <c r="A107" i="31"/>
  <c r="A108" i="31"/>
  <c r="A109" i="31"/>
  <c r="A110" i="31"/>
  <c r="A111" i="31"/>
  <c r="A112" i="31"/>
  <c r="A113" i="31"/>
  <c r="A114" i="31"/>
  <c r="A115" i="31"/>
  <c r="A116" i="31"/>
  <c r="A117" i="31"/>
  <c r="A118" i="31"/>
  <c r="A119" i="31"/>
  <c r="A120" i="31"/>
  <c r="A121" i="31"/>
  <c r="A122" i="31"/>
  <c r="A2" i="31"/>
  <c r="AG155" i="30"/>
  <c r="AF155" i="30"/>
  <c r="AE155" i="30"/>
  <c r="AD155" i="30"/>
  <c r="AG153" i="30"/>
  <c r="AF153" i="30"/>
  <c r="AE153" i="30"/>
  <c r="AD153" i="30"/>
  <c r="AC155" i="30"/>
  <c r="AC153" i="30"/>
  <c r="AB155" i="30"/>
  <c r="AB153" i="30"/>
  <c r="AA155" i="30"/>
  <c r="AA153" i="30"/>
  <c r="Z155" i="30"/>
  <c r="Z153" i="30"/>
  <c r="Y155" i="30"/>
  <c r="Y153" i="30"/>
  <c r="AG150" i="30"/>
  <c r="AF150" i="30"/>
  <c r="AE150" i="30"/>
  <c r="AD150" i="30"/>
  <c r="AC150" i="30"/>
  <c r="AB150" i="30"/>
  <c r="AA150" i="30"/>
  <c r="Z150" i="30"/>
  <c r="Y150" i="30"/>
  <c r="Z148" i="30"/>
  <c r="AA148" i="30"/>
  <c r="AB148" i="30"/>
  <c r="AC148" i="30"/>
  <c r="AD148" i="30"/>
  <c r="AE148" i="30"/>
  <c r="AF148" i="30"/>
  <c r="AG148" i="30"/>
  <c r="Y148" i="30"/>
  <c r="BP41" i="6"/>
  <c r="BQ41" i="6"/>
  <c r="BR41" i="6"/>
  <c r="BS41" i="6"/>
  <c r="BT41" i="6"/>
  <c r="BU41" i="6"/>
  <c r="BV41" i="6"/>
  <c r="BW41" i="6"/>
  <c r="BP42" i="6"/>
  <c r="BQ42" i="6"/>
  <c r="BR42" i="6"/>
  <c r="BS42" i="6"/>
  <c r="BT42" i="6"/>
  <c r="BU42" i="6"/>
  <c r="BV42" i="6"/>
  <c r="BW42" i="6"/>
  <c r="BX42" i="6"/>
  <c r="BX41" i="6"/>
  <c r="S122" i="31"/>
  <c r="R122" i="31"/>
  <c r="Q122" i="31"/>
  <c r="P122" i="31"/>
  <c r="O122" i="31"/>
  <c r="M122" i="31"/>
  <c r="L122" i="31"/>
  <c r="K122" i="31"/>
  <c r="S121" i="31"/>
  <c r="R121" i="31"/>
  <c r="Q121" i="31"/>
  <c r="P121" i="31"/>
  <c r="O121" i="31"/>
  <c r="M121" i="31"/>
  <c r="L121" i="31"/>
  <c r="K121" i="31"/>
  <c r="S120" i="31"/>
  <c r="R120" i="31"/>
  <c r="Q120" i="31"/>
  <c r="P120" i="31"/>
  <c r="O120" i="31"/>
  <c r="N120" i="31"/>
  <c r="M120" i="31"/>
  <c r="L120" i="31"/>
  <c r="K120" i="31"/>
  <c r="S119" i="31"/>
  <c r="R119" i="31"/>
  <c r="Q119" i="31"/>
  <c r="P119" i="31"/>
  <c r="O119" i="31"/>
  <c r="M119" i="31"/>
  <c r="L119" i="31"/>
  <c r="K119" i="31"/>
  <c r="S118" i="31"/>
  <c r="R118" i="31"/>
  <c r="Q118" i="31"/>
  <c r="P118" i="31"/>
  <c r="O118" i="31"/>
  <c r="M118" i="31"/>
  <c r="L118" i="31"/>
  <c r="K118" i="31"/>
  <c r="S117" i="31"/>
  <c r="R117" i="31"/>
  <c r="Q117" i="31"/>
  <c r="P117" i="31"/>
  <c r="O117" i="31"/>
  <c r="M117" i="31"/>
  <c r="L117" i="31"/>
  <c r="K117" i="31"/>
  <c r="S116" i="31"/>
  <c r="R116" i="31"/>
  <c r="Q116" i="31"/>
  <c r="P116" i="31"/>
  <c r="O116" i="31"/>
  <c r="M116" i="31"/>
  <c r="L116" i="31"/>
  <c r="K116" i="31"/>
  <c r="S115" i="31"/>
  <c r="R115" i="31"/>
  <c r="Q115" i="31"/>
  <c r="P115" i="31"/>
  <c r="O115" i="31"/>
  <c r="M115" i="31"/>
  <c r="L115" i="31"/>
  <c r="K115" i="31"/>
  <c r="S114" i="31"/>
  <c r="R114" i="31"/>
  <c r="Q114" i="31"/>
  <c r="P114" i="31"/>
  <c r="O114" i="31"/>
  <c r="N114" i="31"/>
  <c r="M114" i="31"/>
  <c r="L114" i="31"/>
  <c r="K114" i="31"/>
  <c r="S113" i="31"/>
  <c r="R113" i="31"/>
  <c r="Q113" i="31"/>
  <c r="P113" i="31"/>
  <c r="O113" i="31"/>
  <c r="M113" i="31"/>
  <c r="K113" i="31"/>
  <c r="S112" i="31"/>
  <c r="R112" i="31"/>
  <c r="Q112" i="31"/>
  <c r="P112" i="31"/>
  <c r="O112" i="31"/>
  <c r="M112" i="31"/>
  <c r="K112" i="31"/>
  <c r="S111" i="31"/>
  <c r="R111" i="31"/>
  <c r="Q111" i="31"/>
  <c r="P111" i="31"/>
  <c r="O111" i="31"/>
  <c r="N111" i="31"/>
  <c r="M111" i="31"/>
  <c r="L111" i="31"/>
  <c r="K111" i="31"/>
  <c r="S110" i="31"/>
  <c r="R110" i="31"/>
  <c r="Q110" i="31"/>
  <c r="P110" i="31"/>
  <c r="N110" i="31"/>
  <c r="M110" i="31"/>
  <c r="L110" i="31"/>
  <c r="K110" i="31"/>
  <c r="S109" i="31"/>
  <c r="R109" i="31"/>
  <c r="Q109" i="31"/>
  <c r="P109" i="31"/>
  <c r="N109" i="31"/>
  <c r="M109" i="31"/>
  <c r="L109" i="31"/>
  <c r="K109" i="31"/>
  <c r="S108" i="31"/>
  <c r="R108" i="31"/>
  <c r="Q108" i="31"/>
  <c r="P108" i="31"/>
  <c r="N108" i="31"/>
  <c r="M108" i="31"/>
  <c r="L108" i="31"/>
  <c r="K108" i="31"/>
  <c r="S107" i="31"/>
  <c r="R107" i="31"/>
  <c r="Q107" i="31"/>
  <c r="P107" i="31"/>
  <c r="N107" i="31"/>
  <c r="M107" i="31"/>
  <c r="L107" i="31"/>
  <c r="K107" i="31"/>
  <c r="S106" i="31"/>
  <c r="R106" i="31"/>
  <c r="Q106" i="31"/>
  <c r="P106" i="31"/>
  <c r="N106" i="31"/>
  <c r="M106" i="31"/>
  <c r="L106" i="31"/>
  <c r="K106" i="31"/>
  <c r="S105" i="31"/>
  <c r="R105" i="31"/>
  <c r="Q105" i="31"/>
  <c r="P105" i="31"/>
  <c r="O105" i="31"/>
  <c r="N105" i="31"/>
  <c r="M105" i="31"/>
  <c r="L105" i="31"/>
  <c r="K105" i="31"/>
  <c r="S104" i="31"/>
  <c r="R104" i="31"/>
  <c r="Q104" i="31"/>
  <c r="P104" i="31"/>
  <c r="N104" i="31"/>
  <c r="M104" i="31"/>
  <c r="L104" i="31"/>
  <c r="K104" i="31"/>
  <c r="S103" i="31"/>
  <c r="R103" i="31"/>
  <c r="Q103" i="31"/>
  <c r="P103" i="31"/>
  <c r="N103" i="31"/>
  <c r="M103" i="31"/>
  <c r="L103" i="31"/>
  <c r="K103" i="31"/>
  <c r="S102" i="31"/>
  <c r="R102" i="31"/>
  <c r="Q102" i="31"/>
  <c r="P102" i="31"/>
  <c r="N102" i="31"/>
  <c r="M102" i="31"/>
  <c r="L102" i="31"/>
  <c r="K102" i="31"/>
  <c r="S101" i="31"/>
  <c r="R101" i="31"/>
  <c r="Q101" i="31"/>
  <c r="P101" i="31"/>
  <c r="N101" i="31"/>
  <c r="M101" i="31"/>
  <c r="L101" i="31"/>
  <c r="K101" i="31"/>
  <c r="S100" i="31"/>
  <c r="R100" i="31"/>
  <c r="Q100" i="31"/>
  <c r="P100" i="31"/>
  <c r="O100" i="31"/>
  <c r="M100" i="31"/>
  <c r="K100" i="31"/>
  <c r="S99" i="31"/>
  <c r="R99" i="31"/>
  <c r="Q99" i="31"/>
  <c r="P99" i="31"/>
  <c r="N99" i="31"/>
  <c r="M99" i="31"/>
  <c r="L99" i="31"/>
  <c r="S98" i="31"/>
  <c r="R98" i="31"/>
  <c r="Q98" i="31"/>
  <c r="P98" i="31"/>
  <c r="O98" i="31"/>
  <c r="N98" i="31"/>
  <c r="M98" i="31"/>
  <c r="L98" i="31"/>
  <c r="K98" i="31"/>
  <c r="S97" i="31"/>
  <c r="R97" i="31"/>
  <c r="Q97" i="31"/>
  <c r="P97" i="31"/>
  <c r="O97" i="31"/>
  <c r="N97" i="31"/>
  <c r="M97" i="31"/>
  <c r="L97" i="31"/>
  <c r="K97" i="31"/>
  <c r="S96" i="31"/>
  <c r="R96" i="31"/>
  <c r="Q96" i="31"/>
  <c r="P96" i="31"/>
  <c r="O96" i="31"/>
  <c r="N96" i="31"/>
  <c r="M96" i="31"/>
  <c r="L96" i="31"/>
  <c r="K96" i="31"/>
  <c r="S95" i="31"/>
  <c r="R95" i="31"/>
  <c r="Q95" i="31"/>
  <c r="P95" i="31"/>
  <c r="N95" i="31"/>
  <c r="M95" i="31"/>
  <c r="L95" i="31"/>
  <c r="K95" i="31"/>
  <c r="S94" i="31"/>
  <c r="R94" i="31"/>
  <c r="Q94" i="31"/>
  <c r="P94" i="31"/>
  <c r="N94" i="31"/>
  <c r="M94" i="31"/>
  <c r="L94" i="31"/>
  <c r="K94" i="31"/>
  <c r="S93" i="31"/>
  <c r="R93" i="31"/>
  <c r="Q93" i="31"/>
  <c r="P93" i="31"/>
  <c r="N93" i="31"/>
  <c r="M93" i="31"/>
  <c r="L93" i="31"/>
  <c r="K93" i="31"/>
  <c r="S92" i="31"/>
  <c r="R92" i="31"/>
  <c r="Q92" i="31"/>
  <c r="P92" i="31"/>
  <c r="O92" i="31"/>
  <c r="M92" i="31"/>
  <c r="L92" i="31"/>
  <c r="K92" i="31"/>
  <c r="G3" i="31"/>
  <c r="G4" i="31"/>
  <c r="C4" i="31" s="1"/>
  <c r="G5" i="31"/>
  <c r="C5" i="31" s="1"/>
  <c r="G6" i="31"/>
  <c r="C6" i="31" s="1"/>
  <c r="G7" i="31"/>
  <c r="C7" i="31" s="1"/>
  <c r="G8" i="31"/>
  <c r="C8" i="31" s="1"/>
  <c r="G9" i="31"/>
  <c r="C9" i="31" s="1"/>
  <c r="G10" i="31"/>
  <c r="C10" i="31" s="1"/>
  <c r="G11" i="31"/>
  <c r="C11" i="31" s="1"/>
  <c r="G12" i="31"/>
  <c r="C12" i="31" s="1"/>
  <c r="G13" i="31"/>
  <c r="C13" i="31" s="1"/>
  <c r="G14" i="31"/>
  <c r="C14" i="31" s="1"/>
  <c r="G15" i="31"/>
  <c r="C15" i="31" s="1"/>
  <c r="G16" i="31"/>
  <c r="C16" i="31" s="1"/>
  <c r="G17" i="31"/>
  <c r="C17" i="31" s="1"/>
  <c r="G18" i="31"/>
  <c r="C18" i="31" s="1"/>
  <c r="G19" i="31"/>
  <c r="C19" i="31" s="1"/>
  <c r="G20" i="31"/>
  <c r="C20" i="31" s="1"/>
  <c r="G21" i="31"/>
  <c r="C21" i="31" s="1"/>
  <c r="G22" i="31"/>
  <c r="C22" i="31" s="1"/>
  <c r="G23" i="31"/>
  <c r="C23" i="31" s="1"/>
  <c r="G24" i="31"/>
  <c r="C24" i="31" s="1"/>
  <c r="G25" i="31"/>
  <c r="C25" i="31" s="1"/>
  <c r="G26" i="31"/>
  <c r="C26" i="31" s="1"/>
  <c r="G27" i="31"/>
  <c r="C27" i="31" s="1"/>
  <c r="G28" i="31"/>
  <c r="C28" i="31" s="1"/>
  <c r="G29" i="31"/>
  <c r="C29" i="31" s="1"/>
  <c r="G30" i="31"/>
  <c r="C30" i="31" s="1"/>
  <c r="G31" i="31"/>
  <c r="C31" i="31" s="1"/>
  <c r="G32" i="31"/>
  <c r="G34" i="31"/>
  <c r="C34" i="31" s="1"/>
  <c r="G35" i="31"/>
  <c r="C35" i="31" s="1"/>
  <c r="G36" i="31"/>
  <c r="C36" i="31" s="1"/>
  <c r="G37" i="31"/>
  <c r="C37" i="31" s="1"/>
  <c r="G38" i="31"/>
  <c r="C38" i="31" s="1"/>
  <c r="G39" i="31"/>
  <c r="C39" i="31" s="1"/>
  <c r="G40" i="31"/>
  <c r="G42" i="31"/>
  <c r="C42" i="31" s="1"/>
  <c r="G43" i="31"/>
  <c r="C43" i="31" s="1"/>
  <c r="G44" i="31"/>
  <c r="C44" i="31" s="1"/>
  <c r="G45" i="31"/>
  <c r="C45" i="31" s="1"/>
  <c r="G46" i="31"/>
  <c r="C46" i="31" s="1"/>
  <c r="G47" i="31"/>
  <c r="C47" i="31" s="1"/>
  <c r="G48" i="31"/>
  <c r="C48" i="31" s="1"/>
  <c r="G49" i="31"/>
  <c r="C49" i="31" s="1"/>
  <c r="G50" i="31"/>
  <c r="C50" i="31" s="1"/>
  <c r="G51" i="31"/>
  <c r="C51" i="31" s="1"/>
  <c r="G52" i="31"/>
  <c r="C52" i="31" s="1"/>
  <c r="G53" i="31"/>
  <c r="C53" i="31" s="1"/>
  <c r="G54" i="31"/>
  <c r="C54" i="31" s="1"/>
  <c r="G55" i="31"/>
  <c r="C55" i="31" s="1"/>
  <c r="G56" i="31"/>
  <c r="C56" i="31" s="1"/>
  <c r="G57" i="31"/>
  <c r="C57" i="31" s="1"/>
  <c r="G58" i="31"/>
  <c r="G59" i="31"/>
  <c r="C59" i="31" s="1"/>
  <c r="G60" i="31"/>
  <c r="C60" i="31" s="1"/>
  <c r="G61" i="31"/>
  <c r="C61" i="31" s="1"/>
  <c r="G62" i="31"/>
  <c r="C62" i="31" s="1"/>
  <c r="G63" i="31"/>
  <c r="C63" i="31" s="1"/>
  <c r="G64" i="31"/>
  <c r="C64" i="31" s="1"/>
  <c r="G65" i="31"/>
  <c r="C65" i="31" s="1"/>
  <c r="G66" i="31"/>
  <c r="C66" i="31" s="1"/>
  <c r="G67" i="31"/>
  <c r="C67" i="31" s="1"/>
  <c r="G68" i="31"/>
  <c r="C68" i="31" s="1"/>
  <c r="G69" i="31"/>
  <c r="G72" i="31"/>
  <c r="G73" i="31"/>
  <c r="C73" i="31" s="1"/>
  <c r="G74" i="31"/>
  <c r="C74" i="31" s="1"/>
  <c r="G75" i="31"/>
  <c r="C75" i="31" s="1"/>
  <c r="G76" i="31"/>
  <c r="C76" i="31" s="1"/>
  <c r="G77" i="31"/>
  <c r="C77" i="31" s="1"/>
  <c r="G78" i="31"/>
  <c r="C78" i="31" s="1"/>
  <c r="G79" i="31"/>
  <c r="C79" i="31" s="1"/>
  <c r="G80" i="31"/>
  <c r="C80" i="31" s="1"/>
  <c r="G81" i="31"/>
  <c r="C81" i="31" s="1"/>
  <c r="G82" i="31"/>
  <c r="C82" i="31" s="1"/>
  <c r="G83" i="31"/>
  <c r="C83" i="31" s="1"/>
  <c r="G84" i="31"/>
  <c r="C84" i="31" s="1"/>
  <c r="G85" i="31"/>
  <c r="C85" i="31" s="1"/>
  <c r="G86" i="31"/>
  <c r="G88" i="31"/>
  <c r="C88" i="31" s="1"/>
  <c r="G89" i="31"/>
  <c r="C89" i="31" s="1"/>
  <c r="G90" i="31"/>
  <c r="C90" i="31" s="1"/>
  <c r="G91" i="31"/>
  <c r="C91" i="31" s="1"/>
  <c r="G92" i="31"/>
  <c r="C92" i="31" s="1"/>
  <c r="G93" i="31"/>
  <c r="C93" i="31" s="1"/>
  <c r="G94" i="31"/>
  <c r="C94" i="31" s="1"/>
  <c r="G95" i="31"/>
  <c r="C95" i="31" s="1"/>
  <c r="G96" i="31"/>
  <c r="C96" i="31" s="1"/>
  <c r="G97" i="31"/>
  <c r="C97" i="31" s="1"/>
  <c r="G98" i="31"/>
  <c r="C98" i="31" s="1"/>
  <c r="G99" i="31"/>
  <c r="C99" i="31" s="1"/>
  <c r="G100" i="31"/>
  <c r="C100" i="31" s="1"/>
  <c r="G101" i="31"/>
  <c r="C101" i="31" s="1"/>
  <c r="G102" i="31"/>
  <c r="C102" i="31" s="1"/>
  <c r="G103" i="31"/>
  <c r="C103" i="31" s="1"/>
  <c r="G104" i="31"/>
  <c r="C104" i="31" s="1"/>
  <c r="G105" i="31"/>
  <c r="C105" i="31" s="1"/>
  <c r="G106" i="31"/>
  <c r="C106" i="31" s="1"/>
  <c r="G107" i="31"/>
  <c r="C107" i="31" s="1"/>
  <c r="G108" i="31"/>
  <c r="C108" i="31" s="1"/>
  <c r="G109" i="31"/>
  <c r="C109" i="31" s="1"/>
  <c r="G110" i="31"/>
  <c r="C110" i="31" s="1"/>
  <c r="G111" i="31"/>
  <c r="C111" i="31" s="1"/>
  <c r="G112" i="31"/>
  <c r="C112" i="31" s="1"/>
  <c r="G113" i="31"/>
  <c r="C113" i="31" s="1"/>
  <c r="G114" i="31"/>
  <c r="C114" i="31" s="1"/>
  <c r="G115" i="31"/>
  <c r="C115" i="31" s="1"/>
  <c r="G116" i="31"/>
  <c r="C116" i="31" s="1"/>
  <c r="G117" i="31"/>
  <c r="C117" i="31" s="1"/>
  <c r="G118" i="31"/>
  <c r="C118" i="31" s="1"/>
  <c r="G119" i="31"/>
  <c r="C119" i="31" s="1"/>
  <c r="G120" i="31"/>
  <c r="C120" i="31" s="1"/>
  <c r="G121" i="31"/>
  <c r="C121" i="31" s="1"/>
  <c r="G122" i="31"/>
  <c r="C122" i="31" s="1"/>
  <c r="G2" i="31"/>
  <c r="C2" i="31" s="1"/>
  <c r="AHM61" i="3"/>
  <c r="AIB29" i="3"/>
  <c r="AHY29" i="3"/>
  <c r="AHV29" i="3"/>
  <c r="AHS29" i="3"/>
  <c r="AIE6" i="3"/>
  <c r="AIB6" i="3"/>
  <c r="AHY6" i="3"/>
  <c r="AHV6" i="3"/>
  <c r="AHS6" i="3"/>
  <c r="AHP6" i="3"/>
  <c r="AIG5" i="3"/>
  <c r="AIF5" i="3" s="1"/>
  <c r="AHX5" i="3"/>
  <c r="AHW5" i="3" s="1"/>
  <c r="AHJ61" i="3"/>
  <c r="AHJ29" i="3"/>
  <c r="AHG29" i="3"/>
  <c r="AHD29" i="3"/>
  <c r="AHG6" i="3"/>
  <c r="AHD6" i="3"/>
  <c r="AHA6" i="3"/>
  <c r="AGX6" i="3"/>
  <c r="AGU6" i="3"/>
  <c r="AGR6" i="3"/>
  <c r="AHC5" i="3"/>
  <c r="AHB5" i="3" s="1"/>
  <c r="AGO29" i="3"/>
  <c r="AGO6" i="3"/>
  <c r="AGL6" i="3"/>
  <c r="AGI6" i="3"/>
  <c r="AGF6" i="3"/>
  <c r="AGC6" i="3"/>
  <c r="AFZ6" i="3"/>
  <c r="AFW6" i="3"/>
  <c r="AGH5" i="3"/>
  <c r="AGG5" i="3" s="1"/>
  <c r="AFT61" i="3"/>
  <c r="AFQ61" i="3"/>
  <c r="AFT6" i="3"/>
  <c r="AFQ6" i="3"/>
  <c r="AFN6" i="3"/>
  <c r="AFK6" i="3"/>
  <c r="AFH6" i="3"/>
  <c r="AFE6" i="3"/>
  <c r="AFB6" i="3"/>
  <c r="AFM5" i="3"/>
  <c r="AFL5" i="3" s="1"/>
  <c r="D2" i="26"/>
  <c r="K768" i="26"/>
  <c r="K767" i="26"/>
  <c r="K766" i="26"/>
  <c r="K765" i="26"/>
  <c r="K764" i="26"/>
  <c r="K763" i="26"/>
  <c r="K762" i="26"/>
  <c r="K761" i="26"/>
  <c r="K760" i="26"/>
  <c r="K759" i="26"/>
  <c r="K758" i="26"/>
  <c r="K757" i="26"/>
  <c r="K756" i="26"/>
  <c r="K755" i="26"/>
  <c r="K754" i="26"/>
  <c r="K753" i="26"/>
  <c r="K752" i="26"/>
  <c r="K751" i="26"/>
  <c r="K750" i="26"/>
  <c r="K749" i="26"/>
  <c r="K748" i="26"/>
  <c r="K747" i="26"/>
  <c r="K746" i="26"/>
  <c r="K744" i="26"/>
  <c r="K743" i="26"/>
  <c r="K742" i="26"/>
  <c r="K741" i="26"/>
  <c r="K740" i="26"/>
  <c r="K739" i="26"/>
  <c r="K738" i="26"/>
  <c r="K737" i="26"/>
  <c r="K736" i="26"/>
  <c r="K735" i="26"/>
  <c r="K734" i="26"/>
  <c r="K733" i="26"/>
  <c r="K732" i="26"/>
  <c r="K731" i="26"/>
  <c r="K730" i="26"/>
  <c r="K729" i="26"/>
  <c r="K728" i="26"/>
  <c r="K727" i="26"/>
  <c r="K726" i="26"/>
  <c r="K725" i="26"/>
  <c r="K724" i="26"/>
  <c r="K723" i="26"/>
  <c r="K722" i="26"/>
  <c r="K721" i="26"/>
  <c r="K720" i="26"/>
  <c r="K719" i="26"/>
  <c r="K718" i="26"/>
  <c r="K717" i="26"/>
  <c r="J768" i="26"/>
  <c r="J767" i="26"/>
  <c r="J766" i="26"/>
  <c r="J765" i="26"/>
  <c r="J764" i="26"/>
  <c r="J763" i="26"/>
  <c r="J762" i="26"/>
  <c r="J761" i="26"/>
  <c r="J760" i="26"/>
  <c r="J759" i="26"/>
  <c r="J758" i="26"/>
  <c r="J757" i="26"/>
  <c r="J756" i="26"/>
  <c r="J755" i="26"/>
  <c r="J754" i="26"/>
  <c r="J753" i="26"/>
  <c r="J752" i="26"/>
  <c r="J751" i="26"/>
  <c r="J750" i="26"/>
  <c r="J749" i="26"/>
  <c r="J748" i="26"/>
  <c r="J747" i="26"/>
  <c r="J746" i="26"/>
  <c r="J745" i="26"/>
  <c r="J744" i="26"/>
  <c r="J743" i="26"/>
  <c r="J742" i="26"/>
  <c r="J741" i="26"/>
  <c r="J740" i="26"/>
  <c r="J739" i="26"/>
  <c r="J738" i="26"/>
  <c r="J737" i="26"/>
  <c r="J736" i="26"/>
  <c r="J735" i="26"/>
  <c r="J734" i="26"/>
  <c r="J733" i="26"/>
  <c r="J732" i="26"/>
  <c r="J731" i="26"/>
  <c r="J730" i="26"/>
  <c r="J729" i="26"/>
  <c r="J728" i="26"/>
  <c r="J727" i="26"/>
  <c r="J726" i="26"/>
  <c r="J725" i="26"/>
  <c r="J724" i="26"/>
  <c r="J723" i="26"/>
  <c r="J722" i="26"/>
  <c r="J721" i="26"/>
  <c r="J720" i="26"/>
  <c r="J719" i="26"/>
  <c r="J718" i="26"/>
  <c r="J717"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G768" i="26"/>
  <c r="G767" i="26"/>
  <c r="G766" i="26"/>
  <c r="G765" i="26"/>
  <c r="G764" i="26"/>
  <c r="G763" i="26"/>
  <c r="G761" i="26"/>
  <c r="G760" i="26"/>
  <c r="G759" i="26"/>
  <c r="G758" i="26"/>
  <c r="G757" i="26"/>
  <c r="G756" i="26"/>
  <c r="G755" i="26"/>
  <c r="G754" i="26"/>
  <c r="G753" i="26"/>
  <c r="G752" i="26"/>
  <c r="G751" i="26"/>
  <c r="G750" i="26"/>
  <c r="G749" i="26"/>
  <c r="G748" i="26"/>
  <c r="G747" i="26"/>
  <c r="G746" i="26"/>
  <c r="G745" i="26"/>
  <c r="G744" i="26"/>
  <c r="G743" i="26"/>
  <c r="G742" i="26"/>
  <c r="G741" i="26"/>
  <c r="G740" i="26"/>
  <c r="G739" i="26"/>
  <c r="G738" i="26"/>
  <c r="G737" i="26"/>
  <c r="G736" i="26"/>
  <c r="G735" i="26"/>
  <c r="G734" i="26"/>
  <c r="G733" i="26"/>
  <c r="G732" i="26"/>
  <c r="G731" i="26"/>
  <c r="G730" i="26"/>
  <c r="G729" i="26"/>
  <c r="G728" i="26"/>
  <c r="G727" i="26"/>
  <c r="G726" i="26"/>
  <c r="G725" i="26"/>
  <c r="G724" i="26"/>
  <c r="G723" i="26"/>
  <c r="G722" i="26"/>
  <c r="G721" i="26"/>
  <c r="G720" i="26"/>
  <c r="G719" i="26"/>
  <c r="G718" i="26"/>
  <c r="G717" i="26"/>
  <c r="F768" i="26"/>
  <c r="F767" i="26"/>
  <c r="F766" i="26"/>
  <c r="F765" i="26"/>
  <c r="F764" i="26"/>
  <c r="F763" i="26"/>
  <c r="F762" i="26"/>
  <c r="F761" i="26"/>
  <c r="F760" i="26"/>
  <c r="F759" i="26"/>
  <c r="F758" i="26"/>
  <c r="F757" i="26"/>
  <c r="F756" i="26"/>
  <c r="F755" i="26"/>
  <c r="F754" i="26"/>
  <c r="F753" i="26"/>
  <c r="F752" i="26"/>
  <c r="F751" i="26"/>
  <c r="F750" i="26"/>
  <c r="F749" i="26"/>
  <c r="F748" i="26"/>
  <c r="F747" i="26"/>
  <c r="F746" i="26"/>
  <c r="F745" i="26"/>
  <c r="F744" i="26"/>
  <c r="F743" i="26"/>
  <c r="F742" i="26"/>
  <c r="F741" i="26"/>
  <c r="F740" i="26"/>
  <c r="F739" i="26"/>
  <c r="F738" i="26"/>
  <c r="F737" i="26"/>
  <c r="F736" i="26"/>
  <c r="F735" i="26"/>
  <c r="F734" i="26"/>
  <c r="F733" i="26"/>
  <c r="F732" i="26"/>
  <c r="F731" i="26"/>
  <c r="F730" i="26"/>
  <c r="F729" i="26"/>
  <c r="F728" i="26"/>
  <c r="F727" i="26"/>
  <c r="F726" i="26"/>
  <c r="F725" i="26"/>
  <c r="F724" i="26"/>
  <c r="F723" i="26"/>
  <c r="F722" i="26"/>
  <c r="F721" i="26"/>
  <c r="F720" i="26"/>
  <c r="F719" i="26"/>
  <c r="F718" i="26"/>
  <c r="F717" i="26"/>
  <c r="E768" i="26"/>
  <c r="E767" i="26"/>
  <c r="E766" i="26"/>
  <c r="E765" i="26"/>
  <c r="E764" i="26"/>
  <c r="E763" i="26"/>
  <c r="E762" i="26"/>
  <c r="E761" i="26"/>
  <c r="E760" i="26"/>
  <c r="E759" i="26"/>
  <c r="E758" i="26"/>
  <c r="E757" i="26"/>
  <c r="E756" i="26"/>
  <c r="E755" i="26"/>
  <c r="E754" i="26"/>
  <c r="E753" i="26"/>
  <c r="E752" i="26"/>
  <c r="E751" i="26"/>
  <c r="E750" i="26"/>
  <c r="E749" i="26"/>
  <c r="E748" i="26"/>
  <c r="E747" i="26"/>
  <c r="E746" i="26"/>
  <c r="E745" i="26"/>
  <c r="E744" i="26"/>
  <c r="E743" i="26"/>
  <c r="E742" i="26"/>
  <c r="E741" i="26"/>
  <c r="E740" i="26"/>
  <c r="E739" i="26"/>
  <c r="E738" i="26"/>
  <c r="E737" i="26"/>
  <c r="E736" i="26"/>
  <c r="E735" i="26"/>
  <c r="E734" i="26"/>
  <c r="E733" i="26"/>
  <c r="E732" i="26"/>
  <c r="E731" i="26"/>
  <c r="E730" i="26"/>
  <c r="E729" i="26"/>
  <c r="E728" i="26"/>
  <c r="E727" i="26"/>
  <c r="E726" i="26"/>
  <c r="E725" i="26"/>
  <c r="E724" i="26"/>
  <c r="E723" i="26"/>
  <c r="E722" i="26"/>
  <c r="E721" i="26"/>
  <c r="E720" i="26"/>
  <c r="E719" i="26"/>
  <c r="E718" i="26"/>
  <c r="E717" i="26"/>
  <c r="D768" i="26"/>
  <c r="D767" i="26"/>
  <c r="D766" i="26"/>
  <c r="D765" i="26"/>
  <c r="D764" i="26"/>
  <c r="D763" i="26"/>
  <c r="D762" i="26"/>
  <c r="D761" i="26"/>
  <c r="D760" i="26"/>
  <c r="D759" i="26"/>
  <c r="D758" i="26"/>
  <c r="D757" i="26"/>
  <c r="D756" i="26"/>
  <c r="D755" i="26"/>
  <c r="D754" i="26"/>
  <c r="D753" i="26"/>
  <c r="D752" i="26"/>
  <c r="D751" i="26"/>
  <c r="D750" i="26"/>
  <c r="D749" i="26"/>
  <c r="D748" i="26"/>
  <c r="D747" i="26"/>
  <c r="D746" i="26"/>
  <c r="D745" i="26"/>
  <c r="D744" i="26"/>
  <c r="D743" i="26"/>
  <c r="D742" i="26"/>
  <c r="D741" i="26"/>
  <c r="D740" i="26"/>
  <c r="D739" i="26"/>
  <c r="D738" i="26"/>
  <c r="D737" i="26"/>
  <c r="D736" i="26"/>
  <c r="D735" i="26"/>
  <c r="D734" i="26"/>
  <c r="D733" i="26"/>
  <c r="D732" i="26"/>
  <c r="D731" i="26"/>
  <c r="D730" i="26"/>
  <c r="D729" i="26"/>
  <c r="D728" i="26"/>
  <c r="D727" i="26"/>
  <c r="D726" i="26"/>
  <c r="D725" i="26"/>
  <c r="D724" i="26"/>
  <c r="D723" i="26"/>
  <c r="D722" i="26"/>
  <c r="D721" i="26"/>
  <c r="D720" i="26"/>
  <c r="D719" i="26"/>
  <c r="D718" i="26"/>
  <c r="D717" i="26"/>
  <c r="AJ116" i="18"/>
  <c r="AI116" i="18"/>
  <c r="AH116" i="18"/>
  <c r="AG116" i="18"/>
  <c r="AF116" i="18"/>
  <c r="AE116" i="18"/>
  <c r="AD116" i="18"/>
  <c r="AC116" i="18"/>
  <c r="AB116" i="18"/>
  <c r="BC143" i="18"/>
  <c r="BB143" i="18"/>
  <c r="BA143" i="18"/>
  <c r="AI163" i="18"/>
  <c r="AJ146" i="18"/>
  <c r="AI146" i="18"/>
  <c r="AH146" i="18"/>
  <c r="AG146" i="18"/>
  <c r="AF146" i="18"/>
  <c r="AE146" i="18"/>
  <c r="AD146" i="18"/>
  <c r="AB146" i="18"/>
  <c r="AI169" i="18"/>
  <c r="AJ169" i="18"/>
  <c r="AH169" i="18"/>
  <c r="AG169" i="18"/>
  <c r="AF169" i="18"/>
  <c r="AE169" i="18"/>
  <c r="AD169" i="18"/>
  <c r="AC169" i="18"/>
  <c r="AB169" i="18"/>
  <c r="AJ79" i="18"/>
  <c r="AI79" i="18"/>
  <c r="AH79" i="18"/>
  <c r="AG79" i="18"/>
  <c r="AF79" i="18"/>
  <c r="AE79" i="18"/>
  <c r="AD79" i="18"/>
  <c r="AC79" i="18"/>
  <c r="AB79" i="18"/>
  <c r="K716" i="26"/>
  <c r="K715" i="26"/>
  <c r="K714" i="26"/>
  <c r="K713" i="26"/>
  <c r="K711" i="26"/>
  <c r="K710" i="26"/>
  <c r="K709" i="26"/>
  <c r="K708" i="26"/>
  <c r="K707" i="26"/>
  <c r="K706" i="26"/>
  <c r="K705" i="26"/>
  <c r="K704" i="26"/>
  <c r="K703" i="26"/>
  <c r="K702" i="26"/>
  <c r="K701" i="26"/>
  <c r="K700" i="26"/>
  <c r="K699" i="26"/>
  <c r="K698" i="26"/>
  <c r="K697" i="26"/>
  <c r="K696" i="26"/>
  <c r="K695" i="26"/>
  <c r="K694" i="26"/>
  <c r="K693" i="26"/>
  <c r="K692" i="26"/>
  <c r="K691" i="26"/>
  <c r="K690" i="26"/>
  <c r="K689" i="26"/>
  <c r="K688" i="26"/>
  <c r="K687" i="26"/>
  <c r="K686" i="26"/>
  <c r="K685" i="26"/>
  <c r="K684" i="26"/>
  <c r="K683" i="26"/>
  <c r="K682" i="26"/>
  <c r="K681" i="26"/>
  <c r="K680" i="26"/>
  <c r="K679" i="26"/>
  <c r="K678" i="26"/>
  <c r="K677" i="26"/>
  <c r="K676" i="26"/>
  <c r="K675" i="26"/>
  <c r="K674" i="26"/>
  <c r="K673" i="26"/>
  <c r="K671" i="26"/>
  <c r="K670" i="26"/>
  <c r="J716" i="26"/>
  <c r="J715" i="26"/>
  <c r="J714" i="26"/>
  <c r="J713" i="26"/>
  <c r="J712" i="26"/>
  <c r="J711" i="26"/>
  <c r="J710" i="26"/>
  <c r="J709" i="26"/>
  <c r="J708" i="26"/>
  <c r="J707" i="26"/>
  <c r="J706" i="26"/>
  <c r="J705" i="26"/>
  <c r="J704" i="26"/>
  <c r="J703" i="26"/>
  <c r="J702" i="26"/>
  <c r="J701" i="26"/>
  <c r="J700" i="26"/>
  <c r="J699" i="26"/>
  <c r="J698" i="26"/>
  <c r="J697" i="26"/>
  <c r="J696" i="26"/>
  <c r="J695" i="26"/>
  <c r="J694" i="26"/>
  <c r="J693" i="26"/>
  <c r="J692" i="26"/>
  <c r="J691" i="26"/>
  <c r="J690" i="26"/>
  <c r="J689" i="26"/>
  <c r="J688" i="26"/>
  <c r="J687" i="26"/>
  <c r="J686" i="26"/>
  <c r="J685" i="26"/>
  <c r="J684" i="26"/>
  <c r="J683" i="26"/>
  <c r="J682" i="26"/>
  <c r="J681" i="26"/>
  <c r="J680" i="26"/>
  <c r="J679" i="26"/>
  <c r="J678" i="26"/>
  <c r="J677" i="26"/>
  <c r="J676" i="26"/>
  <c r="J675" i="26"/>
  <c r="J674" i="26"/>
  <c r="J673" i="26"/>
  <c r="J672" i="26"/>
  <c r="J671" i="26"/>
  <c r="J670"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G716" i="26"/>
  <c r="G715" i="26"/>
  <c r="G714" i="26"/>
  <c r="G713" i="26"/>
  <c r="G712" i="26"/>
  <c r="G711" i="26"/>
  <c r="G710" i="26"/>
  <c r="G709" i="26"/>
  <c r="G708" i="26"/>
  <c r="G707" i="26"/>
  <c r="G706" i="26"/>
  <c r="G705" i="26"/>
  <c r="G704" i="26"/>
  <c r="G703" i="26"/>
  <c r="G702" i="26"/>
  <c r="G701" i="26"/>
  <c r="G700" i="26"/>
  <c r="G699" i="26"/>
  <c r="G698" i="26"/>
  <c r="G697" i="26"/>
  <c r="G696" i="26"/>
  <c r="G695" i="26"/>
  <c r="G694" i="26"/>
  <c r="G693" i="26"/>
  <c r="G692" i="26"/>
  <c r="G691" i="26"/>
  <c r="G690" i="26"/>
  <c r="G689" i="26"/>
  <c r="G688" i="26"/>
  <c r="G687" i="26"/>
  <c r="G686" i="26"/>
  <c r="G685" i="26"/>
  <c r="G684" i="26"/>
  <c r="G683" i="26"/>
  <c r="G682" i="26"/>
  <c r="G681" i="26"/>
  <c r="G680" i="26"/>
  <c r="G679" i="26"/>
  <c r="G678" i="26"/>
  <c r="G677" i="26"/>
  <c r="G676" i="26"/>
  <c r="G675" i="26"/>
  <c r="G674" i="26"/>
  <c r="G673" i="26"/>
  <c r="G672" i="26"/>
  <c r="G671" i="26"/>
  <c r="G670" i="26"/>
  <c r="F716" i="26"/>
  <c r="F715" i="26"/>
  <c r="F714" i="26"/>
  <c r="F713" i="26"/>
  <c r="F712" i="26"/>
  <c r="F711" i="26"/>
  <c r="F710" i="26"/>
  <c r="F709" i="26"/>
  <c r="F708" i="26"/>
  <c r="F707" i="26"/>
  <c r="F706" i="26"/>
  <c r="F705" i="26"/>
  <c r="F704" i="26"/>
  <c r="F703" i="26"/>
  <c r="F702" i="26"/>
  <c r="F701" i="26"/>
  <c r="F700" i="26"/>
  <c r="F699" i="26"/>
  <c r="F698" i="26"/>
  <c r="F697" i="26"/>
  <c r="F696" i="26"/>
  <c r="F695" i="26"/>
  <c r="F694" i="26"/>
  <c r="F693" i="26"/>
  <c r="F692" i="26"/>
  <c r="F691" i="26"/>
  <c r="F690" i="26"/>
  <c r="F689" i="26"/>
  <c r="F688" i="26"/>
  <c r="F687" i="26"/>
  <c r="F686" i="26"/>
  <c r="F685" i="26"/>
  <c r="F684" i="26"/>
  <c r="F683" i="26"/>
  <c r="F682" i="26"/>
  <c r="F681" i="26"/>
  <c r="F680" i="26"/>
  <c r="F679" i="26"/>
  <c r="F678" i="26"/>
  <c r="F677" i="26"/>
  <c r="F676" i="26"/>
  <c r="F675" i="26"/>
  <c r="F674" i="26"/>
  <c r="F673" i="26"/>
  <c r="F672" i="26"/>
  <c r="F671" i="26"/>
  <c r="F670" i="26"/>
  <c r="E716" i="26"/>
  <c r="E715" i="26"/>
  <c r="E714" i="26"/>
  <c r="E713" i="26"/>
  <c r="E712" i="26"/>
  <c r="E711" i="26"/>
  <c r="E710" i="26"/>
  <c r="E709" i="26"/>
  <c r="E708" i="26"/>
  <c r="E707" i="26"/>
  <c r="E706" i="26"/>
  <c r="E705" i="26"/>
  <c r="E704" i="26"/>
  <c r="E703" i="26"/>
  <c r="E702" i="26"/>
  <c r="E701" i="26"/>
  <c r="E700" i="26"/>
  <c r="E699" i="26"/>
  <c r="E698" i="26"/>
  <c r="E697" i="26"/>
  <c r="E696" i="26"/>
  <c r="E695" i="26"/>
  <c r="E694" i="26"/>
  <c r="E693" i="26"/>
  <c r="E692" i="26"/>
  <c r="E691" i="26"/>
  <c r="E690" i="26"/>
  <c r="E689" i="26"/>
  <c r="E688" i="26"/>
  <c r="E687" i="26"/>
  <c r="E686" i="26"/>
  <c r="E685" i="26"/>
  <c r="E684" i="26"/>
  <c r="E683" i="26"/>
  <c r="E682" i="26"/>
  <c r="E681" i="26"/>
  <c r="E680" i="26"/>
  <c r="E679" i="26"/>
  <c r="E678" i="26"/>
  <c r="E677" i="26"/>
  <c r="E676" i="26"/>
  <c r="E675" i="26"/>
  <c r="E674" i="26"/>
  <c r="E673" i="26"/>
  <c r="E672" i="26"/>
  <c r="E671" i="26"/>
  <c r="E670" i="26"/>
  <c r="D716" i="26"/>
  <c r="D715" i="26"/>
  <c r="D714" i="26"/>
  <c r="D713" i="26"/>
  <c r="D712" i="26"/>
  <c r="D711" i="26"/>
  <c r="D710" i="26"/>
  <c r="D709" i="26"/>
  <c r="D708" i="26"/>
  <c r="D707" i="26"/>
  <c r="D706" i="26"/>
  <c r="D705" i="26"/>
  <c r="D704" i="26"/>
  <c r="D703" i="26"/>
  <c r="D702" i="26"/>
  <c r="D701" i="26"/>
  <c r="D700" i="26"/>
  <c r="D699" i="26"/>
  <c r="D698" i="26"/>
  <c r="D697" i="26"/>
  <c r="D696" i="26"/>
  <c r="D695" i="26"/>
  <c r="D694" i="26"/>
  <c r="D693" i="26"/>
  <c r="D692" i="26"/>
  <c r="D691" i="26"/>
  <c r="D690" i="26"/>
  <c r="D689" i="26"/>
  <c r="D688" i="26"/>
  <c r="D687" i="26"/>
  <c r="D686" i="26"/>
  <c r="D685" i="26"/>
  <c r="D684" i="26"/>
  <c r="D683" i="26"/>
  <c r="D682" i="26"/>
  <c r="D681" i="26"/>
  <c r="D680" i="26"/>
  <c r="D679" i="26"/>
  <c r="D678" i="26"/>
  <c r="D677" i="26"/>
  <c r="D676" i="26"/>
  <c r="D675" i="26"/>
  <c r="D674" i="26"/>
  <c r="D673" i="26"/>
  <c r="D672" i="26"/>
  <c r="D671" i="26"/>
  <c r="D670" i="26"/>
  <c r="BC226" i="18"/>
  <c r="BC225" i="18"/>
  <c r="BC224" i="18"/>
  <c r="BC223" i="18"/>
  <c r="BC222" i="18"/>
  <c r="BC221" i="18"/>
  <c r="BC220" i="18"/>
  <c r="BC219" i="18"/>
  <c r="BC218" i="18"/>
  <c r="BC217" i="18"/>
  <c r="BC216" i="18"/>
  <c r="BC215" i="18"/>
  <c r="BC214" i="18"/>
  <c r="BC213" i="18"/>
  <c r="BC212" i="18"/>
  <c r="BC211" i="18"/>
  <c r="BC210" i="18"/>
  <c r="BC209" i="18"/>
  <c r="BC208" i="18"/>
  <c r="BC207" i="18"/>
  <c r="BC206" i="18"/>
  <c r="BC203" i="18"/>
  <c r="BC200" i="18"/>
  <c r="BC199" i="18"/>
  <c r="BC185" i="18"/>
  <c r="BC181" i="18"/>
  <c r="BC178" i="18"/>
  <c r="BC177" i="18"/>
  <c r="BC176" i="18"/>
  <c r="BC171" i="18"/>
  <c r="BC170" i="18"/>
  <c r="BC168" i="18"/>
  <c r="BC167" i="18"/>
  <c r="BC166" i="18"/>
  <c r="BC165" i="18"/>
  <c r="BC164" i="18"/>
  <c r="BC162" i="18"/>
  <c r="BC161" i="18"/>
  <c r="BC160" i="18"/>
  <c r="BC159" i="18"/>
  <c r="BC158" i="18"/>
  <c r="BC154" i="18"/>
  <c r="BC153" i="18"/>
  <c r="BC149" i="18"/>
  <c r="BC148" i="18"/>
  <c r="BC147" i="18"/>
  <c r="BC142" i="18"/>
  <c r="BC141" i="18"/>
  <c r="BC138" i="18"/>
  <c r="BC137" i="18"/>
  <c r="BC136" i="18"/>
  <c r="BC129" i="18"/>
  <c r="BC128" i="18"/>
  <c r="BC120" i="18"/>
  <c r="BC117" i="18"/>
  <c r="BC115" i="18"/>
  <c r="BC109" i="18"/>
  <c r="BC108" i="18"/>
  <c r="BC101" i="18"/>
  <c r="BC100" i="18"/>
  <c r="BC97" i="18"/>
  <c r="BC94" i="18"/>
  <c r="BC84" i="18"/>
  <c r="BC80" i="18"/>
  <c r="BC77" i="18"/>
  <c r="BC76" i="18"/>
  <c r="BC75" i="18"/>
  <c r="BC74" i="18"/>
  <c r="BC63" i="18"/>
  <c r="BC62" i="18"/>
  <c r="BC61" i="18"/>
  <c r="BC60" i="18"/>
  <c r="BC59" i="18"/>
  <c r="BC58" i="18"/>
  <c r="BC56" i="18"/>
  <c r="BC55" i="18"/>
  <c r="BC54" i="18"/>
  <c r="BC53" i="18"/>
  <c r="BC52" i="18"/>
  <c r="BC26" i="18"/>
  <c r="BC25" i="18"/>
  <c r="BC24" i="18"/>
  <c r="BC23" i="18"/>
  <c r="AB64" i="18"/>
  <c r="K669" i="26"/>
  <c r="K668" i="26"/>
  <c r="K667" i="26"/>
  <c r="K666" i="26"/>
  <c r="K665" i="26"/>
  <c r="K663" i="26"/>
  <c r="K662" i="26"/>
  <c r="K661" i="26"/>
  <c r="K660" i="26"/>
  <c r="K659" i="26"/>
  <c r="K658" i="26"/>
  <c r="K657" i="26"/>
  <c r="K656" i="26"/>
  <c r="K655" i="26"/>
  <c r="K654" i="26"/>
  <c r="K653" i="26"/>
  <c r="K652" i="26"/>
  <c r="K651" i="26"/>
  <c r="K650" i="26"/>
  <c r="K649" i="26"/>
  <c r="K648" i="26"/>
  <c r="K647" i="26"/>
  <c r="K646" i="26"/>
  <c r="K645" i="26"/>
  <c r="K644" i="26"/>
  <c r="K643" i="26"/>
  <c r="K642" i="26"/>
  <c r="K641" i="26"/>
  <c r="K640" i="26"/>
  <c r="K639" i="26"/>
  <c r="K638" i="26"/>
  <c r="K637" i="26"/>
  <c r="K636" i="26"/>
  <c r="K635" i="26"/>
  <c r="K634" i="26"/>
  <c r="K633" i="26"/>
  <c r="K632" i="26"/>
  <c r="K631" i="26"/>
  <c r="K630" i="26"/>
  <c r="K629" i="26"/>
  <c r="K628" i="26"/>
  <c r="K627" i="26"/>
  <c r="K626" i="26"/>
  <c r="K625" i="26"/>
  <c r="K624" i="26"/>
  <c r="K623" i="26"/>
  <c r="K622" i="26"/>
  <c r="J669" i="26"/>
  <c r="J668" i="26"/>
  <c r="J667" i="26"/>
  <c r="J666" i="26"/>
  <c r="J665" i="26"/>
  <c r="J664" i="26"/>
  <c r="J663" i="26"/>
  <c r="J662" i="26"/>
  <c r="J661" i="26"/>
  <c r="J660" i="26"/>
  <c r="J659" i="26"/>
  <c r="J658" i="26"/>
  <c r="J657" i="26"/>
  <c r="J656" i="26"/>
  <c r="J655" i="26"/>
  <c r="J654" i="26"/>
  <c r="J653" i="26"/>
  <c r="J652" i="26"/>
  <c r="J651" i="26"/>
  <c r="J650" i="26"/>
  <c r="J649" i="26"/>
  <c r="J648" i="26"/>
  <c r="J647" i="26"/>
  <c r="J646" i="26"/>
  <c r="J645" i="26"/>
  <c r="J644" i="26"/>
  <c r="J643" i="26"/>
  <c r="J642" i="26"/>
  <c r="J641" i="26"/>
  <c r="J640" i="26"/>
  <c r="J639" i="26"/>
  <c r="J638" i="26"/>
  <c r="J637" i="26"/>
  <c r="J636" i="26"/>
  <c r="J635" i="26"/>
  <c r="J634" i="26"/>
  <c r="J633" i="26"/>
  <c r="J632" i="26"/>
  <c r="J631" i="26"/>
  <c r="J630" i="26"/>
  <c r="J629" i="26"/>
  <c r="J628" i="26"/>
  <c r="J627" i="26"/>
  <c r="J626" i="26"/>
  <c r="J625" i="26"/>
  <c r="J624" i="26"/>
  <c r="J623" i="26"/>
  <c r="J622"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G669" i="26"/>
  <c r="G668" i="26"/>
  <c r="G667" i="26"/>
  <c r="G666" i="26"/>
  <c r="G665" i="26"/>
  <c r="G664" i="26"/>
  <c r="G663" i="26"/>
  <c r="G662" i="26"/>
  <c r="G661" i="26"/>
  <c r="G660" i="26"/>
  <c r="G659" i="26"/>
  <c r="G658" i="26"/>
  <c r="G657" i="26"/>
  <c r="G656" i="26"/>
  <c r="G655" i="26"/>
  <c r="G654" i="26"/>
  <c r="G653" i="26"/>
  <c r="G652" i="26"/>
  <c r="G651" i="26"/>
  <c r="G650" i="26"/>
  <c r="G649" i="26"/>
  <c r="G648" i="26"/>
  <c r="G647" i="26"/>
  <c r="G646" i="26"/>
  <c r="G645" i="26"/>
  <c r="G644" i="26"/>
  <c r="G643" i="26"/>
  <c r="G642" i="26"/>
  <c r="G641" i="26"/>
  <c r="G640" i="26"/>
  <c r="G639" i="26"/>
  <c r="G638" i="26"/>
  <c r="G637" i="26"/>
  <c r="G636" i="26"/>
  <c r="G635" i="26"/>
  <c r="G634" i="26"/>
  <c r="G633" i="26"/>
  <c r="G632" i="26"/>
  <c r="G631" i="26"/>
  <c r="G630" i="26"/>
  <c r="G629" i="26"/>
  <c r="G628" i="26"/>
  <c r="G627" i="26"/>
  <c r="G626" i="26"/>
  <c r="G625" i="26"/>
  <c r="G624" i="26"/>
  <c r="G623" i="26"/>
  <c r="G622" i="26"/>
  <c r="F669" i="26"/>
  <c r="F668" i="26"/>
  <c r="F666" i="26"/>
  <c r="F665" i="26"/>
  <c r="F664" i="26"/>
  <c r="F663" i="26"/>
  <c r="F662" i="26"/>
  <c r="F661" i="26"/>
  <c r="F660" i="26"/>
  <c r="F659" i="26"/>
  <c r="F658" i="26"/>
  <c r="F657" i="26"/>
  <c r="F656" i="26"/>
  <c r="F655" i="26"/>
  <c r="F654" i="26"/>
  <c r="F653" i="26"/>
  <c r="F652" i="26"/>
  <c r="F651" i="26"/>
  <c r="F650" i="26"/>
  <c r="F649" i="26"/>
  <c r="F648" i="26"/>
  <c r="F647" i="26"/>
  <c r="F646" i="26"/>
  <c r="F645" i="26"/>
  <c r="F644" i="26"/>
  <c r="F643" i="26"/>
  <c r="F642" i="26"/>
  <c r="F641" i="26"/>
  <c r="F640" i="26"/>
  <c r="F639" i="26"/>
  <c r="F638" i="26"/>
  <c r="F637" i="26"/>
  <c r="F636" i="26"/>
  <c r="F635" i="26"/>
  <c r="F634" i="26"/>
  <c r="F633" i="26"/>
  <c r="F632" i="26"/>
  <c r="F631" i="26"/>
  <c r="F630" i="26"/>
  <c r="F629" i="26"/>
  <c r="F628" i="26"/>
  <c r="F627" i="26"/>
  <c r="F626" i="26"/>
  <c r="F625" i="26"/>
  <c r="F624" i="26"/>
  <c r="F623" i="26"/>
  <c r="F622" i="26"/>
  <c r="E669" i="26"/>
  <c r="E667" i="26"/>
  <c r="E666" i="26"/>
  <c r="E665" i="26"/>
  <c r="E664" i="26"/>
  <c r="E663" i="26"/>
  <c r="E662" i="26"/>
  <c r="E661" i="26"/>
  <c r="E660" i="26"/>
  <c r="E659" i="26"/>
  <c r="E658" i="26"/>
  <c r="E657" i="26"/>
  <c r="E656" i="26"/>
  <c r="E655" i="26"/>
  <c r="E654" i="26"/>
  <c r="E653" i="26"/>
  <c r="E652" i="26"/>
  <c r="E651" i="26"/>
  <c r="E650" i="26"/>
  <c r="E649" i="26"/>
  <c r="E648" i="26"/>
  <c r="E647" i="26"/>
  <c r="E646" i="26"/>
  <c r="E645" i="26"/>
  <c r="E644" i="26"/>
  <c r="E643" i="26"/>
  <c r="E642" i="26"/>
  <c r="E641" i="26"/>
  <c r="E640" i="26"/>
  <c r="E639" i="26"/>
  <c r="E638" i="26"/>
  <c r="E637" i="26"/>
  <c r="E636" i="26"/>
  <c r="E635" i="26"/>
  <c r="E634" i="26"/>
  <c r="E633" i="26"/>
  <c r="E632" i="26"/>
  <c r="E631" i="26"/>
  <c r="E630" i="26"/>
  <c r="E629" i="26"/>
  <c r="E628" i="26"/>
  <c r="E627" i="26"/>
  <c r="E626" i="26"/>
  <c r="E625" i="26"/>
  <c r="E624" i="26"/>
  <c r="E623" i="26"/>
  <c r="E622" i="26"/>
  <c r="D669" i="26"/>
  <c r="D668" i="26"/>
  <c r="D667" i="26"/>
  <c r="D666" i="26"/>
  <c r="D665" i="26"/>
  <c r="D664" i="26"/>
  <c r="D663" i="26"/>
  <c r="D662" i="26"/>
  <c r="D661" i="26"/>
  <c r="D660" i="26"/>
  <c r="D659" i="26"/>
  <c r="D658" i="26"/>
  <c r="D657" i="26"/>
  <c r="D656" i="26"/>
  <c r="D655" i="26"/>
  <c r="D654" i="26"/>
  <c r="D653" i="26"/>
  <c r="D652" i="26"/>
  <c r="D651" i="26"/>
  <c r="D650" i="26"/>
  <c r="D649" i="26"/>
  <c r="D648" i="26"/>
  <c r="D647" i="26"/>
  <c r="D646" i="26"/>
  <c r="D645" i="26"/>
  <c r="D644" i="26"/>
  <c r="D643" i="26"/>
  <c r="D642" i="26"/>
  <c r="D641" i="26"/>
  <c r="D640" i="26"/>
  <c r="D639" i="26"/>
  <c r="D638" i="26"/>
  <c r="D637" i="26"/>
  <c r="D636" i="26"/>
  <c r="D635" i="26"/>
  <c r="D634" i="26"/>
  <c r="D633" i="26"/>
  <c r="D632" i="26"/>
  <c r="D631" i="26"/>
  <c r="D630" i="26"/>
  <c r="D629" i="26"/>
  <c r="D628" i="26"/>
  <c r="D627" i="26"/>
  <c r="D626" i="26"/>
  <c r="D625" i="26"/>
  <c r="D624" i="26"/>
  <c r="D623" i="26"/>
  <c r="D622" i="26"/>
  <c r="D621" i="26"/>
  <c r="E621" i="26"/>
  <c r="F621" i="26"/>
  <c r="G621" i="26"/>
  <c r="I621" i="26"/>
  <c r="J621" i="26"/>
  <c r="K621" i="26"/>
  <c r="AJ163" i="18"/>
  <c r="AK163" i="18"/>
  <c r="BB201" i="18"/>
  <c r="BA201" i="18"/>
  <c r="K620" i="26"/>
  <c r="K619" i="26"/>
  <c r="K618" i="26"/>
  <c r="K617" i="26"/>
  <c r="K616" i="26"/>
  <c r="K615" i="26"/>
  <c r="K614" i="26"/>
  <c r="K613" i="26"/>
  <c r="K612" i="26"/>
  <c r="K611" i="26"/>
  <c r="K610" i="26"/>
  <c r="K609" i="26"/>
  <c r="K608" i="26"/>
  <c r="K607" i="26"/>
  <c r="K606" i="26"/>
  <c r="K604" i="26"/>
  <c r="K603" i="26"/>
  <c r="K602" i="26"/>
  <c r="K601" i="26"/>
  <c r="K600" i="26"/>
  <c r="K599" i="26"/>
  <c r="K598" i="26"/>
  <c r="K597" i="26"/>
  <c r="K596" i="26"/>
  <c r="K595" i="26"/>
  <c r="K594" i="26"/>
  <c r="K593" i="26"/>
  <c r="K592" i="26"/>
  <c r="K591" i="26"/>
  <c r="K590" i="26"/>
  <c r="K589" i="26"/>
  <c r="K588" i="26"/>
  <c r="K587" i="26"/>
  <c r="K586" i="26"/>
  <c r="K585" i="26"/>
  <c r="K584" i="26"/>
  <c r="K583" i="26"/>
  <c r="K582" i="26"/>
  <c r="K581" i="26"/>
  <c r="K580" i="26"/>
  <c r="K579" i="26"/>
  <c r="K578" i="26"/>
  <c r="K577" i="26"/>
  <c r="K576" i="26"/>
  <c r="K575" i="26"/>
  <c r="K574" i="26"/>
  <c r="K573" i="26"/>
  <c r="J620" i="26"/>
  <c r="J619" i="26"/>
  <c r="J618" i="26"/>
  <c r="J617" i="26"/>
  <c r="J616" i="26"/>
  <c r="J615" i="26"/>
  <c r="J614" i="26"/>
  <c r="J613" i="26"/>
  <c r="J612" i="26"/>
  <c r="J611" i="26"/>
  <c r="J610" i="26"/>
  <c r="J609" i="26"/>
  <c r="J608" i="26"/>
  <c r="J607" i="26"/>
  <c r="J606" i="26"/>
  <c r="J605" i="26"/>
  <c r="J604" i="26"/>
  <c r="J603" i="26"/>
  <c r="J602" i="26"/>
  <c r="J601" i="26"/>
  <c r="J600" i="26"/>
  <c r="J599" i="26"/>
  <c r="J598" i="26"/>
  <c r="J597" i="26"/>
  <c r="J596" i="26"/>
  <c r="J595" i="26"/>
  <c r="J594" i="26"/>
  <c r="J593" i="26"/>
  <c r="J592" i="26"/>
  <c r="J591" i="26"/>
  <c r="J590" i="26"/>
  <c r="J589" i="26"/>
  <c r="J588" i="26"/>
  <c r="J587" i="26"/>
  <c r="J586" i="26"/>
  <c r="J585" i="26"/>
  <c r="J584" i="26"/>
  <c r="J583" i="26"/>
  <c r="J582" i="26"/>
  <c r="J581" i="26"/>
  <c r="J580" i="26"/>
  <c r="J579" i="26"/>
  <c r="J578" i="26"/>
  <c r="J577" i="26"/>
  <c r="J576" i="26"/>
  <c r="J575" i="26"/>
  <c r="J574" i="26"/>
  <c r="J573"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G620" i="26"/>
  <c r="G619" i="26"/>
  <c r="G618" i="26"/>
  <c r="G617" i="26"/>
  <c r="G616" i="26"/>
  <c r="G615" i="26"/>
  <c r="G614" i="26"/>
  <c r="G613" i="26"/>
  <c r="G612" i="26"/>
  <c r="G611" i="26"/>
  <c r="G610" i="26"/>
  <c r="G609" i="26"/>
  <c r="G608" i="26"/>
  <c r="G607" i="26"/>
  <c r="G606" i="26"/>
  <c r="G605" i="26"/>
  <c r="G604" i="26"/>
  <c r="G603" i="26"/>
  <c r="G602" i="26"/>
  <c r="G601" i="26"/>
  <c r="G600" i="26"/>
  <c r="G599" i="26"/>
  <c r="G598" i="26"/>
  <c r="G597" i="26"/>
  <c r="G596" i="26"/>
  <c r="G595" i="26"/>
  <c r="G594" i="26"/>
  <c r="G593" i="26"/>
  <c r="G592" i="26"/>
  <c r="G591" i="26"/>
  <c r="G590" i="26"/>
  <c r="G589" i="26"/>
  <c r="G588" i="26"/>
  <c r="G587" i="26"/>
  <c r="G586" i="26"/>
  <c r="G585" i="26"/>
  <c r="G584" i="26"/>
  <c r="G583" i="26"/>
  <c r="G582" i="26"/>
  <c r="G581" i="26"/>
  <c r="G580" i="26"/>
  <c r="G579" i="26"/>
  <c r="G578" i="26"/>
  <c r="G577" i="26"/>
  <c r="G576" i="26"/>
  <c r="G575" i="26"/>
  <c r="G574" i="26"/>
  <c r="G573" i="26"/>
  <c r="F620" i="26"/>
  <c r="F619" i="26"/>
  <c r="F618" i="26"/>
  <c r="F617" i="26"/>
  <c r="F616" i="26"/>
  <c r="F615" i="26"/>
  <c r="F614" i="26"/>
  <c r="F613" i="26"/>
  <c r="F612" i="26"/>
  <c r="F611" i="26"/>
  <c r="F610" i="26"/>
  <c r="F609" i="26"/>
  <c r="F608" i="26"/>
  <c r="F607" i="26"/>
  <c r="F606" i="26"/>
  <c r="F605" i="26"/>
  <c r="F604" i="26"/>
  <c r="F603" i="26"/>
  <c r="F602" i="26"/>
  <c r="F601" i="26"/>
  <c r="F600" i="26"/>
  <c r="F599" i="26"/>
  <c r="F598" i="26"/>
  <c r="F597" i="26"/>
  <c r="F596" i="26"/>
  <c r="F595" i="26"/>
  <c r="F594" i="26"/>
  <c r="F593" i="26"/>
  <c r="F592" i="26"/>
  <c r="F591" i="26"/>
  <c r="F590" i="26"/>
  <c r="F589" i="26"/>
  <c r="F588" i="26"/>
  <c r="F587" i="26"/>
  <c r="F586" i="26"/>
  <c r="F585" i="26"/>
  <c r="F584" i="26"/>
  <c r="F583" i="26"/>
  <c r="F582" i="26"/>
  <c r="F581" i="26"/>
  <c r="F580" i="26"/>
  <c r="F579" i="26"/>
  <c r="F578" i="26"/>
  <c r="F577" i="26"/>
  <c r="F576" i="26"/>
  <c r="F575" i="26"/>
  <c r="F574" i="26"/>
  <c r="F573" i="26"/>
  <c r="E620" i="26"/>
  <c r="E619" i="26"/>
  <c r="E618" i="26"/>
  <c r="E617" i="26"/>
  <c r="E616" i="26"/>
  <c r="E615" i="26"/>
  <c r="E614" i="26"/>
  <c r="E613" i="26"/>
  <c r="E612" i="26"/>
  <c r="E611" i="26"/>
  <c r="E610" i="26"/>
  <c r="E609" i="26"/>
  <c r="E608" i="26"/>
  <c r="E607" i="26"/>
  <c r="E606" i="26"/>
  <c r="E605" i="26"/>
  <c r="E604" i="26"/>
  <c r="E603" i="26"/>
  <c r="E602" i="26"/>
  <c r="E601" i="26"/>
  <c r="E600" i="26"/>
  <c r="E599" i="26"/>
  <c r="E598" i="26"/>
  <c r="E597" i="26"/>
  <c r="E596" i="26"/>
  <c r="E595" i="26"/>
  <c r="E594" i="26"/>
  <c r="E593" i="26"/>
  <c r="E592" i="26"/>
  <c r="E591" i="26"/>
  <c r="E590" i="26"/>
  <c r="E589" i="26"/>
  <c r="E588" i="26"/>
  <c r="E587" i="26"/>
  <c r="E586" i="26"/>
  <c r="E585" i="26"/>
  <c r="E584" i="26"/>
  <c r="E583" i="26"/>
  <c r="E582" i="26"/>
  <c r="E581" i="26"/>
  <c r="E580" i="26"/>
  <c r="E579" i="26"/>
  <c r="E578" i="26"/>
  <c r="E577" i="26"/>
  <c r="E576" i="26"/>
  <c r="E575" i="26"/>
  <c r="E574" i="26"/>
  <c r="E573" i="26"/>
  <c r="D620" i="26"/>
  <c r="D619" i="26"/>
  <c r="D618" i="26"/>
  <c r="D617" i="26"/>
  <c r="D616" i="26"/>
  <c r="D615" i="26"/>
  <c r="D614" i="26"/>
  <c r="D613" i="26"/>
  <c r="D612" i="26"/>
  <c r="D611" i="26"/>
  <c r="D610" i="26"/>
  <c r="D609" i="26"/>
  <c r="D608" i="26"/>
  <c r="D607" i="26"/>
  <c r="D606" i="26"/>
  <c r="D605" i="26"/>
  <c r="D604" i="26"/>
  <c r="D603" i="26"/>
  <c r="D602" i="26"/>
  <c r="D601" i="26"/>
  <c r="D600" i="26"/>
  <c r="D599" i="26"/>
  <c r="D598" i="26"/>
  <c r="D597" i="26"/>
  <c r="D596" i="26"/>
  <c r="D595" i="26"/>
  <c r="D594" i="26"/>
  <c r="D593" i="26"/>
  <c r="D592" i="26"/>
  <c r="D591" i="26"/>
  <c r="D590" i="26"/>
  <c r="D589" i="26"/>
  <c r="D588" i="26"/>
  <c r="D587" i="26"/>
  <c r="D586" i="26"/>
  <c r="D585" i="26"/>
  <c r="D584" i="26"/>
  <c r="D583" i="26"/>
  <c r="D582" i="26"/>
  <c r="D581" i="26"/>
  <c r="D580" i="26"/>
  <c r="D579" i="26"/>
  <c r="D578" i="26"/>
  <c r="D577" i="26"/>
  <c r="D576" i="26"/>
  <c r="D575" i="26"/>
  <c r="D574" i="26"/>
  <c r="D573" i="26"/>
  <c r="AAR6" i="3"/>
  <c r="AAO6" i="3"/>
  <c r="AAL6" i="3"/>
  <c r="AAI6" i="3"/>
  <c r="AAF6" i="3"/>
  <c r="ZZ6" i="3"/>
  <c r="ZW6" i="3"/>
  <c r="ZT6" i="3"/>
  <c r="ZQ6" i="3"/>
  <c r="K572" i="26"/>
  <c r="K571" i="26"/>
  <c r="K570" i="26"/>
  <c r="K569" i="26"/>
  <c r="J572" i="26"/>
  <c r="J571" i="26"/>
  <c r="J570" i="26"/>
  <c r="J569" i="26"/>
  <c r="I572" i="26"/>
  <c r="I571" i="26"/>
  <c r="I570" i="26"/>
  <c r="I569" i="26"/>
  <c r="G572" i="26"/>
  <c r="G571" i="26"/>
  <c r="G570" i="26"/>
  <c r="G569" i="26"/>
  <c r="F572" i="26"/>
  <c r="F571" i="26"/>
  <c r="F570" i="26"/>
  <c r="F569" i="26"/>
  <c r="E572" i="26"/>
  <c r="E571" i="26"/>
  <c r="E570" i="26"/>
  <c r="E569" i="26"/>
  <c r="D572" i="26"/>
  <c r="D571" i="26"/>
  <c r="D570" i="26"/>
  <c r="D569"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K521" i="26"/>
  <c r="K522" i="26"/>
  <c r="K523" i="26"/>
  <c r="K524" i="26"/>
  <c r="K525" i="26"/>
  <c r="K526" i="26"/>
  <c r="K527" i="26"/>
  <c r="K528" i="26"/>
  <c r="K529" i="26"/>
  <c r="K530" i="26"/>
  <c r="K531" i="26"/>
  <c r="K532" i="26"/>
  <c r="K533" i="26"/>
  <c r="K534" i="26"/>
  <c r="K535" i="26"/>
  <c r="K536" i="26"/>
  <c r="K537" i="26"/>
  <c r="K538" i="26"/>
  <c r="K539" i="26"/>
  <c r="K540" i="26"/>
  <c r="K541" i="26"/>
  <c r="K542" i="26"/>
  <c r="K543" i="26"/>
  <c r="K544" i="26"/>
  <c r="K545" i="26"/>
  <c r="K546" i="26"/>
  <c r="K547" i="26"/>
  <c r="K548" i="26"/>
  <c r="K549" i="26"/>
  <c r="K551" i="26"/>
  <c r="K552" i="26"/>
  <c r="K553" i="26"/>
  <c r="K554" i="26"/>
  <c r="K555" i="26"/>
  <c r="K556" i="26"/>
  <c r="K557" i="26"/>
  <c r="K558" i="26"/>
  <c r="K559" i="26"/>
  <c r="K560" i="26"/>
  <c r="K561" i="26"/>
  <c r="K562" i="26"/>
  <c r="K563" i="26"/>
  <c r="K565" i="26"/>
  <c r="K566" i="26"/>
  <c r="K567" i="26"/>
  <c r="K568" i="26"/>
  <c r="D520" i="26"/>
  <c r="E520" i="26"/>
  <c r="F520" i="26"/>
  <c r="G520" i="26"/>
  <c r="I520" i="26"/>
  <c r="J520" i="26"/>
  <c r="K520" i="26"/>
  <c r="AAC29" i="3"/>
  <c r="AAF29" i="3"/>
  <c r="AAX29" i="3"/>
  <c r="ABS29" i="3"/>
  <c r="ACK29" i="3"/>
  <c r="ACN29" i="3"/>
  <c r="ACQ29" i="3"/>
  <c r="ADI29" i="3"/>
  <c r="AED29" i="3"/>
  <c r="AEY29" i="3"/>
  <c r="ZK29" i="3"/>
  <c r="ZH29" i="3"/>
  <c r="K519" i="26"/>
  <c r="K518" i="26"/>
  <c r="K517" i="26"/>
  <c r="K516" i="26"/>
  <c r="K515" i="26"/>
  <c r="K514" i="26"/>
  <c r="K513" i="26"/>
  <c r="K512" i="26"/>
  <c r="K511" i="26"/>
  <c r="K510" i="26"/>
  <c r="K509" i="26"/>
  <c r="K508" i="26"/>
  <c r="K507" i="26"/>
  <c r="K506" i="26"/>
  <c r="K505" i="26"/>
  <c r="K503" i="26"/>
  <c r="K502" i="26"/>
  <c r="K501" i="26"/>
  <c r="K500" i="26"/>
  <c r="K499" i="26"/>
  <c r="K498" i="26"/>
  <c r="K497" i="26"/>
  <c r="K496" i="26"/>
  <c r="K495" i="26"/>
  <c r="K494" i="26"/>
  <c r="K493" i="26"/>
  <c r="K492" i="26"/>
  <c r="K491" i="26"/>
  <c r="K490" i="26"/>
  <c r="K489" i="26"/>
  <c r="K488" i="26"/>
  <c r="K487" i="26"/>
  <c r="K486" i="26"/>
  <c r="K485" i="26"/>
  <c r="K484" i="26"/>
  <c r="K483" i="26"/>
  <c r="K482" i="26"/>
  <c r="K481" i="26"/>
  <c r="K480" i="26"/>
  <c r="K479" i="26"/>
  <c r="K478" i="26"/>
  <c r="K477" i="26"/>
  <c r="K476" i="26"/>
  <c r="K475" i="26"/>
  <c r="K474" i="26"/>
  <c r="K473" i="26"/>
  <c r="K472" i="26"/>
  <c r="K471" i="26"/>
  <c r="K470" i="26"/>
  <c r="J519" i="26"/>
  <c r="J518" i="26"/>
  <c r="J517" i="26"/>
  <c r="J516" i="26"/>
  <c r="J515" i="26"/>
  <c r="J514" i="26"/>
  <c r="J513" i="26"/>
  <c r="J512" i="26"/>
  <c r="J511" i="26"/>
  <c r="J510" i="26"/>
  <c r="J509" i="26"/>
  <c r="J508" i="26"/>
  <c r="J507" i="26"/>
  <c r="J506" i="26"/>
  <c r="J505" i="26"/>
  <c r="J504" i="26"/>
  <c r="J503" i="26"/>
  <c r="J502" i="26"/>
  <c r="J501" i="26"/>
  <c r="J500" i="26"/>
  <c r="J499" i="26"/>
  <c r="J498" i="26"/>
  <c r="J497" i="26"/>
  <c r="J496" i="26"/>
  <c r="J495" i="26"/>
  <c r="J494" i="26"/>
  <c r="J493" i="26"/>
  <c r="J492" i="26"/>
  <c r="J491" i="26"/>
  <c r="J490" i="26"/>
  <c r="J489" i="26"/>
  <c r="J488" i="26"/>
  <c r="J487" i="26"/>
  <c r="J486" i="26"/>
  <c r="J485" i="26"/>
  <c r="J484" i="26"/>
  <c r="J483" i="26"/>
  <c r="J482" i="26"/>
  <c r="J481" i="26"/>
  <c r="J480" i="26"/>
  <c r="J479" i="26"/>
  <c r="J478" i="26"/>
  <c r="J477" i="26"/>
  <c r="J476" i="26"/>
  <c r="J475" i="26"/>
  <c r="J474" i="26"/>
  <c r="J473" i="26"/>
  <c r="J472" i="26"/>
  <c r="J471" i="26"/>
  <c r="J47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G519" i="26"/>
  <c r="G518" i="26"/>
  <c r="G517" i="26"/>
  <c r="G516" i="26"/>
  <c r="G515" i="26"/>
  <c r="G514" i="26"/>
  <c r="G513" i="26"/>
  <c r="G512" i="26"/>
  <c r="G511" i="26"/>
  <c r="G510" i="26"/>
  <c r="G509" i="26"/>
  <c r="G508" i="26"/>
  <c r="G507" i="26"/>
  <c r="G506" i="26"/>
  <c r="G505" i="26"/>
  <c r="G504" i="26"/>
  <c r="G503" i="26"/>
  <c r="G502" i="26"/>
  <c r="G501" i="26"/>
  <c r="G500" i="26"/>
  <c r="G499" i="26"/>
  <c r="G498" i="26"/>
  <c r="G497" i="26"/>
  <c r="G496" i="26"/>
  <c r="G495" i="26"/>
  <c r="G494" i="26"/>
  <c r="G493" i="26"/>
  <c r="G492" i="26"/>
  <c r="G491" i="26"/>
  <c r="G490" i="26"/>
  <c r="G489" i="26"/>
  <c r="G488" i="26"/>
  <c r="G487" i="26"/>
  <c r="G486" i="26"/>
  <c r="G485" i="26"/>
  <c r="G484" i="26"/>
  <c r="G483" i="26"/>
  <c r="G482" i="26"/>
  <c r="G481" i="26"/>
  <c r="G480" i="26"/>
  <c r="G479" i="26"/>
  <c r="G478" i="26"/>
  <c r="G477" i="26"/>
  <c r="G476" i="26"/>
  <c r="G475" i="26"/>
  <c r="G474" i="26"/>
  <c r="G473" i="26"/>
  <c r="G472" i="26"/>
  <c r="G471" i="26"/>
  <c r="G470" i="26"/>
  <c r="F519" i="26"/>
  <c r="F518" i="26"/>
  <c r="F517" i="26"/>
  <c r="F516" i="26"/>
  <c r="F515" i="26"/>
  <c r="F514" i="26"/>
  <c r="F513" i="26"/>
  <c r="F512" i="26"/>
  <c r="F511" i="26"/>
  <c r="F510" i="26"/>
  <c r="F509" i="26"/>
  <c r="F508" i="26"/>
  <c r="F507" i="26"/>
  <c r="F506" i="26"/>
  <c r="F505" i="26"/>
  <c r="F504" i="26"/>
  <c r="F503" i="26"/>
  <c r="F502" i="26"/>
  <c r="F501" i="26"/>
  <c r="F500" i="26"/>
  <c r="F499" i="26"/>
  <c r="F498" i="26"/>
  <c r="F497" i="26"/>
  <c r="F496" i="26"/>
  <c r="F495" i="26"/>
  <c r="F494" i="26"/>
  <c r="F493" i="26"/>
  <c r="F492" i="26"/>
  <c r="F491" i="26"/>
  <c r="F490" i="26"/>
  <c r="F489" i="26"/>
  <c r="F488" i="26"/>
  <c r="F487" i="26"/>
  <c r="F486" i="26"/>
  <c r="F485" i="26"/>
  <c r="F484" i="26"/>
  <c r="F483" i="26"/>
  <c r="F482" i="26"/>
  <c r="F481" i="26"/>
  <c r="F480" i="26"/>
  <c r="F479" i="26"/>
  <c r="F478" i="26"/>
  <c r="F477" i="26"/>
  <c r="F476" i="26"/>
  <c r="F475" i="26"/>
  <c r="F474" i="26"/>
  <c r="F473" i="26"/>
  <c r="F472" i="26"/>
  <c r="F471" i="26"/>
  <c r="F470" i="26"/>
  <c r="E519" i="26"/>
  <c r="E518" i="26"/>
  <c r="E517" i="26"/>
  <c r="E516" i="26"/>
  <c r="E515" i="26"/>
  <c r="E514" i="26"/>
  <c r="E513" i="26"/>
  <c r="E512" i="26"/>
  <c r="E511" i="26"/>
  <c r="E510" i="26"/>
  <c r="E509" i="26"/>
  <c r="E508" i="26"/>
  <c r="E507" i="26"/>
  <c r="E506" i="26"/>
  <c r="E505" i="26"/>
  <c r="E504" i="26"/>
  <c r="E503" i="26"/>
  <c r="E502" i="26"/>
  <c r="E501" i="26"/>
  <c r="E500" i="26"/>
  <c r="E499" i="26"/>
  <c r="E498" i="26"/>
  <c r="E497" i="26"/>
  <c r="E496" i="26"/>
  <c r="E495" i="26"/>
  <c r="E494" i="26"/>
  <c r="E493" i="26"/>
  <c r="E492" i="26"/>
  <c r="E491" i="26"/>
  <c r="E490" i="26"/>
  <c r="E489" i="26"/>
  <c r="E488" i="26"/>
  <c r="E487" i="26"/>
  <c r="E486" i="26"/>
  <c r="E485" i="26"/>
  <c r="E484" i="26"/>
  <c r="E483" i="26"/>
  <c r="E482" i="26"/>
  <c r="E481" i="26"/>
  <c r="E480" i="26"/>
  <c r="E479" i="26"/>
  <c r="E478" i="26"/>
  <c r="E477" i="26"/>
  <c r="E476" i="26"/>
  <c r="E475" i="26"/>
  <c r="E474" i="26"/>
  <c r="E473" i="26"/>
  <c r="E472" i="26"/>
  <c r="E471" i="26"/>
  <c r="E470" i="26"/>
  <c r="AB70" i="18"/>
  <c r="AC70" i="18"/>
  <c r="AD70" i="18"/>
  <c r="AE70" i="18"/>
  <c r="AF70" i="18"/>
  <c r="AG70" i="18"/>
  <c r="AH70" i="18"/>
  <c r="AI70" i="18"/>
  <c r="AB71" i="18"/>
  <c r="AC71" i="18"/>
  <c r="AD71" i="18"/>
  <c r="AE71" i="18"/>
  <c r="AF71" i="18"/>
  <c r="AG71" i="18"/>
  <c r="AH71" i="18"/>
  <c r="AI71" i="18"/>
  <c r="BB73" i="18"/>
  <c r="BA73" i="18"/>
  <c r="BB72" i="18"/>
  <c r="BA72" i="18"/>
  <c r="BB70" i="18"/>
  <c r="BA70" i="18"/>
  <c r="AI72" i="18"/>
  <c r="AH72" i="18"/>
  <c r="AG72" i="18"/>
  <c r="AF72" i="18"/>
  <c r="AE72" i="18"/>
  <c r="AD72" i="18"/>
  <c r="AC72" i="18"/>
  <c r="AB72" i="18"/>
  <c r="AM67" i="18" a="1"/>
  <c r="AM67" i="18" s="1"/>
  <c r="AG67" i="18" a="1"/>
  <c r="AG67" i="18" s="1"/>
  <c r="AF67" i="18" a="1"/>
  <c r="AF67" i="18" s="1"/>
  <c r="AE67" i="18" a="1"/>
  <c r="AE67" i="18" s="1"/>
  <c r="AD67" i="18" a="1"/>
  <c r="AD67" i="18" s="1"/>
  <c r="AC67" i="18" a="1"/>
  <c r="AC67" i="18" s="1"/>
  <c r="AB67" i="18" a="1"/>
  <c r="AB67" i="18" s="1"/>
  <c r="AI73" i="18" a="1"/>
  <c r="AI73" i="18" s="1"/>
  <c r="AH73" i="18" a="1"/>
  <c r="AH73" i="18" s="1"/>
  <c r="AG73" i="18" a="1"/>
  <c r="AG73" i="18" s="1"/>
  <c r="AF73" i="18" a="1"/>
  <c r="AF73" i="18" s="1"/>
  <c r="AE73" i="18" a="1"/>
  <c r="AE73" i="18" s="1"/>
  <c r="AD73" i="18" a="1"/>
  <c r="AD73" i="18" s="1"/>
  <c r="AC73" i="18" a="1"/>
  <c r="AC73" i="18" s="1"/>
  <c r="AO73" i="18" a="1"/>
  <c r="AO73" i="18" s="1"/>
  <c r="AM73" i="18" a="1"/>
  <c r="AM73" i="18" s="1"/>
  <c r="AL73" i="18" a="1"/>
  <c r="AL73" i="18" s="1"/>
  <c r="YY29" i="3"/>
  <c r="ZB29" i="3"/>
  <c r="ZE29" i="3"/>
  <c r="ZN29" i="3"/>
  <c r="BB76" i="18"/>
  <c r="BA76" i="18"/>
  <c r="BB75" i="18"/>
  <c r="BA75" i="18"/>
  <c r="E427" i="26"/>
  <c r="YV29" i="3"/>
  <c r="YS29" i="3"/>
  <c r="YP29" i="3"/>
  <c r="YJ29" i="3"/>
  <c r="YG29" i="3"/>
  <c r="YD29" i="3"/>
  <c r="YA29" i="3"/>
  <c r="XX29" i="3"/>
  <c r="XU29" i="3"/>
  <c r="BA197" i="18"/>
  <c r="BB197" i="18"/>
  <c r="AEY61" i="3"/>
  <c r="AEY6" i="3"/>
  <c r="AEV6" i="3"/>
  <c r="AES6" i="3"/>
  <c r="AEP6" i="3"/>
  <c r="AEM6" i="3"/>
  <c r="AEJ6" i="3"/>
  <c r="AEG6" i="3"/>
  <c r="AED6" i="3"/>
  <c r="AEA6" i="3"/>
  <c r="ADX6" i="3"/>
  <c r="ADU6" i="3"/>
  <c r="ADR6" i="3"/>
  <c r="ADO6" i="3"/>
  <c r="ADL6" i="3"/>
  <c r="AER5" i="3"/>
  <c r="AEQ5" i="3" s="1"/>
  <c r="ADW5" i="3"/>
  <c r="ADV5" i="3" s="1"/>
  <c r="ADI61" i="3"/>
  <c r="ACN61" i="3"/>
  <c r="ACK61" i="3"/>
  <c r="ADI6" i="3"/>
  <c r="ADF6" i="3"/>
  <c r="ADC6" i="3"/>
  <c r="ACZ6" i="3"/>
  <c r="ACW6" i="3"/>
  <c r="ACT6" i="3"/>
  <c r="ACQ6" i="3"/>
  <c r="ACN6" i="3"/>
  <c r="ACK6" i="3"/>
  <c r="ACH6" i="3"/>
  <c r="ACE6" i="3"/>
  <c r="ACB6" i="3"/>
  <c r="ABY6" i="3"/>
  <c r="ABV6" i="3"/>
  <c r="ADB5" i="3"/>
  <c r="ADA5" i="3" s="1"/>
  <c r="ACG5" i="3"/>
  <c r="ACF5" i="3" s="1"/>
  <c r="F3" i="26"/>
  <c r="G3" i="26"/>
  <c r="I3" i="26"/>
  <c r="J3" i="26"/>
  <c r="K3" i="26"/>
  <c r="F4" i="26"/>
  <c r="G4" i="26"/>
  <c r="I4" i="26"/>
  <c r="J4" i="26"/>
  <c r="K4" i="26"/>
  <c r="F5" i="26"/>
  <c r="G5" i="26"/>
  <c r="I5" i="26"/>
  <c r="J5" i="26"/>
  <c r="K5" i="26"/>
  <c r="F6" i="26"/>
  <c r="G6" i="26"/>
  <c r="I6" i="26"/>
  <c r="J6" i="26"/>
  <c r="K6" i="26"/>
  <c r="F7" i="26"/>
  <c r="G7" i="26"/>
  <c r="I7" i="26"/>
  <c r="J7" i="26"/>
  <c r="K7" i="26"/>
  <c r="F8" i="26"/>
  <c r="G8" i="26"/>
  <c r="I8" i="26"/>
  <c r="J8" i="26"/>
  <c r="K8" i="26"/>
  <c r="F9" i="26"/>
  <c r="G9" i="26"/>
  <c r="I9" i="26"/>
  <c r="J9" i="26"/>
  <c r="K9" i="26"/>
  <c r="F10" i="26"/>
  <c r="G10" i="26"/>
  <c r="I10" i="26"/>
  <c r="J10" i="26"/>
  <c r="K10" i="26"/>
  <c r="F11" i="26"/>
  <c r="G11" i="26"/>
  <c r="I11" i="26"/>
  <c r="J11" i="26"/>
  <c r="K11" i="26"/>
  <c r="F12" i="26"/>
  <c r="G12" i="26"/>
  <c r="I12" i="26"/>
  <c r="J12" i="26"/>
  <c r="K12" i="26"/>
  <c r="F13" i="26"/>
  <c r="G13" i="26"/>
  <c r="I13" i="26"/>
  <c r="J13" i="26"/>
  <c r="K13" i="26"/>
  <c r="F14" i="26"/>
  <c r="G14" i="26"/>
  <c r="I14" i="26"/>
  <c r="J14" i="26"/>
  <c r="K14" i="26"/>
  <c r="F15" i="26"/>
  <c r="G15" i="26"/>
  <c r="I15" i="26"/>
  <c r="J15" i="26"/>
  <c r="K15" i="26"/>
  <c r="F16" i="26"/>
  <c r="G16" i="26"/>
  <c r="I16" i="26"/>
  <c r="J16" i="26"/>
  <c r="K16" i="26"/>
  <c r="F17" i="26"/>
  <c r="G17" i="26"/>
  <c r="I17" i="26"/>
  <c r="J17" i="26"/>
  <c r="K17" i="26"/>
  <c r="F18" i="26"/>
  <c r="G18" i="26"/>
  <c r="I18" i="26"/>
  <c r="J18" i="26"/>
  <c r="K18" i="26"/>
  <c r="F19" i="26"/>
  <c r="G19" i="26"/>
  <c r="I19" i="26"/>
  <c r="J19" i="26"/>
  <c r="K19" i="26"/>
  <c r="F20" i="26"/>
  <c r="G20" i="26"/>
  <c r="I20" i="26"/>
  <c r="J20" i="26"/>
  <c r="K20" i="26"/>
  <c r="G21" i="26"/>
  <c r="I21" i="26"/>
  <c r="J21" i="26"/>
  <c r="K21" i="26"/>
  <c r="F22" i="26"/>
  <c r="G22" i="26"/>
  <c r="I22" i="26"/>
  <c r="J22" i="26"/>
  <c r="K22" i="26"/>
  <c r="F23" i="26"/>
  <c r="G23" i="26"/>
  <c r="I23" i="26"/>
  <c r="J23" i="26"/>
  <c r="K23" i="26"/>
  <c r="F24" i="26"/>
  <c r="G24" i="26"/>
  <c r="I24" i="26"/>
  <c r="J24" i="26"/>
  <c r="K24" i="26"/>
  <c r="F25" i="26"/>
  <c r="G25" i="26"/>
  <c r="I25" i="26"/>
  <c r="J25" i="26"/>
  <c r="K25" i="26"/>
  <c r="F26" i="26"/>
  <c r="G26" i="26"/>
  <c r="I26" i="26"/>
  <c r="J26" i="26"/>
  <c r="K26" i="26"/>
  <c r="F27" i="26"/>
  <c r="G27" i="26"/>
  <c r="I27" i="26"/>
  <c r="J27" i="26"/>
  <c r="K27" i="26"/>
  <c r="F28" i="26"/>
  <c r="G28" i="26"/>
  <c r="I28" i="26"/>
  <c r="J28" i="26"/>
  <c r="K28" i="26"/>
  <c r="F29" i="26"/>
  <c r="G29" i="26"/>
  <c r="I29" i="26"/>
  <c r="J29" i="26"/>
  <c r="K29" i="26"/>
  <c r="F30" i="26"/>
  <c r="G30" i="26"/>
  <c r="I30" i="26"/>
  <c r="J30" i="26"/>
  <c r="K30" i="26"/>
  <c r="F31" i="26"/>
  <c r="G31" i="26"/>
  <c r="I31" i="26"/>
  <c r="J31" i="26"/>
  <c r="K31" i="26"/>
  <c r="F32" i="26"/>
  <c r="G32" i="26"/>
  <c r="I32" i="26"/>
  <c r="J32" i="26"/>
  <c r="K32" i="26"/>
  <c r="F33" i="26"/>
  <c r="G33" i="26"/>
  <c r="I33" i="26"/>
  <c r="J33" i="26"/>
  <c r="K33" i="26"/>
  <c r="F34" i="26"/>
  <c r="G34" i="26"/>
  <c r="I34" i="26"/>
  <c r="J34" i="26"/>
  <c r="K34" i="26"/>
  <c r="F35" i="26"/>
  <c r="G35" i="26"/>
  <c r="I35" i="26"/>
  <c r="J35" i="26"/>
  <c r="K35" i="26"/>
  <c r="F36" i="26"/>
  <c r="G36" i="26"/>
  <c r="I36" i="26"/>
  <c r="J36" i="26"/>
  <c r="K36" i="26"/>
  <c r="F37" i="26"/>
  <c r="G37" i="26"/>
  <c r="I37" i="26"/>
  <c r="J37" i="26"/>
  <c r="K37" i="26"/>
  <c r="F38" i="26"/>
  <c r="G38" i="26"/>
  <c r="I38" i="26"/>
  <c r="J38" i="26"/>
  <c r="F39" i="26"/>
  <c r="G39" i="26"/>
  <c r="I39" i="26"/>
  <c r="J39" i="26"/>
  <c r="K39" i="26"/>
  <c r="F40" i="26"/>
  <c r="G40" i="26"/>
  <c r="I40" i="26"/>
  <c r="J40" i="26"/>
  <c r="K40" i="26"/>
  <c r="F41" i="26"/>
  <c r="G41" i="26"/>
  <c r="I41" i="26"/>
  <c r="J41" i="26"/>
  <c r="K41" i="26"/>
  <c r="F42" i="26"/>
  <c r="G42" i="26"/>
  <c r="I42" i="26"/>
  <c r="J42" i="26"/>
  <c r="K42" i="26"/>
  <c r="F43" i="26"/>
  <c r="G43" i="26"/>
  <c r="I43" i="26"/>
  <c r="J43" i="26"/>
  <c r="K43" i="26"/>
  <c r="F44" i="26"/>
  <c r="G44" i="26"/>
  <c r="I44" i="26"/>
  <c r="J44" i="26"/>
  <c r="K44" i="26"/>
  <c r="F45" i="26"/>
  <c r="G45" i="26"/>
  <c r="I45" i="26"/>
  <c r="J45" i="26"/>
  <c r="K45" i="26"/>
  <c r="F46" i="26"/>
  <c r="G46" i="26"/>
  <c r="I46" i="26"/>
  <c r="J46" i="26"/>
  <c r="K46" i="26"/>
  <c r="F47" i="26"/>
  <c r="G47" i="26"/>
  <c r="I47" i="26"/>
  <c r="J47" i="26"/>
  <c r="K47" i="26"/>
  <c r="F48" i="26"/>
  <c r="G48" i="26"/>
  <c r="I48" i="26"/>
  <c r="J48" i="26"/>
  <c r="K48" i="26"/>
  <c r="F49" i="26"/>
  <c r="G49" i="26"/>
  <c r="I49" i="26"/>
  <c r="J49" i="26"/>
  <c r="K49" i="26"/>
  <c r="F50" i="26"/>
  <c r="G50" i="26"/>
  <c r="I50" i="26"/>
  <c r="J50" i="26"/>
  <c r="K50" i="26"/>
  <c r="F51" i="26"/>
  <c r="G51" i="26"/>
  <c r="I51" i="26"/>
  <c r="J51" i="26"/>
  <c r="K51" i="26"/>
  <c r="F52" i="26"/>
  <c r="G52" i="26"/>
  <c r="I52" i="26"/>
  <c r="J52" i="26"/>
  <c r="K52" i="26"/>
  <c r="F53" i="26"/>
  <c r="G53" i="26"/>
  <c r="I53" i="26"/>
  <c r="J53" i="26"/>
  <c r="K53" i="26"/>
  <c r="F54" i="26"/>
  <c r="G54" i="26"/>
  <c r="I54" i="26"/>
  <c r="J54" i="26"/>
  <c r="K54" i="26"/>
  <c r="F55" i="26"/>
  <c r="G55" i="26"/>
  <c r="I55" i="26"/>
  <c r="J55" i="26"/>
  <c r="K55" i="26"/>
  <c r="F56" i="26"/>
  <c r="G56" i="26"/>
  <c r="I56" i="26"/>
  <c r="J56" i="26"/>
  <c r="K56" i="26"/>
  <c r="F57" i="26"/>
  <c r="G57" i="26"/>
  <c r="I57" i="26"/>
  <c r="J57" i="26"/>
  <c r="K57" i="26"/>
  <c r="F58" i="26"/>
  <c r="G58" i="26"/>
  <c r="I58" i="26"/>
  <c r="J58" i="26"/>
  <c r="K58" i="26"/>
  <c r="F59" i="26"/>
  <c r="G59" i="26"/>
  <c r="I59" i="26"/>
  <c r="J59" i="26"/>
  <c r="K59" i="26"/>
  <c r="F60" i="26"/>
  <c r="G60" i="26"/>
  <c r="I60" i="26"/>
  <c r="J60" i="26"/>
  <c r="K60" i="26"/>
  <c r="F61" i="26"/>
  <c r="G61" i="26"/>
  <c r="I61" i="26"/>
  <c r="J61" i="26"/>
  <c r="K61" i="26"/>
  <c r="F62" i="26"/>
  <c r="G62" i="26"/>
  <c r="I62" i="26"/>
  <c r="J62" i="26"/>
  <c r="K62" i="26"/>
  <c r="F63" i="26"/>
  <c r="G63" i="26"/>
  <c r="I63" i="26"/>
  <c r="J63" i="26"/>
  <c r="K63" i="26"/>
  <c r="F64" i="26"/>
  <c r="G64" i="26"/>
  <c r="I64" i="26"/>
  <c r="J64" i="26"/>
  <c r="K64" i="26"/>
  <c r="F65" i="26"/>
  <c r="G65" i="26"/>
  <c r="I65" i="26"/>
  <c r="J65" i="26"/>
  <c r="K65" i="26"/>
  <c r="F66" i="26"/>
  <c r="G66" i="26"/>
  <c r="I66" i="26"/>
  <c r="J66" i="26"/>
  <c r="K66" i="26"/>
  <c r="F67" i="26"/>
  <c r="G67" i="26"/>
  <c r="I67" i="26"/>
  <c r="J67" i="26"/>
  <c r="K67" i="26"/>
  <c r="F68" i="26"/>
  <c r="G68" i="26"/>
  <c r="I68" i="26"/>
  <c r="J68" i="26"/>
  <c r="K68" i="26"/>
  <c r="F69" i="26"/>
  <c r="G69" i="26"/>
  <c r="I69" i="26"/>
  <c r="J69" i="26"/>
  <c r="K69" i="26"/>
  <c r="F70" i="26"/>
  <c r="G70" i="26"/>
  <c r="I70" i="26"/>
  <c r="J70" i="26"/>
  <c r="K70" i="26"/>
  <c r="F71" i="26"/>
  <c r="G71" i="26"/>
  <c r="I71" i="26"/>
  <c r="J71" i="26"/>
  <c r="K71" i="26"/>
  <c r="F72" i="26"/>
  <c r="G72" i="26"/>
  <c r="I72" i="26"/>
  <c r="J72" i="26"/>
  <c r="K72" i="26"/>
  <c r="F73" i="26"/>
  <c r="G73" i="26"/>
  <c r="I73" i="26"/>
  <c r="J73" i="26"/>
  <c r="K73" i="26"/>
  <c r="F74" i="26"/>
  <c r="G74" i="26"/>
  <c r="I74" i="26"/>
  <c r="J74" i="26"/>
  <c r="K74" i="26"/>
  <c r="F75" i="26"/>
  <c r="G75" i="26"/>
  <c r="I75" i="26"/>
  <c r="J75" i="26"/>
  <c r="K75" i="26"/>
  <c r="F76" i="26"/>
  <c r="G76" i="26"/>
  <c r="I76" i="26"/>
  <c r="J76" i="26"/>
  <c r="K76" i="26"/>
  <c r="F77" i="26"/>
  <c r="G77" i="26"/>
  <c r="I77" i="26"/>
  <c r="J77" i="26"/>
  <c r="K77" i="26"/>
  <c r="F78" i="26"/>
  <c r="G78" i="26"/>
  <c r="I78" i="26"/>
  <c r="J78" i="26"/>
  <c r="K78" i="26"/>
  <c r="F79" i="26"/>
  <c r="G79" i="26"/>
  <c r="I79" i="26"/>
  <c r="J79" i="26"/>
  <c r="K79" i="26"/>
  <c r="F80" i="26"/>
  <c r="G80" i="26"/>
  <c r="I80" i="26"/>
  <c r="J80" i="26"/>
  <c r="K80" i="26"/>
  <c r="F81" i="26"/>
  <c r="G81" i="26"/>
  <c r="I81" i="26"/>
  <c r="J81" i="26"/>
  <c r="K81" i="26"/>
  <c r="F82" i="26"/>
  <c r="G82" i="26"/>
  <c r="I82" i="26"/>
  <c r="J82" i="26"/>
  <c r="K82" i="26"/>
  <c r="F83" i="26"/>
  <c r="G83" i="26"/>
  <c r="I83" i="26"/>
  <c r="J83" i="26"/>
  <c r="K83" i="26"/>
  <c r="F84" i="26"/>
  <c r="G84" i="26"/>
  <c r="I84" i="26"/>
  <c r="J84" i="26"/>
  <c r="K84" i="26"/>
  <c r="F85" i="26"/>
  <c r="G85" i="26"/>
  <c r="I85" i="26"/>
  <c r="J85" i="26"/>
  <c r="K85" i="26"/>
  <c r="F86" i="26"/>
  <c r="G86" i="26"/>
  <c r="I86" i="26"/>
  <c r="J86" i="26"/>
  <c r="K86" i="26"/>
  <c r="F87" i="26"/>
  <c r="G87" i="26"/>
  <c r="I87" i="26"/>
  <c r="J87" i="26"/>
  <c r="K87" i="26"/>
  <c r="F88" i="26"/>
  <c r="G88" i="26"/>
  <c r="I88" i="26"/>
  <c r="J88" i="26"/>
  <c r="K88" i="26"/>
  <c r="F89" i="26"/>
  <c r="G89" i="26"/>
  <c r="I89" i="26"/>
  <c r="J89" i="26"/>
  <c r="K89" i="26"/>
  <c r="F90" i="26"/>
  <c r="G90" i="26"/>
  <c r="I90" i="26"/>
  <c r="J90" i="26"/>
  <c r="K90" i="26"/>
  <c r="F91" i="26"/>
  <c r="G91" i="26"/>
  <c r="I91" i="26"/>
  <c r="J91" i="26"/>
  <c r="K91" i="26"/>
  <c r="F92" i="26"/>
  <c r="G92" i="26"/>
  <c r="I92" i="26"/>
  <c r="J92" i="26"/>
  <c r="K92" i="26"/>
  <c r="F93" i="26"/>
  <c r="G93" i="26"/>
  <c r="I93" i="26"/>
  <c r="J93" i="26"/>
  <c r="K93" i="26"/>
  <c r="F94" i="26"/>
  <c r="G94" i="26"/>
  <c r="I94" i="26"/>
  <c r="J94" i="26"/>
  <c r="K94" i="26"/>
  <c r="F95" i="26"/>
  <c r="G95" i="26"/>
  <c r="I95" i="26"/>
  <c r="J95" i="26"/>
  <c r="K95" i="26"/>
  <c r="F96" i="26"/>
  <c r="G96" i="26"/>
  <c r="I96" i="26"/>
  <c r="J96" i="26"/>
  <c r="F97" i="26"/>
  <c r="G97" i="26"/>
  <c r="I97" i="26"/>
  <c r="J97" i="26"/>
  <c r="K97" i="26"/>
  <c r="F98" i="26"/>
  <c r="G98" i="26"/>
  <c r="I98" i="26"/>
  <c r="J98" i="26"/>
  <c r="K98" i="26"/>
  <c r="F99" i="26"/>
  <c r="G99" i="26"/>
  <c r="I99" i="26"/>
  <c r="J99" i="26"/>
  <c r="K99" i="26"/>
  <c r="F100" i="26"/>
  <c r="G100" i="26"/>
  <c r="I100" i="26"/>
  <c r="J100" i="26"/>
  <c r="K100" i="26"/>
  <c r="F101" i="26"/>
  <c r="G101" i="26"/>
  <c r="I101" i="26"/>
  <c r="J101" i="26"/>
  <c r="K101" i="26"/>
  <c r="F102" i="26"/>
  <c r="G102" i="26"/>
  <c r="I102" i="26"/>
  <c r="K102" i="26"/>
  <c r="F103" i="26"/>
  <c r="G103" i="26"/>
  <c r="I103" i="26"/>
  <c r="J103" i="26"/>
  <c r="K103" i="26"/>
  <c r="F104" i="26"/>
  <c r="G104" i="26"/>
  <c r="I104" i="26"/>
  <c r="J104" i="26"/>
  <c r="K104" i="26"/>
  <c r="G105" i="26"/>
  <c r="I105" i="26"/>
  <c r="J105" i="26"/>
  <c r="K105" i="26"/>
  <c r="F106" i="26"/>
  <c r="G106" i="26"/>
  <c r="I106" i="26"/>
  <c r="J106" i="26"/>
  <c r="K106" i="26"/>
  <c r="F107" i="26"/>
  <c r="G107" i="26"/>
  <c r="I107" i="26"/>
  <c r="J107" i="26"/>
  <c r="K107" i="26"/>
  <c r="F108" i="26"/>
  <c r="G108" i="26"/>
  <c r="I108" i="26"/>
  <c r="J108" i="26"/>
  <c r="K108" i="26"/>
  <c r="F109" i="26"/>
  <c r="G109" i="26"/>
  <c r="I109" i="26"/>
  <c r="J109" i="26"/>
  <c r="K109" i="26"/>
  <c r="F110" i="26"/>
  <c r="G110" i="26"/>
  <c r="I110" i="26"/>
  <c r="J110" i="26"/>
  <c r="K110" i="26"/>
  <c r="F111" i="26"/>
  <c r="G111" i="26"/>
  <c r="I111" i="26"/>
  <c r="J111" i="26"/>
  <c r="K111" i="26"/>
  <c r="G112" i="26"/>
  <c r="I112" i="26"/>
  <c r="J112" i="26"/>
  <c r="K112" i="26"/>
  <c r="F113" i="26"/>
  <c r="G113" i="26"/>
  <c r="I113" i="26"/>
  <c r="J113" i="26"/>
  <c r="K113" i="26"/>
  <c r="F114" i="26"/>
  <c r="G114" i="26"/>
  <c r="I114" i="26"/>
  <c r="J114" i="26"/>
  <c r="K114" i="26"/>
  <c r="F115" i="26"/>
  <c r="G115" i="26"/>
  <c r="I115" i="26"/>
  <c r="J115" i="26"/>
  <c r="K115" i="26"/>
  <c r="F116" i="26"/>
  <c r="G116" i="26"/>
  <c r="I116" i="26"/>
  <c r="J116" i="26"/>
  <c r="K116" i="26"/>
  <c r="F117" i="26"/>
  <c r="G117" i="26"/>
  <c r="I117" i="26"/>
  <c r="J117" i="26"/>
  <c r="K117" i="26"/>
  <c r="F118" i="26"/>
  <c r="G118" i="26"/>
  <c r="I118" i="26"/>
  <c r="J118" i="26"/>
  <c r="K118" i="26"/>
  <c r="F119" i="26"/>
  <c r="G119" i="26"/>
  <c r="I119" i="26"/>
  <c r="J119" i="26"/>
  <c r="K119" i="26"/>
  <c r="F120" i="26"/>
  <c r="G120" i="26"/>
  <c r="I120" i="26"/>
  <c r="J120" i="26"/>
  <c r="K120" i="26"/>
  <c r="F121" i="26"/>
  <c r="G121" i="26"/>
  <c r="I121" i="26"/>
  <c r="J121" i="26"/>
  <c r="K121" i="26"/>
  <c r="F122" i="26"/>
  <c r="G122" i="26"/>
  <c r="I122" i="26"/>
  <c r="J122" i="26"/>
  <c r="K122" i="26"/>
  <c r="F123" i="26"/>
  <c r="G123" i="26"/>
  <c r="I123" i="26"/>
  <c r="J123" i="26"/>
  <c r="K123" i="26"/>
  <c r="F124" i="26"/>
  <c r="G124" i="26"/>
  <c r="I124" i="26"/>
  <c r="J124" i="26"/>
  <c r="K124" i="26"/>
  <c r="F125" i="26"/>
  <c r="G125" i="26"/>
  <c r="I125" i="26"/>
  <c r="J125" i="26"/>
  <c r="K125" i="26"/>
  <c r="F126" i="26"/>
  <c r="G126" i="26"/>
  <c r="I126" i="26"/>
  <c r="J126" i="26"/>
  <c r="K126" i="26"/>
  <c r="F127" i="26"/>
  <c r="G127" i="26"/>
  <c r="I127" i="26"/>
  <c r="J127" i="26"/>
  <c r="K127" i="26"/>
  <c r="F128" i="26"/>
  <c r="G128" i="26"/>
  <c r="I128" i="26"/>
  <c r="J128" i="26"/>
  <c r="K128" i="26"/>
  <c r="F129" i="26"/>
  <c r="G129" i="26"/>
  <c r="I129" i="26"/>
  <c r="J129" i="26"/>
  <c r="K129" i="26"/>
  <c r="F130" i="26"/>
  <c r="G130" i="26"/>
  <c r="I130" i="26"/>
  <c r="J130" i="26"/>
  <c r="K130" i="26"/>
  <c r="F131" i="26"/>
  <c r="G131" i="26"/>
  <c r="I131" i="26"/>
  <c r="J131" i="26"/>
  <c r="K131" i="26"/>
  <c r="F132" i="26"/>
  <c r="G132" i="26"/>
  <c r="I132" i="26"/>
  <c r="J132" i="26"/>
  <c r="K132" i="26"/>
  <c r="F133" i="26"/>
  <c r="G133" i="26"/>
  <c r="I133" i="26"/>
  <c r="J133" i="26"/>
  <c r="K133" i="26"/>
  <c r="F134" i="26"/>
  <c r="G134" i="26"/>
  <c r="I134" i="26"/>
  <c r="J134" i="26"/>
  <c r="K134" i="26"/>
  <c r="F135" i="26"/>
  <c r="G135" i="26"/>
  <c r="I135" i="26"/>
  <c r="J135" i="26"/>
  <c r="K135" i="26"/>
  <c r="F136" i="26"/>
  <c r="G136" i="26"/>
  <c r="I136" i="26"/>
  <c r="J136" i="26"/>
  <c r="K136" i="26"/>
  <c r="F137" i="26"/>
  <c r="G137" i="26"/>
  <c r="I137" i="26"/>
  <c r="J137" i="26"/>
  <c r="K137" i="26"/>
  <c r="F138" i="26"/>
  <c r="G138" i="26"/>
  <c r="I138" i="26"/>
  <c r="J138" i="26"/>
  <c r="K138" i="26"/>
  <c r="F139" i="26"/>
  <c r="G139" i="26"/>
  <c r="I139" i="26"/>
  <c r="J139" i="26"/>
  <c r="K139" i="26"/>
  <c r="F140" i="26"/>
  <c r="G140" i="26"/>
  <c r="I140" i="26"/>
  <c r="J140" i="26"/>
  <c r="K140" i="26"/>
  <c r="F141" i="26"/>
  <c r="G141" i="26"/>
  <c r="I141" i="26"/>
  <c r="J141" i="26"/>
  <c r="K141" i="26"/>
  <c r="F142" i="26"/>
  <c r="G142" i="26"/>
  <c r="I142" i="26"/>
  <c r="J142" i="26"/>
  <c r="K142" i="26"/>
  <c r="F143" i="26"/>
  <c r="G143" i="26"/>
  <c r="I143" i="26"/>
  <c r="J143" i="26"/>
  <c r="K143" i="26"/>
  <c r="F144" i="26"/>
  <c r="G144" i="26"/>
  <c r="I144" i="26"/>
  <c r="J144" i="26"/>
  <c r="K144" i="26"/>
  <c r="F145" i="26"/>
  <c r="G145" i="26"/>
  <c r="I145" i="26"/>
  <c r="J145" i="26"/>
  <c r="K145" i="26"/>
  <c r="F146" i="26"/>
  <c r="G146" i="26"/>
  <c r="I146" i="26"/>
  <c r="J146" i="26"/>
  <c r="K146" i="26"/>
  <c r="F147" i="26"/>
  <c r="G147" i="26"/>
  <c r="I147" i="26"/>
  <c r="J147" i="26"/>
  <c r="K147" i="26"/>
  <c r="F148" i="26"/>
  <c r="G148" i="26"/>
  <c r="I148" i="26"/>
  <c r="J148" i="26"/>
  <c r="K148" i="26"/>
  <c r="F149" i="26"/>
  <c r="G149" i="26"/>
  <c r="I149" i="26"/>
  <c r="J149" i="26"/>
  <c r="K149" i="26"/>
  <c r="F150" i="26"/>
  <c r="G150" i="26"/>
  <c r="I150" i="26"/>
  <c r="J150" i="26"/>
  <c r="K150" i="26"/>
  <c r="F151" i="26"/>
  <c r="G151" i="26"/>
  <c r="I151" i="26"/>
  <c r="J151" i="26"/>
  <c r="K151" i="26"/>
  <c r="F152" i="26"/>
  <c r="G152" i="26"/>
  <c r="I152" i="26"/>
  <c r="J152" i="26"/>
  <c r="K152" i="26"/>
  <c r="F153" i="26"/>
  <c r="G153" i="26"/>
  <c r="I153" i="26"/>
  <c r="J153" i="26"/>
  <c r="K153" i="26"/>
  <c r="F154" i="26"/>
  <c r="G154" i="26"/>
  <c r="I154" i="26"/>
  <c r="J154" i="26"/>
  <c r="K154" i="26"/>
  <c r="F155" i="26"/>
  <c r="G155" i="26"/>
  <c r="I155" i="26"/>
  <c r="J155" i="26"/>
  <c r="K155" i="26"/>
  <c r="F156" i="26"/>
  <c r="G156" i="26"/>
  <c r="I156" i="26"/>
  <c r="J156" i="26"/>
  <c r="K156" i="26"/>
  <c r="F157" i="26"/>
  <c r="G157" i="26"/>
  <c r="I157" i="26"/>
  <c r="J157" i="26"/>
  <c r="K157" i="26"/>
  <c r="F158" i="26"/>
  <c r="G158" i="26"/>
  <c r="I158" i="26"/>
  <c r="J158" i="26"/>
  <c r="K158" i="26"/>
  <c r="F159" i="26"/>
  <c r="G159" i="26"/>
  <c r="I159" i="26"/>
  <c r="J159" i="26"/>
  <c r="K159" i="26"/>
  <c r="F160" i="26"/>
  <c r="G160" i="26"/>
  <c r="I160" i="26"/>
  <c r="J160" i="26"/>
  <c r="K160" i="26"/>
  <c r="F161" i="26"/>
  <c r="G161" i="26"/>
  <c r="I161" i="26"/>
  <c r="J161" i="26"/>
  <c r="F162" i="26"/>
  <c r="G162" i="26"/>
  <c r="I162" i="26"/>
  <c r="J162" i="26"/>
  <c r="K162" i="26"/>
  <c r="F163" i="26"/>
  <c r="G163" i="26"/>
  <c r="I163" i="26"/>
  <c r="J163" i="26"/>
  <c r="K163" i="26"/>
  <c r="F164" i="26"/>
  <c r="G164" i="26"/>
  <c r="I164" i="26"/>
  <c r="J164" i="26"/>
  <c r="K164" i="26"/>
  <c r="F165" i="26"/>
  <c r="G165" i="26"/>
  <c r="I165" i="26"/>
  <c r="J165" i="26"/>
  <c r="K165" i="26"/>
  <c r="F166" i="26"/>
  <c r="G166" i="26"/>
  <c r="I166" i="26"/>
  <c r="J166" i="26"/>
  <c r="K166" i="26"/>
  <c r="F167" i="26"/>
  <c r="G167" i="26"/>
  <c r="I167" i="26"/>
  <c r="J167" i="26"/>
  <c r="K167" i="26"/>
  <c r="F168" i="26"/>
  <c r="G168" i="26"/>
  <c r="I168" i="26"/>
  <c r="J168" i="26"/>
  <c r="K168" i="26"/>
  <c r="F169" i="26"/>
  <c r="G169" i="26"/>
  <c r="I169" i="26"/>
  <c r="J169" i="26"/>
  <c r="K169" i="26"/>
  <c r="F170" i="26"/>
  <c r="G170" i="26"/>
  <c r="I170" i="26"/>
  <c r="J170" i="26"/>
  <c r="K170" i="26"/>
  <c r="F171" i="26"/>
  <c r="G171" i="26"/>
  <c r="I171" i="26"/>
  <c r="J171" i="26"/>
  <c r="K171" i="26"/>
  <c r="F172" i="26"/>
  <c r="G172" i="26"/>
  <c r="I172" i="26"/>
  <c r="J172" i="26"/>
  <c r="K172" i="26"/>
  <c r="F173" i="26"/>
  <c r="G173" i="26"/>
  <c r="I173" i="26"/>
  <c r="J173" i="26"/>
  <c r="K173" i="26"/>
  <c r="F174" i="26"/>
  <c r="G174" i="26"/>
  <c r="I174" i="26"/>
  <c r="J174" i="26"/>
  <c r="K174" i="26"/>
  <c r="F175" i="26"/>
  <c r="G175" i="26"/>
  <c r="I175" i="26"/>
  <c r="J175" i="26"/>
  <c r="K175" i="26"/>
  <c r="F176" i="26"/>
  <c r="G176" i="26"/>
  <c r="I176" i="26"/>
  <c r="J176" i="26"/>
  <c r="F177" i="26"/>
  <c r="G177" i="26"/>
  <c r="I177" i="26"/>
  <c r="J177" i="26"/>
  <c r="K177" i="26"/>
  <c r="F178" i="26"/>
  <c r="G178" i="26"/>
  <c r="I178" i="26"/>
  <c r="J178" i="26"/>
  <c r="K178" i="26"/>
  <c r="F179" i="26"/>
  <c r="G179" i="26"/>
  <c r="I179" i="26"/>
  <c r="J179" i="26"/>
  <c r="K179" i="26"/>
  <c r="F180" i="26"/>
  <c r="G180" i="26"/>
  <c r="I180" i="26"/>
  <c r="J180" i="26"/>
  <c r="K180" i="26"/>
  <c r="F181" i="26"/>
  <c r="G181" i="26"/>
  <c r="I181" i="26"/>
  <c r="J181" i="26"/>
  <c r="K181" i="26"/>
  <c r="F182" i="26"/>
  <c r="G182" i="26"/>
  <c r="I182" i="26"/>
  <c r="J182" i="26"/>
  <c r="K182" i="26"/>
  <c r="F183" i="26"/>
  <c r="G183" i="26"/>
  <c r="I183" i="26"/>
  <c r="J183" i="26"/>
  <c r="K183" i="26"/>
  <c r="F184" i="26"/>
  <c r="G184" i="26"/>
  <c r="I184" i="26"/>
  <c r="J184" i="26"/>
  <c r="K184" i="26"/>
  <c r="F185" i="26"/>
  <c r="G185" i="26"/>
  <c r="I185" i="26"/>
  <c r="J185" i="26"/>
  <c r="K185" i="26"/>
  <c r="F186" i="26"/>
  <c r="G186" i="26"/>
  <c r="I186" i="26"/>
  <c r="J186" i="26"/>
  <c r="K186" i="26"/>
  <c r="F187" i="26"/>
  <c r="G187" i="26"/>
  <c r="I187" i="26"/>
  <c r="J187" i="26"/>
  <c r="K187" i="26"/>
  <c r="F188" i="26"/>
  <c r="G188" i="26"/>
  <c r="I188" i="26"/>
  <c r="J188" i="26"/>
  <c r="K188" i="26"/>
  <c r="F189" i="26"/>
  <c r="G189" i="26"/>
  <c r="I189" i="26"/>
  <c r="J189" i="26"/>
  <c r="K189" i="26"/>
  <c r="F190" i="26"/>
  <c r="G190" i="26"/>
  <c r="I190" i="26"/>
  <c r="J190" i="26"/>
  <c r="K190" i="26"/>
  <c r="F191" i="26"/>
  <c r="G191" i="26"/>
  <c r="I191" i="26"/>
  <c r="J191" i="26"/>
  <c r="K191" i="26"/>
  <c r="F192" i="26"/>
  <c r="G192" i="26"/>
  <c r="I192" i="26"/>
  <c r="J192" i="26"/>
  <c r="K192" i="26"/>
  <c r="F193" i="26"/>
  <c r="G193" i="26"/>
  <c r="I193" i="26"/>
  <c r="J193" i="26"/>
  <c r="K193" i="26"/>
  <c r="F194" i="26"/>
  <c r="G194" i="26"/>
  <c r="I194" i="26"/>
  <c r="J194" i="26"/>
  <c r="K194" i="26"/>
  <c r="F195" i="26"/>
  <c r="G195" i="26"/>
  <c r="I195" i="26"/>
  <c r="J195" i="26"/>
  <c r="K195" i="26"/>
  <c r="F196" i="26"/>
  <c r="G196" i="26"/>
  <c r="I196" i="26"/>
  <c r="J196" i="26"/>
  <c r="K196" i="26"/>
  <c r="F197" i="26"/>
  <c r="G197" i="26"/>
  <c r="I197" i="26"/>
  <c r="J197" i="26"/>
  <c r="K197" i="26"/>
  <c r="F198" i="26"/>
  <c r="G198" i="26"/>
  <c r="I198" i="26"/>
  <c r="J198" i="26"/>
  <c r="K198" i="26"/>
  <c r="F199" i="26"/>
  <c r="G199" i="26"/>
  <c r="I199" i="26"/>
  <c r="J199" i="26"/>
  <c r="K199" i="26"/>
  <c r="F200" i="26"/>
  <c r="G200" i="26"/>
  <c r="I200" i="26"/>
  <c r="J200" i="26"/>
  <c r="K200" i="26"/>
  <c r="F201" i="26"/>
  <c r="G201" i="26"/>
  <c r="I201" i="26"/>
  <c r="J201" i="26"/>
  <c r="K201" i="26"/>
  <c r="F202" i="26"/>
  <c r="G202" i="26"/>
  <c r="I202" i="26"/>
  <c r="J202" i="26"/>
  <c r="K202" i="26"/>
  <c r="F203" i="26"/>
  <c r="G203" i="26"/>
  <c r="I203" i="26"/>
  <c r="J203" i="26"/>
  <c r="K203" i="26"/>
  <c r="F204" i="26"/>
  <c r="G204" i="26"/>
  <c r="I204" i="26"/>
  <c r="J204" i="26"/>
  <c r="K204" i="26"/>
  <c r="F205" i="26"/>
  <c r="G205" i="26"/>
  <c r="I205" i="26"/>
  <c r="J205" i="26"/>
  <c r="F206" i="26"/>
  <c r="G206" i="26"/>
  <c r="I206" i="26"/>
  <c r="J206" i="26"/>
  <c r="K206" i="26"/>
  <c r="F207" i="26"/>
  <c r="G207" i="26"/>
  <c r="I207" i="26"/>
  <c r="J207" i="26"/>
  <c r="K207" i="26"/>
  <c r="F208" i="26"/>
  <c r="G208" i="26"/>
  <c r="I208" i="26"/>
  <c r="J208" i="26"/>
  <c r="K208" i="26"/>
  <c r="F209" i="26"/>
  <c r="G209" i="26"/>
  <c r="I209" i="26"/>
  <c r="J209" i="26"/>
  <c r="K209" i="26"/>
  <c r="F210" i="26"/>
  <c r="G210" i="26"/>
  <c r="I210" i="26"/>
  <c r="J210" i="26"/>
  <c r="K210" i="26"/>
  <c r="F211" i="26"/>
  <c r="G211" i="26"/>
  <c r="I211" i="26"/>
  <c r="J211" i="26"/>
  <c r="K211" i="26"/>
  <c r="F212" i="26"/>
  <c r="G212" i="26"/>
  <c r="I212" i="26"/>
  <c r="J212" i="26"/>
  <c r="K212" i="26"/>
  <c r="F213" i="26"/>
  <c r="G213" i="26"/>
  <c r="I213" i="26"/>
  <c r="J213" i="26"/>
  <c r="F214" i="26"/>
  <c r="G214" i="26"/>
  <c r="I214" i="26"/>
  <c r="J214" i="26"/>
  <c r="K214" i="26"/>
  <c r="F215" i="26"/>
  <c r="G215" i="26"/>
  <c r="I215" i="26"/>
  <c r="J215" i="26"/>
  <c r="K215" i="26"/>
  <c r="F216" i="26"/>
  <c r="G216" i="26"/>
  <c r="I216" i="26"/>
  <c r="J216" i="26"/>
  <c r="K216" i="26"/>
  <c r="F217" i="26"/>
  <c r="G217" i="26"/>
  <c r="I217" i="26"/>
  <c r="J217" i="26"/>
  <c r="K217" i="26"/>
  <c r="F218" i="26"/>
  <c r="G218" i="26"/>
  <c r="I218" i="26"/>
  <c r="J218" i="26"/>
  <c r="K218" i="26"/>
  <c r="F219" i="26"/>
  <c r="G219" i="26"/>
  <c r="I219" i="26"/>
  <c r="J219" i="26"/>
  <c r="K219" i="26"/>
  <c r="F220" i="26"/>
  <c r="G220" i="26"/>
  <c r="I220" i="26"/>
  <c r="J220" i="26"/>
  <c r="K220" i="26"/>
  <c r="F221" i="26"/>
  <c r="G221" i="26"/>
  <c r="I221" i="26"/>
  <c r="J221" i="26"/>
  <c r="K221" i="26"/>
  <c r="F222" i="26"/>
  <c r="G222" i="26"/>
  <c r="I222" i="26"/>
  <c r="J222" i="26"/>
  <c r="K222" i="26"/>
  <c r="F223" i="26"/>
  <c r="G223" i="26"/>
  <c r="I223" i="26"/>
  <c r="J223" i="26"/>
  <c r="K223" i="26"/>
  <c r="F224" i="26"/>
  <c r="G224" i="26"/>
  <c r="I224" i="26"/>
  <c r="J224" i="26"/>
  <c r="K224" i="26"/>
  <c r="F225" i="26"/>
  <c r="G225" i="26"/>
  <c r="I225" i="26"/>
  <c r="J225" i="26"/>
  <c r="K225" i="26"/>
  <c r="F226" i="26"/>
  <c r="G226" i="26"/>
  <c r="I226" i="26"/>
  <c r="J226" i="26"/>
  <c r="K226" i="26"/>
  <c r="F227" i="26"/>
  <c r="G227" i="26"/>
  <c r="I227" i="26"/>
  <c r="J227" i="26"/>
  <c r="K227" i="26"/>
  <c r="F228" i="26"/>
  <c r="G228" i="26"/>
  <c r="I228" i="26"/>
  <c r="J228" i="26"/>
  <c r="K228" i="26"/>
  <c r="F229" i="26"/>
  <c r="G229" i="26"/>
  <c r="I229" i="26"/>
  <c r="J229" i="26"/>
  <c r="K229" i="26"/>
  <c r="F230" i="26"/>
  <c r="G230" i="26"/>
  <c r="I230" i="26"/>
  <c r="J230" i="26"/>
  <c r="K230" i="26"/>
  <c r="F231" i="26"/>
  <c r="G231" i="26"/>
  <c r="I231" i="26"/>
  <c r="J231" i="26"/>
  <c r="K231" i="26"/>
  <c r="F232" i="26"/>
  <c r="G232" i="26"/>
  <c r="I232" i="26"/>
  <c r="J232" i="26"/>
  <c r="K232" i="26"/>
  <c r="F233" i="26"/>
  <c r="G233" i="26"/>
  <c r="I233" i="26"/>
  <c r="J233" i="26"/>
  <c r="K233" i="26"/>
  <c r="F234" i="26"/>
  <c r="G234" i="26"/>
  <c r="I234" i="26"/>
  <c r="J234" i="26"/>
  <c r="K234" i="26"/>
  <c r="F235" i="26"/>
  <c r="G235" i="26"/>
  <c r="I235" i="26"/>
  <c r="J235" i="26"/>
  <c r="K235" i="26"/>
  <c r="F236" i="26"/>
  <c r="G236" i="26"/>
  <c r="I236" i="26"/>
  <c r="J236" i="26"/>
  <c r="K236" i="26"/>
  <c r="F237" i="26"/>
  <c r="G237" i="26"/>
  <c r="I237" i="26"/>
  <c r="J237" i="26"/>
  <c r="K237" i="26"/>
  <c r="F238" i="26"/>
  <c r="G238" i="26"/>
  <c r="I238" i="26"/>
  <c r="J238" i="26"/>
  <c r="K238" i="26"/>
  <c r="F239" i="26"/>
  <c r="G239" i="26"/>
  <c r="I239" i="26"/>
  <c r="J239" i="26"/>
  <c r="K239" i="26"/>
  <c r="F240" i="26"/>
  <c r="G240" i="26"/>
  <c r="I240" i="26"/>
  <c r="J240" i="26"/>
  <c r="K240" i="26"/>
  <c r="F241" i="26"/>
  <c r="G241" i="26"/>
  <c r="I241" i="26"/>
  <c r="J241" i="26"/>
  <c r="K241" i="26"/>
  <c r="F242" i="26"/>
  <c r="G242" i="26"/>
  <c r="I242" i="26"/>
  <c r="J242" i="26"/>
  <c r="K242" i="26"/>
  <c r="F243" i="26"/>
  <c r="G243" i="26"/>
  <c r="I243" i="26"/>
  <c r="J243" i="26"/>
  <c r="K243" i="26"/>
  <c r="F244" i="26"/>
  <c r="G244" i="26"/>
  <c r="I244" i="26"/>
  <c r="J244" i="26"/>
  <c r="K244" i="26"/>
  <c r="F245" i="26"/>
  <c r="G245" i="26"/>
  <c r="I245" i="26"/>
  <c r="J245" i="26"/>
  <c r="K245" i="26"/>
  <c r="F246" i="26"/>
  <c r="G246" i="26"/>
  <c r="I246" i="26"/>
  <c r="J246" i="26"/>
  <c r="K246" i="26"/>
  <c r="F247" i="26"/>
  <c r="G247" i="26"/>
  <c r="I247" i="26"/>
  <c r="J247" i="26"/>
  <c r="K247" i="26"/>
  <c r="F248" i="26"/>
  <c r="G248" i="26"/>
  <c r="I248" i="26"/>
  <c r="J248" i="26"/>
  <c r="K248" i="26"/>
  <c r="F249" i="26"/>
  <c r="G249" i="26"/>
  <c r="I249" i="26"/>
  <c r="J249" i="26"/>
  <c r="K249" i="26"/>
  <c r="F250" i="26"/>
  <c r="G250" i="26"/>
  <c r="I250" i="26"/>
  <c r="J250" i="26"/>
  <c r="F251" i="26"/>
  <c r="G251" i="26"/>
  <c r="I251" i="26"/>
  <c r="J251" i="26"/>
  <c r="K251" i="26"/>
  <c r="F252" i="26"/>
  <c r="G252" i="26"/>
  <c r="I252" i="26"/>
  <c r="J252" i="26"/>
  <c r="K252" i="26"/>
  <c r="F253" i="26"/>
  <c r="G253" i="26"/>
  <c r="I253" i="26"/>
  <c r="J253" i="26"/>
  <c r="K253" i="26"/>
  <c r="F254" i="26"/>
  <c r="G254" i="26"/>
  <c r="I254" i="26"/>
  <c r="J254" i="26"/>
  <c r="K254" i="26"/>
  <c r="F255" i="26"/>
  <c r="G255" i="26"/>
  <c r="I255" i="26"/>
  <c r="J255" i="26"/>
  <c r="K255" i="26"/>
  <c r="F256" i="26"/>
  <c r="G256" i="26"/>
  <c r="I256" i="26"/>
  <c r="J256" i="26"/>
  <c r="K256" i="26"/>
  <c r="F257" i="26"/>
  <c r="G257" i="26"/>
  <c r="I257" i="26"/>
  <c r="J257" i="26"/>
  <c r="K257" i="26"/>
  <c r="F258" i="26"/>
  <c r="G258" i="26"/>
  <c r="I258" i="26"/>
  <c r="J258" i="26"/>
  <c r="K258" i="26"/>
  <c r="F259" i="26"/>
  <c r="G259" i="26"/>
  <c r="I259" i="26"/>
  <c r="J259" i="26"/>
  <c r="K259" i="26"/>
  <c r="F260" i="26"/>
  <c r="G260" i="26"/>
  <c r="I260" i="26"/>
  <c r="J260" i="26"/>
  <c r="K260" i="26"/>
  <c r="F261" i="26"/>
  <c r="G261" i="26"/>
  <c r="I261" i="26"/>
  <c r="J261" i="26"/>
  <c r="K261" i="26"/>
  <c r="F262" i="26"/>
  <c r="G262" i="26"/>
  <c r="I262" i="26"/>
  <c r="J262" i="26"/>
  <c r="K262" i="26"/>
  <c r="F263" i="26"/>
  <c r="G263" i="26"/>
  <c r="I263" i="26"/>
  <c r="J263" i="26"/>
  <c r="K263" i="26"/>
  <c r="F264" i="26"/>
  <c r="G264" i="26"/>
  <c r="I264" i="26"/>
  <c r="J264" i="26"/>
  <c r="K264" i="26"/>
  <c r="F265" i="26"/>
  <c r="G265" i="26"/>
  <c r="I265" i="26"/>
  <c r="J265" i="26"/>
  <c r="K265" i="26"/>
  <c r="F266" i="26"/>
  <c r="G266" i="26"/>
  <c r="I266" i="26"/>
  <c r="J266" i="26"/>
  <c r="K266" i="26"/>
  <c r="F267" i="26"/>
  <c r="G267" i="26"/>
  <c r="I267" i="26"/>
  <c r="J267" i="26"/>
  <c r="K267" i="26"/>
  <c r="F268" i="26"/>
  <c r="G268" i="26"/>
  <c r="I268" i="26"/>
  <c r="J268" i="26"/>
  <c r="F269" i="26"/>
  <c r="G269" i="26"/>
  <c r="I269" i="26"/>
  <c r="J269" i="26"/>
  <c r="K269" i="26"/>
  <c r="F270" i="26"/>
  <c r="G270" i="26"/>
  <c r="I270" i="26"/>
  <c r="J270" i="26"/>
  <c r="K270" i="26"/>
  <c r="F271" i="26"/>
  <c r="G271" i="26"/>
  <c r="I271" i="26"/>
  <c r="J271" i="26"/>
  <c r="K271" i="26"/>
  <c r="F272" i="26"/>
  <c r="G272" i="26"/>
  <c r="I272" i="26"/>
  <c r="J272" i="26"/>
  <c r="K272" i="26"/>
  <c r="F273" i="26"/>
  <c r="G273" i="26"/>
  <c r="I273" i="26"/>
  <c r="J273" i="26"/>
  <c r="K273" i="26"/>
  <c r="F274" i="26"/>
  <c r="G274" i="26"/>
  <c r="I274" i="26"/>
  <c r="J274" i="26"/>
  <c r="K274" i="26"/>
  <c r="F275" i="26"/>
  <c r="G275" i="26"/>
  <c r="I275" i="26"/>
  <c r="J275" i="26"/>
  <c r="K275" i="26"/>
  <c r="F276" i="26"/>
  <c r="G276" i="26"/>
  <c r="I276" i="26"/>
  <c r="J276" i="26"/>
  <c r="K276" i="26"/>
  <c r="F277" i="26"/>
  <c r="G277" i="26"/>
  <c r="I277" i="26"/>
  <c r="J277" i="26"/>
  <c r="K277" i="26"/>
  <c r="F278" i="26"/>
  <c r="G278" i="26"/>
  <c r="I278" i="26"/>
  <c r="J278" i="26"/>
  <c r="K278" i="26"/>
  <c r="F279" i="26"/>
  <c r="G279" i="26"/>
  <c r="I279" i="26"/>
  <c r="J279" i="26"/>
  <c r="K279" i="26"/>
  <c r="F280" i="26"/>
  <c r="G280" i="26"/>
  <c r="I280" i="26"/>
  <c r="J280" i="26"/>
  <c r="K280" i="26"/>
  <c r="F281" i="26"/>
  <c r="G281" i="26"/>
  <c r="I281" i="26"/>
  <c r="J281" i="26"/>
  <c r="K281" i="26"/>
  <c r="F282" i="26"/>
  <c r="G282" i="26"/>
  <c r="I282" i="26"/>
  <c r="J282" i="26"/>
  <c r="K282" i="26"/>
  <c r="F283" i="26"/>
  <c r="G283" i="26"/>
  <c r="I283" i="26"/>
  <c r="J283" i="26"/>
  <c r="K283" i="26"/>
  <c r="F284" i="26"/>
  <c r="G284" i="26"/>
  <c r="I284" i="26"/>
  <c r="J284" i="26"/>
  <c r="K284" i="26"/>
  <c r="F285" i="26"/>
  <c r="G285" i="26"/>
  <c r="I285" i="26"/>
  <c r="J285" i="26"/>
  <c r="K285" i="26"/>
  <c r="F286" i="26"/>
  <c r="G286" i="26"/>
  <c r="I286" i="26"/>
  <c r="J286" i="26"/>
  <c r="K286" i="26"/>
  <c r="F287" i="26"/>
  <c r="G287" i="26"/>
  <c r="I287" i="26"/>
  <c r="J287" i="26"/>
  <c r="K287" i="26"/>
  <c r="F288" i="26"/>
  <c r="G288" i="26"/>
  <c r="I288" i="26"/>
  <c r="J288" i="26"/>
  <c r="K288" i="26"/>
  <c r="F289" i="26"/>
  <c r="G289" i="26"/>
  <c r="I289" i="26"/>
  <c r="J289" i="26"/>
  <c r="K289" i="26"/>
  <c r="F290" i="26"/>
  <c r="G290" i="26"/>
  <c r="I290" i="26"/>
  <c r="J290" i="26"/>
  <c r="K290" i="26"/>
  <c r="F291" i="26"/>
  <c r="G291" i="26"/>
  <c r="I291" i="26"/>
  <c r="J291" i="26"/>
  <c r="K291" i="26"/>
  <c r="F292" i="26"/>
  <c r="G292" i="26"/>
  <c r="I292" i="26"/>
  <c r="J292" i="26"/>
  <c r="K292" i="26"/>
  <c r="F293" i="26"/>
  <c r="G293" i="26"/>
  <c r="I293" i="26"/>
  <c r="J293" i="26"/>
  <c r="K293" i="26"/>
  <c r="F294" i="26"/>
  <c r="G294" i="26"/>
  <c r="I294" i="26"/>
  <c r="J294" i="26"/>
  <c r="K294" i="26"/>
  <c r="F295" i="26"/>
  <c r="G295" i="26"/>
  <c r="I295" i="26"/>
  <c r="J295" i="26"/>
  <c r="K295" i="26"/>
  <c r="F296" i="26"/>
  <c r="G296" i="26"/>
  <c r="I296" i="26"/>
  <c r="J296" i="26"/>
  <c r="K296" i="26"/>
  <c r="F297" i="26"/>
  <c r="G297" i="26"/>
  <c r="I297" i="26"/>
  <c r="J297" i="26"/>
  <c r="K297" i="26"/>
  <c r="F298" i="26"/>
  <c r="G298" i="26"/>
  <c r="I298" i="26"/>
  <c r="J298" i="26"/>
  <c r="K298" i="26"/>
  <c r="F299" i="26"/>
  <c r="G299" i="26"/>
  <c r="I299" i="26"/>
  <c r="J299" i="26"/>
  <c r="K299" i="26"/>
  <c r="F300" i="26"/>
  <c r="G300" i="26"/>
  <c r="I300" i="26"/>
  <c r="J300" i="26"/>
  <c r="K300" i="26"/>
  <c r="F301" i="26"/>
  <c r="G301" i="26"/>
  <c r="I301" i="26"/>
  <c r="J301" i="26"/>
  <c r="K301" i="26"/>
  <c r="F302" i="26"/>
  <c r="G302" i="26"/>
  <c r="I302" i="26"/>
  <c r="J302" i="26"/>
  <c r="F303" i="26"/>
  <c r="G303" i="26"/>
  <c r="I303" i="26"/>
  <c r="J303" i="26"/>
  <c r="K303" i="26"/>
  <c r="F304" i="26"/>
  <c r="G304" i="26"/>
  <c r="I304" i="26"/>
  <c r="J304" i="26"/>
  <c r="K304" i="26"/>
  <c r="F305" i="26"/>
  <c r="G305" i="26"/>
  <c r="I305" i="26"/>
  <c r="J305" i="26"/>
  <c r="K305" i="26"/>
  <c r="F306" i="26"/>
  <c r="G306" i="26"/>
  <c r="I306" i="26"/>
  <c r="J306" i="26"/>
  <c r="K306" i="26"/>
  <c r="F307" i="26"/>
  <c r="G307" i="26"/>
  <c r="I307" i="26"/>
  <c r="J307" i="26"/>
  <c r="K307" i="26"/>
  <c r="F308" i="26"/>
  <c r="G308" i="26"/>
  <c r="I308" i="26"/>
  <c r="J308" i="26"/>
  <c r="K308" i="26"/>
  <c r="F309" i="26"/>
  <c r="G309" i="26"/>
  <c r="I309" i="26"/>
  <c r="J309" i="26"/>
  <c r="K309" i="26"/>
  <c r="F310" i="26"/>
  <c r="G310" i="26"/>
  <c r="I310" i="26"/>
  <c r="J310" i="26"/>
  <c r="K310" i="26"/>
  <c r="F311" i="26"/>
  <c r="G311" i="26"/>
  <c r="I311" i="26"/>
  <c r="J311" i="26"/>
  <c r="K311" i="26"/>
  <c r="F312" i="26"/>
  <c r="G312" i="26"/>
  <c r="I312" i="26"/>
  <c r="J312" i="26"/>
  <c r="K312" i="26"/>
  <c r="F313" i="26"/>
  <c r="G313" i="26"/>
  <c r="I313" i="26"/>
  <c r="J313" i="26"/>
  <c r="K313" i="26"/>
  <c r="F314" i="26"/>
  <c r="G314" i="26"/>
  <c r="I314" i="26"/>
  <c r="J314" i="26"/>
  <c r="K314" i="26"/>
  <c r="F315" i="26"/>
  <c r="G315" i="26"/>
  <c r="I315" i="26"/>
  <c r="J315" i="26"/>
  <c r="K315" i="26"/>
  <c r="F316" i="26"/>
  <c r="G316" i="26"/>
  <c r="I316" i="26"/>
  <c r="J316" i="26"/>
  <c r="K316" i="26"/>
  <c r="F317" i="26"/>
  <c r="G317" i="26"/>
  <c r="I317" i="26"/>
  <c r="J317" i="26"/>
  <c r="K317" i="26"/>
  <c r="F318" i="26"/>
  <c r="G318" i="26"/>
  <c r="I318" i="26"/>
  <c r="J318" i="26"/>
  <c r="K318" i="26"/>
  <c r="F319" i="26"/>
  <c r="G319" i="26"/>
  <c r="I319" i="26"/>
  <c r="J319" i="26"/>
  <c r="K319" i="26"/>
  <c r="F320" i="26"/>
  <c r="G320" i="26"/>
  <c r="I320" i="26"/>
  <c r="J320" i="26"/>
  <c r="K320" i="26"/>
  <c r="F321" i="26"/>
  <c r="G321" i="26"/>
  <c r="I321" i="26"/>
  <c r="J321" i="26"/>
  <c r="K321" i="26"/>
  <c r="F322" i="26"/>
  <c r="G322" i="26"/>
  <c r="I322" i="26"/>
  <c r="J322" i="26"/>
  <c r="K322" i="26"/>
  <c r="F323" i="26"/>
  <c r="G323" i="26"/>
  <c r="I323" i="26"/>
  <c r="J323" i="26"/>
  <c r="K323" i="26"/>
  <c r="F324" i="26"/>
  <c r="G324" i="26"/>
  <c r="I324" i="26"/>
  <c r="J324" i="26"/>
  <c r="K324" i="26"/>
  <c r="F325" i="26"/>
  <c r="G325" i="26"/>
  <c r="I325" i="26"/>
  <c r="J325" i="26"/>
  <c r="K325" i="26"/>
  <c r="F326" i="26"/>
  <c r="G326" i="26"/>
  <c r="I326" i="26"/>
  <c r="J326" i="26"/>
  <c r="K326" i="26"/>
  <c r="F327" i="26"/>
  <c r="G327" i="26"/>
  <c r="I327" i="26"/>
  <c r="J327" i="26"/>
  <c r="K327" i="26"/>
  <c r="F328" i="26"/>
  <c r="G328" i="26"/>
  <c r="I328" i="26"/>
  <c r="J328" i="26"/>
  <c r="K328" i="26"/>
  <c r="F329" i="26"/>
  <c r="G329" i="26"/>
  <c r="I329" i="26"/>
  <c r="J329" i="26"/>
  <c r="K329" i="26"/>
  <c r="F330" i="26"/>
  <c r="G330" i="26"/>
  <c r="I330" i="26"/>
  <c r="J330" i="26"/>
  <c r="K330" i="26"/>
  <c r="F331" i="26"/>
  <c r="G331" i="26"/>
  <c r="I331" i="26"/>
  <c r="J331" i="26"/>
  <c r="K331" i="26"/>
  <c r="F332" i="26"/>
  <c r="G332" i="26"/>
  <c r="I332" i="26"/>
  <c r="J332" i="26"/>
  <c r="K332" i="26"/>
  <c r="F333" i="26"/>
  <c r="G333" i="26"/>
  <c r="I333" i="26"/>
  <c r="J333" i="26"/>
  <c r="K333" i="26"/>
  <c r="F334" i="26"/>
  <c r="G334" i="26"/>
  <c r="I334" i="26"/>
  <c r="J334" i="26"/>
  <c r="K334" i="26"/>
  <c r="F335" i="26"/>
  <c r="G335" i="26"/>
  <c r="I335" i="26"/>
  <c r="J335" i="26"/>
  <c r="K335" i="26"/>
  <c r="F336" i="26"/>
  <c r="G336" i="26"/>
  <c r="I336" i="26"/>
  <c r="J336" i="26"/>
  <c r="K336" i="26"/>
  <c r="F337" i="26"/>
  <c r="G337" i="26"/>
  <c r="I337" i="26"/>
  <c r="J337" i="26"/>
  <c r="K337" i="26"/>
  <c r="F338" i="26"/>
  <c r="G338" i="26"/>
  <c r="I338" i="26"/>
  <c r="J338" i="26"/>
  <c r="K338" i="26"/>
  <c r="F339" i="26"/>
  <c r="G339" i="26"/>
  <c r="I339" i="26"/>
  <c r="J339" i="26"/>
  <c r="F340" i="26"/>
  <c r="G340" i="26"/>
  <c r="I340" i="26"/>
  <c r="J340" i="26"/>
  <c r="K340" i="26"/>
  <c r="F341" i="26"/>
  <c r="G341" i="26"/>
  <c r="I341" i="26"/>
  <c r="J341" i="26"/>
  <c r="K341" i="26"/>
  <c r="F342" i="26"/>
  <c r="G342" i="26"/>
  <c r="I342" i="26"/>
  <c r="J342" i="26"/>
  <c r="K342" i="26"/>
  <c r="F343" i="26"/>
  <c r="G343" i="26"/>
  <c r="I343" i="26"/>
  <c r="J343" i="26"/>
  <c r="K343" i="26"/>
  <c r="F344" i="26"/>
  <c r="G344" i="26"/>
  <c r="I344" i="26"/>
  <c r="J344" i="26"/>
  <c r="K344" i="26"/>
  <c r="F345" i="26"/>
  <c r="G345" i="26"/>
  <c r="I345" i="26"/>
  <c r="J345" i="26"/>
  <c r="K345" i="26"/>
  <c r="F346" i="26"/>
  <c r="G346" i="26"/>
  <c r="I346" i="26"/>
  <c r="J346" i="26"/>
  <c r="K346" i="26"/>
  <c r="F347" i="26"/>
  <c r="G347" i="26"/>
  <c r="I347" i="26"/>
  <c r="J347" i="26"/>
  <c r="K347" i="26"/>
  <c r="F348" i="26"/>
  <c r="G348" i="26"/>
  <c r="I348" i="26"/>
  <c r="J348" i="26"/>
  <c r="K348" i="26"/>
  <c r="F349" i="26"/>
  <c r="G349" i="26"/>
  <c r="I349" i="26"/>
  <c r="J349" i="26"/>
  <c r="K349" i="26"/>
  <c r="F350" i="26"/>
  <c r="G350" i="26"/>
  <c r="I350" i="26"/>
  <c r="J350" i="26"/>
  <c r="K350" i="26"/>
  <c r="F351" i="26"/>
  <c r="G351" i="26"/>
  <c r="I351" i="26"/>
  <c r="J351" i="26"/>
  <c r="K351" i="26"/>
  <c r="F352" i="26"/>
  <c r="G352" i="26"/>
  <c r="I352" i="26"/>
  <c r="J352" i="26"/>
  <c r="K352" i="26"/>
  <c r="F353" i="26"/>
  <c r="G353" i="26"/>
  <c r="I353" i="26"/>
  <c r="J353" i="26"/>
  <c r="K353" i="26"/>
  <c r="F354" i="26"/>
  <c r="G354" i="26"/>
  <c r="I354" i="26"/>
  <c r="J354" i="26"/>
  <c r="K354" i="26"/>
  <c r="F355" i="26"/>
  <c r="G355" i="26"/>
  <c r="I355" i="26"/>
  <c r="J355" i="26"/>
  <c r="K355" i="26"/>
  <c r="F356" i="26"/>
  <c r="G356" i="26"/>
  <c r="I356" i="26"/>
  <c r="J356" i="26"/>
  <c r="K356" i="26"/>
  <c r="F357" i="26"/>
  <c r="G357" i="26"/>
  <c r="I357" i="26"/>
  <c r="J357" i="26"/>
  <c r="K357" i="26"/>
  <c r="F358" i="26"/>
  <c r="G358" i="26"/>
  <c r="I358" i="26"/>
  <c r="J358" i="26"/>
  <c r="K358" i="26"/>
  <c r="F359" i="26"/>
  <c r="G359" i="26"/>
  <c r="I359" i="26"/>
  <c r="J359" i="26"/>
  <c r="K359" i="26"/>
  <c r="F360" i="26"/>
  <c r="G360" i="26"/>
  <c r="I360" i="26"/>
  <c r="J360" i="26"/>
  <c r="K360" i="26"/>
  <c r="F361" i="26"/>
  <c r="G361" i="26"/>
  <c r="I361" i="26"/>
  <c r="J361" i="26"/>
  <c r="K361" i="26"/>
  <c r="F362" i="26"/>
  <c r="G362" i="26"/>
  <c r="I362" i="26"/>
  <c r="J362" i="26"/>
  <c r="K362" i="26"/>
  <c r="F363" i="26"/>
  <c r="G363" i="26"/>
  <c r="I363" i="26"/>
  <c r="J363" i="26"/>
  <c r="K363" i="26"/>
  <c r="F364" i="26"/>
  <c r="G364" i="26"/>
  <c r="I364" i="26"/>
  <c r="J364" i="26"/>
  <c r="K364" i="26"/>
  <c r="F365" i="26"/>
  <c r="G365" i="26"/>
  <c r="I365" i="26"/>
  <c r="J365" i="26"/>
  <c r="K365" i="26"/>
  <c r="F366" i="26"/>
  <c r="G366" i="26"/>
  <c r="I366" i="26"/>
  <c r="J366" i="26"/>
  <c r="K366" i="26"/>
  <c r="F367" i="26"/>
  <c r="G367" i="26"/>
  <c r="I367" i="26"/>
  <c r="J367" i="26"/>
  <c r="K367" i="26"/>
  <c r="F368" i="26"/>
  <c r="G368" i="26"/>
  <c r="I368" i="26"/>
  <c r="J368" i="26"/>
  <c r="K368" i="26"/>
  <c r="F369" i="26"/>
  <c r="G369" i="26"/>
  <c r="I369" i="26"/>
  <c r="J369" i="26"/>
  <c r="K369" i="26"/>
  <c r="F370" i="26"/>
  <c r="G370" i="26"/>
  <c r="I370" i="26"/>
  <c r="J370" i="26"/>
  <c r="K370" i="26"/>
  <c r="F371" i="26"/>
  <c r="G371" i="26"/>
  <c r="I371" i="26"/>
  <c r="J371" i="26"/>
  <c r="K371" i="26"/>
  <c r="F372" i="26"/>
  <c r="G372" i="26"/>
  <c r="I372" i="26"/>
  <c r="J372" i="26"/>
  <c r="K372" i="26"/>
  <c r="F373" i="26"/>
  <c r="G373" i="26"/>
  <c r="I373" i="26"/>
  <c r="J373" i="26"/>
  <c r="K373" i="26"/>
  <c r="F374" i="26"/>
  <c r="G374" i="26"/>
  <c r="I374" i="26"/>
  <c r="J374" i="26"/>
  <c r="K374" i="26"/>
  <c r="F375" i="26"/>
  <c r="G375" i="26"/>
  <c r="I375" i="26"/>
  <c r="J375" i="26"/>
  <c r="K375" i="26"/>
  <c r="F376" i="26"/>
  <c r="G376" i="26"/>
  <c r="I376" i="26"/>
  <c r="J376" i="26"/>
  <c r="K376" i="26"/>
  <c r="F377" i="26"/>
  <c r="G377" i="26"/>
  <c r="I377" i="26"/>
  <c r="J377" i="26"/>
  <c r="K377" i="26"/>
  <c r="F378" i="26"/>
  <c r="G378" i="26"/>
  <c r="I378" i="26"/>
  <c r="J378" i="26"/>
  <c r="K378" i="26"/>
  <c r="F379" i="26"/>
  <c r="G379" i="26"/>
  <c r="I379" i="26"/>
  <c r="J379" i="26"/>
  <c r="K379" i="26"/>
  <c r="F380" i="26"/>
  <c r="G380" i="26"/>
  <c r="I380" i="26"/>
  <c r="J380" i="26"/>
  <c r="K380" i="26"/>
  <c r="F381" i="26"/>
  <c r="G381" i="26"/>
  <c r="I381" i="26"/>
  <c r="J381" i="26"/>
  <c r="K381" i="26"/>
  <c r="F382" i="26"/>
  <c r="G382" i="26"/>
  <c r="I382" i="26"/>
  <c r="J382" i="26"/>
  <c r="K382" i="26"/>
  <c r="F383" i="26"/>
  <c r="G383" i="26"/>
  <c r="I383" i="26"/>
  <c r="J383" i="26"/>
  <c r="K383" i="26"/>
  <c r="F384" i="26"/>
  <c r="G384" i="26"/>
  <c r="I384" i="26"/>
  <c r="J384" i="26"/>
  <c r="K384" i="26"/>
  <c r="F385" i="26"/>
  <c r="G385" i="26"/>
  <c r="I385" i="26"/>
  <c r="J385" i="26"/>
  <c r="K385" i="26"/>
  <c r="F386" i="26"/>
  <c r="G386" i="26"/>
  <c r="I386" i="26"/>
  <c r="J386" i="26"/>
  <c r="K386" i="26"/>
  <c r="F387" i="26"/>
  <c r="G387" i="26"/>
  <c r="I387" i="26"/>
  <c r="J387" i="26"/>
  <c r="K387" i="26"/>
  <c r="F388" i="26"/>
  <c r="G388" i="26"/>
  <c r="I388" i="26"/>
  <c r="J388" i="26"/>
  <c r="K388" i="26"/>
  <c r="F389" i="26"/>
  <c r="G389" i="26"/>
  <c r="I389" i="26"/>
  <c r="J389" i="26"/>
  <c r="K389" i="26"/>
  <c r="F390" i="26"/>
  <c r="G390" i="26"/>
  <c r="I390" i="26"/>
  <c r="J390" i="26"/>
  <c r="K390" i="26"/>
  <c r="F391" i="26"/>
  <c r="G391" i="26"/>
  <c r="I391" i="26"/>
  <c r="J391" i="26"/>
  <c r="K391" i="26"/>
  <c r="F392" i="26"/>
  <c r="G392" i="26"/>
  <c r="I392" i="26"/>
  <c r="J392" i="26"/>
  <c r="K392" i="26"/>
  <c r="F393" i="26"/>
  <c r="G393" i="26"/>
  <c r="I393" i="26"/>
  <c r="J393" i="26"/>
  <c r="K393" i="26"/>
  <c r="F394" i="26"/>
  <c r="G394" i="26"/>
  <c r="I394" i="26"/>
  <c r="J394" i="26"/>
  <c r="K394" i="26"/>
  <c r="F395" i="26"/>
  <c r="G395" i="26"/>
  <c r="I395" i="26"/>
  <c r="J395" i="26"/>
  <c r="K395" i="26"/>
  <c r="F396" i="26"/>
  <c r="G396" i="26"/>
  <c r="I396" i="26"/>
  <c r="J396" i="26"/>
  <c r="K396" i="26"/>
  <c r="F397" i="26"/>
  <c r="G397" i="26"/>
  <c r="I397" i="26"/>
  <c r="J397" i="26"/>
  <c r="K397" i="26"/>
  <c r="F398" i="26"/>
  <c r="G398" i="26"/>
  <c r="I398" i="26"/>
  <c r="J398" i="26"/>
  <c r="K398" i="26"/>
  <c r="F399" i="26"/>
  <c r="G399" i="26"/>
  <c r="I399" i="26"/>
  <c r="J399" i="26"/>
  <c r="K399" i="26"/>
  <c r="F400" i="26"/>
  <c r="G400" i="26"/>
  <c r="I400" i="26"/>
  <c r="J400" i="26"/>
  <c r="K400" i="26"/>
  <c r="F401" i="26"/>
  <c r="G401" i="26"/>
  <c r="I401" i="26"/>
  <c r="J401" i="26"/>
  <c r="K401" i="26"/>
  <c r="F402" i="26"/>
  <c r="G402" i="26"/>
  <c r="I402" i="26"/>
  <c r="J402" i="26"/>
  <c r="K402" i="26"/>
  <c r="F403" i="26"/>
  <c r="G403" i="26"/>
  <c r="I403" i="26"/>
  <c r="J403" i="26"/>
  <c r="K403" i="26"/>
  <c r="F404" i="26"/>
  <c r="G404" i="26"/>
  <c r="I404" i="26"/>
  <c r="J404" i="26"/>
  <c r="K404" i="26"/>
  <c r="F405" i="26"/>
  <c r="G405" i="26"/>
  <c r="I405" i="26"/>
  <c r="J405" i="26"/>
  <c r="F406" i="26"/>
  <c r="G406" i="26"/>
  <c r="I406" i="26"/>
  <c r="J406" i="26"/>
  <c r="K406" i="26"/>
  <c r="F407" i="26"/>
  <c r="G407" i="26"/>
  <c r="I407" i="26"/>
  <c r="J407" i="26"/>
  <c r="K407" i="26"/>
  <c r="F408" i="26"/>
  <c r="G408" i="26"/>
  <c r="I408" i="26"/>
  <c r="J408" i="26"/>
  <c r="K408" i="26"/>
  <c r="F409" i="26"/>
  <c r="G409" i="26"/>
  <c r="I409" i="26"/>
  <c r="J409" i="26"/>
  <c r="K409" i="26"/>
  <c r="F410" i="26"/>
  <c r="G410" i="26"/>
  <c r="I410" i="26"/>
  <c r="J410" i="26"/>
  <c r="K410" i="26"/>
  <c r="F411" i="26"/>
  <c r="G411" i="26"/>
  <c r="I411" i="26"/>
  <c r="J411" i="26"/>
  <c r="K411" i="26"/>
  <c r="F412" i="26"/>
  <c r="G412" i="26"/>
  <c r="I412" i="26"/>
  <c r="J412" i="26"/>
  <c r="K412" i="26"/>
  <c r="F413" i="26"/>
  <c r="G413" i="26"/>
  <c r="I413" i="26"/>
  <c r="J413" i="26"/>
  <c r="K413" i="26"/>
  <c r="F414" i="26"/>
  <c r="G414" i="26"/>
  <c r="I414" i="26"/>
  <c r="J414" i="26"/>
  <c r="K414" i="26"/>
  <c r="F415" i="26"/>
  <c r="G415" i="26"/>
  <c r="I415" i="26"/>
  <c r="J415" i="26"/>
  <c r="K415" i="26"/>
  <c r="F416" i="26"/>
  <c r="G416" i="26"/>
  <c r="I416" i="26"/>
  <c r="J416" i="26"/>
  <c r="K416" i="26"/>
  <c r="F417" i="26"/>
  <c r="G417" i="26"/>
  <c r="I417" i="26"/>
  <c r="J417" i="26"/>
  <c r="K417" i="26"/>
  <c r="F418" i="26"/>
  <c r="G418" i="26"/>
  <c r="I418" i="26"/>
  <c r="J418" i="26"/>
  <c r="K418" i="26"/>
  <c r="F419" i="26"/>
  <c r="G419" i="26"/>
  <c r="I419" i="26"/>
  <c r="J419" i="26"/>
  <c r="K419" i="26"/>
  <c r="F420" i="26"/>
  <c r="G420" i="26"/>
  <c r="I420" i="26"/>
  <c r="J420" i="26"/>
  <c r="K420" i="26"/>
  <c r="F421" i="26"/>
  <c r="G421" i="26"/>
  <c r="I421" i="26"/>
  <c r="J421" i="26"/>
  <c r="K421" i="26"/>
  <c r="F422" i="26"/>
  <c r="G422" i="26"/>
  <c r="I422" i="26"/>
  <c r="J422" i="26"/>
  <c r="K422" i="26"/>
  <c r="F423" i="26"/>
  <c r="G423" i="26"/>
  <c r="I423" i="26"/>
  <c r="J423" i="26"/>
  <c r="K423" i="26"/>
  <c r="F424" i="26"/>
  <c r="G424" i="26"/>
  <c r="I424" i="26"/>
  <c r="J424" i="26"/>
  <c r="K424" i="26"/>
  <c r="F425" i="26"/>
  <c r="G425" i="26"/>
  <c r="I425" i="26"/>
  <c r="J425" i="26"/>
  <c r="K425" i="26"/>
  <c r="F426" i="26"/>
  <c r="G426" i="26"/>
  <c r="I426" i="26"/>
  <c r="J426" i="26"/>
  <c r="K426" i="26"/>
  <c r="F427" i="26"/>
  <c r="G427" i="26"/>
  <c r="I427" i="26"/>
  <c r="J427" i="26"/>
  <c r="K427" i="26"/>
  <c r="F428" i="26"/>
  <c r="G428" i="26"/>
  <c r="I428" i="26"/>
  <c r="J428" i="26"/>
  <c r="K428" i="26"/>
  <c r="F429" i="26"/>
  <c r="G429" i="26"/>
  <c r="I429" i="26"/>
  <c r="J429" i="26"/>
  <c r="K429" i="26"/>
  <c r="F430" i="26"/>
  <c r="G430" i="26"/>
  <c r="I430" i="26"/>
  <c r="J430" i="26"/>
  <c r="K430" i="26"/>
  <c r="F431" i="26"/>
  <c r="G431" i="26"/>
  <c r="I431" i="26"/>
  <c r="J431" i="26"/>
  <c r="K431" i="26"/>
  <c r="F432" i="26"/>
  <c r="G432" i="26"/>
  <c r="I432" i="26"/>
  <c r="J432" i="26"/>
  <c r="K432" i="26"/>
  <c r="F433" i="26"/>
  <c r="G433" i="26"/>
  <c r="I433" i="26"/>
  <c r="J433" i="26"/>
  <c r="K433" i="26"/>
  <c r="F434" i="26"/>
  <c r="G434" i="26"/>
  <c r="I434" i="26"/>
  <c r="J434" i="26"/>
  <c r="K434" i="26"/>
  <c r="F435" i="26"/>
  <c r="G435" i="26"/>
  <c r="I435" i="26"/>
  <c r="J435" i="26"/>
  <c r="K435" i="26"/>
  <c r="F436" i="26"/>
  <c r="G436" i="26"/>
  <c r="I436" i="26"/>
  <c r="J436" i="26"/>
  <c r="K436" i="26"/>
  <c r="F437" i="26"/>
  <c r="G437" i="26"/>
  <c r="I437" i="26"/>
  <c r="J437" i="26"/>
  <c r="K437" i="26"/>
  <c r="F438" i="26"/>
  <c r="G438" i="26"/>
  <c r="I438" i="26"/>
  <c r="J438" i="26"/>
  <c r="K438" i="26"/>
  <c r="F439" i="26"/>
  <c r="G439" i="26"/>
  <c r="I439" i="26"/>
  <c r="J439" i="26"/>
  <c r="K439" i="26"/>
  <c r="F440" i="26"/>
  <c r="G440" i="26"/>
  <c r="I440" i="26"/>
  <c r="J440" i="26"/>
  <c r="K440" i="26"/>
  <c r="F441" i="26"/>
  <c r="G441" i="26"/>
  <c r="I441" i="26"/>
  <c r="J441" i="26"/>
  <c r="K441" i="26"/>
  <c r="F442" i="26"/>
  <c r="G442" i="26"/>
  <c r="I442" i="26"/>
  <c r="J442" i="26"/>
  <c r="K442" i="26"/>
  <c r="F443" i="26"/>
  <c r="G443" i="26"/>
  <c r="I443" i="26"/>
  <c r="J443" i="26"/>
  <c r="K443" i="26"/>
  <c r="F444" i="26"/>
  <c r="G444" i="26"/>
  <c r="I444" i="26"/>
  <c r="J444" i="26"/>
  <c r="K444" i="26"/>
  <c r="F445" i="26"/>
  <c r="G445" i="26"/>
  <c r="I445" i="26"/>
  <c r="J445" i="26"/>
  <c r="K445" i="26"/>
  <c r="F446" i="26"/>
  <c r="G446" i="26"/>
  <c r="I446" i="26"/>
  <c r="J446" i="26"/>
  <c r="K446" i="26"/>
  <c r="F447" i="26"/>
  <c r="G447" i="26"/>
  <c r="I447" i="26"/>
  <c r="J447" i="26"/>
  <c r="K447" i="26"/>
  <c r="F448" i="26"/>
  <c r="G448" i="26"/>
  <c r="I448" i="26"/>
  <c r="J448" i="26"/>
  <c r="K448" i="26"/>
  <c r="F449" i="26"/>
  <c r="G449" i="26"/>
  <c r="I449" i="26"/>
  <c r="J449" i="26"/>
  <c r="K449" i="26"/>
  <c r="F450" i="26"/>
  <c r="G450" i="26"/>
  <c r="I450" i="26"/>
  <c r="J450" i="26"/>
  <c r="K450" i="26"/>
  <c r="F451" i="26"/>
  <c r="G451" i="26"/>
  <c r="I451" i="26"/>
  <c r="J451" i="26"/>
  <c r="K451" i="26"/>
  <c r="F452" i="26"/>
  <c r="G452" i="26"/>
  <c r="I452" i="26"/>
  <c r="J452" i="26"/>
  <c r="K452" i="26"/>
  <c r="F453" i="26"/>
  <c r="G453" i="26"/>
  <c r="I453" i="26"/>
  <c r="J453" i="26"/>
  <c r="K453" i="26"/>
  <c r="F454" i="26"/>
  <c r="G454" i="26"/>
  <c r="I454" i="26"/>
  <c r="J454" i="26"/>
  <c r="K454" i="26"/>
  <c r="F455" i="26"/>
  <c r="G455" i="26"/>
  <c r="I455" i="26"/>
  <c r="J455" i="26"/>
  <c r="K455" i="26"/>
  <c r="F456" i="26"/>
  <c r="G456" i="26"/>
  <c r="I456" i="26"/>
  <c r="J456" i="26"/>
  <c r="K456" i="26"/>
  <c r="F457" i="26"/>
  <c r="G457" i="26"/>
  <c r="I457" i="26"/>
  <c r="J457" i="26"/>
  <c r="K457" i="26"/>
  <c r="F458" i="26"/>
  <c r="G458" i="26"/>
  <c r="I458" i="26"/>
  <c r="J458" i="26"/>
  <c r="F459" i="26"/>
  <c r="G459" i="26"/>
  <c r="I459" i="26"/>
  <c r="J459" i="26"/>
  <c r="K459" i="26"/>
  <c r="F460" i="26"/>
  <c r="G460" i="26"/>
  <c r="I460" i="26"/>
  <c r="J460" i="26"/>
  <c r="K460" i="26"/>
  <c r="F461" i="26"/>
  <c r="G461" i="26"/>
  <c r="I461" i="26"/>
  <c r="J461" i="26"/>
  <c r="K461" i="26"/>
  <c r="F462" i="26"/>
  <c r="G462" i="26"/>
  <c r="I462" i="26"/>
  <c r="J462" i="26"/>
  <c r="K462" i="26"/>
  <c r="F463" i="26"/>
  <c r="G463" i="26"/>
  <c r="I463" i="26"/>
  <c r="J463" i="26"/>
  <c r="K463" i="26"/>
  <c r="F464" i="26"/>
  <c r="G464" i="26"/>
  <c r="I464" i="26"/>
  <c r="J464" i="26"/>
  <c r="K464" i="26"/>
  <c r="F465" i="26"/>
  <c r="G465" i="26"/>
  <c r="I465" i="26"/>
  <c r="J465" i="26"/>
  <c r="K465" i="26"/>
  <c r="F466" i="26"/>
  <c r="G466" i="26"/>
  <c r="I466" i="26"/>
  <c r="J466" i="26"/>
  <c r="K466" i="26"/>
  <c r="F467" i="26"/>
  <c r="G467" i="26"/>
  <c r="I467" i="26"/>
  <c r="J467" i="26"/>
  <c r="K467" i="26"/>
  <c r="F468" i="26"/>
  <c r="G468" i="26"/>
  <c r="I468" i="26"/>
  <c r="J468" i="26"/>
  <c r="K468" i="26"/>
  <c r="F469" i="26"/>
  <c r="G469" i="26"/>
  <c r="I469" i="26"/>
  <c r="J469" i="26"/>
  <c r="K469" i="26"/>
  <c r="K2" i="26"/>
  <c r="J2" i="26"/>
  <c r="I2" i="26"/>
  <c r="G2" i="26"/>
  <c r="F2" i="26"/>
  <c r="E3" i="26"/>
  <c r="E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2" i="26"/>
  <c r="D3" i="26"/>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8"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AZ31" i="20"/>
  <c r="AZ29" i="20"/>
  <c r="BD23" i="20"/>
  <c r="AJ4" i="18" s="1"/>
  <c r="BD20" i="20"/>
  <c r="AZ15" i="20"/>
  <c r="AZ13" i="20"/>
  <c r="AZ11" i="20"/>
  <c r="AZ9" i="20"/>
  <c r="AZ7" i="20"/>
  <c r="AZ37" i="20"/>
  <c r="AZ35" i="20"/>
  <c r="AZ33" i="20"/>
  <c r="BX35" i="20"/>
  <c r="BX33" i="20"/>
  <c r="BX31" i="20"/>
  <c r="BX29" i="20"/>
  <c r="CB23" i="20"/>
  <c r="AM4" i="18" s="1"/>
  <c r="CB20" i="20"/>
  <c r="BX15" i="20"/>
  <c r="BY15" i="20" s="1"/>
  <c r="BX13" i="20"/>
  <c r="BY13" i="20" s="1"/>
  <c r="BZ13" i="20" s="1"/>
  <c r="CA13" i="20" s="1"/>
  <c r="CB13" i="20" s="1"/>
  <c r="CC13" i="20" s="1"/>
  <c r="BX11" i="20"/>
  <c r="BY11" i="20" s="1"/>
  <c r="BZ11" i="20" s="1"/>
  <c r="CA11" i="20" s="1"/>
  <c r="CB11" i="20" s="1"/>
  <c r="CC11" i="20" s="1"/>
  <c r="BX9" i="20"/>
  <c r="BY9" i="20" s="1"/>
  <c r="BZ9" i="20" s="1"/>
  <c r="CA9" i="20" s="1"/>
  <c r="CB9" i="20" s="1"/>
  <c r="CC9" i="20" s="1"/>
  <c r="BX7" i="20"/>
  <c r="BY7" i="20" s="1"/>
  <c r="BZ7" i="20" s="1"/>
  <c r="CA7" i="20" s="1"/>
  <c r="CB7" i="20" s="1"/>
  <c r="CC7" i="20" s="1"/>
  <c r="BP37" i="20"/>
  <c r="BP35" i="20"/>
  <c r="BP33" i="20"/>
  <c r="BP31" i="20"/>
  <c r="BT23" i="20"/>
  <c r="AL4" i="18" s="1"/>
  <c r="BT20" i="20"/>
  <c r="BP15" i="20"/>
  <c r="BQ15" i="20" s="1"/>
  <c r="BR15" i="20" s="1"/>
  <c r="BS15" i="20" s="1"/>
  <c r="BT15" i="20" s="1"/>
  <c r="BU15" i="20" s="1"/>
  <c r="BP13" i="20"/>
  <c r="BQ13" i="20" s="1"/>
  <c r="BR13" i="20" s="1"/>
  <c r="BS13" i="20" s="1"/>
  <c r="BT13" i="20" s="1"/>
  <c r="BU13" i="20" s="1"/>
  <c r="BP11" i="20"/>
  <c r="BQ11" i="20" s="1"/>
  <c r="BR11" i="20" s="1"/>
  <c r="BS11" i="20" s="1"/>
  <c r="BT11" i="20" s="1"/>
  <c r="BU11" i="20" s="1"/>
  <c r="BP9" i="20"/>
  <c r="BQ9" i="20" s="1"/>
  <c r="BR9" i="20" s="1"/>
  <c r="BS9" i="20" s="1"/>
  <c r="BT9" i="20" s="1"/>
  <c r="BU9" i="20" s="1"/>
  <c r="BU7" i="20"/>
  <c r="BH37" i="20"/>
  <c r="BH35" i="20"/>
  <c r="BH33" i="20"/>
  <c r="BH31" i="20"/>
  <c r="BL23" i="20"/>
  <c r="AK4" i="18" s="1"/>
  <c r="BL20" i="20"/>
  <c r="BH15" i="20"/>
  <c r="BI15" i="20" s="1"/>
  <c r="BJ15" i="20" s="1"/>
  <c r="BK15" i="20" s="1"/>
  <c r="BH13" i="20"/>
  <c r="BI13" i="20" s="1"/>
  <c r="BJ13" i="20" s="1"/>
  <c r="BK13" i="20" s="1"/>
  <c r="BL13" i="20" s="1"/>
  <c r="BM13" i="20" s="1"/>
  <c r="BH11" i="20"/>
  <c r="BI11" i="20" s="1"/>
  <c r="BJ11" i="20" s="1"/>
  <c r="BK11" i="20" s="1"/>
  <c r="BL11" i="20" s="1"/>
  <c r="BM11" i="20" s="1"/>
  <c r="BH9" i="20"/>
  <c r="BI7" i="20"/>
  <c r="BJ7" i="20" s="1"/>
  <c r="BK7" i="20" s="1"/>
  <c r="BL7" i="20" s="1"/>
  <c r="BM7" i="20" s="1"/>
  <c r="BB196" i="18"/>
  <c r="BA196" i="18"/>
  <c r="BA67" i="18"/>
  <c r="BB67" i="18"/>
  <c r="BA68" i="18"/>
  <c r="BB68" i="18"/>
  <c r="YG6" i="3"/>
  <c r="ABS61" i="3"/>
  <c r="ABS6" i="3"/>
  <c r="ABJ6" i="3"/>
  <c r="ABG6" i="3"/>
  <c r="ABD6" i="3"/>
  <c r="ABA6" i="3"/>
  <c r="ABL5" i="3"/>
  <c r="ABK5" i="3" s="1"/>
  <c r="AH198" i="18"/>
  <c r="AB163" i="18"/>
  <c r="AB204" i="18"/>
  <c r="AH196" i="18"/>
  <c r="AG196" i="18"/>
  <c r="AF196" i="18"/>
  <c r="BB226" i="18"/>
  <c r="BA226" i="18"/>
  <c r="BB225" i="18"/>
  <c r="BA225" i="18"/>
  <c r="BB224" i="18"/>
  <c r="BA224" i="18"/>
  <c r="BB223" i="18"/>
  <c r="BA223" i="18"/>
  <c r="BB222" i="18"/>
  <c r="BA222" i="18"/>
  <c r="BB221" i="18"/>
  <c r="BA221" i="18"/>
  <c r="BB220" i="18"/>
  <c r="BA220" i="18"/>
  <c r="BB219" i="18"/>
  <c r="BA219" i="18"/>
  <c r="BB218" i="18"/>
  <c r="BA218" i="18"/>
  <c r="BB217" i="18"/>
  <c r="BA217" i="18"/>
  <c r="BB216" i="18"/>
  <c r="BA216" i="18"/>
  <c r="BB215" i="18"/>
  <c r="BA215" i="18"/>
  <c r="BB214" i="18"/>
  <c r="BA214" i="18"/>
  <c r="BB212" i="18"/>
  <c r="BA212" i="18"/>
  <c r="BB210" i="18"/>
  <c r="BA210" i="18"/>
  <c r="BB209" i="18"/>
  <c r="BA209" i="18"/>
  <c r="BB208" i="18"/>
  <c r="BA208" i="18"/>
  <c r="BB207" i="18"/>
  <c r="BA207" i="18"/>
  <c r="BB206" i="18"/>
  <c r="BA206" i="18"/>
  <c r="BB204" i="18"/>
  <c r="BA204" i="18"/>
  <c r="BB203" i="18"/>
  <c r="BA203" i="18"/>
  <c r="BB200" i="18"/>
  <c r="BA200" i="18"/>
  <c r="BB199" i="18"/>
  <c r="BA199" i="18"/>
  <c r="BB198" i="18"/>
  <c r="BA198" i="18"/>
  <c r="BB195" i="18"/>
  <c r="BA195" i="18"/>
  <c r="BB193" i="18"/>
  <c r="BA193" i="18"/>
  <c r="BB192" i="18"/>
  <c r="BA192" i="18"/>
  <c r="BB191" i="18"/>
  <c r="BA191" i="18"/>
  <c r="BB190" i="18"/>
  <c r="BA190" i="18"/>
  <c r="BB189" i="18"/>
  <c r="BA189" i="18"/>
  <c r="BB188" i="18"/>
  <c r="BA188" i="18"/>
  <c r="BB187" i="18"/>
  <c r="BA187" i="18"/>
  <c r="BB186" i="18"/>
  <c r="BA186" i="18"/>
  <c r="BB185" i="18"/>
  <c r="BA185" i="18"/>
  <c r="BB178" i="18"/>
  <c r="BA178" i="18"/>
  <c r="BB177" i="18"/>
  <c r="BA177" i="18"/>
  <c r="BB176" i="18"/>
  <c r="BA176" i="18"/>
  <c r="BB171" i="18"/>
  <c r="BA171" i="18"/>
  <c r="BB170" i="18"/>
  <c r="BA170" i="18"/>
  <c r="BB169" i="18"/>
  <c r="BA169" i="18"/>
  <c r="BB168" i="18"/>
  <c r="BA168" i="18"/>
  <c r="BB167" i="18"/>
  <c r="BA167" i="18"/>
  <c r="BB166" i="18"/>
  <c r="BA166" i="18"/>
  <c r="BB165" i="18"/>
  <c r="BA165" i="18"/>
  <c r="BB164" i="18"/>
  <c r="BA164" i="18"/>
  <c r="BB162" i="18"/>
  <c r="BA162" i="18"/>
  <c r="BB161" i="18"/>
  <c r="BA161" i="18"/>
  <c r="BB160" i="18"/>
  <c r="BA160" i="18"/>
  <c r="BB159" i="18"/>
  <c r="BA159" i="18"/>
  <c r="BB158" i="18"/>
  <c r="BA158" i="18"/>
  <c r="BB154" i="18"/>
  <c r="BA154" i="18"/>
  <c r="BB153" i="18"/>
  <c r="BA153" i="18"/>
  <c r="BB149" i="18"/>
  <c r="BA149" i="18"/>
  <c r="BB148" i="18"/>
  <c r="BA148" i="18"/>
  <c r="BB147" i="18"/>
  <c r="BA147" i="18"/>
  <c r="BB141" i="18"/>
  <c r="BA141" i="18"/>
  <c r="BB138" i="18"/>
  <c r="BA138" i="18"/>
  <c r="BB137" i="18"/>
  <c r="BA137" i="18"/>
  <c r="BB136" i="18"/>
  <c r="BA136" i="18"/>
  <c r="BB129" i="18"/>
  <c r="BA129" i="18"/>
  <c r="BB128" i="18"/>
  <c r="BA128" i="18"/>
  <c r="BB120" i="18"/>
  <c r="BA120" i="18"/>
  <c r="BB117" i="18"/>
  <c r="BA117" i="18"/>
  <c r="BB115" i="18"/>
  <c r="BA115" i="18"/>
  <c r="BB109" i="18"/>
  <c r="BA109" i="18"/>
  <c r="BB108" i="18"/>
  <c r="BA108" i="18"/>
  <c r="BB101" i="18"/>
  <c r="BA101" i="18"/>
  <c r="BB100" i="18"/>
  <c r="BA100" i="18"/>
  <c r="BB97" i="18"/>
  <c r="BA97" i="18"/>
  <c r="BB94" i="18"/>
  <c r="BA94" i="18"/>
  <c r="BB84" i="18"/>
  <c r="BA84" i="18"/>
  <c r="BB80" i="18"/>
  <c r="BA80" i="18"/>
  <c r="BB77" i="18"/>
  <c r="BA77" i="18"/>
  <c r="BB74" i="18"/>
  <c r="BA74" i="18"/>
  <c r="BB69" i="18"/>
  <c r="BA69" i="18"/>
  <c r="BB66" i="18"/>
  <c r="BA66" i="18"/>
  <c r="BB65" i="18"/>
  <c r="BA65" i="18"/>
  <c r="BB64" i="18"/>
  <c r="BA64" i="18"/>
  <c r="BB63" i="18"/>
  <c r="BA63" i="18"/>
  <c r="BB62" i="18"/>
  <c r="BA62" i="18"/>
  <c r="BB61" i="18"/>
  <c r="BA61" i="18"/>
  <c r="BB60" i="18"/>
  <c r="BA60" i="18"/>
  <c r="BB59" i="18"/>
  <c r="BA59" i="18"/>
  <c r="BB58" i="18"/>
  <c r="BA58" i="18"/>
  <c r="BB56" i="18"/>
  <c r="BA56" i="18"/>
  <c r="BB55" i="18"/>
  <c r="BA55" i="18"/>
  <c r="BB54" i="18"/>
  <c r="BA54" i="18"/>
  <c r="BB53" i="18"/>
  <c r="BA53" i="18"/>
  <c r="BB52" i="18"/>
  <c r="BA52" i="18"/>
  <c r="BB51" i="18"/>
  <c r="BA51" i="18"/>
  <c r="BB50" i="18"/>
  <c r="BA50" i="18"/>
  <c r="BB49" i="18"/>
  <c r="BA49" i="18"/>
  <c r="BB48" i="18"/>
  <c r="BA48" i="18"/>
  <c r="BB46" i="18"/>
  <c r="BA46" i="18"/>
  <c r="BB45" i="18"/>
  <c r="BA45" i="18"/>
  <c r="BB44" i="18"/>
  <c r="BA44" i="18"/>
  <c r="BB40" i="18"/>
  <c r="BA40" i="18"/>
  <c r="BB39" i="18"/>
  <c r="BA39" i="18"/>
  <c r="BB38" i="18"/>
  <c r="BA38" i="18"/>
  <c r="BB37" i="18"/>
  <c r="BA37" i="18"/>
  <c r="BB36" i="18"/>
  <c r="BA36" i="18"/>
  <c r="BB35" i="18"/>
  <c r="BA35" i="18"/>
  <c r="BB34" i="18"/>
  <c r="BA34" i="18"/>
  <c r="BB26" i="18"/>
  <c r="BA26" i="18"/>
  <c r="BB25" i="18"/>
  <c r="BA25" i="18"/>
  <c r="BB24" i="18"/>
  <c r="BA24" i="18"/>
  <c r="BB23" i="18"/>
  <c r="BA23" i="18"/>
  <c r="BB22" i="18"/>
  <c r="BA22" i="18"/>
  <c r="BB21" i="18"/>
  <c r="BA21" i="18"/>
  <c r="BB20" i="18"/>
  <c r="BA20" i="18"/>
  <c r="BB19" i="18"/>
  <c r="BA19" i="18"/>
  <c r="BB18" i="18"/>
  <c r="BA18" i="18"/>
  <c r="BB17" i="18"/>
  <c r="BA17" i="18"/>
  <c r="BB16" i="18"/>
  <c r="BA16" i="18"/>
  <c r="BB15" i="18"/>
  <c r="BA15" i="18"/>
  <c r="BB14" i="18"/>
  <c r="BA14" i="18"/>
  <c r="BB13" i="18"/>
  <c r="BA13" i="18"/>
  <c r="BB12" i="18"/>
  <c r="BA12" i="18"/>
  <c r="BB11" i="18"/>
  <c r="BA11" i="18"/>
  <c r="BB10" i="18"/>
  <c r="BA10" i="18"/>
  <c r="BB9" i="18"/>
  <c r="BA9" i="18"/>
  <c r="BB8" i="18"/>
  <c r="BA8" i="18"/>
  <c r="BB7" i="18"/>
  <c r="BA7" i="18"/>
  <c r="BB6" i="18"/>
  <c r="BA6" i="18"/>
  <c r="BB4" i="18"/>
  <c r="BA4" i="18"/>
  <c r="BB3" i="18"/>
  <c r="BA3" i="18"/>
  <c r="AF204" i="18"/>
  <c r="AE204" i="18"/>
  <c r="AD204" i="18"/>
  <c r="AC204" i="18"/>
  <c r="DM61" i="3"/>
  <c r="GP61" i="3"/>
  <c r="JP61" i="3"/>
  <c r="MJ61" i="3"/>
  <c r="NE61" i="3"/>
  <c r="NW61" i="3"/>
  <c r="NZ61" i="3"/>
  <c r="OC61" i="3"/>
  <c r="OR61" i="3"/>
  <c r="OU61" i="3"/>
  <c r="OX61" i="3"/>
  <c r="PJ61" i="3"/>
  <c r="PM61" i="3"/>
  <c r="PP61" i="3"/>
  <c r="QK61" i="3"/>
  <c r="RC61" i="3"/>
  <c r="RF61" i="3"/>
  <c r="RX61" i="3"/>
  <c r="SA61" i="3"/>
  <c r="SD61" i="3"/>
  <c r="UI61" i="3"/>
  <c r="UL61" i="3"/>
  <c r="VD61" i="3"/>
  <c r="VG61" i="3"/>
  <c r="VY61" i="3"/>
  <c r="WB61" i="3"/>
  <c r="AI10" i="18"/>
  <c r="AC198" i="18"/>
  <c r="F61" i="3"/>
  <c r="AAX6" i="3"/>
  <c r="AAU6" i="3"/>
  <c r="AAC6" i="3"/>
  <c r="ZN6" i="3"/>
  <c r="ZK6" i="3"/>
  <c r="AAQ5" i="3"/>
  <c r="AAP5" i="3"/>
  <c r="ZH6" i="3"/>
  <c r="ZE6" i="3"/>
  <c r="ZB6" i="3"/>
  <c r="YY6" i="3"/>
  <c r="YV6" i="3"/>
  <c r="YS6" i="3"/>
  <c r="YP6" i="3"/>
  <c r="YM6" i="3"/>
  <c r="YJ6" i="3"/>
  <c r="YD6" i="3"/>
  <c r="YA6" i="3"/>
  <c r="XX6" i="3"/>
  <c r="XU6" i="3"/>
  <c r="ZA5" i="3"/>
  <c r="YZ5" i="3" s="1"/>
  <c r="XR6" i="3"/>
  <c r="XO6" i="3"/>
  <c r="XL6" i="3"/>
  <c r="AH163" i="18"/>
  <c r="AC5" i="18"/>
  <c r="AD5" i="18"/>
  <c r="AE5" i="18"/>
  <c r="AF5" i="18"/>
  <c r="AG5" i="18"/>
  <c r="AH34" i="18"/>
  <c r="BC34" i="18" s="1"/>
  <c r="AH11" i="18"/>
  <c r="BC11" i="18" s="1"/>
  <c r="AF23" i="20"/>
  <c r="UF43" i="3"/>
  <c r="XI6" i="3"/>
  <c r="XF6" i="3"/>
  <c r="XC6" i="3"/>
  <c r="WZ6" i="3"/>
  <c r="WW6" i="3"/>
  <c r="WT6" i="3"/>
  <c r="WQ6" i="3"/>
  <c r="XK5" i="3"/>
  <c r="XJ5" i="3" s="1"/>
  <c r="WN6" i="3"/>
  <c r="WK6" i="3"/>
  <c r="WH6" i="3"/>
  <c r="WE6" i="3"/>
  <c r="WB6" i="3"/>
  <c r="VY6" i="3"/>
  <c r="VV6" i="3"/>
  <c r="VS6" i="3"/>
  <c r="VP6" i="3"/>
  <c r="VM6" i="3"/>
  <c r="VJ6" i="3"/>
  <c r="VG6" i="3"/>
  <c r="VD6" i="3"/>
  <c r="VA6" i="3"/>
  <c r="UX6" i="3"/>
  <c r="UU6" i="3"/>
  <c r="UR6" i="3"/>
  <c r="UO6" i="3"/>
  <c r="UL6" i="3"/>
  <c r="UI6" i="3"/>
  <c r="UF6" i="3"/>
  <c r="AF10" i="18"/>
  <c r="AG10" i="18"/>
  <c r="AE10" i="18"/>
  <c r="M4" i="3"/>
  <c r="SY6" i="3"/>
  <c r="H163" i="18"/>
  <c r="I163" i="18"/>
  <c r="J163" i="18"/>
  <c r="K163" i="18"/>
  <c r="L163" i="18"/>
  <c r="M163" i="18"/>
  <c r="N163" i="18"/>
  <c r="O163" i="18"/>
  <c r="P163" i="18"/>
  <c r="Q163" i="18"/>
  <c r="R163" i="18"/>
  <c r="S163" i="18"/>
  <c r="T163" i="18"/>
  <c r="U163" i="18"/>
  <c r="V163" i="18"/>
  <c r="W163" i="18"/>
  <c r="X163" i="18"/>
  <c r="Y163" i="18"/>
  <c r="Z163" i="18"/>
  <c r="AA163" i="18"/>
  <c r="AC163" i="18"/>
  <c r="AD163" i="18"/>
  <c r="AE163" i="18"/>
  <c r="AF163" i="18"/>
  <c r="AG163" i="18"/>
  <c r="H146" i="18"/>
  <c r="I146" i="18"/>
  <c r="J146" i="18"/>
  <c r="K146" i="18"/>
  <c r="L146" i="18"/>
  <c r="M146" i="18"/>
  <c r="N146" i="18"/>
  <c r="O146" i="18"/>
  <c r="P146" i="18"/>
  <c r="Q146" i="18"/>
  <c r="R146" i="18"/>
  <c r="S146" i="18"/>
  <c r="T146" i="18"/>
  <c r="U146" i="18"/>
  <c r="V146" i="18"/>
  <c r="W146" i="18"/>
  <c r="X146" i="18"/>
  <c r="Y146" i="18"/>
  <c r="Z146" i="18"/>
  <c r="AA146" i="18"/>
  <c r="H116" i="18"/>
  <c r="I116" i="18"/>
  <c r="J116" i="18"/>
  <c r="K116" i="18"/>
  <c r="L116" i="18"/>
  <c r="M116" i="18"/>
  <c r="N116" i="18"/>
  <c r="O116" i="18"/>
  <c r="P116" i="18"/>
  <c r="Q116" i="18"/>
  <c r="R116" i="18"/>
  <c r="S116" i="18"/>
  <c r="T116" i="18"/>
  <c r="U116" i="18"/>
  <c r="V116" i="18"/>
  <c r="W116" i="18"/>
  <c r="X116" i="18"/>
  <c r="Y116" i="18"/>
  <c r="Z116" i="18"/>
  <c r="AA116" i="18"/>
  <c r="G163" i="18"/>
  <c r="G146" i="18"/>
  <c r="G116" i="18"/>
  <c r="AA79" i="18"/>
  <c r="Z79" i="18"/>
  <c r="Y79" i="18"/>
  <c r="X79" i="18"/>
  <c r="W79" i="18"/>
  <c r="V79" i="18"/>
  <c r="U79" i="18"/>
  <c r="T79" i="18"/>
  <c r="S79" i="18"/>
  <c r="R79" i="18"/>
  <c r="Q79" i="18"/>
  <c r="P79" i="18"/>
  <c r="O79" i="18"/>
  <c r="N79" i="18"/>
  <c r="M79" i="18"/>
  <c r="L79" i="18"/>
  <c r="K79" i="18"/>
  <c r="J79" i="18"/>
  <c r="I79" i="18"/>
  <c r="H79" i="18"/>
  <c r="G79" i="18"/>
  <c r="JU4" i="3"/>
  <c r="JT4" i="3"/>
  <c r="JR4" i="3"/>
  <c r="JQ4" i="3"/>
  <c r="JL4" i="3"/>
  <c r="JK4" i="3"/>
  <c r="JI4" i="3"/>
  <c r="JH4" i="3"/>
  <c r="JF4" i="3"/>
  <c r="JE4" i="3"/>
  <c r="JD4" i="3" s="1"/>
  <c r="JC4" i="3"/>
  <c r="JB4" i="3"/>
  <c r="JA4" i="3"/>
  <c r="IZ4" i="3"/>
  <c r="IY4" i="3"/>
  <c r="IX5" i="3" s="1"/>
  <c r="IW4" i="3"/>
  <c r="IV4" i="3"/>
  <c r="IT4" i="3"/>
  <c r="IS4" i="3"/>
  <c r="IQ4" i="3"/>
  <c r="IP4" i="3"/>
  <c r="IN4" i="3"/>
  <c r="IM4" i="3"/>
  <c r="IL4" i="3" s="1"/>
  <c r="IK4" i="3"/>
  <c r="IJ4" i="3"/>
  <c r="IH4" i="3"/>
  <c r="IG4" i="3"/>
  <c r="IE4" i="3"/>
  <c r="ID4" i="3"/>
  <c r="IB4" i="3"/>
  <c r="IA4" i="3"/>
  <c r="HZ4" i="3" s="1"/>
  <c r="HY4" i="3"/>
  <c r="HW4" i="3" s="1"/>
  <c r="HX4" i="3"/>
  <c r="HV4" i="3"/>
  <c r="HU4" i="3"/>
  <c r="HS4" i="3"/>
  <c r="HR4" i="3"/>
  <c r="HP4" i="3"/>
  <c r="HO4" i="3"/>
  <c r="HM4" i="3"/>
  <c r="HL4" i="3"/>
  <c r="HJ4" i="3"/>
  <c r="HI4" i="3"/>
  <c r="HG4" i="3"/>
  <c r="HF4" i="3"/>
  <c r="HD4" i="3"/>
  <c r="HC4" i="3"/>
  <c r="HB4" i="3" s="1"/>
  <c r="HA4" i="3"/>
  <c r="GZ4" i="3"/>
  <c r="GX4" i="3"/>
  <c r="GW4" i="3"/>
  <c r="GU4" i="3"/>
  <c r="GT4" i="3"/>
  <c r="GR4" i="3"/>
  <c r="GQ4" i="3"/>
  <c r="GO4" i="3"/>
  <c r="GN4" i="3"/>
  <c r="GL4" i="3"/>
  <c r="GK4" i="3"/>
  <c r="GI4" i="3"/>
  <c r="GH4" i="3"/>
  <c r="GF4" i="3"/>
  <c r="GE4" i="3"/>
  <c r="GC4" i="3"/>
  <c r="GB4" i="3"/>
  <c r="FZ4" i="3"/>
  <c r="FY4" i="3"/>
  <c r="FW4" i="3"/>
  <c r="FV4" i="3"/>
  <c r="FT4" i="3"/>
  <c r="FS4" i="3"/>
  <c r="FQ4" i="3"/>
  <c r="FP4" i="3"/>
  <c r="FN4" i="3"/>
  <c r="FM4" i="3"/>
  <c r="FK4" i="3"/>
  <c r="FJ4" i="3"/>
  <c r="FH4" i="3"/>
  <c r="FG4" i="3"/>
  <c r="FE4" i="3"/>
  <c r="FD4" i="3"/>
  <c r="FB4" i="3"/>
  <c r="FA4" i="3"/>
  <c r="EY4" i="3"/>
  <c r="EX4" i="3"/>
  <c r="EV4" i="3"/>
  <c r="EU4" i="3"/>
  <c r="ET5" i="3" s="1"/>
  <c r="ES4" i="3"/>
  <c r="ER4" i="3"/>
  <c r="EP4" i="3"/>
  <c r="EO4" i="3"/>
  <c r="EM4" i="3"/>
  <c r="EL4" i="3"/>
  <c r="EJ4" i="3"/>
  <c r="EI4" i="3"/>
  <c r="EG4" i="3"/>
  <c r="EF4" i="3"/>
  <c r="ED4" i="3"/>
  <c r="EC4" i="3"/>
  <c r="EA4" i="3"/>
  <c r="DZ4" i="3"/>
  <c r="DX4" i="3"/>
  <c r="DW4" i="3"/>
  <c r="DU4" i="3"/>
  <c r="DT4" i="3"/>
  <c r="DR4" i="3"/>
  <c r="DQ4" i="3"/>
  <c r="DP5" i="3" s="1"/>
  <c r="DO4" i="3"/>
  <c r="DN4" i="3"/>
  <c r="DL4" i="3"/>
  <c r="DK4" i="3"/>
  <c r="DI4" i="3"/>
  <c r="DH4" i="3"/>
  <c r="DF4" i="3"/>
  <c r="DE4" i="3"/>
  <c r="DC4" i="3"/>
  <c r="DB4" i="3"/>
  <c r="CZ4" i="3"/>
  <c r="CY4" i="3"/>
  <c r="CW4" i="3"/>
  <c r="CV4" i="3"/>
  <c r="CT4" i="3"/>
  <c r="CS4" i="3"/>
  <c r="CQ4" i="3"/>
  <c r="CP4" i="3"/>
  <c r="CN4" i="3"/>
  <c r="CM4" i="3"/>
  <c r="CK4" i="3"/>
  <c r="CJ4" i="3"/>
  <c r="CH4" i="3"/>
  <c r="CG4" i="3"/>
  <c r="CE4" i="3"/>
  <c r="CD4" i="3"/>
  <c r="CB4" i="3"/>
  <c r="CA4" i="3"/>
  <c r="BY4" i="3"/>
  <c r="BX4" i="3"/>
  <c r="BV4" i="3"/>
  <c r="BU4" i="3"/>
  <c r="BS4" i="3"/>
  <c r="BR4" i="3"/>
  <c r="BP4" i="3"/>
  <c r="BO4" i="3"/>
  <c r="BM4" i="3"/>
  <c r="BL4" i="3"/>
  <c r="BJ4" i="3"/>
  <c r="BI4" i="3"/>
  <c r="BG4" i="3"/>
  <c r="BF4" i="3"/>
  <c r="BD4" i="3"/>
  <c r="BC4" i="3"/>
  <c r="BA4" i="3"/>
  <c r="AZ4" i="3"/>
  <c r="AX4" i="3"/>
  <c r="AW4" i="3"/>
  <c r="AU4" i="3"/>
  <c r="AT4" i="3"/>
  <c r="AR4" i="3"/>
  <c r="AQ4" i="3"/>
  <c r="AO4" i="3"/>
  <c r="AN4" i="3"/>
  <c r="AL4" i="3"/>
  <c r="AK4" i="3"/>
  <c r="AI4" i="3"/>
  <c r="AH4" i="3"/>
  <c r="AF4" i="3"/>
  <c r="AE4" i="3"/>
  <c r="AC4" i="3"/>
  <c r="AB4" i="3"/>
  <c r="AA5" i="3" s="1"/>
  <c r="AA61" i="3" s="1"/>
  <c r="Z4" i="3"/>
  <c r="Y4" i="3"/>
  <c r="W4" i="3"/>
  <c r="V4" i="3"/>
  <c r="T4" i="3"/>
  <c r="S4" i="3"/>
  <c r="Q4" i="3"/>
  <c r="P4" i="3"/>
  <c r="N4" i="3"/>
  <c r="K4" i="3"/>
  <c r="J4" i="3"/>
  <c r="JO4" i="3"/>
  <c r="JN4" i="3"/>
  <c r="JM5" i="3" s="1"/>
  <c r="AF21" i="20"/>
  <c r="AN20" i="20"/>
  <c r="AN21" i="20"/>
  <c r="AV23" i="20"/>
  <c r="AI4" i="18" s="1"/>
  <c r="BC4" i="18" s="1"/>
  <c r="AN23" i="20"/>
  <c r="AV29" i="20"/>
  <c r="AR37" i="20"/>
  <c r="AR35" i="20"/>
  <c r="AR33" i="20"/>
  <c r="AR31" i="20"/>
  <c r="BA9" i="20"/>
  <c r="BB9" i="20" s="1"/>
  <c r="BC9" i="20" s="1"/>
  <c r="BD9" i="20" s="1"/>
  <c r="BE9" i="20" s="1"/>
  <c r="BA7" i="20"/>
  <c r="BB7" i="20" s="1"/>
  <c r="BC7" i="20" s="1"/>
  <c r="BD7" i="20" s="1"/>
  <c r="BE7" i="20" s="1"/>
  <c r="BA13" i="20"/>
  <c r="BB13" i="20" s="1"/>
  <c r="BC13" i="20" s="1"/>
  <c r="BD13" i="20" s="1"/>
  <c r="BE13" i="20" s="1"/>
  <c r="BA11" i="20"/>
  <c r="BB11" i="20" s="1"/>
  <c r="BC11" i="20" s="1"/>
  <c r="BD11" i="20" s="1"/>
  <c r="BE11" i="20" s="1"/>
  <c r="AR15" i="20"/>
  <c r="AS15" i="20" s="1"/>
  <c r="AT15" i="20" s="1"/>
  <c r="AU15" i="20" s="1"/>
  <c r="AV15" i="20" s="1"/>
  <c r="AW15" i="20" s="1"/>
  <c r="AR13" i="20"/>
  <c r="AS13" i="20" s="1"/>
  <c r="AT13" i="20" s="1"/>
  <c r="AU13" i="20" s="1"/>
  <c r="AV13" i="20" s="1"/>
  <c r="AW13" i="20" s="1"/>
  <c r="AR11" i="20"/>
  <c r="AS11" i="20" s="1"/>
  <c r="AT11" i="20" s="1"/>
  <c r="AU11" i="20" s="1"/>
  <c r="AV11" i="20" s="1"/>
  <c r="AW11" i="20" s="1"/>
  <c r="AR9" i="20"/>
  <c r="AV7" i="20"/>
  <c r="AW7" i="20" s="1"/>
  <c r="AV20" i="20"/>
  <c r="X23" i="20"/>
  <c r="AF20" i="20"/>
  <c r="X20" i="20"/>
  <c r="P20" i="20"/>
  <c r="P21" i="20"/>
  <c r="H21" i="20"/>
  <c r="H20" i="20"/>
  <c r="UC6" i="3"/>
  <c r="TZ6" i="3"/>
  <c r="TW6" i="3"/>
  <c r="TT6" i="3"/>
  <c r="TQ6" i="3"/>
  <c r="TN6" i="3"/>
  <c r="TK6" i="3"/>
  <c r="TH6" i="3"/>
  <c r="TE6" i="3"/>
  <c r="TB6" i="3"/>
  <c r="SV6" i="3"/>
  <c r="SS6" i="3"/>
  <c r="SP6" i="3"/>
  <c r="SM6" i="3"/>
  <c r="SJ6" i="3"/>
  <c r="SG6" i="3"/>
  <c r="SD6" i="3"/>
  <c r="SA6" i="3"/>
  <c r="RX6" i="3"/>
  <c r="RU6" i="3"/>
  <c r="RR6" i="3"/>
  <c r="RO6" i="3"/>
  <c r="RL6" i="3"/>
  <c r="RI6" i="3"/>
  <c r="RF6" i="3"/>
  <c r="RC6" i="3"/>
  <c r="QZ6" i="3"/>
  <c r="QW6" i="3"/>
  <c r="QT6" i="3"/>
  <c r="QQ6" i="3"/>
  <c r="QK6" i="3"/>
  <c r="QH6" i="3"/>
  <c r="QE6" i="3"/>
  <c r="QB6" i="3"/>
  <c r="PY6" i="3"/>
  <c r="PV6" i="3"/>
  <c r="PS6" i="3"/>
  <c r="V30" i="20"/>
  <c r="P30" i="20"/>
  <c r="O32" i="20"/>
  <c r="C32" i="20"/>
  <c r="G512" i="12"/>
  <c r="PP6" i="3"/>
  <c r="PM6" i="3"/>
  <c r="PJ6" i="3"/>
  <c r="PG6" i="3"/>
  <c r="PD6" i="3"/>
  <c r="PA6" i="3"/>
  <c r="OX6" i="3"/>
  <c r="OU6" i="3"/>
  <c r="OR6" i="3"/>
  <c r="OO6" i="3"/>
  <c r="OL6" i="3"/>
  <c r="OI6" i="3"/>
  <c r="OF6" i="3"/>
  <c r="KW6" i="3"/>
  <c r="KZ19" i="3"/>
  <c r="KW20" i="3"/>
  <c r="KW21" i="3"/>
  <c r="NT6" i="3"/>
  <c r="NQ6" i="3"/>
  <c r="NN6" i="3"/>
  <c r="NK6" i="3"/>
  <c r="NH6" i="3"/>
  <c r="MY6" i="3"/>
  <c r="MV6" i="3"/>
  <c r="MS6" i="3"/>
  <c r="MP6" i="3"/>
  <c r="MG6" i="3"/>
  <c r="MD6" i="3"/>
  <c r="MA6" i="3"/>
  <c r="LX6" i="3"/>
  <c r="LU6" i="3"/>
  <c r="LR6" i="3"/>
  <c r="LI6" i="3"/>
  <c r="LF6" i="3"/>
  <c r="LC6" i="3"/>
  <c r="KZ6" i="3"/>
  <c r="G112" i="12"/>
  <c r="K113" i="12"/>
  <c r="K114" i="12"/>
  <c r="K115" i="12"/>
  <c r="K116" i="12"/>
  <c r="K117" i="12"/>
  <c r="K118" i="12"/>
  <c r="K119" i="12"/>
  <c r="K120"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11" i="12"/>
  <c r="H112" i="15"/>
  <c r="KT6" i="3"/>
  <c r="KQ6" i="3"/>
  <c r="KN6" i="3"/>
  <c r="KK6" i="3"/>
  <c r="KH6" i="3"/>
  <c r="KE6" i="3"/>
  <c r="KB6" i="3"/>
  <c r="JV2" i="3"/>
  <c r="JV6" i="3"/>
  <c r="JS6" i="3"/>
  <c r="JM6" i="3"/>
  <c r="M38" i="20" s="1"/>
  <c r="JJ6" i="3"/>
  <c r="L38" i="20" s="1"/>
  <c r="JG6" i="3"/>
  <c r="K38" i="20" s="1"/>
  <c r="E111" i="15"/>
  <c r="F111" i="15" s="1"/>
  <c r="E103" i="15"/>
  <c r="F103" i="15" s="1"/>
  <c r="C77" i="15"/>
  <c r="C67"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8" i="15"/>
  <c r="C69" i="15"/>
  <c r="C70" i="15"/>
  <c r="C71" i="15"/>
  <c r="C72" i="15"/>
  <c r="C73" i="15"/>
  <c r="C74" i="15"/>
  <c r="C75" i="15"/>
  <c r="C76"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F18" i="15"/>
  <c r="H158" i="15"/>
  <c r="E158" i="15"/>
  <c r="F158" i="15" s="1"/>
  <c r="H157" i="15"/>
  <c r="E157" i="15"/>
  <c r="F157" i="15" s="1"/>
  <c r="H156" i="15"/>
  <c r="E156" i="15"/>
  <c r="F156" i="15" s="1"/>
  <c r="H155" i="15"/>
  <c r="E155" i="15"/>
  <c r="F155" i="15" s="1"/>
  <c r="H154" i="15"/>
  <c r="E154" i="15"/>
  <c r="F154" i="15" s="1"/>
  <c r="H153" i="15"/>
  <c r="E153" i="15"/>
  <c r="F153" i="15" s="1"/>
  <c r="H152" i="15"/>
  <c r="E152" i="15"/>
  <c r="F152" i="15" s="1"/>
  <c r="H151" i="15"/>
  <c r="E151" i="15"/>
  <c r="F151" i="15" s="1"/>
  <c r="H150" i="15"/>
  <c r="E150" i="15"/>
  <c r="F150" i="15" s="1"/>
  <c r="H149" i="15"/>
  <c r="E149" i="15"/>
  <c r="F149" i="15" s="1"/>
  <c r="H148" i="15"/>
  <c r="E148" i="15"/>
  <c r="F148" i="15" s="1"/>
  <c r="H147" i="15"/>
  <c r="E147" i="15"/>
  <c r="F147" i="15" s="1"/>
  <c r="H146" i="15"/>
  <c r="E146" i="15"/>
  <c r="F146" i="15" s="1"/>
  <c r="H145" i="15"/>
  <c r="E145" i="15"/>
  <c r="F145" i="15" s="1"/>
  <c r="H144" i="15"/>
  <c r="E144" i="15"/>
  <c r="F144" i="15" s="1"/>
  <c r="H143" i="15"/>
  <c r="E143" i="15"/>
  <c r="F143" i="15" s="1"/>
  <c r="H142" i="15"/>
  <c r="E142" i="15"/>
  <c r="F142" i="15" s="1"/>
  <c r="H141" i="15"/>
  <c r="E141" i="15"/>
  <c r="F141" i="15" s="1"/>
  <c r="H140" i="15"/>
  <c r="E140" i="15"/>
  <c r="F140" i="15" s="1"/>
  <c r="H139" i="15"/>
  <c r="E139" i="15"/>
  <c r="F139" i="15" s="1"/>
  <c r="H138" i="15"/>
  <c r="E138" i="15"/>
  <c r="F138" i="15" s="1"/>
  <c r="H137" i="15"/>
  <c r="E137" i="15"/>
  <c r="F137" i="15" s="1"/>
  <c r="H136" i="15"/>
  <c r="E136" i="15"/>
  <c r="F136" i="15" s="1"/>
  <c r="H135" i="15"/>
  <c r="E135" i="15"/>
  <c r="F135" i="15" s="1"/>
  <c r="H134" i="15"/>
  <c r="E134" i="15"/>
  <c r="F134" i="15" s="1"/>
  <c r="H133" i="15"/>
  <c r="E133" i="15"/>
  <c r="F133" i="15" s="1"/>
  <c r="H132" i="15"/>
  <c r="E132" i="15"/>
  <c r="F132" i="15" s="1"/>
  <c r="H131" i="15"/>
  <c r="E131" i="15"/>
  <c r="F131" i="15" s="1"/>
  <c r="H130" i="15"/>
  <c r="E130" i="15"/>
  <c r="F130" i="15" s="1"/>
  <c r="H129" i="15"/>
  <c r="E129" i="15"/>
  <c r="F129" i="15" s="1"/>
  <c r="H128" i="15"/>
  <c r="E128" i="15"/>
  <c r="F128" i="15" s="1"/>
  <c r="H127" i="15"/>
  <c r="E127" i="15"/>
  <c r="F127" i="15" s="1"/>
  <c r="H126" i="15"/>
  <c r="E126" i="15"/>
  <c r="F126" i="15" s="1"/>
  <c r="H125" i="15"/>
  <c r="E125" i="15"/>
  <c r="F125" i="15" s="1"/>
  <c r="H124" i="15"/>
  <c r="E124" i="15"/>
  <c r="F124" i="15" s="1"/>
  <c r="H123" i="15"/>
  <c r="E123" i="15"/>
  <c r="F123" i="15" s="1"/>
  <c r="H122" i="15"/>
  <c r="E122" i="15"/>
  <c r="F122" i="15" s="1"/>
  <c r="H121" i="15"/>
  <c r="E121" i="15"/>
  <c r="F121" i="15" s="1"/>
  <c r="H120" i="15"/>
  <c r="E120" i="15"/>
  <c r="F120" i="15" s="1"/>
  <c r="H119" i="15"/>
  <c r="E119" i="15"/>
  <c r="F119" i="15" s="1"/>
  <c r="H118" i="15"/>
  <c r="E118" i="15"/>
  <c r="F118" i="15" s="1"/>
  <c r="H117" i="15"/>
  <c r="E117" i="15"/>
  <c r="F117" i="15" s="1"/>
  <c r="H116" i="15"/>
  <c r="E116" i="15"/>
  <c r="F116" i="15" s="1"/>
  <c r="H115" i="15"/>
  <c r="E115" i="15"/>
  <c r="F115" i="15" s="1"/>
  <c r="H114" i="15"/>
  <c r="E114" i="15"/>
  <c r="F114" i="15" s="1"/>
  <c r="H113" i="15"/>
  <c r="E113" i="15"/>
  <c r="F113" i="15" s="1"/>
  <c r="E112" i="15"/>
  <c r="F112" i="15" s="1"/>
  <c r="H111" i="15"/>
  <c r="H110" i="15"/>
  <c r="E110" i="15"/>
  <c r="F110" i="15" s="1"/>
  <c r="H109" i="15"/>
  <c r="E109" i="15"/>
  <c r="F109" i="15" s="1"/>
  <c r="H108" i="15"/>
  <c r="E108" i="15"/>
  <c r="F108" i="15" s="1"/>
  <c r="H107" i="15"/>
  <c r="E107" i="15"/>
  <c r="F107" i="15" s="1"/>
  <c r="H106" i="15"/>
  <c r="E106" i="15"/>
  <c r="F106" i="15" s="1"/>
  <c r="H105" i="15"/>
  <c r="E105" i="15"/>
  <c r="F105" i="15" s="1"/>
  <c r="H104" i="15"/>
  <c r="E104" i="15"/>
  <c r="F104" i="15" s="1"/>
  <c r="H103" i="15"/>
  <c r="H102" i="15"/>
  <c r="E102" i="15"/>
  <c r="F102" i="15" s="1"/>
  <c r="H101" i="15"/>
  <c r="E101" i="15"/>
  <c r="F101" i="15" s="1"/>
  <c r="H100" i="15"/>
  <c r="E100" i="15"/>
  <c r="F100" i="15" s="1"/>
  <c r="H99" i="15"/>
  <c r="E99" i="15"/>
  <c r="F99" i="15" s="1"/>
  <c r="H98" i="15"/>
  <c r="E98" i="15"/>
  <c r="F98" i="15" s="1"/>
  <c r="H97" i="15"/>
  <c r="E97" i="15"/>
  <c r="F97" i="15" s="1"/>
  <c r="H96" i="15"/>
  <c r="E96" i="15"/>
  <c r="F96" i="15" s="1"/>
  <c r="H95" i="15"/>
  <c r="E95" i="15"/>
  <c r="F95" i="15" s="1"/>
  <c r="H94" i="15"/>
  <c r="E94" i="15"/>
  <c r="F94" i="15" s="1"/>
  <c r="H93" i="15"/>
  <c r="E93" i="15"/>
  <c r="F93" i="15" s="1"/>
  <c r="H92" i="15"/>
  <c r="E92" i="15"/>
  <c r="F92" i="15" s="1"/>
  <c r="H91" i="15"/>
  <c r="E91" i="15"/>
  <c r="F91" i="15" s="1"/>
  <c r="H90" i="15"/>
  <c r="E90" i="15"/>
  <c r="F90" i="15" s="1"/>
  <c r="H89" i="15"/>
  <c r="E89" i="15"/>
  <c r="F89" i="15" s="1"/>
  <c r="H88" i="15"/>
  <c r="E88" i="15"/>
  <c r="F88" i="15" s="1"/>
  <c r="H87" i="15"/>
  <c r="E87" i="15"/>
  <c r="F87" i="15" s="1"/>
  <c r="H86" i="15"/>
  <c r="E86" i="15"/>
  <c r="F86" i="15" s="1"/>
  <c r="H85" i="15"/>
  <c r="E85" i="15"/>
  <c r="F85" i="15" s="1"/>
  <c r="H84" i="15"/>
  <c r="E84" i="15"/>
  <c r="F84" i="15" s="1"/>
  <c r="H83" i="15"/>
  <c r="E83" i="15"/>
  <c r="F83" i="15" s="1"/>
  <c r="H82" i="15"/>
  <c r="E82" i="15"/>
  <c r="F82" i="15" s="1"/>
  <c r="H81" i="15"/>
  <c r="E81" i="15"/>
  <c r="F81" i="15" s="1"/>
  <c r="H80" i="15"/>
  <c r="E80" i="15"/>
  <c r="F80" i="15" s="1"/>
  <c r="H79" i="15"/>
  <c r="E79" i="15"/>
  <c r="F79" i="15" s="1"/>
  <c r="H78" i="15"/>
  <c r="E78" i="15"/>
  <c r="F78" i="15" s="1"/>
  <c r="H77" i="15"/>
  <c r="E77" i="15"/>
  <c r="F77" i="15" s="1"/>
  <c r="H76" i="15"/>
  <c r="E76" i="15"/>
  <c r="F76" i="15" s="1"/>
  <c r="H75" i="15"/>
  <c r="E75" i="15"/>
  <c r="F75" i="15" s="1"/>
  <c r="H74" i="15"/>
  <c r="E74" i="15"/>
  <c r="F74" i="15" s="1"/>
  <c r="H73" i="15"/>
  <c r="E73" i="15"/>
  <c r="F73" i="15" s="1"/>
  <c r="H72" i="15"/>
  <c r="E72" i="15"/>
  <c r="F72" i="15" s="1"/>
  <c r="H71" i="15"/>
  <c r="E71" i="15"/>
  <c r="F71" i="15" s="1"/>
  <c r="H70" i="15"/>
  <c r="E70" i="15"/>
  <c r="F70" i="15" s="1"/>
  <c r="H69" i="15"/>
  <c r="E69" i="15"/>
  <c r="F69" i="15" s="1"/>
  <c r="H68" i="15"/>
  <c r="E68" i="15"/>
  <c r="F68" i="15" s="1"/>
  <c r="H67" i="15"/>
  <c r="E67" i="15"/>
  <c r="F67" i="15" s="1"/>
  <c r="H66" i="15"/>
  <c r="E66" i="15"/>
  <c r="F66" i="15" s="1"/>
  <c r="H65" i="15"/>
  <c r="E65" i="15"/>
  <c r="F65" i="15" s="1"/>
  <c r="H64" i="15"/>
  <c r="E64" i="15"/>
  <c r="F64" i="15" s="1"/>
  <c r="H63" i="15"/>
  <c r="E63" i="15"/>
  <c r="F63" i="15" s="1"/>
  <c r="H62" i="15"/>
  <c r="E62" i="15"/>
  <c r="F62" i="15" s="1"/>
  <c r="H61" i="15"/>
  <c r="E61" i="15"/>
  <c r="F61" i="15" s="1"/>
  <c r="H60" i="15"/>
  <c r="E60" i="15"/>
  <c r="F60" i="15" s="1"/>
  <c r="H59" i="15"/>
  <c r="E59" i="15"/>
  <c r="F59" i="15" s="1"/>
  <c r="H58" i="15"/>
  <c r="E58" i="15"/>
  <c r="F58" i="15" s="1"/>
  <c r="H57" i="15"/>
  <c r="E57" i="15"/>
  <c r="F57" i="15" s="1"/>
  <c r="H56" i="15"/>
  <c r="E56" i="15"/>
  <c r="F56" i="15" s="1"/>
  <c r="H55" i="15"/>
  <c r="E55" i="15"/>
  <c r="F55" i="15" s="1"/>
  <c r="H54" i="15"/>
  <c r="E54" i="15"/>
  <c r="F54" i="15" s="1"/>
  <c r="H53" i="15"/>
  <c r="E53" i="15"/>
  <c r="F53" i="15" s="1"/>
  <c r="H52" i="15"/>
  <c r="E52" i="15"/>
  <c r="F52" i="15" s="1"/>
  <c r="H51" i="15"/>
  <c r="E51" i="15"/>
  <c r="F51" i="15" s="1"/>
  <c r="H50" i="15"/>
  <c r="E50" i="15"/>
  <c r="F50" i="15" s="1"/>
  <c r="H49" i="15"/>
  <c r="E49" i="15"/>
  <c r="F49" i="15" s="1"/>
  <c r="H48" i="15"/>
  <c r="E48" i="15"/>
  <c r="F48" i="15" s="1"/>
  <c r="H47" i="15"/>
  <c r="E47" i="15"/>
  <c r="F47" i="15" s="1"/>
  <c r="H46" i="15"/>
  <c r="E46" i="15"/>
  <c r="F46" i="15" s="1"/>
  <c r="H45" i="15"/>
  <c r="E45" i="15"/>
  <c r="F45" i="15" s="1"/>
  <c r="H44" i="15"/>
  <c r="E44" i="15"/>
  <c r="F44" i="15" s="1"/>
  <c r="H43" i="15"/>
  <c r="E43" i="15"/>
  <c r="F43" i="15" s="1"/>
  <c r="H42" i="15"/>
  <c r="E42" i="15"/>
  <c r="F42" i="15" s="1"/>
  <c r="H41" i="15"/>
  <c r="E41" i="15"/>
  <c r="F41" i="15" s="1"/>
  <c r="H40" i="15"/>
  <c r="E40" i="15"/>
  <c r="F40" i="15" s="1"/>
  <c r="H39" i="15"/>
  <c r="E39" i="15"/>
  <c r="F39" i="15" s="1"/>
  <c r="H38" i="15"/>
  <c r="E38" i="15"/>
  <c r="F38" i="15" s="1"/>
  <c r="H37" i="15"/>
  <c r="E37" i="15"/>
  <c r="F37" i="15" s="1"/>
  <c r="H36" i="15"/>
  <c r="E36" i="15"/>
  <c r="F36" i="15" s="1"/>
  <c r="H35" i="15"/>
  <c r="E35" i="15"/>
  <c r="F35" i="15" s="1"/>
  <c r="H34" i="15"/>
  <c r="E34" i="15"/>
  <c r="F34" i="15" s="1"/>
  <c r="H33" i="15"/>
  <c r="E33" i="15"/>
  <c r="F33" i="15" s="1"/>
  <c r="H32" i="15"/>
  <c r="E32" i="15"/>
  <c r="F32" i="15" s="1"/>
  <c r="H31" i="15"/>
  <c r="E31" i="15"/>
  <c r="F31" i="15" s="1"/>
  <c r="H30" i="15"/>
  <c r="E30" i="15"/>
  <c r="F30" i="15" s="1"/>
  <c r="H29" i="15"/>
  <c r="E29" i="15"/>
  <c r="F29" i="15" s="1"/>
  <c r="H28" i="15"/>
  <c r="E28" i="15"/>
  <c r="F28" i="15" s="1"/>
  <c r="H27" i="15"/>
  <c r="E27" i="15"/>
  <c r="F27" i="15" s="1"/>
  <c r="H26" i="15"/>
  <c r="E26" i="15"/>
  <c r="F26" i="15" s="1"/>
  <c r="H25" i="15"/>
  <c r="E25" i="15"/>
  <c r="F25" i="15" s="1"/>
  <c r="H24" i="15"/>
  <c r="E24" i="15"/>
  <c r="F24" i="15" s="1"/>
  <c r="H23" i="15"/>
  <c r="E23" i="15"/>
  <c r="F23" i="15" s="1"/>
  <c r="H22" i="15"/>
  <c r="E22" i="15"/>
  <c r="F22" i="15" s="1"/>
  <c r="H21" i="15"/>
  <c r="E21" i="15"/>
  <c r="F21" i="15" s="1"/>
  <c r="H20" i="15"/>
  <c r="E20" i="15"/>
  <c r="F20" i="15" s="1"/>
  <c r="H19" i="15"/>
  <c r="E19" i="15"/>
  <c r="F19" i="15" s="1"/>
  <c r="H18" i="15"/>
  <c r="H17" i="15"/>
  <c r="E17" i="15"/>
  <c r="F17" i="15" s="1"/>
  <c r="H16" i="15"/>
  <c r="E16" i="15"/>
  <c r="F16" i="15" s="1"/>
  <c r="H15" i="15"/>
  <c r="E15" i="15"/>
  <c r="F15" i="15" s="1"/>
  <c r="H14" i="15"/>
  <c r="E14" i="15"/>
  <c r="F14" i="15" s="1"/>
  <c r="H13" i="15"/>
  <c r="E13" i="15"/>
  <c r="F13" i="15" s="1"/>
  <c r="H12" i="15"/>
  <c r="E12" i="15"/>
  <c r="F12" i="15" s="1"/>
  <c r="E11" i="15"/>
  <c r="F11" i="15" s="1"/>
  <c r="H10" i="15"/>
  <c r="E10" i="15"/>
  <c r="F10" i="15" s="1"/>
  <c r="E9" i="15"/>
  <c r="F9" i="15" s="1"/>
  <c r="H8" i="15"/>
  <c r="E8" i="15"/>
  <c r="F8" i="15" s="1"/>
  <c r="H7" i="15"/>
  <c r="E7" i="15"/>
  <c r="F7" i="15" s="1"/>
  <c r="H6" i="15"/>
  <c r="E6" i="15"/>
  <c r="F6" i="15" s="1"/>
  <c r="H5" i="15"/>
  <c r="E5" i="15"/>
  <c r="F5" i="15" s="1"/>
  <c r="H4" i="15"/>
  <c r="E4" i="15"/>
  <c r="F4" i="15" s="1"/>
  <c r="H3" i="15"/>
  <c r="E3" i="15"/>
  <c r="F3" i="15" s="1"/>
  <c r="GS6" i="3"/>
  <c r="Q30" i="20" s="1"/>
  <c r="FU6" i="3"/>
  <c r="H38" i="20" s="1"/>
  <c r="FR6" i="3"/>
  <c r="G38" i="20" s="1"/>
  <c r="FC6" i="3"/>
  <c r="I36" i="20" s="1"/>
  <c r="JD6" i="3"/>
  <c r="Q36" i="20" s="1"/>
  <c r="JA6" i="3"/>
  <c r="P36" i="20" s="1"/>
  <c r="IX6" i="3"/>
  <c r="O36" i="20" s="1"/>
  <c r="IU6" i="3"/>
  <c r="N36" i="20" s="1"/>
  <c r="IR6" i="3"/>
  <c r="M36" i="20" s="1"/>
  <c r="IO6" i="3"/>
  <c r="L36" i="20" s="1"/>
  <c r="IL6" i="3"/>
  <c r="K36" i="20" s="1"/>
  <c r="HZ6" i="3"/>
  <c r="N34" i="20" s="1"/>
  <c r="HW6" i="3"/>
  <c r="M34" i="20" s="1"/>
  <c r="HT6" i="3"/>
  <c r="L34" i="20" s="1"/>
  <c r="HQ6" i="3"/>
  <c r="K34" i="20" s="1"/>
  <c r="HN6" i="3"/>
  <c r="Q32" i="20" s="1"/>
  <c r="HK6" i="3"/>
  <c r="P32" i="20" s="1"/>
  <c r="HE6" i="3"/>
  <c r="N32" i="20" s="1"/>
  <c r="HB6" i="3"/>
  <c r="M32" i="20" s="1"/>
  <c r="GY6" i="3"/>
  <c r="L32" i="20" s="1"/>
  <c r="GV6" i="3"/>
  <c r="K32" i="20" s="1"/>
  <c r="GM6" i="3"/>
  <c r="O30" i="20" s="1"/>
  <c r="GJ6" i="3"/>
  <c r="N30" i="20" s="1"/>
  <c r="GG6" i="3"/>
  <c r="M30" i="20" s="1"/>
  <c r="GD6" i="3"/>
  <c r="GA6" i="3"/>
  <c r="C40" i="20" s="1"/>
  <c r="FX6" i="3"/>
  <c r="I38" i="20" s="1"/>
  <c r="FO6" i="3"/>
  <c r="F38" i="20" s="1"/>
  <c r="FL6" i="3"/>
  <c r="E38" i="20" s="1"/>
  <c r="FI6" i="3"/>
  <c r="D38" i="20" s="1"/>
  <c r="FF6" i="3"/>
  <c r="C38" i="20" s="1"/>
  <c r="ET6" i="3"/>
  <c r="F36" i="20" s="1"/>
  <c r="EQ6" i="3"/>
  <c r="E36" i="20" s="1"/>
  <c r="EN6" i="3"/>
  <c r="D36" i="20" s="1"/>
  <c r="EK6" i="3"/>
  <c r="C36" i="20" s="1"/>
  <c r="EE6" i="3"/>
  <c r="H34" i="20" s="1"/>
  <c r="EB6" i="3"/>
  <c r="G34" i="20" s="1"/>
  <c r="DY6" i="3"/>
  <c r="F34" i="20" s="1"/>
  <c r="DV6" i="3"/>
  <c r="E34" i="20" s="1"/>
  <c r="DP6" i="3"/>
  <c r="C34" i="20" s="1"/>
  <c r="DJ6" i="3"/>
  <c r="H32" i="20" s="1"/>
  <c r="DG6" i="3"/>
  <c r="G32" i="20" s="1"/>
  <c r="DD6" i="3"/>
  <c r="F32" i="20" s="1"/>
  <c r="EZ6" i="3"/>
  <c r="H36" i="20" s="1"/>
  <c r="EW6" i="3"/>
  <c r="G36" i="20" s="1"/>
  <c r="DA6" i="3"/>
  <c r="E32" i="20" s="1"/>
  <c r="CX6" i="3"/>
  <c r="D32" i="20" s="1"/>
  <c r="CR6" i="3"/>
  <c r="CI6" i="3"/>
  <c r="CF6" i="3"/>
  <c r="BZ6" i="3"/>
  <c r="DS6" i="3"/>
  <c r="D34" i="20" s="1"/>
  <c r="U4" i="3" l="1"/>
  <c r="AJ4" i="3"/>
  <c r="CC4" i="3"/>
  <c r="CR4" i="3"/>
  <c r="FO5" i="3"/>
  <c r="FO61" i="3" s="1"/>
  <c r="GS5" i="3"/>
  <c r="GS61" i="3" s="1"/>
  <c r="X4" i="3"/>
  <c r="AM5" i="3"/>
  <c r="AM61" i="3" s="1"/>
  <c r="BB4" i="3"/>
  <c r="CF5" i="3"/>
  <c r="CU4" i="3"/>
  <c r="DJ4" i="3"/>
  <c r="FC5" i="3"/>
  <c r="GG4" i="3"/>
  <c r="GV4" i="3"/>
  <c r="HK5" i="3"/>
  <c r="HQ4" i="3"/>
  <c r="R4" i="3"/>
  <c r="AV5" i="3"/>
  <c r="AV61" i="3" s="1"/>
  <c r="BK5" i="3"/>
  <c r="BK61" i="3" s="1"/>
  <c r="HE5" i="3"/>
  <c r="AMO17" i="3"/>
  <c r="ANS17" i="3"/>
  <c r="AOW17" i="3"/>
  <c r="AQA17" i="3"/>
  <c r="ARE17" i="3"/>
  <c r="ASI17" i="3"/>
  <c r="ATM17" i="3"/>
  <c r="AUQ17" i="3"/>
  <c r="AVU17" i="3"/>
  <c r="AWY17" i="3"/>
  <c r="AYC17" i="3"/>
  <c r="AZG17" i="3"/>
  <c r="ALZ17" i="3"/>
  <c r="AND17" i="3"/>
  <c r="AOH17" i="3"/>
  <c r="APL17" i="3"/>
  <c r="AQP17" i="3"/>
  <c r="ART17" i="3"/>
  <c r="ASX17" i="3"/>
  <c r="AUB17" i="3"/>
  <c r="AVF17" i="3"/>
  <c r="AWJ17" i="3"/>
  <c r="AXN17" i="3"/>
  <c r="AYR17" i="3"/>
  <c r="AZV17" i="3"/>
  <c r="DG4" i="3"/>
  <c r="JJ4" i="3"/>
  <c r="BQ4" i="3"/>
  <c r="DY4" i="3"/>
  <c r="EN5" i="3"/>
  <c r="FC4" i="3"/>
  <c r="AD4" i="3"/>
  <c r="BH4" i="3"/>
  <c r="CL4" i="3"/>
  <c r="DP4" i="3"/>
  <c r="GY4" i="3"/>
  <c r="HZ5" i="3"/>
  <c r="IO4" i="3"/>
  <c r="CO5" i="3"/>
  <c r="DD5" i="3"/>
  <c r="DD61" i="3" s="1"/>
  <c r="AG5" i="3"/>
  <c r="AG61" i="3" s="1"/>
  <c r="AV4" i="3"/>
  <c r="FO4" i="3"/>
  <c r="GP5" i="3"/>
  <c r="IF4" i="3"/>
  <c r="JG4" i="3"/>
  <c r="BW4" i="3"/>
  <c r="AY4" i="3"/>
  <c r="DA4" i="3"/>
  <c r="EQ4" i="3"/>
  <c r="FR4" i="3"/>
  <c r="JJ5" i="3"/>
  <c r="FF4" i="3"/>
  <c r="O4" i="3"/>
  <c r="BE4" i="3"/>
  <c r="BQ5" i="3"/>
  <c r="BQ61" i="3" s="1"/>
  <c r="CF4" i="3"/>
  <c r="FI4" i="3"/>
  <c r="FX4" i="3"/>
  <c r="GJ4" i="3"/>
  <c r="JS4" i="3"/>
  <c r="BT4" i="3"/>
  <c r="DV4" i="3"/>
  <c r="EK4" i="3"/>
  <c r="GA5" i="3"/>
  <c r="GA61" i="3" s="1"/>
  <c r="IR4" i="3"/>
  <c r="AMR17" i="3"/>
  <c r="ANV17" i="3"/>
  <c r="AOZ17" i="3"/>
  <c r="AQD17" i="3"/>
  <c r="ARH17" i="3"/>
  <c r="ASL17" i="3"/>
  <c r="ATP17" i="3"/>
  <c r="AUT17" i="3"/>
  <c r="AVX17" i="3"/>
  <c r="BZ5" i="3"/>
  <c r="BZ61" i="3" s="1"/>
  <c r="CX4" i="3"/>
  <c r="DJ5" i="3"/>
  <c r="DJ61" i="3" s="1"/>
  <c r="FU4" i="3"/>
  <c r="GG5" i="3"/>
  <c r="GG61" i="3" s="1"/>
  <c r="HT5" i="3"/>
  <c r="HT61" i="3" s="1"/>
  <c r="JD5" i="3"/>
  <c r="EB4" i="3"/>
  <c r="GM4" i="3"/>
  <c r="R5" i="3"/>
  <c r="R61" i="3" s="1"/>
  <c r="AP4" i="3"/>
  <c r="BN4" i="3"/>
  <c r="CL5" i="3"/>
  <c r="CL61" i="3" s="1"/>
  <c r="EK5" i="3"/>
  <c r="EW5" i="3"/>
  <c r="EW61" i="3" s="1"/>
  <c r="HH4" i="3"/>
  <c r="IF5" i="3"/>
  <c r="IF61" i="3" s="1"/>
  <c r="AMX17" i="3"/>
  <c r="AOB17" i="3"/>
  <c r="APF17" i="3"/>
  <c r="AQJ17" i="3"/>
  <c r="ARN17" i="3"/>
  <c r="ASR17" i="3"/>
  <c r="ATV17" i="3"/>
  <c r="AUZ17" i="3"/>
  <c r="AWD17" i="3"/>
  <c r="AXH17" i="3"/>
  <c r="AYL17" i="3"/>
  <c r="AZP17" i="3"/>
  <c r="JM4" i="3"/>
  <c r="AD5" i="3"/>
  <c r="AD61" i="3" s="1"/>
  <c r="BB5" i="3"/>
  <c r="BB61" i="3" s="1"/>
  <c r="DM4" i="3"/>
  <c r="DY5" i="3"/>
  <c r="DY61" i="3" s="1"/>
  <c r="FL5" i="3"/>
  <c r="FL61" i="3" s="1"/>
  <c r="GV5" i="3"/>
  <c r="GV61" i="3" s="1"/>
  <c r="EN4" i="3"/>
  <c r="EZ4" i="3"/>
  <c r="FX5" i="3"/>
  <c r="FX61" i="3" s="1"/>
  <c r="HK4" i="3"/>
  <c r="HW5" i="3"/>
  <c r="HW61" i="3" s="1"/>
  <c r="II5" i="3"/>
  <c r="II61" i="3" s="1"/>
  <c r="IU4" i="3"/>
  <c r="AS4" i="3"/>
  <c r="AMC17" i="3"/>
  <c r="ANG17" i="3"/>
  <c r="AOK17" i="3"/>
  <c r="APO17" i="3"/>
  <c r="AQS17" i="3"/>
  <c r="ARW17" i="3"/>
  <c r="ATA17" i="3"/>
  <c r="AUE17" i="3"/>
  <c r="AVI17" i="3"/>
  <c r="AWM17" i="3"/>
  <c r="AXQ17" i="3"/>
  <c r="AYU17" i="3"/>
  <c r="AZY17" i="3"/>
  <c r="L4" i="3"/>
  <c r="X5" i="3"/>
  <c r="X61" i="3" s="1"/>
  <c r="BH5" i="3"/>
  <c r="BH61" i="3" s="1"/>
  <c r="DS5" i="3"/>
  <c r="DS61" i="3" s="1"/>
  <c r="EE4" i="3"/>
  <c r="GD4" i="3"/>
  <c r="HB5" i="3"/>
  <c r="HB61" i="3" s="1"/>
  <c r="HN4" i="3"/>
  <c r="JA5" i="3"/>
  <c r="JP5" i="3"/>
  <c r="AM4" i="3"/>
  <c r="CI4" i="3"/>
  <c r="CU5" i="3"/>
  <c r="CU61" i="3" s="1"/>
  <c r="EH5" i="3"/>
  <c r="EH61" i="3" s="1"/>
  <c r="ET4" i="3"/>
  <c r="FR5" i="3"/>
  <c r="FR61" i="3" s="1"/>
  <c r="GS4" i="3"/>
  <c r="IC4" i="3"/>
  <c r="IO5" i="3"/>
  <c r="IO61" i="3" s="1"/>
  <c r="AXB17" i="3"/>
  <c r="AYF17" i="3"/>
  <c r="AZJ17" i="3"/>
  <c r="U5" i="3"/>
  <c r="U61" i="3" s="1"/>
  <c r="AY5" i="3"/>
  <c r="AY61" i="3" s="1"/>
  <c r="CC5" i="3"/>
  <c r="CC61" i="3" s="1"/>
  <c r="DG5" i="3"/>
  <c r="DG61" i="3" s="1"/>
  <c r="AMF17" i="3"/>
  <c r="ANJ17" i="3"/>
  <c r="AON17" i="3"/>
  <c r="APR17" i="3"/>
  <c r="AQV17" i="3"/>
  <c r="ARZ17" i="3"/>
  <c r="ATD17" i="3"/>
  <c r="AUH17" i="3"/>
  <c r="AVL17" i="3"/>
  <c r="AWP17" i="3"/>
  <c r="AXT17" i="3"/>
  <c r="AYX17" i="3"/>
  <c r="BAB17" i="3"/>
  <c r="AG4" i="3"/>
  <c r="AP5" i="3"/>
  <c r="AP61" i="3" s="1"/>
  <c r="BK4" i="3"/>
  <c r="BT5" i="3"/>
  <c r="BT61" i="3" s="1"/>
  <c r="CO4" i="3"/>
  <c r="CX5" i="3"/>
  <c r="CX61" i="3" s="1"/>
  <c r="DS4" i="3"/>
  <c r="EB5" i="3"/>
  <c r="EB61" i="3" s="1"/>
  <c r="EW4" i="3"/>
  <c r="FF5" i="3"/>
  <c r="FF61" i="3" s="1"/>
  <c r="GA4" i="3"/>
  <c r="GJ5" i="3"/>
  <c r="GJ61" i="3" s="1"/>
  <c r="HE4" i="3"/>
  <c r="HN5" i="3"/>
  <c r="II4" i="3"/>
  <c r="IR5" i="3"/>
  <c r="IR61" i="3" s="1"/>
  <c r="JP4" i="3"/>
  <c r="O5" i="3"/>
  <c r="O61" i="3" s="1"/>
  <c r="AS5" i="3"/>
  <c r="AS61" i="3" s="1"/>
  <c r="BW5" i="3"/>
  <c r="BW61" i="3" s="1"/>
  <c r="DA5" i="3"/>
  <c r="DA61" i="3" s="1"/>
  <c r="EE5" i="3"/>
  <c r="EE61" i="3" s="1"/>
  <c r="FI5" i="3"/>
  <c r="FI61" i="3" s="1"/>
  <c r="GM5" i="3"/>
  <c r="GM61" i="3" s="1"/>
  <c r="HQ5" i="3"/>
  <c r="HQ61" i="3" s="1"/>
  <c r="IU5" i="3"/>
  <c r="IU61" i="3" s="1"/>
  <c r="AA4" i="3"/>
  <c r="AJ5" i="3"/>
  <c r="AJ61" i="3" s="1"/>
  <c r="BN5" i="3"/>
  <c r="BN61" i="3" s="1"/>
  <c r="CR5" i="3"/>
  <c r="CR61" i="3" s="1"/>
  <c r="DV5" i="3"/>
  <c r="DV61" i="3" s="1"/>
  <c r="EZ5" i="3"/>
  <c r="EZ61" i="3" s="1"/>
  <c r="GD5" i="3"/>
  <c r="GD61" i="3" s="1"/>
  <c r="HH5" i="3"/>
  <c r="HH61" i="3" s="1"/>
  <c r="IL5" i="3"/>
  <c r="IL61" i="3" s="1"/>
  <c r="JS5" i="3"/>
  <c r="JS61" i="3" s="1"/>
  <c r="AMU17" i="3"/>
  <c r="ANY17" i="3"/>
  <c r="APC17" i="3"/>
  <c r="AQG17" i="3"/>
  <c r="ARK17" i="3"/>
  <c r="ASO17" i="3"/>
  <c r="ATS17" i="3"/>
  <c r="AUW17" i="3"/>
  <c r="AWA17" i="3"/>
  <c r="AXE17" i="3"/>
  <c r="AYI17" i="3"/>
  <c r="AZM17" i="3"/>
  <c r="BZ4" i="3"/>
  <c r="CI5" i="3"/>
  <c r="CI61" i="3" s="1"/>
  <c r="DD4" i="3"/>
  <c r="DM5" i="3"/>
  <c r="EH4" i="3"/>
  <c r="EQ5" i="3"/>
  <c r="FL4" i="3"/>
  <c r="FU5" i="3"/>
  <c r="FU61" i="3" s="1"/>
  <c r="GP4" i="3"/>
  <c r="GY5" i="3"/>
  <c r="GY61" i="3" s="1"/>
  <c r="HT4" i="3"/>
  <c r="IC5" i="3"/>
  <c r="IC61" i="3" s="1"/>
  <c r="IX4" i="3"/>
  <c r="JG5" i="3"/>
  <c r="JG61" i="3" s="1"/>
  <c r="AO64" i="18"/>
  <c r="DE31" i="20"/>
  <c r="DE33" i="20"/>
  <c r="DE35" i="20"/>
  <c r="DE37" i="20"/>
  <c r="BI9" i="20"/>
  <c r="BJ9" i="20" s="1"/>
  <c r="BK9" i="20" s="1"/>
  <c r="BL9" i="20" s="1"/>
  <c r="BM9" i="20" s="1"/>
  <c r="BL21" i="20"/>
  <c r="BD21" i="20"/>
  <c r="AO116" i="18"/>
  <c r="AO79" i="18"/>
  <c r="CW31" i="20"/>
  <c r="CW33" i="20"/>
  <c r="CW35" i="20"/>
  <c r="CW37" i="20"/>
  <c r="AN64" i="18"/>
  <c r="AB73" i="18" a="1"/>
  <c r="AB73" i="18" s="1"/>
  <c r="AN73" i="18" a="1"/>
  <c r="AN73" i="18" s="1"/>
  <c r="K1466" i="26"/>
  <c r="K1417" i="26"/>
  <c r="K1360" i="26"/>
  <c r="K1323" i="26"/>
  <c r="K1276" i="26"/>
  <c r="K1135" i="26"/>
  <c r="K1309" i="26"/>
  <c r="K1465" i="26"/>
  <c r="K1432" i="26"/>
  <c r="K1392" i="26"/>
  <c r="K1335" i="26"/>
  <c r="K1277" i="26"/>
  <c r="K1464" i="26"/>
  <c r="K1431" i="26"/>
  <c r="K1376" i="26"/>
  <c r="K1321" i="26"/>
  <c r="K1254" i="26"/>
  <c r="K1456" i="26"/>
  <c r="K1416" i="26"/>
  <c r="K1359" i="26"/>
  <c r="K1320" i="26"/>
  <c r="K1255" i="26"/>
  <c r="K1463" i="26"/>
  <c r="K1437" i="26"/>
  <c r="K1391" i="26"/>
  <c r="K1319" i="26"/>
  <c r="K1265" i="26"/>
  <c r="K1473" i="26"/>
  <c r="K1415" i="26"/>
  <c r="K1375" i="26"/>
  <c r="K1334" i="26"/>
  <c r="K1266" i="26"/>
  <c r="K1462" i="26"/>
  <c r="K1436" i="26"/>
  <c r="K1390" i="26"/>
  <c r="K1341" i="26"/>
  <c r="K1267" i="26"/>
  <c r="K1484" i="26"/>
  <c r="K1414" i="26"/>
  <c r="K1374" i="26"/>
  <c r="K1347" i="26"/>
  <c r="K1256" i="26"/>
  <c r="K1493" i="26"/>
  <c r="K1430" i="26"/>
  <c r="K1373" i="26"/>
  <c r="K1340" i="26"/>
  <c r="K1268" i="26"/>
  <c r="K1492" i="26"/>
  <c r="K1451" i="26"/>
  <c r="K1405" i="26"/>
  <c r="K1318" i="26"/>
  <c r="K1278" i="26"/>
  <c r="K1455" i="26"/>
  <c r="K1429" i="26"/>
  <c r="K1372" i="26"/>
  <c r="K1333" i="26"/>
  <c r="K1257" i="26"/>
  <c r="K1483" i="26"/>
  <c r="K1413" i="26"/>
  <c r="K1389" i="26"/>
  <c r="K1332" i="26"/>
  <c r="K1284" i="26"/>
  <c r="K1489" i="26"/>
  <c r="K1435" i="26"/>
  <c r="K1388" i="26"/>
  <c r="K1339" i="26"/>
  <c r="K1285" i="26"/>
  <c r="K1502" i="26"/>
  <c r="K1404" i="26"/>
  <c r="K1357" i="26"/>
  <c r="K1293" i="26"/>
  <c r="K1501" i="26"/>
  <c r="K1403" i="26"/>
  <c r="K1356" i="26"/>
  <c r="K1286" i="26"/>
  <c r="K1488" i="26"/>
  <c r="K1412" i="26"/>
  <c r="K1402" i="26"/>
  <c r="K1331" i="26"/>
  <c r="K1279" i="26"/>
  <c r="K1249" i="26"/>
  <c r="K1487" i="26"/>
  <c r="K1434" i="26"/>
  <c r="K1387" i="26"/>
  <c r="K1346" i="26"/>
  <c r="K1294" i="26"/>
  <c r="K1454" i="26"/>
  <c r="K1427" i="26"/>
  <c r="K1401" i="26"/>
  <c r="K1317" i="26"/>
  <c r="K1258" i="26"/>
  <c r="K1472" i="26"/>
  <c r="K1426" i="26"/>
  <c r="K1370" i="26"/>
  <c r="K1355" i="26"/>
  <c r="K1287" i="26"/>
  <c r="K1481" i="26"/>
  <c r="K1433" i="26"/>
  <c r="K1369" i="26"/>
  <c r="K1354" i="26"/>
  <c r="K1281" i="26"/>
  <c r="K1499" i="26"/>
  <c r="K1425" i="26"/>
  <c r="K1368" i="26"/>
  <c r="K1338" i="26"/>
  <c r="K1282" i="26"/>
  <c r="K1480" i="26"/>
  <c r="K1440" i="26"/>
  <c r="K1386" i="26"/>
  <c r="K1329" i="26"/>
  <c r="K1253" i="26"/>
  <c r="K1461" i="26"/>
  <c r="K1411" i="26"/>
  <c r="K1400" i="26"/>
  <c r="K1328" i="26"/>
  <c r="K1269" i="26"/>
  <c r="K1479" i="26"/>
  <c r="K1452" i="26"/>
  <c r="K1399" i="26"/>
  <c r="K1345" i="26"/>
  <c r="K1288" i="26"/>
  <c r="K1460" i="26"/>
  <c r="K1410" i="26"/>
  <c r="K1367" i="26"/>
  <c r="K1316" i="26"/>
  <c r="K1259" i="26"/>
  <c r="K1496" i="26"/>
  <c r="K1397" i="26"/>
  <c r="K1289" i="26"/>
  <c r="K1495" i="26"/>
  <c r="K1409" i="26"/>
  <c r="K1385" i="26"/>
  <c r="K1351" i="26"/>
  <c r="K1260" i="26"/>
  <c r="K1471" i="26"/>
  <c r="K1441" i="26"/>
  <c r="K1396" i="26"/>
  <c r="K1350" i="26"/>
  <c r="K1395" i="26"/>
  <c r="K1349" i="26"/>
  <c r="K1470" i="26"/>
  <c r="K1408" i="26"/>
  <c r="K1366" i="26"/>
  <c r="K1327" i="26"/>
  <c r="K1270" i="26"/>
  <c r="K1424" i="26"/>
  <c r="K1365" i="26"/>
  <c r="K1343" i="26"/>
  <c r="K1283" i="26"/>
  <c r="K1477" i="26"/>
  <c r="K1407" i="26"/>
  <c r="K1364" i="26"/>
  <c r="K1315" i="26"/>
  <c r="K1261" i="26"/>
  <c r="K1453" i="26"/>
  <c r="K1423" i="26"/>
  <c r="K1363" i="26"/>
  <c r="K1314" i="26"/>
  <c r="K1262" i="26"/>
  <c r="K1469" i="26"/>
  <c r="K1445" i="26"/>
  <c r="K1383" i="26"/>
  <c r="K1342" i="26"/>
  <c r="K1271" i="26"/>
  <c r="K1476" i="26"/>
  <c r="K1422" i="26"/>
  <c r="K1382" i="26"/>
  <c r="K1313" i="26"/>
  <c r="K1272" i="26"/>
  <c r="K1486" i="26"/>
  <c r="K1394" i="26"/>
  <c r="K1348" i="26"/>
  <c r="K1306" i="26"/>
  <c r="K1468" i="26"/>
  <c r="K1439" i="26"/>
  <c r="K1362" i="26"/>
  <c r="K1326" i="26"/>
  <c r="K1273" i="26"/>
  <c r="K1467" i="26"/>
  <c r="K1421" i="26"/>
  <c r="K1393" i="26"/>
  <c r="K1337" i="26"/>
  <c r="K1296" i="26"/>
  <c r="K1459" i="26"/>
  <c r="K1420" i="26"/>
  <c r="K1381" i="26"/>
  <c r="K1310" i="26"/>
  <c r="K1274" i="26"/>
  <c r="K1458" i="26"/>
  <c r="K1361" i="26"/>
  <c r="K1312" i="26"/>
  <c r="K1263" i="26"/>
  <c r="K1457" i="26"/>
  <c r="K1419" i="26"/>
  <c r="K1380" i="26"/>
  <c r="K1311" i="26"/>
  <c r="K1264" i="26"/>
  <c r="K1475" i="26"/>
  <c r="K1418" i="26"/>
  <c r="K1379" i="26"/>
  <c r="K1325" i="26"/>
  <c r="K1290" i="26"/>
  <c r="K1474" i="26"/>
  <c r="K1438" i="26"/>
  <c r="K1378" i="26"/>
  <c r="K1336" i="26"/>
  <c r="K1275" i="26"/>
  <c r="K1443" i="26"/>
  <c r="K1324" i="26"/>
  <c r="K1297" i="26"/>
  <c r="K1478" i="26"/>
  <c r="K1444" i="26"/>
  <c r="K1352" i="26"/>
  <c r="K1482" i="26"/>
  <c r="K1428" i="26"/>
  <c r="K1371" i="26"/>
  <c r="K1330" i="26"/>
  <c r="K1280" i="26"/>
  <c r="K1490" i="26"/>
  <c r="K1450" i="26"/>
  <c r="K1300" i="26"/>
  <c r="K1406" i="26"/>
  <c r="K1358" i="26"/>
  <c r="K1292" i="26"/>
  <c r="K1446" i="26"/>
  <c r="K1384" i="26"/>
  <c r="K1344" i="26"/>
  <c r="K1494" i="26"/>
  <c r="K1447" i="26"/>
  <c r="K1305" i="26"/>
  <c r="K1497" i="26"/>
  <c r="K1448" i="26"/>
  <c r="K1303" i="26"/>
  <c r="K1485" i="26"/>
  <c r="K1442" i="26"/>
  <c r="K1377" i="26"/>
  <c r="K1322" i="26"/>
  <c r="K1291" i="26"/>
  <c r="K1498" i="26"/>
  <c r="K1449" i="26"/>
  <c r="K1353" i="26"/>
  <c r="BC196" i="18"/>
  <c r="AD64" i="18"/>
  <c r="K825" i="26"/>
  <c r="K1220" i="26"/>
  <c r="K1154" i="26"/>
  <c r="K1099" i="26"/>
  <c r="K1072" i="26"/>
  <c r="K901" i="26"/>
  <c r="K833" i="26"/>
  <c r="K1199" i="26"/>
  <c r="K1176" i="26"/>
  <c r="K1118" i="26"/>
  <c r="K1065" i="26"/>
  <c r="K1011" i="26"/>
  <c r="K954" i="26"/>
  <c r="K900" i="26"/>
  <c r="K832" i="26"/>
  <c r="K1219" i="26"/>
  <c r="K1153" i="26"/>
  <c r="K1098" i="26"/>
  <c r="K1064" i="26"/>
  <c r="K999" i="26"/>
  <c r="K953" i="26"/>
  <c r="K899" i="26"/>
  <c r="K857" i="26"/>
  <c r="K1214" i="26"/>
  <c r="K1152" i="26"/>
  <c r="K1097" i="26"/>
  <c r="K1063" i="26"/>
  <c r="K1010" i="26"/>
  <c r="K934" i="26"/>
  <c r="K898" i="26"/>
  <c r="K847" i="26"/>
  <c r="K1218" i="26"/>
  <c r="K1151" i="26"/>
  <c r="K1117" i="26"/>
  <c r="K1049" i="26"/>
  <c r="K998" i="26"/>
  <c r="K952" i="26"/>
  <c r="K897" i="26"/>
  <c r="K831" i="26"/>
  <c r="K1213" i="26"/>
  <c r="K1166" i="26"/>
  <c r="K1126" i="26"/>
  <c r="K1048" i="26"/>
  <c r="K997" i="26"/>
  <c r="K941" i="26"/>
  <c r="K896" i="26"/>
  <c r="K830" i="26"/>
  <c r="K1217" i="26"/>
  <c r="K1175" i="26"/>
  <c r="K1096" i="26"/>
  <c r="K1062" i="26"/>
  <c r="K996" i="26"/>
  <c r="K951" i="26"/>
  <c r="K913" i="26"/>
  <c r="K867" i="26"/>
  <c r="K824" i="26"/>
  <c r="K1237" i="26"/>
  <c r="K1150" i="26"/>
  <c r="K1116" i="26"/>
  <c r="K1061" i="26"/>
  <c r="K995" i="26"/>
  <c r="K974" i="26"/>
  <c r="K887" i="26"/>
  <c r="K823" i="26"/>
  <c r="K1227" i="26"/>
  <c r="K1165" i="26"/>
  <c r="K1144" i="26"/>
  <c r="K1047" i="26"/>
  <c r="K994" i="26"/>
  <c r="K940" i="26"/>
  <c r="K886" i="26"/>
  <c r="K829" i="26"/>
  <c r="K1236" i="26"/>
  <c r="K1164" i="26"/>
  <c r="K1115" i="26"/>
  <c r="K1046" i="26"/>
  <c r="K993" i="26"/>
  <c r="K950" i="26"/>
  <c r="K912" i="26"/>
  <c r="K856" i="26"/>
  <c r="K1235" i="26"/>
  <c r="K1174" i="26"/>
  <c r="K1134" i="26"/>
  <c r="K1071" i="26"/>
  <c r="K1009" i="26"/>
  <c r="K973" i="26"/>
  <c r="K924" i="26"/>
  <c r="K866" i="26"/>
  <c r="K1212" i="26"/>
  <c r="K1149" i="26"/>
  <c r="K1114" i="26"/>
  <c r="K1060" i="26"/>
  <c r="K1024" i="26"/>
  <c r="K939" i="26"/>
  <c r="K895" i="26"/>
  <c r="K1252" i="26"/>
  <c r="K1190" i="26"/>
  <c r="K1125" i="26"/>
  <c r="K882" i="26"/>
  <c r="K845" i="26"/>
  <c r="K1211" i="26"/>
  <c r="K1184" i="26"/>
  <c r="K1124" i="26"/>
  <c r="K1078" i="26"/>
  <c r="K1023" i="26"/>
  <c r="K966" i="26"/>
  <c r="K911" i="26"/>
  <c r="K871" i="26"/>
  <c r="K864" i="26"/>
  <c r="K1251" i="26"/>
  <c r="K1183" i="26"/>
  <c r="K1123" i="26"/>
  <c r="K1083" i="26"/>
  <c r="K1036" i="26"/>
  <c r="K972" i="26"/>
  <c r="K920" i="26"/>
  <c r="K863" i="26"/>
  <c r="K1250" i="26"/>
  <c r="K1077" i="26"/>
  <c r="K1028" i="26"/>
  <c r="K923" i="26"/>
  <c r="K844" i="26"/>
  <c r="K1210" i="26"/>
  <c r="K1163" i="26"/>
  <c r="K1113" i="26"/>
  <c r="K1070" i="26"/>
  <c r="K992" i="26"/>
  <c r="K938" i="26"/>
  <c r="K910" i="26"/>
  <c r="K1081" i="26"/>
  <c r="K983" i="26"/>
  <c r="K821" i="26"/>
  <c r="K1209" i="26"/>
  <c r="K1148" i="26"/>
  <c r="K1111" i="26"/>
  <c r="K1076" i="26"/>
  <c r="K1008" i="26"/>
  <c r="K970" i="26"/>
  <c r="K884" i="26"/>
  <c r="K843" i="26"/>
  <c r="K1234" i="26"/>
  <c r="K1162" i="26"/>
  <c r="K1110" i="26"/>
  <c r="K1044" i="26"/>
  <c r="K1007" i="26"/>
  <c r="K964" i="26"/>
  <c r="K909" i="26"/>
  <c r="K1225" i="26"/>
  <c r="K1172" i="26"/>
  <c r="K1132" i="26"/>
  <c r="K1075" i="26"/>
  <c r="K1006" i="26"/>
  <c r="K963" i="26"/>
  <c r="K894" i="26"/>
  <c r="K862" i="26"/>
  <c r="K819" i="26"/>
  <c r="K1216" i="26"/>
  <c r="K1161" i="26"/>
  <c r="K1109" i="26"/>
  <c r="K1043" i="26"/>
  <c r="K1022" i="26"/>
  <c r="K962" i="26"/>
  <c r="K893" i="26"/>
  <c r="K869" i="26"/>
  <c r="K1208" i="26"/>
  <c r="K1171" i="26"/>
  <c r="K1131" i="26"/>
  <c r="K1059" i="26"/>
  <c r="K1021" i="26"/>
  <c r="K855" i="26"/>
  <c r="K1233" i="26"/>
  <c r="K1160" i="26"/>
  <c r="K1108" i="26"/>
  <c r="K1058" i="26"/>
  <c r="K990" i="26"/>
  <c r="K949" i="26"/>
  <c r="K908" i="26"/>
  <c r="K1189" i="26"/>
  <c r="K1130" i="26"/>
  <c r="K1080" i="26"/>
  <c r="K981" i="26"/>
  <c r="K930" i="26"/>
  <c r="K877" i="26"/>
  <c r="K980" i="26"/>
  <c r="K876" i="26"/>
  <c r="K1196" i="26"/>
  <c r="K1122" i="26"/>
  <c r="K979" i="26"/>
  <c r="K875" i="26"/>
  <c r="K842" i="26"/>
  <c r="K1207" i="26"/>
  <c r="K1159" i="26"/>
  <c r="K1107" i="26"/>
  <c r="K1042" i="26"/>
  <c r="K989" i="26"/>
  <c r="K937" i="26"/>
  <c r="K892" i="26"/>
  <c r="K854" i="26"/>
  <c r="K1206" i="26"/>
  <c r="K1181" i="26"/>
  <c r="K1106" i="26"/>
  <c r="K1041" i="26"/>
  <c r="K1015" i="26"/>
  <c r="K961" i="26"/>
  <c r="K919" i="26"/>
  <c r="K828" i="26"/>
  <c r="K1232" i="26"/>
  <c r="K1170" i="26"/>
  <c r="K1095" i="26"/>
  <c r="K1057" i="26"/>
  <c r="K988" i="26"/>
  <c r="K959" i="26"/>
  <c r="K891" i="26"/>
  <c r="K861" i="26"/>
  <c r="K1231" i="26"/>
  <c r="K1180" i="26"/>
  <c r="K1139" i="26"/>
  <c r="K929" i="26"/>
  <c r="K860" i="26"/>
  <c r="K1194" i="26"/>
  <c r="K978" i="26"/>
  <c r="K928" i="26"/>
  <c r="K853" i="26"/>
  <c r="K1205" i="26"/>
  <c r="K1158" i="26"/>
  <c r="K1094" i="26"/>
  <c r="K1040" i="26"/>
  <c r="K1005" i="26"/>
  <c r="K936" i="26"/>
  <c r="K890" i="26"/>
  <c r="K852" i="26"/>
  <c r="K1230" i="26"/>
  <c r="K1187" i="26"/>
  <c r="K1105" i="26"/>
  <c r="K1069" i="26"/>
  <c r="K1013" i="26"/>
  <c r="K948" i="26"/>
  <c r="K918" i="26"/>
  <c r="K868" i="26"/>
  <c r="K827" i="26"/>
  <c r="K1204" i="26"/>
  <c r="K1157" i="26"/>
  <c r="K1093" i="26"/>
  <c r="K1068" i="26"/>
  <c r="K1004" i="26"/>
  <c r="K947" i="26"/>
  <c r="K889" i="26"/>
  <c r="K840" i="26"/>
  <c r="K1203" i="26"/>
  <c r="K1169" i="26"/>
  <c r="K1090" i="26"/>
  <c r="K1039" i="26"/>
  <c r="K987" i="26"/>
  <c r="K946" i="26"/>
  <c r="K906" i="26"/>
  <c r="K859" i="26"/>
  <c r="K1224" i="26"/>
  <c r="K1186" i="26"/>
  <c r="K1120" i="26"/>
  <c r="K1056" i="26"/>
  <c r="K1019" i="26"/>
  <c r="K977" i="26"/>
  <c r="K922" i="26"/>
  <c r="K872" i="26"/>
  <c r="K839" i="26"/>
  <c r="K1223" i="26"/>
  <c r="K1147" i="26"/>
  <c r="K1092" i="26"/>
  <c r="K1067" i="26"/>
  <c r="K986" i="26"/>
  <c r="K958" i="26"/>
  <c r="K905" i="26"/>
  <c r="K851" i="26"/>
  <c r="K1168" i="26"/>
  <c r="K1129" i="26"/>
  <c r="K1079" i="26"/>
  <c r="K1018" i="26"/>
  <c r="K945" i="26"/>
  <c r="K921" i="26"/>
  <c r="K858" i="26"/>
  <c r="K1241" i="26"/>
  <c r="K926" i="26"/>
  <c r="K850" i="26"/>
  <c r="K1222" i="26"/>
  <c r="K1179" i="26"/>
  <c r="K1128" i="26"/>
  <c r="K1055" i="26"/>
  <c r="K1012" i="26"/>
  <c r="K944" i="26"/>
  <c r="K917" i="26"/>
  <c r="K849" i="26"/>
  <c r="K1239" i="26"/>
  <c r="K1167" i="26"/>
  <c r="K1104" i="26"/>
  <c r="K1066" i="26"/>
  <c r="K1026" i="26"/>
  <c r="K957" i="26"/>
  <c r="K916" i="26"/>
  <c r="K838" i="26"/>
  <c r="K1202" i="26"/>
  <c r="K1145" i="26"/>
  <c r="K1103" i="26"/>
  <c r="K1054" i="26"/>
  <c r="K1003" i="26"/>
  <c r="K943" i="26"/>
  <c r="K904" i="26"/>
  <c r="K1085" i="26"/>
  <c r="K976" i="26"/>
  <c r="K1229" i="26"/>
  <c r="K1185" i="26"/>
  <c r="K1136" i="26"/>
  <c r="K1053" i="26"/>
  <c r="K1017" i="26"/>
  <c r="K956" i="26"/>
  <c r="K925" i="26"/>
  <c r="K826" i="26"/>
  <c r="K1201" i="26"/>
  <c r="K1156" i="26"/>
  <c r="K1102" i="26"/>
  <c r="K1038" i="26"/>
  <c r="K1002" i="26"/>
  <c r="K935" i="26"/>
  <c r="K888" i="26"/>
  <c r="K837" i="26"/>
  <c r="K1200" i="26"/>
  <c r="K1146" i="26"/>
  <c r="K1091" i="26"/>
  <c r="K1052" i="26"/>
  <c r="K985" i="26"/>
  <c r="K942" i="26"/>
  <c r="K883" i="26"/>
  <c r="K836" i="26"/>
  <c r="K1228" i="26"/>
  <c r="K1178" i="26"/>
  <c r="K1119" i="26"/>
  <c r="K1051" i="26"/>
  <c r="K1016" i="26"/>
  <c r="K969" i="26"/>
  <c r="K903" i="26"/>
  <c r="K835" i="26"/>
  <c r="K1215" i="26"/>
  <c r="K1155" i="26"/>
  <c r="K1101" i="26"/>
  <c r="K1050" i="26"/>
  <c r="K1001" i="26"/>
  <c r="K968" i="26"/>
  <c r="K902" i="26"/>
  <c r="K834" i="26"/>
  <c r="K1221" i="26"/>
  <c r="K1177" i="26"/>
  <c r="K1100" i="26"/>
  <c r="K1073" i="26"/>
  <c r="K1000" i="26"/>
  <c r="K955" i="26"/>
  <c r="K915" i="26"/>
  <c r="K848" i="26"/>
  <c r="K841" i="26"/>
  <c r="K1244" i="26"/>
  <c r="K1188" i="26"/>
  <c r="K1121" i="26"/>
  <c r="K1074" i="26"/>
  <c r="K1014" i="26"/>
  <c r="K960" i="26"/>
  <c r="K907" i="26"/>
  <c r="K1247" i="26"/>
  <c r="K879" i="26"/>
  <c r="K1248" i="26"/>
  <c r="K1034" i="26"/>
  <c r="K822" i="26"/>
  <c r="K1226" i="26"/>
  <c r="K1173" i="26"/>
  <c r="K1112" i="26"/>
  <c r="K1045" i="26"/>
  <c r="K991" i="26"/>
  <c r="K965" i="26"/>
  <c r="K885" i="26"/>
  <c r="K865" i="26"/>
  <c r="K1198" i="26"/>
  <c r="K1133" i="26"/>
  <c r="K1089" i="26"/>
  <c r="K1037" i="26"/>
  <c r="K933" i="26"/>
  <c r="K1182" i="26"/>
  <c r="K1143" i="26"/>
  <c r="K1082" i="26"/>
  <c r="K1035" i="26"/>
  <c r="K971" i="26"/>
  <c r="K870" i="26"/>
  <c r="AL72" i="18"/>
  <c r="AK73" i="18" a="1"/>
  <c r="AK73" i="18" s="1"/>
  <c r="AK72" i="18"/>
  <c r="BC202" i="18"/>
  <c r="AL67" i="18" a="1"/>
  <c r="AL67" i="18" s="1"/>
  <c r="AK67" i="18" a="1"/>
  <c r="AK67" i="18" s="1"/>
  <c r="C264" i="31"/>
  <c r="C251" i="31"/>
  <c r="C263" i="31"/>
  <c r="C253" i="31"/>
  <c r="AI67" i="18" a="1"/>
  <c r="AI67" i="18" s="1"/>
  <c r="BQ37" i="20"/>
  <c r="C205" i="31"/>
  <c r="C200" i="31"/>
  <c r="C211" i="31"/>
  <c r="C212" i="31"/>
  <c r="C208" i="31"/>
  <c r="AJ64" i="18"/>
  <c r="AI64" i="18"/>
  <c r="AH64" i="18"/>
  <c r="AG64" i="18"/>
  <c r="AF64" i="18"/>
  <c r="AE64" i="18"/>
  <c r="AK64" i="18"/>
  <c r="J28" i="30"/>
  <c r="I28" i="30"/>
  <c r="H28" i="30"/>
  <c r="G28" i="30"/>
  <c r="F28" i="30"/>
  <c r="E28" i="30"/>
  <c r="D28" i="30"/>
  <c r="C28" i="30"/>
  <c r="B28" i="30"/>
  <c r="J27" i="30"/>
  <c r="I27" i="30"/>
  <c r="H27" i="30"/>
  <c r="G27" i="30"/>
  <c r="F27" i="30"/>
  <c r="E27" i="30"/>
  <c r="D27" i="30"/>
  <c r="C27" i="30"/>
  <c r="B27" i="30"/>
  <c r="J26" i="30"/>
  <c r="I26" i="30"/>
  <c r="H26" i="30"/>
  <c r="G26" i="30"/>
  <c r="F26" i="30"/>
  <c r="E26" i="30"/>
  <c r="D26" i="30"/>
  <c r="C26" i="30"/>
  <c r="B26" i="30"/>
  <c r="J25" i="30"/>
  <c r="I25" i="30"/>
  <c r="H25" i="30"/>
  <c r="G25" i="30"/>
  <c r="F25" i="30"/>
  <c r="E25" i="30"/>
  <c r="D25" i="30"/>
  <c r="C25" i="30"/>
  <c r="B25" i="30"/>
  <c r="J24" i="30"/>
  <c r="I24" i="30"/>
  <c r="H24" i="30"/>
  <c r="G24" i="30"/>
  <c r="F24" i="30"/>
  <c r="E24" i="30"/>
  <c r="D24" i="30"/>
  <c r="C24" i="30"/>
  <c r="B24" i="30"/>
  <c r="J23" i="30"/>
  <c r="I23" i="30"/>
  <c r="H23" i="30"/>
  <c r="G23" i="30"/>
  <c r="F23" i="30"/>
  <c r="E23" i="30"/>
  <c r="D23" i="30"/>
  <c r="C23" i="30"/>
  <c r="B23" i="30"/>
  <c r="J22" i="30"/>
  <c r="I22" i="30"/>
  <c r="H22" i="30"/>
  <c r="G22" i="30"/>
  <c r="F22" i="30"/>
  <c r="E22" i="30"/>
  <c r="D22" i="30"/>
  <c r="C22" i="30"/>
  <c r="B22" i="30"/>
  <c r="J21" i="30"/>
  <c r="I21" i="30"/>
  <c r="H21" i="30"/>
  <c r="G21" i="30"/>
  <c r="F21" i="30"/>
  <c r="E21" i="30"/>
  <c r="D21" i="30"/>
  <c r="C21" i="30"/>
  <c r="B21" i="30"/>
  <c r="J20" i="30"/>
  <c r="I20" i="30"/>
  <c r="H20" i="30"/>
  <c r="G20" i="30"/>
  <c r="F20" i="30"/>
  <c r="E20" i="30"/>
  <c r="D20" i="30"/>
  <c r="C20" i="30"/>
  <c r="B20" i="30"/>
  <c r="J19" i="30"/>
  <c r="I19" i="30"/>
  <c r="H19" i="30"/>
  <c r="G19" i="30"/>
  <c r="F19" i="30"/>
  <c r="E19" i="30"/>
  <c r="D19" i="30"/>
  <c r="C19" i="30"/>
  <c r="B19" i="30"/>
  <c r="J18" i="30"/>
  <c r="I18" i="30"/>
  <c r="H18" i="30"/>
  <c r="G18" i="30"/>
  <c r="F18" i="30"/>
  <c r="E18" i="30"/>
  <c r="D18" i="30"/>
  <c r="C18" i="30"/>
  <c r="B18" i="30"/>
  <c r="J17" i="30"/>
  <c r="I17" i="30"/>
  <c r="H17" i="30"/>
  <c r="G17" i="30"/>
  <c r="F17" i="30"/>
  <c r="E17" i="30"/>
  <c r="D17" i="30"/>
  <c r="C17" i="30"/>
  <c r="B17" i="30"/>
  <c r="J16" i="30"/>
  <c r="I16" i="30"/>
  <c r="H16" i="30"/>
  <c r="G16" i="30"/>
  <c r="F16" i="30"/>
  <c r="E16" i="30"/>
  <c r="D16" i="30"/>
  <c r="C16" i="30"/>
  <c r="B16" i="30"/>
  <c r="J15" i="30"/>
  <c r="I15" i="30"/>
  <c r="H15" i="30"/>
  <c r="G15" i="30"/>
  <c r="F15" i="30"/>
  <c r="E15" i="30"/>
  <c r="D15" i="30"/>
  <c r="C15" i="30"/>
  <c r="B15" i="30"/>
  <c r="J14" i="30"/>
  <c r="I14" i="30"/>
  <c r="H14" i="30"/>
  <c r="G14" i="30"/>
  <c r="F14" i="30"/>
  <c r="E14" i="30"/>
  <c r="D14" i="30"/>
  <c r="C14" i="30"/>
  <c r="B14" i="30"/>
  <c r="J13" i="30"/>
  <c r="I13" i="30"/>
  <c r="H13" i="30"/>
  <c r="G13" i="30"/>
  <c r="F13" i="30"/>
  <c r="E13" i="30"/>
  <c r="D13" i="30"/>
  <c r="C13" i="30"/>
  <c r="B13" i="30"/>
  <c r="J12" i="30"/>
  <c r="I12" i="30"/>
  <c r="H12" i="30"/>
  <c r="G12" i="30"/>
  <c r="F12" i="30"/>
  <c r="E12" i="30"/>
  <c r="D12" i="30"/>
  <c r="C12" i="30"/>
  <c r="B12" i="30"/>
  <c r="J11" i="30"/>
  <c r="I11" i="30"/>
  <c r="H11" i="30"/>
  <c r="G11" i="30"/>
  <c r="F11" i="30"/>
  <c r="E11" i="30"/>
  <c r="D11" i="30"/>
  <c r="C11" i="30"/>
  <c r="B11" i="30"/>
  <c r="J10" i="30"/>
  <c r="I10" i="30"/>
  <c r="H10" i="30"/>
  <c r="G10" i="30"/>
  <c r="F10" i="30"/>
  <c r="E10" i="30"/>
  <c r="D10" i="30"/>
  <c r="C10" i="30"/>
  <c r="B10" i="30"/>
  <c r="J9" i="30"/>
  <c r="I9" i="30"/>
  <c r="H9" i="30"/>
  <c r="G9" i="30"/>
  <c r="F9" i="30"/>
  <c r="E9" i="30"/>
  <c r="D9" i="30"/>
  <c r="C9" i="30"/>
  <c r="B9" i="30"/>
  <c r="J8" i="30"/>
  <c r="I8" i="30"/>
  <c r="H8" i="30"/>
  <c r="G8" i="30"/>
  <c r="F8" i="30"/>
  <c r="E8" i="30"/>
  <c r="D8" i="30"/>
  <c r="C8" i="30"/>
  <c r="B8" i="30"/>
  <c r="J7" i="30"/>
  <c r="I7" i="30"/>
  <c r="H7" i="30"/>
  <c r="G7" i="30"/>
  <c r="F7" i="30"/>
  <c r="E7" i="30"/>
  <c r="D7" i="30"/>
  <c r="C7" i="30"/>
  <c r="B7" i="30"/>
  <c r="J6" i="30"/>
  <c r="I6" i="30"/>
  <c r="H6" i="30"/>
  <c r="G6" i="30"/>
  <c r="F6" i="30"/>
  <c r="E6" i="30"/>
  <c r="D6" i="30"/>
  <c r="C6" i="30"/>
  <c r="B6" i="30"/>
  <c r="J5" i="30"/>
  <c r="I5" i="30"/>
  <c r="H5" i="30"/>
  <c r="G5" i="30"/>
  <c r="F5" i="30"/>
  <c r="E5" i="30"/>
  <c r="D5" i="30"/>
  <c r="C5" i="30"/>
  <c r="B5" i="30"/>
  <c r="J4" i="30"/>
  <c r="I4" i="30"/>
  <c r="H4" i="30"/>
  <c r="G4" i="30"/>
  <c r="F4" i="30"/>
  <c r="E4" i="30"/>
  <c r="D4" i="30"/>
  <c r="C4" i="30"/>
  <c r="J3" i="30"/>
  <c r="I3" i="30"/>
  <c r="H3" i="30"/>
  <c r="G3" i="30"/>
  <c r="F3" i="30"/>
  <c r="E3" i="30"/>
  <c r="D3" i="30"/>
  <c r="C3" i="30"/>
  <c r="B4" i="30"/>
  <c r="B3" i="30"/>
  <c r="A35" i="30"/>
  <c r="J33" i="30"/>
  <c r="I33" i="30"/>
  <c r="H33" i="30"/>
  <c r="G33" i="30"/>
  <c r="F33" i="30"/>
  <c r="E33" i="30"/>
  <c r="D33" i="30"/>
  <c r="C33" i="30"/>
  <c r="B33" i="30"/>
  <c r="A36" i="30"/>
  <c r="J34" i="30"/>
  <c r="I34" i="30"/>
  <c r="H34" i="30"/>
  <c r="G34" i="30"/>
  <c r="F34" i="30"/>
  <c r="E34" i="30"/>
  <c r="D34" i="30"/>
  <c r="C34" i="30"/>
  <c r="B34" i="30"/>
  <c r="A31" i="30"/>
  <c r="J29" i="30"/>
  <c r="I29" i="30"/>
  <c r="H29" i="30"/>
  <c r="G29" i="30"/>
  <c r="F29" i="30"/>
  <c r="E29" i="30"/>
  <c r="D29" i="30"/>
  <c r="C29" i="30"/>
  <c r="B29" i="30"/>
  <c r="A32" i="30"/>
  <c r="J30" i="30"/>
  <c r="I30" i="30"/>
  <c r="H30" i="30"/>
  <c r="G30" i="30"/>
  <c r="F30" i="30"/>
  <c r="E30" i="30"/>
  <c r="D30" i="30"/>
  <c r="C30" i="30"/>
  <c r="B30" i="30"/>
  <c r="C167" i="31"/>
  <c r="C87" i="31"/>
  <c r="C86" i="31"/>
  <c r="C70" i="31"/>
  <c r="C69" i="31"/>
  <c r="C41" i="31"/>
  <c r="C40" i="31"/>
  <c r="C33" i="31"/>
  <c r="C32" i="31"/>
  <c r="C3" i="31"/>
  <c r="C123" i="31"/>
  <c r="C124" i="31"/>
  <c r="C128" i="31"/>
  <c r="C131" i="31"/>
  <c r="C141" i="31"/>
  <c r="BI37" i="20"/>
  <c r="BC146" i="18"/>
  <c r="BC198" i="18"/>
  <c r="BC169" i="18"/>
  <c r="BC116" i="18"/>
  <c r="BC163" i="18"/>
  <c r="BC79" i="18"/>
  <c r="BC71" i="18"/>
  <c r="BC70" i="18"/>
  <c r="AJ67" i="18" a="1"/>
  <c r="AJ67" i="18" s="1"/>
  <c r="AJ73" i="18" a="1"/>
  <c r="AJ73" i="18" s="1"/>
  <c r="AH67" i="18" a="1"/>
  <c r="AH67" i="18" s="1"/>
  <c r="AJ72" i="18"/>
  <c r="BB5" i="18"/>
  <c r="BA5" i="18"/>
  <c r="BY29" i="20"/>
  <c r="BY31" i="20"/>
  <c r="BY33" i="20"/>
  <c r="BY35" i="20"/>
  <c r="BQ31" i="20"/>
  <c r="BQ33" i="20"/>
  <c r="BQ35" i="20"/>
  <c r="BI31" i="20"/>
  <c r="BI33" i="20"/>
  <c r="BI35" i="20"/>
  <c r="BA79" i="18"/>
  <c r="BB79" i="18"/>
  <c r="BA146" i="18"/>
  <c r="BA163" i="18"/>
  <c r="BA116" i="18"/>
  <c r="BE5" i="3"/>
  <c r="BE61" i="3" s="1"/>
  <c r="BB116" i="18"/>
  <c r="BB146" i="18"/>
  <c r="BB163" i="18"/>
  <c r="JM61" i="3"/>
  <c r="CF61" i="3"/>
  <c r="CO61" i="3"/>
  <c r="DP61" i="3"/>
  <c r="EK61" i="3"/>
  <c r="EN61" i="3"/>
  <c r="EQ61" i="3"/>
  <c r="ET61" i="3"/>
  <c r="FC61" i="3"/>
  <c r="HE61" i="3"/>
  <c r="HK61" i="3"/>
  <c r="HN61" i="3"/>
  <c r="HZ61" i="3"/>
  <c r="IX61" i="3"/>
  <c r="JA61" i="3"/>
  <c r="JD61" i="3"/>
  <c r="JJ61" i="3"/>
  <c r="AH10" i="18"/>
  <c r="BC10" i="18" s="1"/>
  <c r="I30" i="20"/>
  <c r="H42" i="20" s="1"/>
  <c r="L30" i="20"/>
  <c r="P42" i="20" s="1"/>
  <c r="W30" i="20"/>
  <c r="JX4" i="3"/>
  <c r="JW4" i="3"/>
  <c r="I5" i="3"/>
  <c r="I4" i="3"/>
  <c r="L5" i="3"/>
  <c r="L61" i="3" s="1"/>
  <c r="AS9" i="20"/>
  <c r="AT9" i="20" s="1"/>
  <c r="AU9" i="20" s="1"/>
  <c r="AV9" i="20" s="1"/>
  <c r="AW9" i="20" s="1"/>
  <c r="AV21" i="20"/>
  <c r="AS31" i="20"/>
  <c r="AS33" i="20"/>
  <c r="AS35" i="20"/>
  <c r="AS37" i="20"/>
  <c r="AW29" i="20"/>
  <c r="BA29" i="20"/>
  <c r="BA31" i="20"/>
  <c r="BA33" i="20"/>
  <c r="BA35" i="20"/>
  <c r="JY2" i="3"/>
  <c r="X30" i="20"/>
  <c r="H43" i="20" l="1"/>
  <c r="P43" i="20"/>
  <c r="P44" i="20"/>
  <c r="H44" i="20"/>
  <c r="DF37" i="20"/>
  <c r="DF35" i="20"/>
  <c r="DF33" i="20"/>
  <c r="DF31" i="20"/>
  <c r="CX37" i="20"/>
  <c r="CX35" i="20"/>
  <c r="CX33" i="20"/>
  <c r="CX31" i="20"/>
  <c r="BC72" i="18"/>
  <c r="CH29" i="20"/>
  <c r="BC73" i="18"/>
  <c r="BC64" i="18"/>
  <c r="BR37" i="20"/>
  <c r="J36" i="30"/>
  <c r="I36" i="30"/>
  <c r="H36" i="30"/>
  <c r="G36" i="30"/>
  <c r="F36" i="30"/>
  <c r="E36" i="30"/>
  <c r="D36" i="30"/>
  <c r="C36" i="30"/>
  <c r="B36" i="30"/>
  <c r="J35" i="30"/>
  <c r="I35" i="30"/>
  <c r="H35" i="30"/>
  <c r="G35" i="30"/>
  <c r="F35" i="30"/>
  <c r="E35" i="30"/>
  <c r="D35" i="30"/>
  <c r="C35" i="30"/>
  <c r="B35" i="30"/>
  <c r="J32" i="30"/>
  <c r="I32" i="30"/>
  <c r="H32" i="30"/>
  <c r="G32" i="30"/>
  <c r="F32" i="30"/>
  <c r="E32" i="30"/>
  <c r="D32" i="30"/>
  <c r="C32" i="30"/>
  <c r="B32" i="30"/>
  <c r="J31" i="30"/>
  <c r="I31" i="30"/>
  <c r="H31" i="30"/>
  <c r="G31" i="30"/>
  <c r="F31" i="30"/>
  <c r="E31" i="30"/>
  <c r="D31" i="30"/>
  <c r="C31" i="30"/>
  <c r="B31" i="30"/>
  <c r="BJ37" i="20"/>
  <c r="BC67" i="18"/>
  <c r="BZ35" i="20"/>
  <c r="BZ33" i="20"/>
  <c r="BZ31" i="20"/>
  <c r="BZ29" i="20"/>
  <c r="BR35" i="20"/>
  <c r="BR33" i="20"/>
  <c r="BR31" i="20"/>
  <c r="BJ35" i="20"/>
  <c r="BJ33" i="20"/>
  <c r="BJ31" i="20"/>
  <c r="BJ29" i="20"/>
  <c r="I61" i="3"/>
  <c r="KA4" i="3"/>
  <c r="JZ4" i="3"/>
  <c r="JV5" i="3"/>
  <c r="JV4" i="3"/>
  <c r="KB2" i="3"/>
  <c r="BB35" i="20"/>
  <c r="BB33" i="20"/>
  <c r="BB31" i="20"/>
  <c r="BB29" i="20"/>
  <c r="AT37" i="20"/>
  <c r="AT35" i="20"/>
  <c r="AT33" i="20"/>
  <c r="AT31" i="20"/>
  <c r="DG31" i="20" l="1"/>
  <c r="DG33" i="20"/>
  <c r="DG35" i="20"/>
  <c r="CY31" i="20"/>
  <c r="CY33" i="20"/>
  <c r="CY35" i="20"/>
  <c r="CY37" i="20"/>
  <c r="CI29" i="20"/>
  <c r="BS37" i="20"/>
  <c r="BK37" i="20"/>
  <c r="CA29" i="20"/>
  <c r="CA31" i="20"/>
  <c r="CA33" i="20"/>
  <c r="CA35" i="20"/>
  <c r="BS31" i="20"/>
  <c r="BS33" i="20"/>
  <c r="BS35" i="20"/>
  <c r="BK29" i="20"/>
  <c r="BK31" i="20"/>
  <c r="BK33" i="20"/>
  <c r="BK35" i="20"/>
  <c r="JV61" i="3"/>
  <c r="KD4" i="3"/>
  <c r="KC4" i="3"/>
  <c r="JY5" i="3"/>
  <c r="JY4" i="3"/>
  <c r="KE2" i="3"/>
  <c r="T32" i="20"/>
  <c r="S32" i="20"/>
  <c r="AU31" i="20"/>
  <c r="AU33" i="20"/>
  <c r="AU35" i="20"/>
  <c r="AU37" i="20"/>
  <c r="BC29" i="20"/>
  <c r="BC31" i="20"/>
  <c r="BC33" i="20"/>
  <c r="BC35" i="20"/>
  <c r="DH35" i="20" l="1"/>
  <c r="DH33" i="20"/>
  <c r="DH31" i="20"/>
  <c r="CZ37" i="20"/>
  <c r="CZ35" i="20"/>
  <c r="CZ33" i="20"/>
  <c r="CZ31" i="20"/>
  <c r="CJ29" i="20"/>
  <c r="BT37" i="20"/>
  <c r="CB35" i="20"/>
  <c r="CB33" i="20"/>
  <c r="CB31" i="20"/>
  <c r="CB29" i="20"/>
  <c r="BT35" i="20"/>
  <c r="BT33" i="20"/>
  <c r="BT31" i="20"/>
  <c r="BL35" i="20"/>
  <c r="BL33" i="20"/>
  <c r="BL31" i="20"/>
  <c r="BL29" i="20"/>
  <c r="JY61" i="3"/>
  <c r="KG4" i="3"/>
  <c r="KF4" i="3"/>
  <c r="KB5" i="3"/>
  <c r="KB4" i="3"/>
  <c r="KH2" i="3"/>
  <c r="BD35" i="20"/>
  <c r="BD33" i="20"/>
  <c r="BD31" i="20"/>
  <c r="BD29" i="20"/>
  <c r="AV37" i="20"/>
  <c r="AV35" i="20"/>
  <c r="AV33" i="20"/>
  <c r="AV31" i="20"/>
  <c r="DI31" i="20" l="1"/>
  <c r="DI33" i="20"/>
  <c r="DI35" i="20"/>
  <c r="DA37" i="20"/>
  <c r="DA31" i="20"/>
  <c r="DA33" i="20"/>
  <c r="DA35" i="20"/>
  <c r="CK29" i="20"/>
  <c r="BU37" i="20"/>
  <c r="CC29" i="20"/>
  <c r="CC31" i="20"/>
  <c r="CC33" i="20"/>
  <c r="CC35" i="20"/>
  <c r="BU29" i="20"/>
  <c r="BU31" i="20"/>
  <c r="BU33" i="20"/>
  <c r="BU35" i="20"/>
  <c r="BM29" i="20"/>
  <c r="BM31" i="20"/>
  <c r="BM33" i="20"/>
  <c r="BM35" i="20"/>
  <c r="KB61" i="3"/>
  <c r="KJ4" i="3"/>
  <c r="KI4" i="3"/>
  <c r="KE5" i="3"/>
  <c r="KE4" i="3"/>
  <c r="KK2" i="3"/>
  <c r="V32" i="20"/>
  <c r="U32" i="20"/>
  <c r="AW31" i="20"/>
  <c r="AW33" i="20"/>
  <c r="AW35" i="20"/>
  <c r="AW37" i="20"/>
  <c r="BE29" i="20"/>
  <c r="BE31" i="20"/>
  <c r="BE33" i="20"/>
  <c r="BE35" i="20"/>
  <c r="KE61" i="3" l="1"/>
  <c r="KM4" i="3"/>
  <c r="KL4" i="3"/>
  <c r="KH5" i="3"/>
  <c r="KH4" i="3"/>
  <c r="KN2" i="3"/>
  <c r="KH61" i="3" l="1"/>
  <c r="KP4" i="3"/>
  <c r="KO4" i="3"/>
  <c r="KK5" i="3"/>
  <c r="KK4" i="3"/>
  <c r="KQ2" i="3"/>
  <c r="X32" i="20"/>
  <c r="W32" i="20"/>
  <c r="KK61" i="3" l="1"/>
  <c r="KS4" i="3"/>
  <c r="KR4" i="3"/>
  <c r="KN5" i="3"/>
  <c r="KN4" i="3"/>
  <c r="KT2" i="3"/>
  <c r="KN61" i="3" l="1"/>
  <c r="KV4" i="3"/>
  <c r="KU4" i="3"/>
  <c r="KQ5" i="3"/>
  <c r="KQ4" i="3"/>
  <c r="KW2" i="3"/>
  <c r="S34" i="20"/>
  <c r="Y32" i="20"/>
  <c r="KQ61" i="3" l="1"/>
  <c r="KY4" i="3"/>
  <c r="KX4" i="3"/>
  <c r="KT5" i="3"/>
  <c r="KT4" i="3"/>
  <c r="KZ2" i="3"/>
  <c r="KT61" i="3" l="1"/>
  <c r="LB4" i="3"/>
  <c r="LA4" i="3"/>
  <c r="KW5" i="3"/>
  <c r="KW4" i="3"/>
  <c r="LC2" i="3"/>
  <c r="U34" i="20"/>
  <c r="T34" i="20"/>
  <c r="KW61" i="3" l="1"/>
  <c r="LE4" i="3"/>
  <c r="LD4" i="3"/>
  <c r="KZ5" i="3"/>
  <c r="KZ4" i="3"/>
  <c r="LF2" i="3"/>
  <c r="KZ61" i="3" l="1"/>
  <c r="LH4" i="3"/>
  <c r="LG4" i="3"/>
  <c r="LC5" i="3"/>
  <c r="LC4" i="3"/>
  <c r="LI2" i="3"/>
  <c r="W34" i="20"/>
  <c r="V34" i="20"/>
  <c r="LC61" i="3" l="1"/>
  <c r="LK4" i="3"/>
  <c r="LJ4" i="3"/>
  <c r="LF5" i="3"/>
  <c r="LF4" i="3"/>
  <c r="LL2" i="3"/>
  <c r="LF61" i="3" l="1"/>
  <c r="LN4" i="3"/>
  <c r="LM4" i="3"/>
  <c r="LI5" i="3"/>
  <c r="LI4" i="3"/>
  <c r="LO2" i="3"/>
  <c r="LI61" i="3" l="1"/>
  <c r="LQ4" i="3"/>
  <c r="LP4" i="3"/>
  <c r="LL5" i="3"/>
  <c r="LL4" i="3"/>
  <c r="LR2" i="3"/>
  <c r="LL61" i="3" l="1"/>
  <c r="LT4" i="3"/>
  <c r="LS4" i="3"/>
  <c r="LO5" i="3"/>
  <c r="LO4" i="3"/>
  <c r="LU2" i="3"/>
  <c r="T36" i="20"/>
  <c r="S36" i="20"/>
  <c r="LO61" i="3" l="1"/>
  <c r="LW4" i="3"/>
  <c r="LV4" i="3"/>
  <c r="LR5" i="3"/>
  <c r="LR4" i="3"/>
  <c r="LX2" i="3"/>
  <c r="LR61" i="3" l="1"/>
  <c r="LZ4" i="3"/>
  <c r="LY4" i="3"/>
  <c r="LU5" i="3"/>
  <c r="LU4" i="3"/>
  <c r="MA2" i="3"/>
  <c r="V36" i="20"/>
  <c r="U36" i="20"/>
  <c r="LU61" i="3" l="1"/>
  <c r="MC4" i="3"/>
  <c r="MB4" i="3"/>
  <c r="LX5" i="3"/>
  <c r="LX4" i="3"/>
  <c r="MD2" i="3"/>
  <c r="LX61" i="3" l="1"/>
  <c r="MF4" i="3"/>
  <c r="ME4" i="3"/>
  <c r="MA5" i="3"/>
  <c r="MA4" i="3"/>
  <c r="MG2" i="3"/>
  <c r="X36" i="20"/>
  <c r="W36" i="20"/>
  <c r="MA61" i="3" l="1"/>
  <c r="MI4" i="3"/>
  <c r="MH4" i="3"/>
  <c r="MD5" i="3"/>
  <c r="MD4" i="3"/>
  <c r="MJ2" i="3"/>
  <c r="MD61" i="3" l="1"/>
  <c r="ML4" i="3"/>
  <c r="MK4" i="3"/>
  <c r="MG5" i="3"/>
  <c r="MG4" i="3"/>
  <c r="MM2" i="3"/>
  <c r="S38" i="20"/>
  <c r="MG61" i="3" l="1"/>
  <c r="MO4" i="3"/>
  <c r="MN4" i="3"/>
  <c r="MJ5" i="3"/>
  <c r="MJ4" i="3"/>
  <c r="MP2" i="3"/>
  <c r="MR4" i="3" l="1"/>
  <c r="MQ4" i="3"/>
  <c r="MM5" i="3"/>
  <c r="MM4" i="3"/>
  <c r="MS2" i="3"/>
  <c r="U38" i="20"/>
  <c r="T38" i="20"/>
  <c r="MM61" i="3" l="1"/>
  <c r="MU4" i="3"/>
  <c r="MT4" i="3"/>
  <c r="MP5" i="3"/>
  <c r="MP4" i="3"/>
  <c r="MV2" i="3"/>
  <c r="MP61" i="3" l="1"/>
  <c r="MX4" i="3"/>
  <c r="MW4" i="3"/>
  <c r="MS5" i="3"/>
  <c r="MS4" i="3"/>
  <c r="MY2" i="3"/>
  <c r="W38" i="20"/>
  <c r="V38" i="20"/>
  <c r="MS61" i="3" l="1"/>
  <c r="NA4" i="3"/>
  <c r="MZ4" i="3"/>
  <c r="MV5" i="3"/>
  <c r="MV4" i="3"/>
  <c r="X45" i="20"/>
  <c r="X42" i="20"/>
  <c r="X43" i="20"/>
  <c r="NB2" i="3"/>
  <c r="MV61" i="3" l="1"/>
  <c r="ND4" i="3"/>
  <c r="NC4" i="3"/>
  <c r="MY5" i="3"/>
  <c r="MY4" i="3"/>
  <c r="NE2" i="3"/>
  <c r="MY61" i="3" l="1"/>
  <c r="NG4" i="3"/>
  <c r="NF4" i="3"/>
  <c r="NB5" i="3"/>
  <c r="NB4" i="3"/>
  <c r="NH2" i="3"/>
  <c r="NB61" i="3" l="1"/>
  <c r="NJ4" i="3"/>
  <c r="NI4" i="3"/>
  <c r="NE5" i="3"/>
  <c r="NE4" i="3"/>
  <c r="NK2" i="3"/>
  <c r="AB32" i="20"/>
  <c r="AA32" i="20"/>
  <c r="NM4" i="3" l="1"/>
  <c r="NL4" i="3"/>
  <c r="NH5" i="3"/>
  <c r="NH4" i="3"/>
  <c r="NN2" i="3"/>
  <c r="NH61" i="3" l="1"/>
  <c r="AC32" i="20"/>
  <c r="NP4" i="3"/>
  <c r="NO4" i="3"/>
  <c r="NK5" i="3"/>
  <c r="NK4" i="3"/>
  <c r="NQ2" i="3"/>
  <c r="AD32" i="20"/>
  <c r="NK61" i="3" l="1"/>
  <c r="NS4" i="3"/>
  <c r="NR4" i="3"/>
  <c r="NN5" i="3"/>
  <c r="NN4" i="3"/>
  <c r="NT2" i="3"/>
  <c r="NN61" i="3" l="1"/>
  <c r="NV4" i="3"/>
  <c r="NU4" i="3"/>
  <c r="NQ5" i="3"/>
  <c r="NQ4" i="3"/>
  <c r="NW2" i="3"/>
  <c r="AE32" i="20"/>
  <c r="NQ61" i="3" l="1"/>
  <c r="NY4" i="3"/>
  <c r="NX4" i="3"/>
  <c r="NT5" i="3"/>
  <c r="NT4" i="3"/>
  <c r="NZ2" i="3"/>
  <c r="NT61" i="3" l="1"/>
  <c r="OB4" i="3"/>
  <c r="OA4" i="3"/>
  <c r="NW5" i="3"/>
  <c r="NW4" i="3"/>
  <c r="OC2" i="3"/>
  <c r="OE4" i="3" l="1"/>
  <c r="OD4" i="3"/>
  <c r="NZ5" i="3"/>
  <c r="NZ4" i="3"/>
  <c r="OF2" i="3"/>
  <c r="AB34" i="20"/>
  <c r="OH4" i="3" l="1"/>
  <c r="OG4" i="3"/>
  <c r="OC5" i="3"/>
  <c r="OC4" i="3"/>
  <c r="OI2" i="3"/>
  <c r="AC34" i="20"/>
  <c r="OK4" i="3" l="1"/>
  <c r="OJ4" i="3"/>
  <c r="OF5" i="3"/>
  <c r="OF4" i="3"/>
  <c r="OL2" i="3"/>
  <c r="OF61" i="3" l="1"/>
  <c r="ON4" i="3"/>
  <c r="OM4" i="3"/>
  <c r="OI5" i="3"/>
  <c r="OI4" i="3"/>
  <c r="OO2" i="3"/>
  <c r="AE34" i="20"/>
  <c r="AD34" i="20"/>
  <c r="OI61" i="3" l="1"/>
  <c r="OQ4" i="3"/>
  <c r="OP4" i="3"/>
  <c r="OL5" i="3"/>
  <c r="OL4" i="3"/>
  <c r="OR2" i="3"/>
  <c r="OL61" i="3" l="1"/>
  <c r="OT4" i="3"/>
  <c r="OS4" i="3"/>
  <c r="OO5" i="3"/>
  <c r="OO4" i="3"/>
  <c r="OU2" i="3"/>
  <c r="OO61" i="3" l="1"/>
  <c r="OW4" i="3"/>
  <c r="OV4" i="3"/>
  <c r="OR5" i="3"/>
  <c r="OR4" i="3"/>
  <c r="OX2" i="3"/>
  <c r="OZ4" i="3" l="1"/>
  <c r="OY4" i="3"/>
  <c r="OU5" i="3"/>
  <c r="OU4" i="3"/>
  <c r="PA2" i="3"/>
  <c r="AB36" i="20"/>
  <c r="PC4" i="3" l="1"/>
  <c r="PB4" i="3"/>
  <c r="OX5" i="3"/>
  <c r="OX4" i="3"/>
  <c r="PD2" i="3"/>
  <c r="PF4" i="3" l="1"/>
  <c r="PE4" i="3"/>
  <c r="PA5" i="3"/>
  <c r="PA4" i="3"/>
  <c r="PG2" i="3"/>
  <c r="AD36" i="20"/>
  <c r="AC36" i="20"/>
  <c r="PA61" i="3" l="1"/>
  <c r="PI4" i="3"/>
  <c r="PH4" i="3"/>
  <c r="PD5" i="3"/>
  <c r="PD4" i="3"/>
  <c r="PJ2" i="3"/>
  <c r="PD61" i="3" l="1"/>
  <c r="PL4" i="3"/>
  <c r="PK4" i="3"/>
  <c r="PG5" i="3"/>
  <c r="PG4" i="3"/>
  <c r="PM2" i="3"/>
  <c r="PG61" i="3" l="1"/>
  <c r="PO4" i="3"/>
  <c r="PN4" i="3"/>
  <c r="PJ5" i="3"/>
  <c r="PJ4" i="3"/>
  <c r="PP2" i="3"/>
  <c r="PR4" i="3" l="1"/>
  <c r="PQ4" i="3"/>
  <c r="PM5" i="3"/>
  <c r="PM4" i="3"/>
  <c r="PS2" i="3"/>
  <c r="AA38" i="20"/>
  <c r="PU4" i="3" l="1"/>
  <c r="PT4" i="3"/>
  <c r="PP5" i="3"/>
  <c r="PP4" i="3"/>
  <c r="PV2" i="3"/>
  <c r="AB38" i="20"/>
  <c r="PX4" i="3" l="1"/>
  <c r="PW4" i="3"/>
  <c r="PS5" i="3"/>
  <c r="PS4" i="3"/>
  <c r="PY2" i="3"/>
  <c r="PS61" i="3" l="1"/>
  <c r="QA4" i="3"/>
  <c r="PZ4" i="3"/>
  <c r="PV5" i="3"/>
  <c r="PV4" i="3"/>
  <c r="QB2" i="3"/>
  <c r="AC38" i="20"/>
  <c r="AD38" i="20" l="1"/>
  <c r="PV61" i="3"/>
  <c r="QD4" i="3"/>
  <c r="QC4" i="3"/>
  <c r="PY5" i="3"/>
  <c r="PY4" i="3"/>
  <c r="QE2" i="3"/>
  <c r="PY61" i="3" l="1"/>
  <c r="QG4" i="3"/>
  <c r="QF4" i="3"/>
  <c r="QB5" i="3"/>
  <c r="QB4" i="3"/>
  <c r="QH2" i="3"/>
  <c r="AE38" i="20"/>
  <c r="AF38" i="20"/>
  <c r="QB61" i="3" l="1"/>
  <c r="QJ4" i="3"/>
  <c r="QI4" i="3"/>
  <c r="QE5" i="3"/>
  <c r="QE4" i="3"/>
  <c r="QK2" i="3"/>
  <c r="QE61" i="3" l="1"/>
  <c r="QM4" i="3"/>
  <c r="QL4" i="3"/>
  <c r="QH5" i="3"/>
  <c r="QH4" i="3"/>
  <c r="QN2" i="3"/>
  <c r="AA40" i="20" l="1"/>
  <c r="QH61" i="3"/>
  <c r="AF45" i="20"/>
  <c r="AF43" i="20"/>
  <c r="QP4" i="3"/>
  <c r="QO4" i="3"/>
  <c r="QK5" i="3"/>
  <c r="QK4" i="3"/>
  <c r="AF42" i="20"/>
  <c r="QQ2" i="3"/>
  <c r="AJ30" i="20" l="1"/>
  <c r="QS4" i="3"/>
  <c r="QR4" i="3"/>
  <c r="QN5" i="3"/>
  <c r="QN4" i="3"/>
  <c r="QT2" i="3"/>
  <c r="AK30" i="20" l="1"/>
  <c r="QN61" i="3"/>
  <c r="QV4" i="3"/>
  <c r="QU4" i="3"/>
  <c r="QQ5" i="3"/>
  <c r="QQ4" i="3"/>
  <c r="QW2" i="3"/>
  <c r="QQ61" i="3" l="1"/>
  <c r="QY4" i="3"/>
  <c r="QX4" i="3"/>
  <c r="QT5" i="3"/>
  <c r="QT4" i="3"/>
  <c r="AL30" i="20"/>
  <c r="QZ2" i="3"/>
  <c r="QT61" i="3" l="1"/>
  <c r="AM30" i="20"/>
  <c r="RB4" i="3"/>
  <c r="RA4" i="3"/>
  <c r="QW5" i="3"/>
  <c r="QW4" i="3"/>
  <c r="RC2" i="3"/>
  <c r="QW61" i="3" l="1"/>
  <c r="RE4" i="3"/>
  <c r="RD4" i="3"/>
  <c r="QZ5" i="3"/>
  <c r="QZ4" i="3"/>
  <c r="RF2" i="3"/>
  <c r="QZ61" i="3" l="1"/>
  <c r="RH4" i="3"/>
  <c r="RG4" i="3"/>
  <c r="RC5" i="3"/>
  <c r="RC4" i="3"/>
  <c r="RI2" i="3"/>
  <c r="RK4" i="3" l="1"/>
  <c r="RJ4" i="3"/>
  <c r="RF5" i="3"/>
  <c r="RF4" i="3"/>
  <c r="RL2" i="3"/>
  <c r="AJ32" i="20"/>
  <c r="AI32" i="20"/>
  <c r="RN4" i="3" l="1"/>
  <c r="RM4" i="3"/>
  <c r="RI5" i="3"/>
  <c r="RI4" i="3"/>
  <c r="RO2" i="3"/>
  <c r="RI61" i="3" l="1"/>
  <c r="RQ4" i="3"/>
  <c r="RP4" i="3"/>
  <c r="RL5" i="3"/>
  <c r="RL4" i="3"/>
  <c r="RR2" i="3"/>
  <c r="AK32" i="20"/>
  <c r="AL32" i="20" l="1"/>
  <c r="RL61" i="3"/>
  <c r="RT4" i="3"/>
  <c r="RS4" i="3"/>
  <c r="RO5" i="3"/>
  <c r="RO4" i="3"/>
  <c r="RU2" i="3"/>
  <c r="RO61" i="3" l="1"/>
  <c r="RW4" i="3"/>
  <c r="RV4" i="3"/>
  <c r="RR5" i="3"/>
  <c r="RR4" i="3"/>
  <c r="RX2" i="3"/>
  <c r="AM32" i="20"/>
  <c r="RR61" i="3" l="1"/>
  <c r="RZ4" i="3"/>
  <c r="RY4" i="3"/>
  <c r="RU5" i="3"/>
  <c r="RU4" i="3"/>
  <c r="SA2" i="3"/>
  <c r="RU61" i="3" l="1"/>
  <c r="SC4" i="3"/>
  <c r="SB4" i="3"/>
  <c r="RX5" i="3"/>
  <c r="RX4" i="3"/>
  <c r="SD2" i="3"/>
  <c r="SF4" i="3" l="1"/>
  <c r="SE4" i="3"/>
  <c r="SA5" i="3"/>
  <c r="SA4" i="3"/>
  <c r="SG2" i="3"/>
  <c r="SI4" i="3" l="1"/>
  <c r="SH4" i="3"/>
  <c r="SD5" i="3"/>
  <c r="SD4" i="3"/>
  <c r="SJ2" i="3"/>
  <c r="AJ34" i="20"/>
  <c r="AK34" i="20"/>
  <c r="SL4" i="3" l="1"/>
  <c r="SK4" i="3"/>
  <c r="SG5" i="3"/>
  <c r="SG4" i="3"/>
  <c r="SM2" i="3"/>
  <c r="SG61" i="3" l="1"/>
  <c r="SO4" i="3"/>
  <c r="SN4" i="3"/>
  <c r="SJ5" i="3"/>
  <c r="SJ4" i="3"/>
  <c r="SP2" i="3"/>
  <c r="AM34" i="20"/>
  <c r="AL34" i="20"/>
  <c r="SJ61" i="3" l="1"/>
  <c r="SR4" i="3"/>
  <c r="SQ4" i="3"/>
  <c r="SM5" i="3"/>
  <c r="SM4" i="3"/>
  <c r="SS2" i="3"/>
  <c r="SM61" i="3" l="1"/>
  <c r="SU4" i="3"/>
  <c r="ST4" i="3"/>
  <c r="SP5" i="3"/>
  <c r="SP4" i="3"/>
  <c r="SV2" i="3"/>
  <c r="AO34" i="20"/>
  <c r="AN34" i="20"/>
  <c r="SP61" i="3" l="1"/>
  <c r="SX4" i="3"/>
  <c r="SW4" i="3"/>
  <c r="SS5" i="3"/>
  <c r="SS4" i="3"/>
  <c r="SY2" i="3"/>
  <c r="SS61" i="3" l="1"/>
  <c r="TA4" i="3"/>
  <c r="SZ4" i="3"/>
  <c r="SV5" i="3"/>
  <c r="SV4" i="3"/>
  <c r="TB2" i="3"/>
  <c r="AJ36" i="20"/>
  <c r="AI36" i="20"/>
  <c r="SV61" i="3" l="1"/>
  <c r="TD4" i="3"/>
  <c r="TC4" i="3"/>
  <c r="SY5" i="3"/>
  <c r="SY4" i="3"/>
  <c r="TE2" i="3"/>
  <c r="SY61" i="3" l="1"/>
  <c r="TG4" i="3"/>
  <c r="TF4" i="3"/>
  <c r="TB5" i="3"/>
  <c r="TB4" i="3"/>
  <c r="TH2" i="3"/>
  <c r="AL36" i="20"/>
  <c r="AK36" i="20"/>
  <c r="TB61" i="3" l="1"/>
  <c r="TJ4" i="3"/>
  <c r="TI4" i="3"/>
  <c r="TE5" i="3"/>
  <c r="TE4" i="3"/>
  <c r="TK2" i="3"/>
  <c r="TE61" i="3" l="1"/>
  <c r="TM4" i="3"/>
  <c r="TL4" i="3"/>
  <c r="TH5" i="3"/>
  <c r="TH4" i="3"/>
  <c r="TN2" i="3"/>
  <c r="AN36" i="20"/>
  <c r="AM36" i="20"/>
  <c r="TH61" i="3" l="1"/>
  <c r="TP4" i="3"/>
  <c r="TO4" i="3"/>
  <c r="TK5" i="3"/>
  <c r="TK4" i="3"/>
  <c r="TQ2" i="3"/>
  <c r="TK61" i="3" l="1"/>
  <c r="TS4" i="3"/>
  <c r="TR4" i="3"/>
  <c r="TN5" i="3"/>
  <c r="TN4" i="3"/>
  <c r="TT2" i="3"/>
  <c r="AI38" i="20"/>
  <c r="AO36" i="20"/>
  <c r="TN61" i="3" l="1"/>
  <c r="TV4" i="3"/>
  <c r="TU4" i="3"/>
  <c r="TQ5" i="3"/>
  <c r="TQ4" i="3"/>
  <c r="TW2" i="3"/>
  <c r="TQ61" i="3" l="1"/>
  <c r="TY4" i="3"/>
  <c r="TX4" i="3"/>
  <c r="TT5" i="3"/>
  <c r="TT4" i="3"/>
  <c r="TZ2" i="3"/>
  <c r="AK38" i="20"/>
  <c r="AJ38" i="20"/>
  <c r="TT61" i="3" l="1"/>
  <c r="UB4" i="3"/>
  <c r="UA4" i="3"/>
  <c r="TW5" i="3"/>
  <c r="TW4" i="3"/>
  <c r="UC2" i="3"/>
  <c r="TW61" i="3" l="1"/>
  <c r="UF2" i="3"/>
  <c r="UE4" i="3"/>
  <c r="UD4" i="3"/>
  <c r="TZ5" i="3"/>
  <c r="TZ4" i="3"/>
  <c r="AL38" i="20"/>
  <c r="TZ61" i="3" l="1"/>
  <c r="AU30" i="20"/>
  <c r="UC5" i="3"/>
  <c r="UC4" i="3"/>
  <c r="UH4" i="3"/>
  <c r="UG4" i="3"/>
  <c r="UI2" i="3"/>
  <c r="AN45" i="20"/>
  <c r="AN42" i="20"/>
  <c r="AN43" i="20"/>
  <c r="UC61" i="3" l="1"/>
  <c r="UK4" i="3"/>
  <c r="UJ4" i="3"/>
  <c r="UL2" i="3"/>
  <c r="UF5" i="3"/>
  <c r="UF61" i="3" s="1"/>
  <c r="UF4" i="3"/>
  <c r="UN4" i="3" l="1"/>
  <c r="UM4" i="3"/>
  <c r="UO2" i="3"/>
  <c r="UI5" i="3"/>
  <c r="UI4" i="3"/>
  <c r="AQ32" i="20" l="1"/>
  <c r="UQ4" i="3"/>
  <c r="UP4" i="3"/>
  <c r="UR2" i="3"/>
  <c r="UL5" i="3"/>
  <c r="UL4" i="3"/>
  <c r="AR32" i="20" l="1"/>
  <c r="UT4" i="3"/>
  <c r="US4" i="3"/>
  <c r="UU2" i="3"/>
  <c r="UO5" i="3"/>
  <c r="UO61" i="3" s="1"/>
  <c r="UO4" i="3"/>
  <c r="AS32" i="20" l="1"/>
  <c r="UW4" i="3"/>
  <c r="UV4" i="3"/>
  <c r="UX2" i="3"/>
  <c r="UR5" i="3"/>
  <c r="UR61" i="3" s="1"/>
  <c r="UR4" i="3"/>
  <c r="AT32" i="20" l="1"/>
  <c r="VA2" i="3"/>
  <c r="UZ4" i="3"/>
  <c r="UY4" i="3"/>
  <c r="UU5" i="3"/>
  <c r="UU61" i="3" s="1"/>
  <c r="UU4" i="3"/>
  <c r="AU32" i="20" l="1"/>
  <c r="UX5" i="3"/>
  <c r="UX61" i="3" s="1"/>
  <c r="UX4" i="3"/>
  <c r="VC4" i="3"/>
  <c r="VB4" i="3"/>
  <c r="VD2" i="3"/>
  <c r="VF4" i="3" l="1"/>
  <c r="VE4" i="3"/>
  <c r="VG2" i="3"/>
  <c r="VA5" i="3"/>
  <c r="VA61" i="3" s="1"/>
  <c r="VA4" i="3"/>
  <c r="VI4" i="3" l="1"/>
  <c r="VH4" i="3"/>
  <c r="VJ2" i="3"/>
  <c r="VD5" i="3"/>
  <c r="VD4" i="3"/>
  <c r="AQ34" i="20" l="1"/>
  <c r="VL4" i="3"/>
  <c r="VK4" i="3"/>
  <c r="VM2" i="3"/>
  <c r="VG5" i="3"/>
  <c r="VG4" i="3"/>
  <c r="AR34" i="20" l="1"/>
  <c r="VO4" i="3"/>
  <c r="VN4" i="3"/>
  <c r="VP2" i="3"/>
  <c r="VJ5" i="3"/>
  <c r="VJ61" i="3" s="1"/>
  <c r="VJ4" i="3"/>
  <c r="AS34" i="20" l="1"/>
  <c r="VR4" i="3"/>
  <c r="VQ4" i="3"/>
  <c r="VS2" i="3"/>
  <c r="VM5" i="3"/>
  <c r="VM61" i="3" s="1"/>
  <c r="VM4" i="3"/>
  <c r="AT34" i="20" l="1"/>
  <c r="VV2" i="3"/>
  <c r="VU4" i="3"/>
  <c r="VT4" i="3"/>
  <c r="VP5" i="3"/>
  <c r="VP61" i="3" s="1"/>
  <c r="VP4" i="3"/>
  <c r="AU34" i="20" l="1"/>
  <c r="VS5" i="3"/>
  <c r="VS61" i="3" s="1"/>
  <c r="VS4" i="3"/>
  <c r="VX4" i="3"/>
  <c r="VW4" i="3"/>
  <c r="VY2" i="3"/>
  <c r="WA4" i="3" l="1"/>
  <c r="VZ4" i="3"/>
  <c r="WB2" i="3"/>
  <c r="VV5" i="3"/>
  <c r="VV61" i="3" s="1"/>
  <c r="VV4" i="3"/>
  <c r="WD4" i="3" l="1"/>
  <c r="WC4" i="3"/>
  <c r="WE2" i="3"/>
  <c r="VY5" i="3"/>
  <c r="VY4" i="3"/>
  <c r="AQ36" i="20" l="1"/>
  <c r="WG4" i="3"/>
  <c r="WF4" i="3"/>
  <c r="WH2" i="3"/>
  <c r="WB5" i="3"/>
  <c r="WB4" i="3"/>
  <c r="AR36" i="20" l="1"/>
  <c r="WJ4" i="3"/>
  <c r="WI4" i="3"/>
  <c r="WK2" i="3"/>
  <c r="WE5" i="3"/>
  <c r="WE61" i="3" s="1"/>
  <c r="WE4" i="3"/>
  <c r="AS36" i="20" l="1"/>
  <c r="WM4" i="3"/>
  <c r="WL4" i="3"/>
  <c r="WN2" i="3"/>
  <c r="WH5" i="3"/>
  <c r="WH61" i="3" s="1"/>
  <c r="WH4" i="3"/>
  <c r="AT36" i="20" l="1"/>
  <c r="WQ2" i="3"/>
  <c r="WP4" i="3"/>
  <c r="WO4" i="3"/>
  <c r="WK5" i="3"/>
  <c r="WK61" i="3" s="1"/>
  <c r="WK4" i="3"/>
  <c r="AU36" i="20" l="1"/>
  <c r="WN5" i="3"/>
  <c r="WN61" i="3" s="1"/>
  <c r="WN4" i="3"/>
  <c r="WS4" i="3"/>
  <c r="WR4" i="3"/>
  <c r="WT2" i="3"/>
  <c r="WV4" i="3" l="1"/>
  <c r="WU4" i="3"/>
  <c r="WW2" i="3"/>
  <c r="WQ5" i="3"/>
  <c r="WQ61" i="3" s="1"/>
  <c r="WQ4" i="3"/>
  <c r="WY4" i="3" l="1"/>
  <c r="WX4" i="3"/>
  <c r="WZ2" i="3"/>
  <c r="WT5" i="3"/>
  <c r="WT61" i="3" s="1"/>
  <c r="WT4" i="3"/>
  <c r="AQ38" i="20" l="1"/>
  <c r="XB4" i="3"/>
  <c r="XA4" i="3"/>
  <c r="XC2" i="3"/>
  <c r="WW5" i="3"/>
  <c r="WW61" i="3" s="1"/>
  <c r="WW4" i="3"/>
  <c r="AR38" i="20" l="1"/>
  <c r="XE4" i="3"/>
  <c r="XD4" i="3"/>
  <c r="XF2" i="3"/>
  <c r="WZ5" i="3"/>
  <c r="WZ61" i="3" s="1"/>
  <c r="WZ4" i="3"/>
  <c r="AS38" i="20" l="1"/>
  <c r="XH4" i="3"/>
  <c r="XG4" i="3"/>
  <c r="XI2" i="3"/>
  <c r="XC5" i="3"/>
  <c r="XC61" i="3" s="1"/>
  <c r="XC4" i="3"/>
  <c r="XL2" i="3" l="1"/>
  <c r="AU38" i="20"/>
  <c r="AT38" i="20"/>
  <c r="XK4" i="3"/>
  <c r="XJ4" i="3"/>
  <c r="XF5" i="3"/>
  <c r="XF61" i="3" s="1"/>
  <c r="XF4" i="3"/>
  <c r="XN4" i="3" l="1"/>
  <c r="XM4" i="3"/>
  <c r="XO2" i="3"/>
  <c r="XI5" i="3"/>
  <c r="XI61" i="3" s="1"/>
  <c r="XI4" i="3"/>
  <c r="XQ4" i="3" l="1"/>
  <c r="XP4" i="3"/>
  <c r="XR2" i="3"/>
  <c r="XL5" i="3"/>
  <c r="XL61" i="3" s="1"/>
  <c r="XL4" i="3"/>
  <c r="XH5" i="3"/>
  <c r="XG5" i="3" s="1"/>
  <c r="XE5" i="3" s="1"/>
  <c r="XD5" i="3" s="1"/>
  <c r="XB5" i="3" s="1"/>
  <c r="XA5" i="3" s="1"/>
  <c r="WY5" i="3" s="1"/>
  <c r="WX5" i="3" s="1"/>
  <c r="WV5" i="3" s="1"/>
  <c r="WU5" i="3" s="1"/>
  <c r="WS5" i="3" s="1"/>
  <c r="WR5" i="3" s="1"/>
  <c r="WP5" i="3" s="1"/>
  <c r="WO5" i="3" s="1"/>
  <c r="WM5" i="3" s="1"/>
  <c r="WL5" i="3" s="1"/>
  <c r="WJ5" i="3" s="1"/>
  <c r="WI5" i="3" s="1"/>
  <c r="WG5" i="3" s="1"/>
  <c r="WF5" i="3" s="1"/>
  <c r="WD5" i="3" s="1"/>
  <c r="WC5" i="3" s="1"/>
  <c r="WA5" i="3" s="1"/>
  <c r="VZ5" i="3" s="1"/>
  <c r="VX5" i="3" s="1"/>
  <c r="VW5" i="3" s="1"/>
  <c r="VU5" i="3" s="1"/>
  <c r="VT5" i="3" s="1"/>
  <c r="VR5" i="3" s="1"/>
  <c r="VQ5" i="3" s="1"/>
  <c r="VO5" i="3" s="1"/>
  <c r="VN5" i="3" s="1"/>
  <c r="VL5" i="3" s="1"/>
  <c r="VK5" i="3" s="1"/>
  <c r="VI5" i="3" s="1"/>
  <c r="VH5" i="3" s="1"/>
  <c r="VF5" i="3" s="1"/>
  <c r="VE5" i="3" s="1"/>
  <c r="VC5" i="3" s="1"/>
  <c r="VB5" i="3" s="1"/>
  <c r="UZ5" i="3" s="1"/>
  <c r="UY5" i="3" s="1"/>
  <c r="UW5" i="3" s="1"/>
  <c r="UV5" i="3" s="1"/>
  <c r="UT5" i="3" s="1"/>
  <c r="US5" i="3" s="1"/>
  <c r="UQ5" i="3" s="1"/>
  <c r="UP5" i="3" s="1"/>
  <c r="UN5" i="3" s="1"/>
  <c r="UM5" i="3" s="1"/>
  <c r="UK5" i="3" s="1"/>
  <c r="UJ5" i="3" s="1"/>
  <c r="UH5" i="3" s="1"/>
  <c r="UG5" i="3" s="1"/>
  <c r="UE5" i="3" s="1"/>
  <c r="UD5" i="3" s="1"/>
  <c r="UB5" i="3" s="1"/>
  <c r="UA5" i="3" s="1"/>
  <c r="TY5" i="3" s="1"/>
  <c r="TX5" i="3" s="1"/>
  <c r="TV5" i="3" s="1"/>
  <c r="TU5" i="3" s="1"/>
  <c r="TS5" i="3" s="1"/>
  <c r="TR5" i="3" s="1"/>
  <c r="TP5" i="3" s="1"/>
  <c r="TO5" i="3" s="1"/>
  <c r="TM5" i="3" s="1"/>
  <c r="TL5" i="3" s="1"/>
  <c r="TJ5" i="3" s="1"/>
  <c r="TI5" i="3" s="1"/>
  <c r="TG5" i="3" s="1"/>
  <c r="TF5" i="3" s="1"/>
  <c r="TD5" i="3" s="1"/>
  <c r="TC5" i="3" s="1"/>
  <c r="TA5" i="3" s="1"/>
  <c r="SZ5" i="3" s="1"/>
  <c r="SX5" i="3" s="1"/>
  <c r="SW5" i="3" s="1"/>
  <c r="SU5" i="3" s="1"/>
  <c r="ST5" i="3" s="1"/>
  <c r="SR5" i="3" s="1"/>
  <c r="SQ5" i="3" s="1"/>
  <c r="SO5" i="3" s="1"/>
  <c r="SN5" i="3" s="1"/>
  <c r="SL5" i="3" s="1"/>
  <c r="SK5" i="3" s="1"/>
  <c r="SI5" i="3" s="1"/>
  <c r="SH5" i="3" s="1"/>
  <c r="SF5" i="3" s="1"/>
  <c r="SE5" i="3" s="1"/>
  <c r="SC5" i="3" s="1"/>
  <c r="SB5" i="3" s="1"/>
  <c r="RZ5" i="3" s="1"/>
  <c r="RY5" i="3" s="1"/>
  <c r="RW5" i="3" s="1"/>
  <c r="RV5" i="3" s="1"/>
  <c r="RT5" i="3" s="1"/>
  <c r="RS5" i="3" s="1"/>
  <c r="RQ5" i="3" s="1"/>
  <c r="RP5" i="3" s="1"/>
  <c r="RN5" i="3" s="1"/>
  <c r="RM5" i="3" s="1"/>
  <c r="RK5" i="3" s="1"/>
  <c r="RJ5" i="3" s="1"/>
  <c r="RH5" i="3" s="1"/>
  <c r="RG5" i="3" s="1"/>
  <c r="RE5" i="3" s="1"/>
  <c r="RD5" i="3" s="1"/>
  <c r="RB5" i="3" s="1"/>
  <c r="RA5" i="3" s="1"/>
  <c r="QY5" i="3" s="1"/>
  <c r="QX5" i="3" s="1"/>
  <c r="QV5" i="3" s="1"/>
  <c r="QU5" i="3" s="1"/>
  <c r="QS5" i="3" s="1"/>
  <c r="QR5" i="3" s="1"/>
  <c r="QP5" i="3" s="1"/>
  <c r="QO5" i="3" s="1"/>
  <c r="QM5" i="3" s="1"/>
  <c r="QL5" i="3" s="1"/>
  <c r="QJ5" i="3" s="1"/>
  <c r="QI5" i="3" s="1"/>
  <c r="QG5" i="3" s="1"/>
  <c r="QF5" i="3" s="1"/>
  <c r="QD5" i="3" s="1"/>
  <c r="QC5" i="3" s="1"/>
  <c r="QA5" i="3" s="1"/>
  <c r="PZ5" i="3" s="1"/>
  <c r="PX5" i="3" s="1"/>
  <c r="PW5" i="3" s="1"/>
  <c r="PU5" i="3" s="1"/>
  <c r="PT5" i="3" s="1"/>
  <c r="PR5" i="3" s="1"/>
  <c r="PQ5" i="3" s="1"/>
  <c r="PO5" i="3" s="1"/>
  <c r="PN5" i="3" s="1"/>
  <c r="PL5" i="3" s="1"/>
  <c r="PK5" i="3" s="1"/>
  <c r="PI5" i="3" s="1"/>
  <c r="PH5" i="3" s="1"/>
  <c r="PF5" i="3" s="1"/>
  <c r="PE5" i="3" s="1"/>
  <c r="PC5" i="3" s="1"/>
  <c r="PB5" i="3" s="1"/>
  <c r="OZ5" i="3" s="1"/>
  <c r="OY5" i="3" s="1"/>
  <c r="OW5" i="3" s="1"/>
  <c r="OV5" i="3" s="1"/>
  <c r="OT5" i="3" s="1"/>
  <c r="OS5" i="3" s="1"/>
  <c r="OQ5" i="3" s="1"/>
  <c r="OP5" i="3" s="1"/>
  <c r="ON5" i="3" s="1"/>
  <c r="OM5" i="3" s="1"/>
  <c r="OK5" i="3" s="1"/>
  <c r="OJ5" i="3" s="1"/>
  <c r="OH5" i="3" s="1"/>
  <c r="OG5" i="3" s="1"/>
  <c r="OE5" i="3" s="1"/>
  <c r="OD5" i="3" s="1"/>
  <c r="OB5" i="3" s="1"/>
  <c r="OA5" i="3" s="1"/>
  <c r="NY5" i="3" s="1"/>
  <c r="NX5" i="3" s="1"/>
  <c r="NV5" i="3" s="1"/>
  <c r="NU5" i="3" s="1"/>
  <c r="NS5" i="3" s="1"/>
  <c r="NR5" i="3" s="1"/>
  <c r="NP5" i="3" s="1"/>
  <c r="NO5" i="3" s="1"/>
  <c r="NM5" i="3" s="1"/>
  <c r="NL5" i="3" s="1"/>
  <c r="NJ5" i="3" s="1"/>
  <c r="NI5" i="3" s="1"/>
  <c r="NG5" i="3" s="1"/>
  <c r="NF5" i="3" s="1"/>
  <c r="ND5" i="3" s="1"/>
  <c r="NC5" i="3" s="1"/>
  <c r="NA5" i="3" s="1"/>
  <c r="MZ5" i="3" s="1"/>
  <c r="MX5" i="3" s="1"/>
  <c r="MW5" i="3" s="1"/>
  <c r="MU5" i="3" s="1"/>
  <c r="MT5" i="3" s="1"/>
  <c r="MR5" i="3" s="1"/>
  <c r="MQ5" i="3" s="1"/>
  <c r="MO5" i="3" s="1"/>
  <c r="MN5" i="3" s="1"/>
  <c r="ML5" i="3" s="1"/>
  <c r="MK5" i="3" s="1"/>
  <c r="MI5" i="3" s="1"/>
  <c r="MH5" i="3" s="1"/>
  <c r="MF5" i="3" s="1"/>
  <c r="ME5" i="3" s="1"/>
  <c r="MC5" i="3" s="1"/>
  <c r="MB5" i="3" s="1"/>
  <c r="LZ5" i="3" s="1"/>
  <c r="LY5" i="3" s="1"/>
  <c r="LW5" i="3" s="1"/>
  <c r="LV5" i="3" s="1"/>
  <c r="LT5" i="3" s="1"/>
  <c r="LS5" i="3" s="1"/>
  <c r="LQ5" i="3" s="1"/>
  <c r="LP5" i="3" s="1"/>
  <c r="LN5" i="3" s="1"/>
  <c r="LM5" i="3" s="1"/>
  <c r="LK5" i="3" s="1"/>
  <c r="LJ5" i="3" s="1"/>
  <c r="LH5" i="3" s="1"/>
  <c r="LG5" i="3" s="1"/>
  <c r="LE5" i="3" s="1"/>
  <c r="LD5" i="3" s="1"/>
  <c r="LB5" i="3" s="1"/>
  <c r="LA5" i="3" s="1"/>
  <c r="KY5" i="3" s="1"/>
  <c r="KX5" i="3" s="1"/>
  <c r="KV5" i="3" s="1"/>
  <c r="KU5" i="3" s="1"/>
  <c r="KS5" i="3" s="1"/>
  <c r="KR5" i="3" s="1"/>
  <c r="KP5" i="3" s="1"/>
  <c r="KO5" i="3" s="1"/>
  <c r="KM5" i="3" s="1"/>
  <c r="KL5" i="3" s="1"/>
  <c r="KJ5" i="3" s="1"/>
  <c r="KI5" i="3" s="1"/>
  <c r="KG5" i="3" s="1"/>
  <c r="KF5" i="3" s="1"/>
  <c r="KD5" i="3" s="1"/>
  <c r="KC5" i="3" s="1"/>
  <c r="KA5" i="3" s="1"/>
  <c r="JZ5" i="3" s="1"/>
  <c r="JX5" i="3" s="1"/>
  <c r="JW5" i="3" s="1"/>
  <c r="JU5" i="3" s="1"/>
  <c r="JT5" i="3" s="1"/>
  <c r="JR5" i="3" s="1"/>
  <c r="JQ5" i="3" s="1"/>
  <c r="JO5" i="3" s="1"/>
  <c r="JN5" i="3" s="1"/>
  <c r="JL5" i="3" s="1"/>
  <c r="JK5" i="3" s="1"/>
  <c r="JI5" i="3" s="1"/>
  <c r="JH5" i="3" s="1"/>
  <c r="JF5" i="3" s="1"/>
  <c r="JE5" i="3" s="1"/>
  <c r="JC5" i="3" s="1"/>
  <c r="JB5" i="3" s="1"/>
  <c r="IZ5" i="3" s="1"/>
  <c r="IY5" i="3" s="1"/>
  <c r="IW5" i="3" s="1"/>
  <c r="IV5" i="3" s="1"/>
  <c r="IT5" i="3" s="1"/>
  <c r="IS5" i="3" s="1"/>
  <c r="IQ5" i="3" s="1"/>
  <c r="IP5" i="3" s="1"/>
  <c r="IN5" i="3" s="1"/>
  <c r="IM5" i="3" s="1"/>
  <c r="IK5" i="3" s="1"/>
  <c r="IJ5" i="3" s="1"/>
  <c r="IH5" i="3" s="1"/>
  <c r="IG5" i="3" s="1"/>
  <c r="IE5" i="3" s="1"/>
  <c r="ID5" i="3" s="1"/>
  <c r="IB5" i="3" s="1"/>
  <c r="IA5" i="3" s="1"/>
  <c r="HY5" i="3" s="1"/>
  <c r="HX5" i="3" s="1"/>
  <c r="HV5" i="3" s="1"/>
  <c r="HU5" i="3" s="1"/>
  <c r="HS5" i="3" s="1"/>
  <c r="HR5" i="3" s="1"/>
  <c r="HP5" i="3" s="1"/>
  <c r="HO5" i="3" s="1"/>
  <c r="HM5" i="3" s="1"/>
  <c r="HL5" i="3" s="1"/>
  <c r="HJ5" i="3" s="1"/>
  <c r="HI5" i="3" s="1"/>
  <c r="HG5" i="3" s="1"/>
  <c r="HF5" i="3" s="1"/>
  <c r="HD5" i="3" s="1"/>
  <c r="HC5" i="3" s="1"/>
  <c r="HA5" i="3" s="1"/>
  <c r="GZ5" i="3" s="1"/>
  <c r="GX5" i="3" s="1"/>
  <c r="GW5" i="3" s="1"/>
  <c r="GU5" i="3" s="1"/>
  <c r="GT5" i="3" s="1"/>
  <c r="GR5" i="3" s="1"/>
  <c r="GQ5" i="3" s="1"/>
  <c r="GO5" i="3" s="1"/>
  <c r="GN5" i="3" s="1"/>
  <c r="GL5" i="3" s="1"/>
  <c r="GK5" i="3" s="1"/>
  <c r="GI5" i="3" s="1"/>
  <c r="GH5" i="3" s="1"/>
  <c r="GF5" i="3" s="1"/>
  <c r="GE5" i="3" s="1"/>
  <c r="GC5" i="3" s="1"/>
  <c r="GB5" i="3" s="1"/>
  <c r="FZ5" i="3" s="1"/>
  <c r="FY5" i="3" s="1"/>
  <c r="FW5" i="3" s="1"/>
  <c r="FV5" i="3" s="1"/>
  <c r="FT5" i="3" s="1"/>
  <c r="FS5" i="3" s="1"/>
  <c r="FQ5" i="3" s="1"/>
  <c r="FP5" i="3" s="1"/>
  <c r="FN5" i="3" s="1"/>
  <c r="FM5" i="3" s="1"/>
  <c r="FK5" i="3" s="1"/>
  <c r="FJ5" i="3" s="1"/>
  <c r="FH5" i="3" s="1"/>
  <c r="FG5" i="3" s="1"/>
  <c r="FE5" i="3" s="1"/>
  <c r="FD5" i="3" s="1"/>
  <c r="FB5" i="3" s="1"/>
  <c r="FA5" i="3" s="1"/>
  <c r="EY5" i="3" s="1"/>
  <c r="EX5" i="3" s="1"/>
  <c r="EV5" i="3" s="1"/>
  <c r="EU5" i="3" s="1"/>
  <c r="ES5" i="3" s="1"/>
  <c r="ER5" i="3" s="1"/>
  <c r="EP5" i="3" s="1"/>
  <c r="EO5" i="3" s="1"/>
  <c r="EM5" i="3" s="1"/>
  <c r="EL5" i="3" s="1"/>
  <c r="EJ5" i="3" s="1"/>
  <c r="EI5" i="3" s="1"/>
  <c r="EG5" i="3" s="1"/>
  <c r="EF5" i="3" s="1"/>
  <c r="ED5" i="3" s="1"/>
  <c r="EC5" i="3" s="1"/>
  <c r="EA5" i="3" s="1"/>
  <c r="DZ5" i="3" s="1"/>
  <c r="DX5" i="3" s="1"/>
  <c r="DW5" i="3" s="1"/>
  <c r="DU5" i="3" s="1"/>
  <c r="DT5" i="3" s="1"/>
  <c r="DR5" i="3" s="1"/>
  <c r="DQ5" i="3" s="1"/>
  <c r="DO5" i="3" s="1"/>
  <c r="DN5" i="3" s="1"/>
  <c r="DL5" i="3" s="1"/>
  <c r="DK5" i="3" s="1"/>
  <c r="DI5" i="3" s="1"/>
  <c r="DH5" i="3" s="1"/>
  <c r="DF5" i="3" s="1"/>
  <c r="DE5" i="3" s="1"/>
  <c r="DC5" i="3" s="1"/>
  <c r="DB5" i="3" s="1"/>
  <c r="CZ5" i="3" s="1"/>
  <c r="CY5" i="3" s="1"/>
  <c r="CW5" i="3" s="1"/>
  <c r="CV5" i="3" s="1"/>
  <c r="CT5" i="3" s="1"/>
  <c r="CS5" i="3" s="1"/>
  <c r="CQ5" i="3" s="1"/>
  <c r="CP5" i="3" s="1"/>
  <c r="CN5" i="3" s="1"/>
  <c r="CM5" i="3" s="1"/>
  <c r="CK5" i="3" s="1"/>
  <c r="CJ5" i="3" s="1"/>
  <c r="CH5" i="3" s="1"/>
  <c r="CG5" i="3" s="1"/>
  <c r="CE5" i="3" s="1"/>
  <c r="CD5" i="3" s="1"/>
  <c r="CB5" i="3" s="1"/>
  <c r="CA5" i="3" s="1"/>
  <c r="BY5" i="3" s="1"/>
  <c r="BX5" i="3" s="1"/>
  <c r="BV5" i="3" s="1"/>
  <c r="BU5" i="3" s="1"/>
  <c r="BS5" i="3" s="1"/>
  <c r="BR5" i="3" s="1"/>
  <c r="BP5" i="3" s="1"/>
  <c r="BO5" i="3" s="1"/>
  <c r="BM5" i="3" s="1"/>
  <c r="BL5" i="3" s="1"/>
  <c r="BJ5" i="3" s="1"/>
  <c r="BI5" i="3" s="1"/>
  <c r="BG5" i="3" s="1"/>
  <c r="BF5" i="3" s="1"/>
  <c r="BD5" i="3" s="1"/>
  <c r="BC5" i="3" s="1"/>
  <c r="BA5" i="3" s="1"/>
  <c r="AZ5" i="3" s="1"/>
  <c r="AX5" i="3" s="1"/>
  <c r="AW5" i="3" s="1"/>
  <c r="AU5" i="3" s="1"/>
  <c r="AT5" i="3" s="1"/>
  <c r="AR5" i="3" s="1"/>
  <c r="AQ5" i="3" s="1"/>
  <c r="AO5" i="3" s="1"/>
  <c r="AN5" i="3" s="1"/>
  <c r="AL5" i="3" s="1"/>
  <c r="AK5" i="3" s="1"/>
  <c r="AI5" i="3" s="1"/>
  <c r="AH5" i="3" s="1"/>
  <c r="AF5" i="3" s="1"/>
  <c r="AE5" i="3" s="1"/>
  <c r="AC5" i="3" s="1"/>
  <c r="AB5" i="3" s="1"/>
  <c r="Z5" i="3" s="1"/>
  <c r="Y5" i="3" s="1"/>
  <c r="W5" i="3" s="1"/>
  <c r="V5" i="3" s="1"/>
  <c r="T5" i="3" s="1"/>
  <c r="S5" i="3" s="1"/>
  <c r="Q5" i="3" s="1"/>
  <c r="P5" i="3" s="1"/>
  <c r="N5" i="3" s="1"/>
  <c r="M5" i="3" s="1"/>
  <c r="K5" i="3" s="1"/>
  <c r="J5" i="3" s="1"/>
  <c r="AV45" i="20" l="1"/>
  <c r="AV43" i="20"/>
  <c r="AV42" i="20"/>
  <c r="XU2" i="3"/>
  <c r="XT4" i="3"/>
  <c r="XS4" i="3"/>
  <c r="XO5" i="3"/>
  <c r="XO61" i="3" s="1"/>
  <c r="XO4" i="3"/>
  <c r="XR5" i="3" l="1"/>
  <c r="XR61" i="3" s="1"/>
  <c r="XR4" i="3"/>
  <c r="XW4" i="3"/>
  <c r="XV4" i="3"/>
  <c r="XX2" i="3"/>
  <c r="XZ4" i="3" l="1"/>
  <c r="XY4" i="3"/>
  <c r="YA2" i="3"/>
  <c r="XU5" i="3"/>
  <c r="XU4" i="3"/>
  <c r="XU61" i="3" l="1"/>
  <c r="YC4" i="3"/>
  <c r="YB4" i="3"/>
  <c r="YD2" i="3"/>
  <c r="XX5" i="3"/>
  <c r="XX61" i="3" l="1"/>
  <c r="YF4" i="3"/>
  <c r="YE4" i="3"/>
  <c r="YG2" i="3"/>
  <c r="YA5" i="3"/>
  <c r="YA4" i="3"/>
  <c r="YA61" i="3" l="1"/>
  <c r="YI4" i="3"/>
  <c r="YH4" i="3"/>
  <c r="YJ2" i="3"/>
  <c r="YD5" i="3"/>
  <c r="YD4" i="3"/>
  <c r="YD61" i="3" l="1"/>
  <c r="YL4" i="3"/>
  <c r="YK4" i="3"/>
  <c r="YM2" i="3"/>
  <c r="YG5" i="3"/>
  <c r="YG4" i="3"/>
  <c r="YG61" i="3" l="1"/>
  <c r="YO4" i="3"/>
  <c r="YN4" i="3"/>
  <c r="YP2" i="3"/>
  <c r="YJ5" i="3"/>
  <c r="YJ4" i="3"/>
  <c r="YJ61" i="3" l="1"/>
  <c r="YR4" i="3"/>
  <c r="YQ4" i="3"/>
  <c r="YS2" i="3"/>
  <c r="YM5" i="3"/>
  <c r="YM4" i="3"/>
  <c r="YM61" i="3" l="1"/>
  <c r="YU4" i="3"/>
  <c r="YT4" i="3"/>
  <c r="YV2" i="3"/>
  <c r="YP5" i="3"/>
  <c r="YP4" i="3"/>
  <c r="YP61" i="3" l="1"/>
  <c r="YX4" i="3"/>
  <c r="YW4" i="3"/>
  <c r="YY2" i="3"/>
  <c r="YS5" i="3"/>
  <c r="YS4" i="3"/>
  <c r="YS61" i="3" l="1"/>
  <c r="ZA4" i="3"/>
  <c r="YZ4" i="3"/>
  <c r="ZB2" i="3"/>
  <c r="YV5" i="3"/>
  <c r="YV4" i="3"/>
  <c r="YV61" i="3" l="1"/>
  <c r="ZD4" i="3"/>
  <c r="ZC4" i="3"/>
  <c r="ZE2" i="3"/>
  <c r="YY5" i="3"/>
  <c r="YY4" i="3"/>
  <c r="YY61" i="3" l="1"/>
  <c r="YX5" i="3"/>
  <c r="YW5" i="3" s="1"/>
  <c r="YU5" i="3" s="1"/>
  <c r="YT5" i="3" s="1"/>
  <c r="YR5" i="3" s="1"/>
  <c r="YQ5" i="3" s="1"/>
  <c r="YO5" i="3" s="1"/>
  <c r="YN5" i="3" s="1"/>
  <c r="YL5" i="3" s="1"/>
  <c r="YK5" i="3" s="1"/>
  <c r="YI5" i="3" s="1"/>
  <c r="YH5" i="3" s="1"/>
  <c r="YF5" i="3" s="1"/>
  <c r="YE5" i="3" s="1"/>
  <c r="YC5" i="3" s="1"/>
  <c r="YB5" i="3" s="1"/>
  <c r="XZ5" i="3" s="1"/>
  <c r="XY5" i="3" s="1"/>
  <c r="XW5" i="3" s="1"/>
  <c r="XV5" i="3" s="1"/>
  <c r="XT5" i="3" s="1"/>
  <c r="XS5" i="3" s="1"/>
  <c r="XQ5" i="3" s="1"/>
  <c r="XP5" i="3" s="1"/>
  <c r="XN5" i="3" s="1"/>
  <c r="XM5" i="3" s="1"/>
  <c r="ZG4" i="3"/>
  <c r="ZF4" i="3"/>
  <c r="ZH2" i="3"/>
  <c r="ZB5" i="3"/>
  <c r="ZB4" i="3"/>
  <c r="ZB61" i="3" l="1"/>
  <c r="ZK2" i="3"/>
  <c r="ZJ4" i="3"/>
  <c r="ZI4" i="3"/>
  <c r="ZE5" i="3"/>
  <c r="ZE4" i="3"/>
  <c r="ZE61" i="3" l="1"/>
  <c r="ZH5" i="3"/>
  <c r="ZH4" i="3"/>
  <c r="ZM4" i="3"/>
  <c r="ZL4" i="3"/>
  <c r="ZN2" i="3"/>
  <c r="ZH61" i="3" l="1"/>
  <c r="ZP4" i="3"/>
  <c r="ZO4" i="3"/>
  <c r="ZQ2" i="3"/>
  <c r="ZK5" i="3"/>
  <c r="ZK4" i="3"/>
  <c r="ZK61" i="3" l="1"/>
  <c r="ZS4" i="3"/>
  <c r="ZR4" i="3"/>
  <c r="ZT2" i="3"/>
  <c r="ZN5" i="3"/>
  <c r="ZN4" i="3"/>
  <c r="ZN61" i="3" l="1"/>
  <c r="ZV4" i="3"/>
  <c r="ZU4" i="3"/>
  <c r="ZW2" i="3"/>
  <c r="ZQ5" i="3"/>
  <c r="ZQ4" i="3"/>
  <c r="ZQ61" i="3" l="1"/>
  <c r="ZY4" i="3"/>
  <c r="ZX4" i="3"/>
  <c r="ZZ2" i="3"/>
  <c r="ZT5" i="3"/>
  <c r="ZT4" i="3"/>
  <c r="AF191" i="18" l="1"/>
  <c r="AJ69" i="18"/>
  <c r="AG69" i="18"/>
  <c r="AD69" i="18"/>
  <c r="AJ68" i="18"/>
  <c r="AG68" i="18"/>
  <c r="AE66" i="18"/>
  <c r="AJ65" i="18"/>
  <c r="AG65" i="18"/>
  <c r="AF45" i="18"/>
  <c r="AC45" i="18"/>
  <c r="AI44" i="18"/>
  <c r="AB44" i="18"/>
  <c r="AH8" i="18"/>
  <c r="AG6" i="18"/>
  <c r="AH3" i="18"/>
  <c r="AH193" i="18"/>
  <c r="AI192" i="18"/>
  <c r="AB191" i="18"/>
  <c r="AH190" i="18"/>
  <c r="AE190" i="18"/>
  <c r="AB190" i="18"/>
  <c r="AH189" i="18"/>
  <c r="AE189" i="18"/>
  <c r="AB189" i="18"/>
  <c r="AH188" i="18"/>
  <c r="AE188" i="18"/>
  <c r="AB188" i="18"/>
  <c r="AD7" i="18"/>
  <c r="AC7" i="18"/>
  <c r="AE191" i="18"/>
  <c r="AD191" i="18"/>
  <c r="AC192" i="18"/>
  <c r="AD68" i="18"/>
  <c r="AD65" i="18"/>
  <c r="AE68" i="18"/>
  <c r="AE65" i="18"/>
  <c r="AF187" i="18"/>
  <c r="AC186" i="18"/>
  <c r="AI69" i="18"/>
  <c r="AF69" i="18"/>
  <c r="AC69" i="18"/>
  <c r="AI68" i="18"/>
  <c r="AF68" i="18"/>
  <c r="AC66" i="18"/>
  <c r="AI65" i="18"/>
  <c r="AF65" i="18"/>
  <c r="AI46" i="18"/>
  <c r="AE45" i="18"/>
  <c r="AB45" i="18"/>
  <c r="AH44" i="18"/>
  <c r="AI7" i="18"/>
  <c r="AI6" i="18"/>
  <c r="AB193" i="18"/>
  <c r="AH192" i="18"/>
  <c r="AI191" i="18"/>
  <c r="AG190" i="18"/>
  <c r="AD190" i="18"/>
  <c r="AG189" i="18"/>
  <c r="AD189" i="18"/>
  <c r="AG188" i="18"/>
  <c r="AD188" i="18"/>
  <c r="AE7" i="18"/>
  <c r="AC193" i="18"/>
  <c r="AE193" i="18"/>
  <c r="AD192" i="18"/>
  <c r="AC65" i="18"/>
  <c r="AC6" i="18"/>
  <c r="AD66" i="18"/>
  <c r="AC44" i="18"/>
  <c r="AE44" i="18"/>
  <c r="AH187" i="18"/>
  <c r="AE187" i="18"/>
  <c r="AB187" i="18"/>
  <c r="AH186" i="18"/>
  <c r="AE186" i="18"/>
  <c r="AB186" i="18"/>
  <c r="AF192" i="18"/>
  <c r="AH69" i="18"/>
  <c r="AE69" i="18"/>
  <c r="AB69" i="18"/>
  <c r="AH68" i="18"/>
  <c r="AB68" i="18"/>
  <c r="AF66" i="18"/>
  <c r="AB66" i="18"/>
  <c r="AH65" i="18"/>
  <c r="AB65" i="18"/>
  <c r="AH46" i="18"/>
  <c r="AG45" i="18"/>
  <c r="AD45" i="18"/>
  <c r="AG44" i="18"/>
  <c r="AI8" i="18"/>
  <c r="AH7" i="18"/>
  <c r="AH6" i="18"/>
  <c r="AI3" i="18"/>
  <c r="AI5" i="18" s="1"/>
  <c r="AI193" i="18"/>
  <c r="AB192" i="18"/>
  <c r="AH191" i="18"/>
  <c r="AI190" i="18"/>
  <c r="AF190" i="18"/>
  <c r="AC190" i="18"/>
  <c r="AI189" i="18"/>
  <c r="AF189" i="18"/>
  <c r="AC189" i="18"/>
  <c r="AI188" i="18"/>
  <c r="AF188" i="18"/>
  <c r="AC188" i="18"/>
  <c r="AF44" i="18"/>
  <c r="AE192" i="18"/>
  <c r="AD193" i="18"/>
  <c r="AC191" i="18"/>
  <c r="AC68" i="18"/>
  <c r="AD6" i="18"/>
  <c r="AE6" i="18"/>
  <c r="AD44" i="18"/>
  <c r="AF6" i="18"/>
  <c r="AG187" i="18"/>
  <c r="AD187" i="18"/>
  <c r="AG186" i="18"/>
  <c r="AD186" i="18"/>
  <c r="AF7" i="18"/>
  <c r="AI187" i="18"/>
  <c r="AC187" i="18"/>
  <c r="AI186" i="18"/>
  <c r="AF186" i="18"/>
  <c r="AF193" i="18"/>
  <c r="AI197" i="18"/>
  <c r="AH197" i="18"/>
  <c r="AF197" i="18"/>
  <c r="AG197" i="18"/>
  <c r="AG66" i="18"/>
  <c r="AH45" i="18"/>
  <c r="AI45" i="18"/>
  <c r="ZT61" i="3"/>
  <c r="AAB4" i="3"/>
  <c r="AAA4" i="3"/>
  <c r="AAC2" i="3"/>
  <c r="ZW5" i="3"/>
  <c r="ZW4" i="3"/>
  <c r="AI204" i="18" l="1"/>
  <c r="AH66" i="18"/>
  <c r="AI66" i="18"/>
  <c r="AJ66" i="18"/>
  <c r="ZW61" i="3"/>
  <c r="AH5" i="18"/>
  <c r="AH204" i="18"/>
  <c r="AAE4" i="3"/>
  <c r="AAD4" i="3"/>
  <c r="AAF2" i="3"/>
  <c r="ZZ5" i="3"/>
  <c r="ZZ4" i="3"/>
  <c r="AG192" i="18" l="1"/>
  <c r="AG8" i="18"/>
  <c r="AG7" i="18"/>
  <c r="ZZ61" i="3"/>
  <c r="AAH4" i="3"/>
  <c r="AAG4" i="3"/>
  <c r="AAI2" i="3"/>
  <c r="AAC5" i="3"/>
  <c r="AAC4" i="3"/>
  <c r="AG191" i="18" l="1"/>
  <c r="AG193" i="18"/>
  <c r="AAC61" i="3"/>
  <c r="AAK4" i="3"/>
  <c r="AAJ4" i="3"/>
  <c r="AAL2" i="3"/>
  <c r="AAF5" i="3"/>
  <c r="AAF4" i="3"/>
  <c r="AAF61" i="3" l="1"/>
  <c r="AAN4" i="3"/>
  <c r="AAM4" i="3"/>
  <c r="AAO2" i="3"/>
  <c r="AAI5" i="3"/>
  <c r="AAI4" i="3"/>
  <c r="AAI61" i="3" l="1"/>
  <c r="AAQ4" i="3"/>
  <c r="AAP4" i="3"/>
  <c r="AAR2" i="3"/>
  <c r="AAL5" i="3"/>
  <c r="AAL4" i="3"/>
  <c r="AAL61" i="3" l="1"/>
  <c r="AAT4" i="3"/>
  <c r="AAS4" i="3"/>
  <c r="AAU2" i="3"/>
  <c r="AAO5" i="3"/>
  <c r="AAO4" i="3"/>
  <c r="AAO61" i="3" l="1"/>
  <c r="AAN5" i="3"/>
  <c r="AAM5" i="3" s="1"/>
  <c r="AAK5" i="3" s="1"/>
  <c r="AAJ5" i="3" s="1"/>
  <c r="AAH5" i="3" s="1"/>
  <c r="AAG5" i="3" s="1"/>
  <c r="AAE5" i="3" s="1"/>
  <c r="AAD5" i="3" s="1"/>
  <c r="AAB5" i="3" s="1"/>
  <c r="AAA5" i="3" s="1"/>
  <c r="ZY5" i="3" s="1"/>
  <c r="ZX5" i="3" s="1"/>
  <c r="ZV5" i="3" s="1"/>
  <c r="ZU5" i="3" s="1"/>
  <c r="ZS5" i="3" s="1"/>
  <c r="ZR5" i="3" s="1"/>
  <c r="ZP5" i="3" s="1"/>
  <c r="ZO5" i="3" s="1"/>
  <c r="ZM5" i="3" s="1"/>
  <c r="ZL5" i="3" s="1"/>
  <c r="ZJ5" i="3" s="1"/>
  <c r="ZI5" i="3" s="1"/>
  <c r="ZG5" i="3" s="1"/>
  <c r="ZF5" i="3" s="1"/>
  <c r="ZD5" i="3" s="1"/>
  <c r="ZC5" i="3" s="1"/>
  <c r="AAW4" i="3"/>
  <c r="AAV4" i="3"/>
  <c r="AAX2" i="3"/>
  <c r="AAR5" i="3"/>
  <c r="AAR4" i="3"/>
  <c r="AAR61" i="3" l="1"/>
  <c r="ABA2" i="3"/>
  <c r="AAZ4" i="3"/>
  <c r="AAY4" i="3"/>
  <c r="AAU5" i="3"/>
  <c r="AAU4" i="3"/>
  <c r="AY38" i="20" l="1"/>
  <c r="AAU61" i="3"/>
  <c r="ABC4" i="3"/>
  <c r="ABB4" i="3"/>
  <c r="ABD2" i="3"/>
  <c r="AAX5" i="3"/>
  <c r="AAX4" i="3"/>
  <c r="ABG2" i="3" l="1"/>
  <c r="AZ38" i="20"/>
  <c r="AAX61" i="3"/>
  <c r="ABF4" i="3"/>
  <c r="ABE4" i="3"/>
  <c r="ABA5" i="3"/>
  <c r="ABA4" i="3"/>
  <c r="ABA61" i="3" l="1"/>
  <c r="ABI4" i="3"/>
  <c r="ABH4" i="3"/>
  <c r="ABJ2" i="3"/>
  <c r="ABD5" i="3"/>
  <c r="ABD4" i="3"/>
  <c r="AJ197" i="18" l="1"/>
  <c r="AJ45" i="18"/>
  <c r="AJ46" i="18"/>
  <c r="AJ7" i="18"/>
  <c r="AJ6" i="18"/>
  <c r="AJ8" i="18"/>
  <c r="AJ3" i="18"/>
  <c r="AJ190" i="18"/>
  <c r="AJ189" i="18"/>
  <c r="AJ188" i="18"/>
  <c r="AJ187" i="18"/>
  <c r="AJ44" i="18"/>
  <c r="AJ192" i="18"/>
  <c r="AJ186" i="18"/>
  <c r="ABD61" i="3"/>
  <c r="ABL4" i="3"/>
  <c r="ABK4" i="3"/>
  <c r="ABM2" i="3"/>
  <c r="ABG5" i="3"/>
  <c r="ABG4" i="3"/>
  <c r="AJ193" i="18" l="1"/>
  <c r="AJ191" i="18"/>
  <c r="ABG61" i="3"/>
  <c r="AJ5" i="18"/>
  <c r="AJ204" i="18"/>
  <c r="ABO4" i="3"/>
  <c r="ABN4" i="3"/>
  <c r="ABP2" i="3"/>
  <c r="ABJ5" i="3"/>
  <c r="ABJ4" i="3"/>
  <c r="ABI5" i="3" l="1"/>
  <c r="ABH5" i="3" s="1"/>
  <c r="ABF5" i="3" s="1"/>
  <c r="ABE5" i="3" s="1"/>
  <c r="ABC5" i="3" s="1"/>
  <c r="ABB5" i="3" s="1"/>
  <c r="AAZ5" i="3" s="1"/>
  <c r="AAY5" i="3" s="1"/>
  <c r="AAW5" i="3" s="1"/>
  <c r="AAV5" i="3" s="1"/>
  <c r="AAT5" i="3" s="1"/>
  <c r="AAS5" i="3" s="1"/>
  <c r="ABJ61" i="3"/>
  <c r="ABR4" i="3"/>
  <c r="ABQ4" i="3"/>
  <c r="ABS2" i="3"/>
  <c r="ABM5" i="3"/>
  <c r="ABM4" i="3"/>
  <c r="ABM61" i="3" l="1"/>
  <c r="ABV2" i="3"/>
  <c r="ABX4" i="3"/>
  <c r="ABW4" i="3"/>
  <c r="ABU4" i="3"/>
  <c r="ABT4" i="3"/>
  <c r="ABP5" i="3"/>
  <c r="ABP4" i="3"/>
  <c r="ABY2" i="3" l="1"/>
  <c r="ABP61" i="3"/>
  <c r="ACA4" i="3"/>
  <c r="ABZ4" i="3"/>
  <c r="ACB2" i="3"/>
  <c r="ABV5" i="3"/>
  <c r="ABV61" i="3" s="1"/>
  <c r="ABV4" i="3"/>
  <c r="ABS5" i="3"/>
  <c r="ABS4" i="3"/>
  <c r="AH201" i="18" l="1"/>
  <c r="AB201" i="18"/>
  <c r="AE201" i="18"/>
  <c r="AJ201" i="18"/>
  <c r="AG201" i="18"/>
  <c r="AD201" i="18"/>
  <c r="AI201" i="18"/>
  <c r="AF201" i="18"/>
  <c r="AC201" i="18"/>
  <c r="ACD4" i="3"/>
  <c r="ACC4" i="3"/>
  <c r="ACE2" i="3"/>
  <c r="ABY5" i="3"/>
  <c r="ABY4" i="3"/>
  <c r="ABY61" i="3" l="1"/>
  <c r="ACG4" i="3"/>
  <c r="ACF4" i="3"/>
  <c r="ACH2" i="3"/>
  <c r="ACB5" i="3"/>
  <c r="ACB4" i="3"/>
  <c r="ACB61" i="3" l="1"/>
  <c r="ACJ4" i="3"/>
  <c r="ACI4" i="3"/>
  <c r="ACK2" i="3"/>
  <c r="ACE5" i="3"/>
  <c r="ACE4" i="3"/>
  <c r="ACD5" i="3" l="1"/>
  <c r="ACC5" i="3" s="1"/>
  <c r="ACA5" i="3" s="1"/>
  <c r="ABZ5" i="3" s="1"/>
  <c r="ABX5" i="3" s="1"/>
  <c r="ABW5" i="3" s="1"/>
  <c r="ABU5" i="3" s="1"/>
  <c r="ABT5" i="3" s="1"/>
  <c r="ABR5" i="3" s="1"/>
  <c r="ABQ5" i="3" s="1"/>
  <c r="ABO5" i="3" s="1"/>
  <c r="ABN5" i="3" s="1"/>
  <c r="ACE61" i="3"/>
  <c r="BA34" i="20"/>
  <c r="AZ34" i="20"/>
  <c r="AZ32" i="20"/>
  <c r="BA32" i="20"/>
  <c r="AZ36" i="20"/>
  <c r="BA36" i="20"/>
  <c r="BC36" i="20"/>
  <c r="BB32" i="20"/>
  <c r="AZ30" i="20"/>
  <c r="BC30" i="20"/>
  <c r="AY32" i="20"/>
  <c r="BD34" i="20"/>
  <c r="BC34" i="20"/>
  <c r="BB34" i="20"/>
  <c r="BA30" i="20"/>
  <c r="AY34" i="20"/>
  <c r="AY30" i="20"/>
  <c r="BD36" i="20"/>
  <c r="BC32" i="20"/>
  <c r="BB36" i="20"/>
  <c r="BB30" i="20"/>
  <c r="AY36" i="20"/>
  <c r="ACM4" i="3"/>
  <c r="ACL4" i="3"/>
  <c r="ACN2" i="3"/>
  <c r="ACH5" i="3"/>
  <c r="ACH4" i="3"/>
  <c r="ACH61" i="3" l="1"/>
  <c r="BD43" i="20"/>
  <c r="BD42" i="20"/>
  <c r="BD45" i="20"/>
  <c r="ACP4" i="3"/>
  <c r="ACO4" i="3"/>
  <c r="ACQ2" i="3"/>
  <c r="ACK5" i="3"/>
  <c r="ACK4" i="3"/>
  <c r="ACS4" i="3" l="1"/>
  <c r="ACR4" i="3"/>
  <c r="ACT2" i="3"/>
  <c r="ACN5" i="3"/>
  <c r="ACN4" i="3"/>
  <c r="ACV4" i="3" l="1"/>
  <c r="ACU4" i="3"/>
  <c r="ACW2" i="3"/>
  <c r="ACQ5" i="3"/>
  <c r="ACQ4" i="3"/>
  <c r="ACQ61" i="3" l="1"/>
  <c r="ACY4" i="3"/>
  <c r="ACX4" i="3"/>
  <c r="ACZ2" i="3"/>
  <c r="ACT5" i="3"/>
  <c r="ACT4" i="3"/>
  <c r="ACT61" i="3" l="1"/>
  <c r="ADB4" i="3"/>
  <c r="ADA4" i="3"/>
  <c r="ADC2" i="3"/>
  <c r="ACW5" i="3"/>
  <c r="ACW4" i="3"/>
  <c r="ACW61" i="3" l="1"/>
  <c r="ADE4" i="3"/>
  <c r="ADD4" i="3"/>
  <c r="ADF2" i="3"/>
  <c r="ACZ5" i="3"/>
  <c r="ACZ4" i="3"/>
  <c r="ACZ61" i="3" l="1"/>
  <c r="ACY5" i="3"/>
  <c r="ACX5" i="3" s="1"/>
  <c r="ACV5" i="3" s="1"/>
  <c r="ACU5" i="3" s="1"/>
  <c r="ACS5" i="3" s="1"/>
  <c r="ACR5" i="3" s="1"/>
  <c r="ACP5" i="3" s="1"/>
  <c r="ACO5" i="3" s="1"/>
  <c r="ACM5" i="3" s="1"/>
  <c r="ACL5" i="3" s="1"/>
  <c r="ACJ5" i="3" s="1"/>
  <c r="ACI5" i="3" s="1"/>
  <c r="ADH4" i="3"/>
  <c r="ADG4" i="3"/>
  <c r="ADI2" i="3"/>
  <c r="ADC5" i="3"/>
  <c r="ADC4" i="3"/>
  <c r="ADC61" i="3" l="1"/>
  <c r="ADL2" i="3"/>
  <c r="ADK4" i="3"/>
  <c r="ADJ4" i="3"/>
  <c r="ADF5" i="3"/>
  <c r="ADF4" i="3"/>
  <c r="ADF61" i="3" l="1"/>
  <c r="ADI5" i="3"/>
  <c r="ADI4" i="3"/>
  <c r="ADN4" i="3"/>
  <c r="ADM4" i="3"/>
  <c r="ADO2" i="3"/>
  <c r="ADQ4" i="3" l="1"/>
  <c r="ADP4" i="3"/>
  <c r="ADR2" i="3"/>
  <c r="ADL5" i="3"/>
  <c r="ADL4" i="3"/>
  <c r="ADL61" i="3" l="1"/>
  <c r="ADT4" i="3"/>
  <c r="ADS4" i="3"/>
  <c r="ADU2" i="3"/>
  <c r="ADO5" i="3"/>
  <c r="ADO4" i="3"/>
  <c r="ADO61" i="3" l="1"/>
  <c r="ADW4" i="3"/>
  <c r="ADV4" i="3"/>
  <c r="ADX2" i="3"/>
  <c r="ADR5" i="3"/>
  <c r="ADR4" i="3"/>
  <c r="ADR61" i="3" l="1"/>
  <c r="ADZ4" i="3"/>
  <c r="ADY4" i="3"/>
  <c r="AEA2" i="3"/>
  <c r="ADU5" i="3"/>
  <c r="ADU4" i="3"/>
  <c r="ADU61" i="3" l="1"/>
  <c r="ADT5" i="3"/>
  <c r="ADS5" i="3" s="1"/>
  <c r="ADQ5" i="3" s="1"/>
  <c r="ADP5" i="3" s="1"/>
  <c r="ADN5" i="3" s="1"/>
  <c r="ADM5" i="3" s="1"/>
  <c r="ADK5" i="3" s="1"/>
  <c r="ADJ5" i="3" s="1"/>
  <c r="ADH5" i="3" s="1"/>
  <c r="ADG5" i="3" s="1"/>
  <c r="ADE5" i="3" s="1"/>
  <c r="ADD5" i="3" s="1"/>
  <c r="AEC4" i="3"/>
  <c r="AEB4" i="3"/>
  <c r="AED2" i="3"/>
  <c r="ADX5" i="3"/>
  <c r="ADX4" i="3"/>
  <c r="ADX61" i="3" l="1"/>
  <c r="AEF4" i="3"/>
  <c r="AEE4" i="3"/>
  <c r="AEG2" i="3"/>
  <c r="AEA5" i="3"/>
  <c r="AEA4" i="3"/>
  <c r="AEA61" i="3" l="1"/>
  <c r="AEI4" i="3"/>
  <c r="AEH4" i="3"/>
  <c r="AEJ2" i="3"/>
  <c r="AED5" i="3"/>
  <c r="AED4" i="3"/>
  <c r="AED61" i="3" l="1"/>
  <c r="AEL4" i="3"/>
  <c r="AEK4" i="3"/>
  <c r="AEM2" i="3"/>
  <c r="AEG5" i="3"/>
  <c r="AEG4" i="3"/>
  <c r="AEG61" i="3" l="1"/>
  <c r="AEO4" i="3"/>
  <c r="AEN4" i="3"/>
  <c r="AEP2" i="3"/>
  <c r="AEJ5" i="3"/>
  <c r="AEJ4" i="3"/>
  <c r="AEJ61" i="3" l="1"/>
  <c r="AER4" i="3"/>
  <c r="AEQ4" i="3"/>
  <c r="AES2" i="3"/>
  <c r="AEM5" i="3"/>
  <c r="AEM4" i="3"/>
  <c r="AEM61" i="3" l="1"/>
  <c r="AEU4" i="3"/>
  <c r="AET4" i="3"/>
  <c r="AEV2" i="3"/>
  <c r="AEP5" i="3"/>
  <c r="AEP4" i="3"/>
  <c r="AEP61" i="3" l="1"/>
  <c r="AK189" i="18"/>
  <c r="AK190" i="18"/>
  <c r="AK186" i="18"/>
  <c r="AK188" i="18"/>
  <c r="AK187" i="18"/>
  <c r="AK45" i="18"/>
  <c r="AK3" i="18"/>
  <c r="AK201" i="18"/>
  <c r="AK44" i="18"/>
  <c r="AK69" i="18"/>
  <c r="AK68" i="18"/>
  <c r="AK65" i="18"/>
  <c r="AK46" i="18"/>
  <c r="AK6" i="18"/>
  <c r="AEO5" i="3"/>
  <c r="AEN5" i="3" s="1"/>
  <c r="AEL5" i="3" s="1"/>
  <c r="AEK5" i="3" s="1"/>
  <c r="AEI5" i="3" s="1"/>
  <c r="AEH5" i="3" s="1"/>
  <c r="AEF5" i="3" s="1"/>
  <c r="AEE5" i="3" s="1"/>
  <c r="AEC5" i="3" s="1"/>
  <c r="AEB5" i="3" s="1"/>
  <c r="ADZ5" i="3" s="1"/>
  <c r="ADY5" i="3" s="1"/>
  <c r="AEX4" i="3"/>
  <c r="AEW4" i="3"/>
  <c r="AEY2" i="3"/>
  <c r="AES5" i="3"/>
  <c r="AES4" i="3"/>
  <c r="AES61" i="3" l="1"/>
  <c r="AK192" i="18"/>
  <c r="AK193" i="18"/>
  <c r="AK191" i="18"/>
  <c r="AK66" i="18"/>
  <c r="AK7" i="18"/>
  <c r="AK8" i="18"/>
  <c r="BG32" i="20"/>
  <c r="BI30" i="20"/>
  <c r="BJ30" i="20"/>
  <c r="BK30" i="20"/>
  <c r="BL30" i="20"/>
  <c r="BH32" i="20"/>
  <c r="BI32" i="20"/>
  <c r="BJ32" i="20"/>
  <c r="BK32" i="20"/>
  <c r="BG34" i="20"/>
  <c r="BH34" i="20"/>
  <c r="BI34" i="20"/>
  <c r="BJ34" i="20"/>
  <c r="BK34" i="20"/>
  <c r="BL34" i="20"/>
  <c r="BM34" i="20"/>
  <c r="BG36" i="20"/>
  <c r="BH36" i="20"/>
  <c r="BI36" i="20"/>
  <c r="BJ36" i="20"/>
  <c r="BK36" i="20"/>
  <c r="BL36" i="20"/>
  <c r="BM36" i="20"/>
  <c r="BG38" i="20"/>
  <c r="BH38" i="20"/>
  <c r="BI38" i="20"/>
  <c r="BJ38" i="20"/>
  <c r="BK38" i="20"/>
  <c r="AFB2" i="3"/>
  <c r="AFC4" i="3" s="1"/>
  <c r="AFD4" i="3"/>
  <c r="AK5" i="18"/>
  <c r="AK204" i="18"/>
  <c r="AFA4" i="3"/>
  <c r="AEZ4" i="3"/>
  <c r="AEV5" i="3"/>
  <c r="AEV4" i="3"/>
  <c r="AEV61" i="3" l="1"/>
  <c r="AFE2" i="3"/>
  <c r="BL45" i="20"/>
  <c r="BL43" i="20"/>
  <c r="BL42" i="20"/>
  <c r="AFG4" i="3"/>
  <c r="AFF4" i="3"/>
  <c r="AFH2" i="3"/>
  <c r="AFB5" i="3"/>
  <c r="AFB61" i="3" s="1"/>
  <c r="AFB4" i="3"/>
  <c r="AEY5" i="3"/>
  <c r="AEY4" i="3"/>
  <c r="AFJ4" i="3" l="1"/>
  <c r="AFI4" i="3"/>
  <c r="AFK2" i="3"/>
  <c r="AFE5" i="3"/>
  <c r="AFE4" i="3"/>
  <c r="AFE61" i="3" l="1"/>
  <c r="AFM4" i="3"/>
  <c r="AFL4" i="3"/>
  <c r="AFN2" i="3"/>
  <c r="AFH5" i="3"/>
  <c r="AFH4" i="3"/>
  <c r="AFH61" i="3" l="1"/>
  <c r="AFP4" i="3"/>
  <c r="AFO4" i="3"/>
  <c r="AFQ2" i="3"/>
  <c r="AFK5" i="3"/>
  <c r="AFK4" i="3"/>
  <c r="AFJ5" i="3" l="1"/>
  <c r="AFI5" i="3" s="1"/>
  <c r="AFG5" i="3" s="1"/>
  <c r="AFF5" i="3" s="1"/>
  <c r="AFD5" i="3" s="1"/>
  <c r="AFC5" i="3" s="1"/>
  <c r="AFA5" i="3" s="1"/>
  <c r="AEZ5" i="3" s="1"/>
  <c r="AEX5" i="3" s="1"/>
  <c r="AEW5" i="3" s="1"/>
  <c r="AEU5" i="3" s="1"/>
  <c r="AET5" i="3" s="1"/>
  <c r="AFK61" i="3"/>
  <c r="AFS4" i="3"/>
  <c r="AFR4" i="3"/>
  <c r="AFT2" i="3"/>
  <c r="AFN5" i="3"/>
  <c r="AFN4" i="3"/>
  <c r="AFN61" i="3" l="1"/>
  <c r="AFW2" i="3"/>
  <c r="AFV4" i="3"/>
  <c r="AFU4" i="3"/>
  <c r="AFQ5" i="3"/>
  <c r="AFQ4" i="3"/>
  <c r="AFT5" i="3" l="1"/>
  <c r="AFT4" i="3"/>
  <c r="AFY4" i="3"/>
  <c r="AFX4" i="3"/>
  <c r="AFZ2" i="3"/>
  <c r="AGB4" i="3" l="1"/>
  <c r="AGA4" i="3"/>
  <c r="AGC2" i="3"/>
  <c r="AFW5" i="3"/>
  <c r="AFW4" i="3"/>
  <c r="AFW61" i="3" l="1"/>
  <c r="AGE4" i="3"/>
  <c r="AGD4" i="3"/>
  <c r="AGF2" i="3"/>
  <c r="AFZ5" i="3"/>
  <c r="AFZ4" i="3"/>
  <c r="AFZ61" i="3" l="1"/>
  <c r="AGH4" i="3"/>
  <c r="AGG4" i="3"/>
  <c r="AGI2" i="3"/>
  <c r="AGC5" i="3"/>
  <c r="AGC4" i="3"/>
  <c r="AGC61" i="3" l="1"/>
  <c r="AGK4" i="3"/>
  <c r="AGJ4" i="3"/>
  <c r="AGL2" i="3"/>
  <c r="AGF5" i="3"/>
  <c r="AGF4" i="3"/>
  <c r="AGF61" i="3" l="1"/>
  <c r="AGE5" i="3"/>
  <c r="AGD5" i="3" s="1"/>
  <c r="AGB5" i="3" s="1"/>
  <c r="AGA5" i="3" s="1"/>
  <c r="AFY5" i="3" s="1"/>
  <c r="AFX5" i="3" s="1"/>
  <c r="AFV5" i="3" s="1"/>
  <c r="AFU5" i="3" s="1"/>
  <c r="AFS5" i="3" s="1"/>
  <c r="AFR5" i="3" s="1"/>
  <c r="AFP5" i="3" s="1"/>
  <c r="AFO5" i="3" s="1"/>
  <c r="AGN4" i="3"/>
  <c r="AGM4" i="3"/>
  <c r="AGO2" i="3"/>
  <c r="AGI5" i="3"/>
  <c r="AGI4" i="3"/>
  <c r="AGI61" i="3" l="1"/>
  <c r="AGR2" i="3"/>
  <c r="AGQ4" i="3"/>
  <c r="AGP4" i="3"/>
  <c r="AGL5" i="3"/>
  <c r="AGL4" i="3"/>
  <c r="AGL61" i="3" l="1"/>
  <c r="AGO5" i="3"/>
  <c r="AGO4" i="3"/>
  <c r="AGT4" i="3"/>
  <c r="AGS4" i="3"/>
  <c r="AGU2" i="3"/>
  <c r="AGO61" i="3" l="1"/>
  <c r="AGW4" i="3"/>
  <c r="AGV4" i="3"/>
  <c r="AGX2" i="3"/>
  <c r="AGR5" i="3"/>
  <c r="AGR4" i="3"/>
  <c r="AGR61" i="3" l="1"/>
  <c r="AGZ4" i="3"/>
  <c r="AGY4" i="3"/>
  <c r="AHA2" i="3"/>
  <c r="AGU5" i="3"/>
  <c r="AGU4" i="3"/>
  <c r="AGU61" i="3" l="1"/>
  <c r="AHC4" i="3"/>
  <c r="AHB4" i="3"/>
  <c r="AHD2" i="3"/>
  <c r="AGX5" i="3"/>
  <c r="AGX4" i="3"/>
  <c r="AGX61" i="3" l="1"/>
  <c r="AHF4" i="3"/>
  <c r="AHE4" i="3"/>
  <c r="AHG2" i="3"/>
  <c r="AHA5" i="3"/>
  <c r="AHA4" i="3"/>
  <c r="AHA61" i="3" l="1"/>
  <c r="AGZ5" i="3"/>
  <c r="AGY5" i="3" s="1"/>
  <c r="AGW5" i="3" s="1"/>
  <c r="AGV5" i="3" s="1"/>
  <c r="AGT5" i="3" s="1"/>
  <c r="AGS5" i="3" s="1"/>
  <c r="AGQ5" i="3" s="1"/>
  <c r="AGP5" i="3" s="1"/>
  <c r="AGN5" i="3" s="1"/>
  <c r="AGM5" i="3" s="1"/>
  <c r="AGK5" i="3" s="1"/>
  <c r="AGJ5" i="3" s="1"/>
  <c r="AHI4" i="3"/>
  <c r="AHH4" i="3"/>
  <c r="AHJ2" i="3"/>
  <c r="AHD5" i="3"/>
  <c r="AHD4" i="3"/>
  <c r="AHD61" i="3" l="1"/>
  <c r="AHM2" i="3"/>
  <c r="AHL4" i="3"/>
  <c r="AHK4" i="3"/>
  <c r="AHG5" i="3"/>
  <c r="AHG4" i="3"/>
  <c r="AHG61" i="3" l="1"/>
  <c r="AHJ5" i="3"/>
  <c r="AHJ4" i="3"/>
  <c r="AHO4" i="3"/>
  <c r="AHN4" i="3"/>
  <c r="AHP2" i="3"/>
  <c r="AHR4" i="3" l="1"/>
  <c r="AHQ4" i="3"/>
  <c r="AHS2" i="3"/>
  <c r="AHM5" i="3"/>
  <c r="AHM4" i="3"/>
  <c r="AHU4" i="3" l="1"/>
  <c r="AHT4" i="3"/>
  <c r="AHV2" i="3"/>
  <c r="AHP5" i="3"/>
  <c r="AHP4" i="3"/>
  <c r="AHP61" i="3" l="1"/>
  <c r="AHX4" i="3"/>
  <c r="AHW4" i="3"/>
  <c r="AHY2" i="3"/>
  <c r="AHS5" i="3"/>
  <c r="AHS4" i="3"/>
  <c r="AHS61" i="3" l="1"/>
  <c r="AIA4" i="3"/>
  <c r="AHZ4" i="3"/>
  <c r="AIB2" i="3"/>
  <c r="AHV5" i="3"/>
  <c r="AHV4" i="3"/>
  <c r="AHV61" i="3" l="1"/>
  <c r="AHU5" i="3"/>
  <c r="AHT5" i="3" s="1"/>
  <c r="AHR5" i="3" s="1"/>
  <c r="AHQ5" i="3" s="1"/>
  <c r="AHO5" i="3" s="1"/>
  <c r="AHN5" i="3" s="1"/>
  <c r="AHL5" i="3" s="1"/>
  <c r="AHK5" i="3" s="1"/>
  <c r="AHI5" i="3" s="1"/>
  <c r="AHH5" i="3" s="1"/>
  <c r="AHF5" i="3" s="1"/>
  <c r="AHE5" i="3" s="1"/>
  <c r="AID4" i="3"/>
  <c r="AIC4" i="3"/>
  <c r="AIE2" i="3"/>
  <c r="AHY5" i="3"/>
  <c r="AHY4" i="3"/>
  <c r="AHY61" i="3" l="1"/>
  <c r="AIH2" i="3"/>
  <c r="AIJ4" i="3"/>
  <c r="AII4" i="3"/>
  <c r="AIK2" i="3"/>
  <c r="BU38" i="20"/>
  <c r="BU30" i="20"/>
  <c r="BO32" i="20"/>
  <c r="BT30" i="20"/>
  <c r="BP32" i="20"/>
  <c r="BQ32" i="20"/>
  <c r="BR32" i="20"/>
  <c r="BS32" i="20"/>
  <c r="BO34" i="20"/>
  <c r="BP34" i="20"/>
  <c r="BQ34" i="20"/>
  <c r="BR34" i="20"/>
  <c r="BS34" i="20"/>
  <c r="BT34" i="20"/>
  <c r="BU34" i="20"/>
  <c r="BO36" i="20"/>
  <c r="BP36" i="20"/>
  <c r="BQ36" i="20"/>
  <c r="BR36" i="20"/>
  <c r="BS36" i="20"/>
  <c r="BT36" i="20"/>
  <c r="BP38" i="20"/>
  <c r="BQ38" i="20"/>
  <c r="BR38" i="20"/>
  <c r="BS38" i="20"/>
  <c r="BT38" i="20"/>
  <c r="AL45" i="18"/>
  <c r="AIG4" i="3"/>
  <c r="AIF4" i="3"/>
  <c r="AIB5" i="3"/>
  <c r="AIB4" i="3"/>
  <c r="BT45" i="20" l="1"/>
  <c r="AIB61" i="3"/>
  <c r="AL46" i="18"/>
  <c r="AL187" i="18"/>
  <c r="AL188" i="18"/>
  <c r="AL189" i="18"/>
  <c r="AL190" i="18"/>
  <c r="AL186" i="18"/>
  <c r="BX30" i="20"/>
  <c r="BW30" i="20"/>
  <c r="AL44" i="18"/>
  <c r="AIM4" i="3"/>
  <c r="AIL4" i="3"/>
  <c r="AIN2" i="3"/>
  <c r="AIH5" i="3"/>
  <c r="AIH4" i="3"/>
  <c r="BT42" i="20"/>
  <c r="BT43" i="20"/>
  <c r="AIE5" i="3"/>
  <c r="AIE4" i="3"/>
  <c r="AIE61" i="3" l="1"/>
  <c r="AL192" i="18"/>
  <c r="AL193" i="18"/>
  <c r="AIH61" i="3"/>
  <c r="AL191" i="18"/>
  <c r="BY30" i="20"/>
  <c r="AIP4" i="3"/>
  <c r="AIO4" i="3"/>
  <c r="AIQ2" i="3"/>
  <c r="AIK5" i="3"/>
  <c r="AIK4" i="3"/>
  <c r="AID5" i="3"/>
  <c r="AIC5" i="3" s="1"/>
  <c r="AIA5" i="3" s="1"/>
  <c r="AHZ5" i="3" s="1"/>
  <c r="AIK61" i="3" l="1"/>
  <c r="BZ30" i="20"/>
  <c r="AIJ5" i="3"/>
  <c r="AII5" i="3" s="1"/>
  <c r="AIS4" i="3"/>
  <c r="AIR4" i="3"/>
  <c r="AIT2" i="3"/>
  <c r="AIN5" i="3"/>
  <c r="AIN4" i="3"/>
  <c r="AIN61" i="3" l="1"/>
  <c r="CA30" i="20"/>
  <c r="AIW2" i="3"/>
  <c r="AIV4" i="3"/>
  <c r="AIU4" i="3"/>
  <c r="AIQ5" i="3"/>
  <c r="AIQ4" i="3"/>
  <c r="AIQ61" i="3" l="1"/>
  <c r="CB30" i="20"/>
  <c r="AIT5" i="3"/>
  <c r="AIT4" i="3"/>
  <c r="AIY4" i="3"/>
  <c r="AIX4" i="3"/>
  <c r="AIZ2" i="3"/>
  <c r="AIT61" i="3" l="1"/>
  <c r="AIS5" i="3"/>
  <c r="AIR5" i="3" s="1"/>
  <c r="AIP5" i="3" s="1"/>
  <c r="AIO5" i="3" s="1"/>
  <c r="AJB4" i="3"/>
  <c r="AJA4" i="3"/>
  <c r="AJC2" i="3"/>
  <c r="AIW5" i="3"/>
  <c r="AIW4" i="3"/>
  <c r="AIW61" i="3" l="1"/>
  <c r="AJE4" i="3"/>
  <c r="AJD4" i="3"/>
  <c r="AJF2" i="3"/>
  <c r="AIZ5" i="3"/>
  <c r="AIZ4" i="3"/>
  <c r="BX32" i="20" l="1"/>
  <c r="AIY5" i="3"/>
  <c r="AIX5" i="3" s="1"/>
  <c r="AJH4" i="3"/>
  <c r="AJG4" i="3"/>
  <c r="AJI2" i="3"/>
  <c r="AJC5" i="3"/>
  <c r="AJC4" i="3"/>
  <c r="AJC61" i="3" l="1"/>
  <c r="BY32" i="20"/>
  <c r="AJK4" i="3"/>
  <c r="AJJ4" i="3"/>
  <c r="AJL2" i="3"/>
  <c r="AJF5" i="3"/>
  <c r="AJF4" i="3"/>
  <c r="AJF61" i="3" l="1"/>
  <c r="BZ32" i="20"/>
  <c r="AJE5" i="3"/>
  <c r="AJD5" i="3" s="1"/>
  <c r="AJN4" i="3"/>
  <c r="AJM4" i="3"/>
  <c r="AJO2" i="3"/>
  <c r="AJI5" i="3"/>
  <c r="AJI4" i="3"/>
  <c r="AJI61" i="3" l="1"/>
  <c r="CA32" i="20"/>
  <c r="AJR2" i="3"/>
  <c r="AJQ4" i="3"/>
  <c r="AJP4" i="3"/>
  <c r="AJL5" i="3"/>
  <c r="AJL4" i="3"/>
  <c r="AJL61" i="3" l="1"/>
  <c r="CB32" i="20"/>
  <c r="AJO5" i="3"/>
  <c r="AJO4" i="3"/>
  <c r="AJT4" i="3"/>
  <c r="AJS4" i="3"/>
  <c r="AJU2" i="3"/>
  <c r="AJO61" i="3" l="1"/>
  <c r="CC32" i="20"/>
  <c r="AJN5" i="3"/>
  <c r="AJM5" i="3" s="1"/>
  <c r="AJK5" i="3" s="1"/>
  <c r="AJJ5" i="3" s="1"/>
  <c r="AJW4" i="3"/>
  <c r="AJV4" i="3"/>
  <c r="AJX2" i="3"/>
  <c r="AJR5" i="3"/>
  <c r="AJR4" i="3"/>
  <c r="AJR61" i="3" l="1"/>
  <c r="BW34" i="20"/>
  <c r="AJZ4" i="3"/>
  <c r="AJY4" i="3"/>
  <c r="AKA2" i="3"/>
  <c r="AJU5" i="3"/>
  <c r="AJU4" i="3"/>
  <c r="AJU61" i="3" l="1"/>
  <c r="BX34" i="20"/>
  <c r="AJT5" i="3"/>
  <c r="AJS5" i="3" s="1"/>
  <c r="AKC4" i="3"/>
  <c r="AKB4" i="3"/>
  <c r="AKD2" i="3"/>
  <c r="AJX5" i="3"/>
  <c r="AJX4" i="3"/>
  <c r="AJX61" i="3" l="1"/>
  <c r="BY34" i="20"/>
  <c r="AKF4" i="3"/>
  <c r="AKE4" i="3"/>
  <c r="AKG2" i="3"/>
  <c r="AKA5" i="3"/>
  <c r="AKA4" i="3"/>
  <c r="AKA61" i="3" l="1"/>
  <c r="AJZ5" i="3"/>
  <c r="AJY5" i="3" s="1"/>
  <c r="BZ34" i="20"/>
  <c r="AKI4" i="3"/>
  <c r="AKH4" i="3"/>
  <c r="AKJ2" i="3"/>
  <c r="AKD5" i="3"/>
  <c r="AKD4" i="3"/>
  <c r="AKD61" i="3" l="1"/>
  <c r="CA34" i="20"/>
  <c r="AKM2" i="3"/>
  <c r="AKL4" i="3"/>
  <c r="AKK4" i="3"/>
  <c r="AKG5" i="3"/>
  <c r="AKG4" i="3"/>
  <c r="AKG61" i="3" l="1"/>
  <c r="CB34" i="20"/>
  <c r="AKJ5" i="3"/>
  <c r="AKJ4" i="3"/>
  <c r="AKO4" i="3"/>
  <c r="AKN4" i="3"/>
  <c r="AKP2" i="3"/>
  <c r="AKJ61" i="3" l="1"/>
  <c r="AKI5" i="3"/>
  <c r="AKH5" i="3" s="1"/>
  <c r="AKF5" i="3" s="1"/>
  <c r="AKE5" i="3" s="1"/>
  <c r="CC34" i="20"/>
  <c r="AKR4" i="3"/>
  <c r="AKQ4" i="3"/>
  <c r="AKS2" i="3"/>
  <c r="AKM5" i="3"/>
  <c r="AKM4" i="3"/>
  <c r="AKM61" i="3" l="1"/>
  <c r="BW36" i="20"/>
  <c r="AKU4" i="3"/>
  <c r="AKT4" i="3"/>
  <c r="AKV2" i="3"/>
  <c r="AKP5" i="3"/>
  <c r="AKP4" i="3"/>
  <c r="AKP61" i="3" l="1"/>
  <c r="AKO5" i="3"/>
  <c r="AKN5" i="3" s="1"/>
  <c r="BX36" i="20"/>
  <c r="AKX4" i="3"/>
  <c r="AKW4" i="3"/>
  <c r="AKY2" i="3"/>
  <c r="AKS5" i="3"/>
  <c r="AKS4" i="3"/>
  <c r="AKS61" i="3" l="1"/>
  <c r="BY36" i="20"/>
  <c r="ALA4" i="3"/>
  <c r="AKZ4" i="3"/>
  <c r="ALB2" i="3"/>
  <c r="AKV5" i="3"/>
  <c r="AKV4" i="3"/>
  <c r="AKV61" i="3" l="1"/>
  <c r="AKU5" i="3"/>
  <c r="AKT5" i="3" s="1"/>
  <c r="BZ36" i="20"/>
  <c r="ALD4" i="3"/>
  <c r="ALC4" i="3"/>
  <c r="ALE2" i="3"/>
  <c r="AKY5" i="3"/>
  <c r="AKY4" i="3"/>
  <c r="AKY61" i="3" l="1"/>
  <c r="CA36" i="20"/>
  <c r="ALH2" i="3"/>
  <c r="ALG4" i="3"/>
  <c r="ALF4" i="3"/>
  <c r="ALB5" i="3"/>
  <c r="ALB4" i="3"/>
  <c r="CB36" i="20" l="1"/>
  <c r="ALE5" i="3"/>
  <c r="ALE4" i="3"/>
  <c r="ALJ4" i="3"/>
  <c r="ALI4" i="3"/>
  <c r="ALK2" i="3"/>
  <c r="ALE61" i="3" l="1"/>
  <c r="ALD5" i="3"/>
  <c r="ALC5" i="3" s="1"/>
  <c r="ALA5" i="3" s="1"/>
  <c r="AKZ5" i="3" s="1"/>
  <c r="CC36" i="20"/>
  <c r="ALM4" i="3"/>
  <c r="ALL4" i="3"/>
  <c r="ALN2" i="3"/>
  <c r="ALH5" i="3"/>
  <c r="ALH4" i="3"/>
  <c r="ALH61" i="3" l="1"/>
  <c r="BW38" i="20"/>
  <c r="ALP4" i="3"/>
  <c r="ALO4" i="3"/>
  <c r="ALQ2" i="3"/>
  <c r="ALK5" i="3"/>
  <c r="ALK4" i="3"/>
  <c r="ALK61" i="3" l="1"/>
  <c r="ALJ5" i="3"/>
  <c r="ALI5" i="3" s="1"/>
  <c r="BX38" i="20"/>
  <c r="ALS4" i="3"/>
  <c r="ALR4" i="3"/>
  <c r="ALT2" i="3"/>
  <c r="ALN5" i="3"/>
  <c r="ALN4" i="3"/>
  <c r="ALN61" i="3" l="1"/>
  <c r="ALW2" i="3"/>
  <c r="CH30" i="20"/>
  <c r="BY38" i="20"/>
  <c r="CB45" i="20" s="1"/>
  <c r="CB43" i="20"/>
  <c r="CB42" i="20"/>
  <c r="ALV4" i="3"/>
  <c r="ALU4" i="3"/>
  <c r="ALQ5" i="3"/>
  <c r="ALQ4" i="3"/>
  <c r="AL7" i="18" l="1"/>
  <c r="ALQ61" i="3"/>
  <c r="ALP5" i="3"/>
  <c r="ALO5" i="3" s="1"/>
  <c r="ALY4" i="3"/>
  <c r="ALX4" i="3"/>
  <c r="ALZ2" i="3"/>
  <c r="ALT5" i="3"/>
  <c r="AM7" i="18" s="1"/>
  <c r="ALT4" i="3"/>
  <c r="AL197" i="18" l="1"/>
  <c r="AM197" i="18"/>
  <c r="AK197" i="18"/>
  <c r="BC197" i="18" s="1"/>
  <c r="ALT61" i="3"/>
  <c r="AM8" i="18"/>
  <c r="AM193" i="18"/>
  <c r="BC193" i="18" s="1"/>
  <c r="AM192" i="18"/>
  <c r="BC192" i="18" s="1"/>
  <c r="AL8" i="18"/>
  <c r="AM69" i="18"/>
  <c r="AL69" i="18"/>
  <c r="AM190" i="18"/>
  <c r="AM189" i="18"/>
  <c r="AM188" i="18"/>
  <c r="BC188" i="18" s="1"/>
  <c r="AM187" i="18"/>
  <c r="BC187" i="18" s="1"/>
  <c r="AM186" i="18"/>
  <c r="BC186" i="18" s="1"/>
  <c r="AM201" i="18"/>
  <c r="AL201" i="18"/>
  <c r="AM68" i="18"/>
  <c r="AL68" i="18"/>
  <c r="AM6" i="18"/>
  <c r="AL6" i="18"/>
  <c r="AM3" i="18"/>
  <c r="AM204" i="18" s="1"/>
  <c r="AL3" i="18"/>
  <c r="AM65" i="18"/>
  <c r="AL65" i="18"/>
  <c r="AM191" i="18"/>
  <c r="BC191" i="18" s="1"/>
  <c r="CI30" i="20"/>
  <c r="AMC2" i="3"/>
  <c r="BC189" i="18"/>
  <c r="BC190" i="18"/>
  <c r="AM46" i="18"/>
  <c r="BC46" i="18" s="1"/>
  <c r="AM44" i="18"/>
  <c r="BC44" i="18" s="1"/>
  <c r="AM45" i="18"/>
  <c r="BC45" i="18" s="1"/>
  <c r="AMB4" i="3"/>
  <c r="AMA4" i="3"/>
  <c r="ALW5" i="3"/>
  <c r="ALW4" i="3"/>
  <c r="AL66" i="18" l="1"/>
  <c r="AM66" i="18"/>
  <c r="CJ30" i="20"/>
  <c r="BC6" i="18"/>
  <c r="BC8" i="18"/>
  <c r="BC7" i="18"/>
  <c r="BC201" i="18"/>
  <c r="BC3" i="18"/>
  <c r="AME4" i="3"/>
  <c r="AMD4" i="3"/>
  <c r="AMF2" i="3"/>
  <c r="BC65" i="18"/>
  <c r="AL5" i="18"/>
  <c r="AL204" i="18"/>
  <c r="AM5" i="18"/>
  <c r="BC68" i="18"/>
  <c r="BC69" i="18"/>
  <c r="ALZ5" i="3"/>
  <c r="ALZ4" i="3"/>
  <c r="BC66" i="18" l="1"/>
  <c r="ALZ61" i="3"/>
  <c r="BC5" i="18"/>
  <c r="AMH4" i="3"/>
  <c r="AMG4" i="3"/>
  <c r="AMI2" i="3"/>
  <c r="AMC5" i="3"/>
  <c r="AMC4" i="3"/>
  <c r="BC204" i="18"/>
  <c r="ALY5" i="3"/>
  <c r="ALX5" i="3" s="1"/>
  <c r="ALV5" i="3" s="1"/>
  <c r="ALU5" i="3" s="1"/>
  <c r="AMC61" i="3" l="1"/>
  <c r="CE32" i="20"/>
  <c r="AMK4" i="3"/>
  <c r="AMJ4" i="3"/>
  <c r="AML2" i="3"/>
  <c r="AMF5" i="3"/>
  <c r="AMF4" i="3"/>
  <c r="AME5" i="3" l="1"/>
  <c r="AMD5" i="3" s="1"/>
  <c r="CF32" i="20"/>
  <c r="AMN4" i="3"/>
  <c r="AMM4" i="3"/>
  <c r="AMO2" i="3"/>
  <c r="AMI5" i="3"/>
  <c r="AMI4" i="3"/>
  <c r="AMI61" i="3" l="1"/>
  <c r="CG32" i="20"/>
  <c r="AMQ4" i="3"/>
  <c r="AMP4" i="3"/>
  <c r="AMR2" i="3"/>
  <c r="AML5" i="3"/>
  <c r="AML4" i="3"/>
  <c r="CH32" i="20" l="1"/>
  <c r="AMK5" i="3"/>
  <c r="AMJ5" i="3" s="1"/>
  <c r="AML61" i="3"/>
  <c r="AMT4" i="3"/>
  <c r="AMS4" i="3"/>
  <c r="AMU2" i="3"/>
  <c r="AMO5" i="3"/>
  <c r="AMO4" i="3"/>
  <c r="AMO61" i="3" l="1"/>
  <c r="CI32" i="20"/>
  <c r="AMX2" i="3"/>
  <c r="AMW4" i="3"/>
  <c r="AMV4" i="3"/>
  <c r="AMR5" i="3"/>
  <c r="AMR4" i="3"/>
  <c r="AMR61" i="3" l="1"/>
  <c r="CJ32" i="20"/>
  <c r="AMU5" i="3"/>
  <c r="AMU4" i="3"/>
  <c r="AMY4" i="3"/>
  <c r="AMZ4" i="3"/>
  <c r="ANA2" i="3"/>
  <c r="CK32" i="20" l="1"/>
  <c r="AMT5" i="3"/>
  <c r="AMS5" i="3" s="1"/>
  <c r="AMQ5" i="3" s="1"/>
  <c r="AMP5" i="3" s="1"/>
  <c r="AMU61" i="3"/>
  <c r="ANB4" i="3"/>
  <c r="ANC4" i="3"/>
  <c r="AND2" i="3"/>
  <c r="AMX4" i="3"/>
  <c r="AMX5" i="3"/>
  <c r="AMX61" i="3" l="1"/>
  <c r="CE34" i="20"/>
  <c r="ANE4" i="3"/>
  <c r="ANF4" i="3"/>
  <c r="ANG2" i="3"/>
  <c r="ANA4" i="3"/>
  <c r="ANA5" i="3"/>
  <c r="CF34" i="20" l="1"/>
  <c r="AMZ5" i="3"/>
  <c r="AMY5" i="3" s="1"/>
  <c r="ANA61" i="3"/>
  <c r="ANH4" i="3"/>
  <c r="ANI4" i="3"/>
  <c r="ANJ2" i="3"/>
  <c r="AND4" i="3"/>
  <c r="AND5" i="3"/>
  <c r="AND61" i="3" l="1"/>
  <c r="CG34" i="20"/>
  <c r="ANK4" i="3"/>
  <c r="ANL4" i="3"/>
  <c r="ANM2" i="3"/>
  <c r="ANG4" i="3"/>
  <c r="ANG5" i="3"/>
  <c r="ANF5" i="3" l="1"/>
  <c r="ANE5" i="3" s="1"/>
  <c r="ANG61" i="3"/>
  <c r="CH34" i="20"/>
  <c r="ANN4" i="3"/>
  <c r="ANO4" i="3"/>
  <c r="ANP2" i="3"/>
  <c r="ANJ4" i="3"/>
  <c r="ANJ5" i="3"/>
  <c r="ANJ61" i="3" l="1"/>
  <c r="CI34" i="20"/>
  <c r="ANS2" i="3"/>
  <c r="ANQ4" i="3"/>
  <c r="ANR4" i="3"/>
  <c r="ANM4" i="3"/>
  <c r="ANM5" i="3"/>
  <c r="ANM61" i="3" l="1"/>
  <c r="CJ34" i="20"/>
  <c r="ANP4" i="3"/>
  <c r="ANP5" i="3"/>
  <c r="ANU4" i="3"/>
  <c r="ANT4" i="3"/>
  <c r="ANV2" i="3"/>
  <c r="ANO5" i="3" l="1"/>
  <c r="ANN5" i="3" s="1"/>
  <c r="ANL5" i="3" s="1"/>
  <c r="ANK5" i="3" s="1"/>
  <c r="ANP61" i="3"/>
  <c r="ANX4" i="3"/>
  <c r="ANW4" i="3"/>
  <c r="ANY2" i="3"/>
  <c r="ANS5" i="3"/>
  <c r="ANS4" i="3"/>
  <c r="ANS61" i="3" l="1"/>
  <c r="CE36" i="20"/>
  <c r="AOA4" i="3"/>
  <c r="ANZ4" i="3"/>
  <c r="AOB2" i="3"/>
  <c r="ANV5" i="3"/>
  <c r="ANV4" i="3"/>
  <c r="ANU5" i="3" l="1"/>
  <c r="ANT5" i="3" s="1"/>
  <c r="CF36" i="20"/>
  <c r="AOD4" i="3"/>
  <c r="AOC4" i="3"/>
  <c r="AOE2" i="3"/>
  <c r="ANY5" i="3"/>
  <c r="ANY4" i="3"/>
  <c r="ANY61" i="3" l="1"/>
  <c r="CG36" i="20"/>
  <c r="AOG4" i="3"/>
  <c r="AOF4" i="3"/>
  <c r="AOH2" i="3"/>
  <c r="AOB5" i="3"/>
  <c r="AOB4" i="3"/>
  <c r="AOA5" i="3" l="1"/>
  <c r="ANZ5" i="3" s="1"/>
  <c r="AOB61" i="3"/>
  <c r="CH36" i="20"/>
  <c r="AOJ4" i="3"/>
  <c r="AOI4" i="3"/>
  <c r="AOK2" i="3"/>
  <c r="AOE5" i="3"/>
  <c r="AOE4" i="3"/>
  <c r="AOE61" i="3" l="1"/>
  <c r="CI36" i="20"/>
  <c r="AON2" i="3"/>
  <c r="AOM4" i="3"/>
  <c r="AOL4" i="3"/>
  <c r="AOH5" i="3"/>
  <c r="AOH4" i="3"/>
  <c r="AOH61" i="3" l="1"/>
  <c r="CJ36" i="20"/>
  <c r="AOK5" i="3"/>
  <c r="AOK4" i="3"/>
  <c r="AOP4" i="3"/>
  <c r="AOO4" i="3"/>
  <c r="AOQ2" i="3"/>
  <c r="AOJ5" i="3" l="1"/>
  <c r="AOI5" i="3" s="1"/>
  <c r="AOG5" i="3" s="1"/>
  <c r="AOF5" i="3" s="1"/>
  <c r="AOK61" i="3"/>
  <c r="CK36" i="20"/>
  <c r="AOS4" i="3"/>
  <c r="AOR4" i="3"/>
  <c r="AOT2" i="3"/>
  <c r="AON5" i="3"/>
  <c r="AON4" i="3"/>
  <c r="AON61" i="3" l="1"/>
  <c r="CE38" i="20"/>
  <c r="AOV4" i="3"/>
  <c r="AOU4" i="3"/>
  <c r="AOW2" i="3"/>
  <c r="AOQ5" i="3"/>
  <c r="AOQ4" i="3"/>
  <c r="AOP5" i="3" l="1"/>
  <c r="AOO5" i="3" s="1"/>
  <c r="AOQ61" i="3"/>
  <c r="CF38" i="20"/>
  <c r="AOY4" i="3"/>
  <c r="AOX4" i="3"/>
  <c r="AOZ2" i="3"/>
  <c r="AOT5" i="3"/>
  <c r="AOT4" i="3"/>
  <c r="AOT61" i="3" l="1"/>
  <c r="CG38" i="20"/>
  <c r="APB4" i="3"/>
  <c r="APA4" i="3"/>
  <c r="APC2" i="3"/>
  <c r="AOW5" i="3"/>
  <c r="AOW4" i="3"/>
  <c r="AOV5" i="3" l="1"/>
  <c r="AOU5" i="3" s="1"/>
  <c r="AOW61" i="3"/>
  <c r="CH38" i="20"/>
  <c r="APE4" i="3"/>
  <c r="APD4" i="3"/>
  <c r="APF2" i="3"/>
  <c r="AOZ5" i="3"/>
  <c r="AOZ4" i="3"/>
  <c r="AOZ61" i="3" l="1"/>
  <c r="CI38" i="20"/>
  <c r="API2" i="3"/>
  <c r="APH4" i="3"/>
  <c r="APG4" i="3"/>
  <c r="APC5" i="3"/>
  <c r="APC4" i="3"/>
  <c r="APC61" i="3" l="1"/>
  <c r="CJ45" i="20"/>
  <c r="APF5" i="3"/>
  <c r="APF4" i="3"/>
  <c r="APK4" i="3"/>
  <c r="APJ4" i="3"/>
  <c r="APL2" i="3"/>
  <c r="APE5" i="3" l="1"/>
  <c r="APD5" i="3" s="1"/>
  <c r="APB5" i="3" s="1"/>
  <c r="APA5" i="3" s="1"/>
  <c r="APF61" i="3"/>
  <c r="APN4" i="3"/>
  <c r="APM4" i="3"/>
  <c r="APO2" i="3"/>
  <c r="API5" i="3"/>
  <c r="API4" i="3"/>
  <c r="CM32" i="20" l="1"/>
  <c r="CJ42" i="20"/>
  <c r="CJ43" i="20"/>
  <c r="CJ46" i="20"/>
  <c r="APQ4" i="3"/>
  <c r="APP4" i="3"/>
  <c r="APR2" i="3"/>
  <c r="APL5" i="3"/>
  <c r="APL4" i="3"/>
  <c r="APK5" i="3" l="1"/>
  <c r="APJ5" i="3" s="1"/>
  <c r="CN32" i="20"/>
  <c r="APT4" i="3"/>
  <c r="APS4" i="3"/>
  <c r="APU2" i="3"/>
  <c r="APO5" i="3"/>
  <c r="APO4" i="3"/>
  <c r="APO61" i="3" l="1"/>
  <c r="CO32" i="20"/>
  <c r="APW4" i="3"/>
  <c r="APV4" i="3"/>
  <c r="APX2" i="3"/>
  <c r="APR5" i="3"/>
  <c r="APR4" i="3"/>
  <c r="CP32" i="20" l="1"/>
  <c r="APQ5" i="3"/>
  <c r="APP5" i="3" s="1"/>
  <c r="APR61" i="3"/>
  <c r="APZ4" i="3"/>
  <c r="APY4" i="3"/>
  <c r="AQA2" i="3"/>
  <c r="APU5" i="3"/>
  <c r="APU4" i="3"/>
  <c r="APU61" i="3" l="1"/>
  <c r="CQ32" i="20"/>
  <c r="AQD2" i="3"/>
  <c r="AQC4" i="3"/>
  <c r="AQB4" i="3"/>
  <c r="APX5" i="3"/>
  <c r="APX4" i="3"/>
  <c r="APX61" i="3" l="1"/>
  <c r="CR32" i="20"/>
  <c r="AQE4" i="3"/>
  <c r="AQF4" i="3"/>
  <c r="AQG2" i="3"/>
  <c r="AQA5" i="3"/>
  <c r="AQA4" i="3"/>
  <c r="CS32" i="20" l="1"/>
  <c r="APZ5" i="3"/>
  <c r="APY5" i="3" s="1"/>
  <c r="APW5" i="3" s="1"/>
  <c r="APV5" i="3" s="1"/>
  <c r="AQA61" i="3"/>
  <c r="AQH4" i="3"/>
  <c r="AQI4" i="3"/>
  <c r="AQJ2" i="3"/>
  <c r="AQD4" i="3"/>
  <c r="AQD5" i="3"/>
  <c r="AQD61" i="3" l="1"/>
  <c r="CM34" i="20"/>
  <c r="AQK4" i="3"/>
  <c r="AQL4" i="3"/>
  <c r="AQM2" i="3"/>
  <c r="AQG4" i="3"/>
  <c r="AQG5" i="3"/>
  <c r="CN34" i="20" l="1"/>
  <c r="AQF5" i="3"/>
  <c r="AQE5" i="3" s="1"/>
  <c r="AQG61" i="3"/>
  <c r="AQN4" i="3"/>
  <c r="AQO4" i="3"/>
  <c r="AQP2" i="3"/>
  <c r="AQJ4" i="3"/>
  <c r="AQJ5" i="3"/>
  <c r="AQJ61" i="3" l="1"/>
  <c r="CO34" i="20"/>
  <c r="AQS2" i="3"/>
  <c r="AQQ4" i="3"/>
  <c r="AQR4" i="3"/>
  <c r="AQM4" i="3"/>
  <c r="AQM5" i="3"/>
  <c r="AQM61" i="3" l="1"/>
  <c r="CP34" i="20"/>
  <c r="AQP4" i="3"/>
  <c r="AQP5" i="3"/>
  <c r="AQT4" i="3"/>
  <c r="AQU4" i="3"/>
  <c r="AQV2" i="3"/>
  <c r="CQ34" i="20" l="1"/>
  <c r="AQO5" i="3"/>
  <c r="AQN5" i="3" s="1"/>
  <c r="AQL5" i="3" s="1"/>
  <c r="AQK5" i="3" s="1"/>
  <c r="AQP61" i="3"/>
  <c r="AQW4" i="3"/>
  <c r="AQX4" i="3"/>
  <c r="AQY2" i="3"/>
  <c r="AQS4" i="3"/>
  <c r="AQS5" i="3"/>
  <c r="AQS61" i="3" l="1"/>
  <c r="CR34" i="20"/>
  <c r="AQZ4" i="3"/>
  <c r="ARA4" i="3"/>
  <c r="ARB2" i="3"/>
  <c r="AQV4" i="3"/>
  <c r="AQV5" i="3"/>
  <c r="AQU5" i="3" l="1"/>
  <c r="AQT5" i="3" s="1"/>
  <c r="AQV61" i="3"/>
  <c r="ARC4" i="3"/>
  <c r="ARD4" i="3"/>
  <c r="ARE2" i="3"/>
  <c r="AQY4" i="3"/>
  <c r="AQY5" i="3"/>
  <c r="AQY61" i="3" l="1"/>
  <c r="CM36" i="20"/>
  <c r="ARF4" i="3"/>
  <c r="ARG4" i="3"/>
  <c r="ARH2" i="3"/>
  <c r="ARB4" i="3"/>
  <c r="ARB5" i="3"/>
  <c r="ARA5" i="3" l="1"/>
  <c r="AQZ5" i="3" s="1"/>
  <c r="CN36" i="20"/>
  <c r="ARI4" i="3"/>
  <c r="ARJ4" i="3"/>
  <c r="ARK2" i="3"/>
  <c r="ARE4" i="3"/>
  <c r="ARE5" i="3"/>
  <c r="CO36" i="20" l="1"/>
  <c r="ARN2" i="3"/>
  <c r="ARL4" i="3"/>
  <c r="ARM4" i="3"/>
  <c r="ARH4" i="3"/>
  <c r="ARH5" i="3"/>
  <c r="ARH61" i="3" l="1"/>
  <c r="CP36" i="20"/>
  <c r="ARK4" i="3"/>
  <c r="ARK5" i="3"/>
  <c r="ARO4" i="3"/>
  <c r="ARP4" i="3"/>
  <c r="ARQ2" i="3"/>
  <c r="ARJ5" i="3" l="1"/>
  <c r="ARI5" i="3" s="1"/>
  <c r="ARG5" i="3" s="1"/>
  <c r="ARF5" i="3" s="1"/>
  <c r="ARK61" i="3"/>
  <c r="CQ36" i="20"/>
  <c r="ARR4" i="3"/>
  <c r="ARS4" i="3"/>
  <c r="ART2" i="3"/>
  <c r="ARN4" i="3"/>
  <c r="ARN5" i="3"/>
  <c r="ARN61" i="3" l="1"/>
  <c r="CR36" i="20"/>
  <c r="ARU4" i="3"/>
  <c r="ARV4" i="3"/>
  <c r="ARW2" i="3"/>
  <c r="ARQ4" i="3"/>
  <c r="ARQ5" i="3"/>
  <c r="ARP5" i="3" l="1"/>
  <c r="ARO5" i="3" s="1"/>
  <c r="ARQ61" i="3"/>
  <c r="CS36" i="20"/>
  <c r="ARX4" i="3"/>
  <c r="ARY4" i="3"/>
  <c r="ARZ2" i="3"/>
  <c r="ART4" i="3"/>
  <c r="ART5" i="3"/>
  <c r="ART61" i="3" l="1"/>
  <c r="CM38" i="20"/>
  <c r="ASA4" i="3"/>
  <c r="ASB4" i="3"/>
  <c r="ASC2" i="3"/>
  <c r="ARW4" i="3"/>
  <c r="ARW5" i="3"/>
  <c r="ARV5" i="3" l="1"/>
  <c r="ARU5" i="3" s="1"/>
  <c r="ARW61" i="3"/>
  <c r="CN38" i="20"/>
  <c r="ASD4" i="3"/>
  <c r="ASE4" i="3"/>
  <c r="ASF2" i="3"/>
  <c r="ARZ4" i="3"/>
  <c r="ARZ5" i="3"/>
  <c r="ARZ61" i="3" l="1"/>
  <c r="CO38" i="20"/>
  <c r="ASI2" i="3"/>
  <c r="ASG4" i="3"/>
  <c r="ASH4" i="3"/>
  <c r="ASC4" i="3"/>
  <c r="ASC5" i="3"/>
  <c r="ASC61" i="3" l="1"/>
  <c r="CP38" i="20"/>
  <c r="ASF4" i="3"/>
  <c r="ASF5" i="3"/>
  <c r="ASJ4" i="3"/>
  <c r="ASK4" i="3"/>
  <c r="ASL2" i="3"/>
  <c r="ASE5" i="3" l="1"/>
  <c r="ASD5" i="3" s="1"/>
  <c r="ASB5" i="3" s="1"/>
  <c r="ASA5" i="3" s="1"/>
  <c r="ASF61" i="3"/>
  <c r="CQ38" i="20"/>
  <c r="ASM4" i="3"/>
  <c r="ASN4" i="3"/>
  <c r="ASO2" i="3"/>
  <c r="ASI4" i="3"/>
  <c r="ASI5" i="3"/>
  <c r="ASI61" i="3" l="1"/>
  <c r="CR38" i="20"/>
  <c r="ASP4" i="3"/>
  <c r="ASQ4" i="3"/>
  <c r="ASR2" i="3"/>
  <c r="ASL4" i="3"/>
  <c r="ASL5" i="3"/>
  <c r="DA30" i="20" l="1"/>
  <c r="ASK5" i="3"/>
  <c r="ASJ5" i="3" s="1"/>
  <c r="ASL61" i="3"/>
  <c r="CR42" i="20"/>
  <c r="CR43" i="20"/>
  <c r="CR45" i="20"/>
  <c r="ASS4" i="3"/>
  <c r="AST4" i="3"/>
  <c r="ASU2" i="3"/>
  <c r="ASO4" i="3"/>
  <c r="ASO5" i="3"/>
  <c r="AN197" i="18" l="1"/>
  <c r="AN7" i="18"/>
  <c r="AN201" i="18"/>
  <c r="AN200" i="18"/>
  <c r="AO200" i="18"/>
  <c r="AO3" i="18"/>
  <c r="AO5" i="18" s="1"/>
  <c r="AO6" i="18"/>
  <c r="AO65" i="18"/>
  <c r="AO69" i="18"/>
  <c r="AO68" i="18"/>
  <c r="AO46" i="18"/>
  <c r="AO44" i="18"/>
  <c r="AO201" i="18"/>
  <c r="AO7" i="18"/>
  <c r="AO8" i="18"/>
  <c r="CU32" i="20"/>
  <c r="AN8" i="18"/>
  <c r="AN193" i="18"/>
  <c r="AN192" i="18"/>
  <c r="AN187" i="18"/>
  <c r="AN188" i="18"/>
  <c r="AN189" i="18"/>
  <c r="AN190" i="18"/>
  <c r="AN186" i="18"/>
  <c r="AN68" i="18"/>
  <c r="AN69" i="18"/>
  <c r="AN46" i="18"/>
  <c r="AN44" i="18"/>
  <c r="AN3" i="18"/>
  <c r="AN6" i="18"/>
  <c r="AN65" i="18"/>
  <c r="AN191" i="18"/>
  <c r="ASV4" i="3"/>
  <c r="ASW4" i="3"/>
  <c r="ASX2" i="3"/>
  <c r="ASR4" i="3"/>
  <c r="ASR5" i="3"/>
  <c r="ASQ5" i="3" s="1"/>
  <c r="ASP5" i="3" s="1"/>
  <c r="AN66" i="18" l="1"/>
  <c r="AO66" i="18"/>
  <c r="AN204" i="18"/>
  <c r="AN5" i="18"/>
  <c r="CV32" i="20"/>
  <c r="ASY4" i="3"/>
  <c r="ASZ4" i="3"/>
  <c r="ATA2" i="3"/>
  <c r="ASU4" i="3"/>
  <c r="ASU5" i="3"/>
  <c r="ASU61" i="3" s="1"/>
  <c r="ATD2" i="3" l="1"/>
  <c r="CW32" i="20"/>
  <c r="CX32" i="20"/>
  <c r="ATB4" i="3"/>
  <c r="ATC4" i="3"/>
  <c r="ASX4" i="3"/>
  <c r="ASX5" i="3"/>
  <c r="ASX61" i="3" s="1"/>
  <c r="ATE4" i="3" l="1"/>
  <c r="ATF4" i="3"/>
  <c r="ATG2" i="3"/>
  <c r="ATA4" i="3"/>
  <c r="ATA5" i="3"/>
  <c r="ASZ5" i="3" l="1"/>
  <c r="ASY5" i="3" s="1"/>
  <c r="ASW5" i="3" s="1"/>
  <c r="ASV5" i="3" s="1"/>
  <c r="ATA61" i="3"/>
  <c r="ATH4" i="3"/>
  <c r="ATI4" i="3"/>
  <c r="ATJ2" i="3"/>
  <c r="CY32" i="20"/>
  <c r="CZ32" i="20"/>
  <c r="ATD4" i="3"/>
  <c r="ATD5" i="3"/>
  <c r="ATD61" i="3" s="1"/>
  <c r="ATK4" i="3" l="1"/>
  <c r="ATL4" i="3"/>
  <c r="ATM2" i="3"/>
  <c r="ATG4" i="3"/>
  <c r="ATG5" i="3"/>
  <c r="ATF5" i="3" l="1"/>
  <c r="ATE5" i="3" s="1"/>
  <c r="ATG61" i="3"/>
  <c r="ATN4" i="3"/>
  <c r="ATO4" i="3"/>
  <c r="ATP2" i="3"/>
  <c r="CU34" i="20"/>
  <c r="DA32" i="20"/>
  <c r="ATJ4" i="3"/>
  <c r="ATJ5" i="3"/>
  <c r="ATJ61" i="3" s="1"/>
  <c r="ATQ4" i="3" l="1"/>
  <c r="ATR4" i="3"/>
  <c r="ATS2" i="3"/>
  <c r="ATM4" i="3"/>
  <c r="ATM5" i="3"/>
  <c r="ATL5" i="3" s="1"/>
  <c r="ATK5" i="3" s="1"/>
  <c r="ATT4" i="3" l="1"/>
  <c r="ATU4" i="3"/>
  <c r="ATV2" i="3"/>
  <c r="CV34" i="20"/>
  <c r="CW34" i="20"/>
  <c r="ATP4" i="3"/>
  <c r="ATP5" i="3"/>
  <c r="ATP61" i="3" s="1"/>
  <c r="ATY2" i="3" l="1"/>
  <c r="ATW4" i="3"/>
  <c r="ATX4" i="3"/>
  <c r="ATS4" i="3"/>
  <c r="ATS5" i="3"/>
  <c r="ATS61" i="3" s="1"/>
  <c r="ATV4" i="3" l="1"/>
  <c r="ATV5" i="3"/>
  <c r="ATZ4" i="3"/>
  <c r="AUA4" i="3"/>
  <c r="AUB2" i="3"/>
  <c r="CX34" i="20"/>
  <c r="CY34" i="20"/>
  <c r="ATU5" i="3" l="1"/>
  <c r="ATT5" i="3" s="1"/>
  <c r="ATR5" i="3" s="1"/>
  <c r="ATQ5" i="3" s="1"/>
  <c r="ATV61" i="3"/>
  <c r="AUC4" i="3"/>
  <c r="AUD4" i="3"/>
  <c r="AUE2" i="3"/>
  <c r="ATY4" i="3"/>
  <c r="ATY5" i="3"/>
  <c r="ATY61" i="3" s="1"/>
  <c r="AUF4" i="3" l="1"/>
  <c r="AUG4" i="3"/>
  <c r="AUH2" i="3"/>
  <c r="CZ34" i="20"/>
  <c r="DA34" i="20"/>
  <c r="AUB4" i="3"/>
  <c r="AUB5" i="3"/>
  <c r="AUA5" i="3" l="1"/>
  <c r="ATZ5" i="3" s="1"/>
  <c r="AUB61" i="3"/>
  <c r="AUI4" i="3"/>
  <c r="AUJ4" i="3"/>
  <c r="AUK2" i="3"/>
  <c r="AUE4" i="3"/>
  <c r="AUE5" i="3"/>
  <c r="AUL4" i="3" l="1"/>
  <c r="AUM4" i="3"/>
  <c r="AUN2" i="3"/>
  <c r="CU36" i="20"/>
  <c r="CV36" i="20"/>
  <c r="AUH4" i="3"/>
  <c r="AUH5" i="3"/>
  <c r="AUG5" i="3" l="1"/>
  <c r="AUF5" i="3" s="1"/>
  <c r="AUH61" i="3"/>
  <c r="AUO4" i="3"/>
  <c r="AUP4" i="3"/>
  <c r="AUQ2" i="3"/>
  <c r="AUK4" i="3"/>
  <c r="AUK5" i="3"/>
  <c r="AUK61" i="3" s="1"/>
  <c r="AUT2" i="3" l="1"/>
  <c r="AUR4" i="3"/>
  <c r="AUS4" i="3"/>
  <c r="CW36" i="20"/>
  <c r="AUN4" i="3"/>
  <c r="AUN5" i="3"/>
  <c r="AUN61" i="3" s="1"/>
  <c r="CX36" i="20" l="1"/>
  <c r="AUQ4" i="3"/>
  <c r="AUQ5" i="3"/>
  <c r="AUV4" i="3"/>
  <c r="AUU4" i="3"/>
  <c r="AUW2" i="3"/>
  <c r="AUP5" i="3" l="1"/>
  <c r="AUO5" i="3" s="1"/>
  <c r="AUM5" i="3" s="1"/>
  <c r="AUL5" i="3" s="1"/>
  <c r="AUQ61" i="3"/>
  <c r="CY36" i="20"/>
  <c r="AUY4" i="3"/>
  <c r="AUX4" i="3"/>
  <c r="AUZ2" i="3"/>
  <c r="AUT5" i="3"/>
  <c r="AUT61" i="3" s="1"/>
  <c r="AUT4" i="3"/>
  <c r="CZ36" i="20" l="1"/>
  <c r="AVB4" i="3"/>
  <c r="AVA4" i="3"/>
  <c r="AVC2" i="3"/>
  <c r="AUW5" i="3"/>
  <c r="AUW4" i="3"/>
  <c r="AUV5" i="3" l="1"/>
  <c r="AUU5" i="3" s="1"/>
  <c r="AUW61" i="3"/>
  <c r="DA36" i="20"/>
  <c r="AVE4" i="3"/>
  <c r="AVD4" i="3"/>
  <c r="AVF2" i="3"/>
  <c r="AUZ5" i="3"/>
  <c r="AUZ61" i="3" s="1"/>
  <c r="AUZ4" i="3"/>
  <c r="CU38" i="20" l="1"/>
  <c r="AVH4" i="3"/>
  <c r="AVG4" i="3"/>
  <c r="AVI2" i="3"/>
  <c r="AVC5" i="3"/>
  <c r="AVC4" i="3"/>
  <c r="AVB5" i="3" l="1"/>
  <c r="AVA5" i="3" s="1"/>
  <c r="AVC61" i="3"/>
  <c r="CV38" i="20"/>
  <c r="AVK4" i="3"/>
  <c r="AVJ4" i="3"/>
  <c r="AVL2" i="3"/>
  <c r="AVF5" i="3"/>
  <c r="AVF4" i="3"/>
  <c r="AVO2" i="3" l="1"/>
  <c r="AVN4" i="3"/>
  <c r="AVM4" i="3"/>
  <c r="AVI5" i="3"/>
  <c r="AVI4" i="3"/>
  <c r="AVL5" i="3" l="1"/>
  <c r="AVK5" i="3" s="1"/>
  <c r="AVJ5" i="3" s="1"/>
  <c r="AVH5" i="3" s="1"/>
  <c r="AVG5" i="3" s="1"/>
  <c r="AVL4" i="3"/>
  <c r="AVQ4" i="3"/>
  <c r="AVP4" i="3"/>
  <c r="AVR2" i="3"/>
  <c r="AVT4" i="3" l="1"/>
  <c r="AVS4" i="3"/>
  <c r="AVU2" i="3"/>
  <c r="AVO5" i="3"/>
  <c r="AVO4" i="3"/>
  <c r="AVW4" i="3" l="1"/>
  <c r="AVV4" i="3"/>
  <c r="AVX2" i="3"/>
  <c r="DA38" i="20"/>
  <c r="AVR5" i="3"/>
  <c r="AVQ5" i="3" s="1"/>
  <c r="AVP5" i="3" s="1"/>
  <c r="AVR4" i="3"/>
  <c r="AVZ4" i="3" l="1"/>
  <c r="AVY4" i="3"/>
  <c r="AWA2" i="3"/>
  <c r="AVU5" i="3"/>
  <c r="AVU4" i="3"/>
  <c r="AWC4" i="3" l="1"/>
  <c r="AWB4" i="3"/>
  <c r="AWD2" i="3"/>
  <c r="AVX5" i="3"/>
  <c r="AVW5" i="3" s="1"/>
  <c r="AVV5" i="3" s="1"/>
  <c r="AVX4" i="3"/>
  <c r="AWF4" i="3" l="1"/>
  <c r="AWE4" i="3"/>
  <c r="AWG2" i="3"/>
  <c r="AWA5" i="3"/>
  <c r="AWA4" i="3"/>
  <c r="DE30" i="20" l="1"/>
  <c r="AWJ2" i="3"/>
  <c r="AWI4" i="3"/>
  <c r="AWH4" i="3"/>
  <c r="AWD5" i="3"/>
  <c r="AWD4" i="3"/>
  <c r="DF30" i="20" l="1"/>
  <c r="AWL4" i="3"/>
  <c r="AWK4" i="3"/>
  <c r="AWM2" i="3"/>
  <c r="AWG5" i="3"/>
  <c r="AWF5" i="3" s="1"/>
  <c r="AWG4" i="3"/>
  <c r="AWE5" i="3" l="1"/>
  <c r="AWC5" i="3" s="1"/>
  <c r="AWB5" i="3" s="1"/>
  <c r="CV40" i="20"/>
  <c r="CY38" i="20"/>
  <c r="CX38" i="20"/>
  <c r="CW38" i="20"/>
  <c r="CU40" i="20"/>
  <c r="CZ38" i="20"/>
  <c r="DG30" i="20"/>
  <c r="AWO4" i="3"/>
  <c r="AWN4" i="3"/>
  <c r="AWP2" i="3"/>
  <c r="AWJ5" i="3"/>
  <c r="AWJ4" i="3"/>
  <c r="CZ43" i="20" l="1"/>
  <c r="CZ42" i="20"/>
  <c r="CZ45" i="20"/>
  <c r="DH30" i="20"/>
  <c r="AWR4" i="3"/>
  <c r="AWQ4" i="3"/>
  <c r="AWS2" i="3"/>
  <c r="AWM5" i="3"/>
  <c r="AWL5" i="3" s="1"/>
  <c r="AWK5" i="3" s="1"/>
  <c r="AWM4" i="3"/>
  <c r="DI30" i="20" l="1"/>
  <c r="AWU4" i="3"/>
  <c r="AWT4" i="3"/>
  <c r="AWV2" i="3"/>
  <c r="AWP5" i="3"/>
  <c r="AWP4" i="3"/>
  <c r="AO192" i="18" l="1"/>
  <c r="AO187" i="18"/>
  <c r="AO186" i="18"/>
  <c r="AO188" i="18"/>
  <c r="AO189" i="18"/>
  <c r="AO190" i="18"/>
  <c r="AN45" i="18"/>
  <c r="AO45" i="18"/>
  <c r="AO193" i="18"/>
  <c r="AO191" i="18"/>
  <c r="DC32" i="20"/>
  <c r="AWX4" i="3"/>
  <c r="AWW4" i="3"/>
  <c r="AWY2" i="3"/>
  <c r="AWS5" i="3"/>
  <c r="AWR5" i="3" s="1"/>
  <c r="AWQ5" i="3" s="1"/>
  <c r="AWS4" i="3"/>
  <c r="DD32" i="20" l="1"/>
  <c r="AXA4" i="3"/>
  <c r="AWZ4" i="3"/>
  <c r="AXB2" i="3"/>
  <c r="AWV5" i="3"/>
  <c r="AWV4" i="3"/>
  <c r="DE32" i="20" l="1"/>
  <c r="AXE2" i="3"/>
  <c r="AXD4" i="3"/>
  <c r="AXC4" i="3"/>
  <c r="AWY5" i="3"/>
  <c r="AWY4" i="3"/>
  <c r="DF32" i="20" l="1"/>
  <c r="AXB5" i="3"/>
  <c r="AXA5" i="3" s="1"/>
  <c r="AWZ5" i="3" s="1"/>
  <c r="AWX5" i="3" s="1"/>
  <c r="AWW5" i="3" s="1"/>
  <c r="AXB4" i="3"/>
  <c r="AXG4" i="3"/>
  <c r="AXF4" i="3"/>
  <c r="AXH2" i="3"/>
  <c r="DG32" i="20" l="1"/>
  <c r="AXJ4" i="3"/>
  <c r="AXI4" i="3"/>
  <c r="AXK2" i="3"/>
  <c r="AXE5" i="3"/>
  <c r="AXE4" i="3"/>
  <c r="DH32" i="20" l="1"/>
  <c r="AXM4" i="3"/>
  <c r="AXL4" i="3"/>
  <c r="AXN2" i="3"/>
  <c r="AXH5" i="3"/>
  <c r="AXG5" i="3" s="1"/>
  <c r="AXF5" i="3" s="1"/>
  <c r="AXH4" i="3"/>
  <c r="DI32" i="20" l="1"/>
  <c r="AXP4" i="3"/>
  <c r="AXO4" i="3"/>
  <c r="AXQ2" i="3"/>
  <c r="AXK5" i="3"/>
  <c r="AXK4" i="3"/>
  <c r="DC34" i="20" l="1"/>
  <c r="AXS4" i="3"/>
  <c r="AXR4" i="3"/>
  <c r="AXT2" i="3"/>
  <c r="AXN5" i="3"/>
  <c r="AXM5" i="3" s="1"/>
  <c r="AXL5" i="3" s="1"/>
  <c r="AXN4" i="3"/>
  <c r="DD34" i="20" l="1"/>
  <c r="AXV4" i="3"/>
  <c r="AXU4" i="3"/>
  <c r="AXW2" i="3"/>
  <c r="AXQ5" i="3"/>
  <c r="AXQ4" i="3"/>
  <c r="DE34" i="20" l="1"/>
  <c r="AXZ2" i="3"/>
  <c r="AXY4" i="3"/>
  <c r="AXX4" i="3"/>
  <c r="AXT5" i="3"/>
  <c r="AXT4" i="3"/>
  <c r="DF34" i="20" l="1"/>
  <c r="AXW5" i="3"/>
  <c r="AXV5" i="3" s="1"/>
  <c r="AXU5" i="3" s="1"/>
  <c r="AXS5" i="3" s="1"/>
  <c r="AXR5" i="3" s="1"/>
  <c r="AXW4" i="3"/>
  <c r="AYB4" i="3"/>
  <c r="AYA4" i="3"/>
  <c r="AYC2" i="3"/>
  <c r="DG34" i="20" l="1"/>
  <c r="AYE4" i="3"/>
  <c r="AYD4" i="3"/>
  <c r="AYF2" i="3"/>
  <c r="AXZ5" i="3"/>
  <c r="AXZ4" i="3"/>
  <c r="DH34" i="20" l="1"/>
  <c r="AYH4" i="3"/>
  <c r="AYG4" i="3"/>
  <c r="AYI2" i="3"/>
  <c r="AYC5" i="3"/>
  <c r="AYB5" i="3" s="1"/>
  <c r="AYA5" i="3" s="1"/>
  <c r="AYC4" i="3"/>
  <c r="DI34" i="20" l="1"/>
  <c r="AYK4" i="3"/>
  <c r="AYJ4" i="3"/>
  <c r="AYL2" i="3"/>
  <c r="AYF5" i="3"/>
  <c r="AYF4" i="3"/>
  <c r="DC36" i="20" l="1"/>
  <c r="AYN4" i="3"/>
  <c r="AYM4" i="3"/>
  <c r="AYO2" i="3"/>
  <c r="AYI5" i="3"/>
  <c r="AYH5" i="3" s="1"/>
  <c r="AYG5" i="3" s="1"/>
  <c r="AYI4" i="3"/>
  <c r="DD36" i="20" l="1"/>
  <c r="AYQ4" i="3"/>
  <c r="AYP4" i="3"/>
  <c r="AYR2" i="3"/>
  <c r="AYL5" i="3"/>
  <c r="AYL4" i="3"/>
  <c r="DE36" i="20" l="1"/>
  <c r="AYU2" i="3"/>
  <c r="AYT4" i="3"/>
  <c r="AYS4" i="3"/>
  <c r="AYO5" i="3"/>
  <c r="AYO4" i="3"/>
  <c r="DF36" i="20" l="1"/>
  <c r="AYR5" i="3"/>
  <c r="AYQ5" i="3" s="1"/>
  <c r="AYP5" i="3" s="1"/>
  <c r="AYN5" i="3" s="1"/>
  <c r="AYM5" i="3" s="1"/>
  <c r="AYR4" i="3"/>
  <c r="AYW4" i="3"/>
  <c r="AYV4" i="3"/>
  <c r="AYX2" i="3"/>
  <c r="DG36" i="20" l="1"/>
  <c r="AYZ4" i="3"/>
  <c r="AYY4" i="3"/>
  <c r="AZA2" i="3"/>
  <c r="AYU5" i="3"/>
  <c r="AYU4" i="3"/>
  <c r="DH36" i="20" l="1"/>
  <c r="AZC4" i="3"/>
  <c r="AZB4" i="3"/>
  <c r="AZD2" i="3"/>
  <c r="AYX5" i="3"/>
  <c r="AYW5" i="3" s="1"/>
  <c r="AYV5" i="3" s="1"/>
  <c r="AYX4" i="3"/>
  <c r="DI36" i="20" l="1"/>
  <c r="AZF4" i="3"/>
  <c r="AZE4" i="3"/>
  <c r="AZG2" i="3"/>
  <c r="AZA5" i="3"/>
  <c r="AZA4" i="3"/>
  <c r="DC38" i="20" l="1"/>
  <c r="AZI4" i="3"/>
  <c r="AZH4" i="3"/>
  <c r="AZJ2" i="3"/>
  <c r="AZD5" i="3"/>
  <c r="AZC5" i="3" s="1"/>
  <c r="AZB5" i="3" s="1"/>
  <c r="AZD4" i="3"/>
  <c r="DD38" i="20" l="1"/>
  <c r="AZL4" i="3"/>
  <c r="AZK4" i="3"/>
  <c r="AZM2" i="3"/>
  <c r="AZG5" i="3"/>
  <c r="AZG4" i="3"/>
  <c r="DE38" i="20" l="1"/>
  <c r="AZP2" i="3"/>
  <c r="DF38" i="20" s="1"/>
  <c r="DH45" i="20" s="1"/>
  <c r="AZO4" i="3"/>
  <c r="AZN4" i="3"/>
  <c r="AZJ5" i="3"/>
  <c r="AZJ4" i="3"/>
  <c r="DH43" i="20" l="1"/>
  <c r="DH42" i="20"/>
  <c r="AZM5" i="3"/>
  <c r="AZL5" i="3" s="1"/>
  <c r="AZK5" i="3" s="1"/>
  <c r="AZI5" i="3" s="1"/>
  <c r="AZH5" i="3" s="1"/>
  <c r="AZM4" i="3"/>
  <c r="AZR4" i="3"/>
  <c r="AZQ4" i="3"/>
  <c r="AZS2" i="3"/>
  <c r="AZU4" i="3" l="1"/>
  <c r="AZT4" i="3"/>
  <c r="AZV2" i="3"/>
  <c r="AZP5" i="3"/>
  <c r="AZP4" i="3"/>
  <c r="AZX4" i="3" l="1"/>
  <c r="AZW4" i="3"/>
  <c r="AZY2" i="3"/>
  <c r="AZS5" i="3"/>
  <c r="AZR5" i="3" s="1"/>
  <c r="AZQ5" i="3" s="1"/>
  <c r="AZS4" i="3"/>
  <c r="BAA4" i="3" l="1"/>
  <c r="AZZ4" i="3"/>
  <c r="BAB2" i="3"/>
  <c r="AZV5" i="3"/>
  <c r="AZV4" i="3"/>
  <c r="BAD4" i="3" l="1"/>
  <c r="BAC4" i="3"/>
  <c r="BAE2" i="3"/>
  <c r="AZY5" i="3"/>
  <c r="AZX5" i="3" s="1"/>
  <c r="AZW5" i="3" s="1"/>
  <c r="AZY4" i="3"/>
  <c r="BAG4" i="3" l="1"/>
  <c r="BAF4" i="3"/>
  <c r="BAH2" i="3"/>
  <c r="BAB5" i="3"/>
  <c r="BAB4" i="3"/>
  <c r="BAJ4" i="3" l="1"/>
  <c r="BAI4" i="3"/>
  <c r="BAE5" i="3"/>
  <c r="BAE4" i="3"/>
  <c r="BAH5" i="3" l="1"/>
  <c r="BAG5" i="3" s="1"/>
  <c r="BAF5" i="3" s="1"/>
  <c r="BAD5" i="3" s="1"/>
  <c r="BAC5" i="3" s="1"/>
  <c r="BAH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tc={2BE86B42-2A47-4431-B8A9-21163B27A629}</author>
    <author>tc={48E37D58-3480-4D35-B025-3BCD36E1C05B}</author>
    <author>tc={602082AE-1896-4D36-8AF0-0E5890E94291}</author>
    <author>tc={006BE429-4AFC-4A0A-AB3A-619AA3CCDA6C}</author>
    <author>tc={AD0459C9-D888-43FA-BC41-CE2B9118F8AE}</author>
    <author>tc={D623A818-29E9-4388-B1CE-1E4BF641CE55}</author>
    <author>tc={F1A5DE60-02FD-4D6C-A947-F4336387C433}</author>
    <author>tc={13937B96-48CA-41E7-871A-4D498365754C}</author>
    <author>tc={03FDB3BA-DB08-435F-AD21-AC948B4B40E9}</author>
    <author>tc={843B88CF-ED60-48B0-8FA0-EDB80764C031}</author>
    <author>tc={64E5F20B-1216-4363-A7EA-2898308E11F3}</author>
    <author>tc={E0ACFA9A-BD9A-490E-8CF0-822F7068FBE6}</author>
    <author>tc={E783665C-4F39-47CF-81C7-2936593A4754}</author>
    <author>tc={8DE81EAB-7E8F-4111-B13A-773EAB3E0311}</author>
    <author>tc={E6037FB8-5987-48C4-BA9C-677390603956}</author>
    <author>tc={97A159DE-4243-478E-AC70-36CA12B0B674}</author>
    <author>tc={BA260CE6-8B02-4E11-BF4B-D273C8F727A0}</author>
    <author>tc={5A265D08-2EDF-4A2D-B0BB-A8E97D6BAF06}</author>
    <author>tc={EF6185C4-FFF2-4F38-8E72-1A6408709664}</author>
    <author>tc={F081FE2E-1456-4601-BFF7-0BADD794C71A}</author>
    <author>tc={59C2C9AB-5954-4D6C-8DB1-A59C2BFD1CF7}</author>
    <author>tc={0DD92CBF-E286-4AFD-B6B6-9444BE3F7740}</author>
    <author>tc={DC80D8CF-722B-424E-ADA0-3BDDDAD9191E}</author>
    <author>tc={75068F55-869B-447D-B53C-78014A9EAE94}</author>
    <author>tc={A0A2C715-2612-496E-8011-8C54A0614130}</author>
    <author>tc={3FC9036A-4D75-46BD-827D-C4378AE63D1C}</author>
    <author>tc={3331C30D-C259-49C4-9EF1-57B81C7BBBCA}</author>
  </authors>
  <commentList>
    <comment ref="E3" authorId="0" shapeId="0" xr:uid="{2BE86B42-2A47-4431-B8A9-21163B27A6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aditivo ya está en planta, falta hacer la prueba</t>
        </r>
      </text>
    </comment>
    <comment ref="E5" authorId="1" shapeId="0" xr:uid="{48E37D58-3480-4D35-B025-3BCD36E1C0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Evaluar costos (con Migue), armar listado y gestionar muestras (con Julio)</t>
        </r>
      </text>
    </comment>
    <comment ref="E8" authorId="2" shapeId="0" xr:uid="{602082AE-1896-4D36-8AF0-0E5890E942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Lo compraremos más adelante</t>
        </r>
      </text>
    </comment>
    <comment ref="E9" authorId="3" shapeId="0" xr:uid="{006BE429-4AFC-4A0A-AB3A-619AA3CCDA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Fecha de elaboración + Fecha de vencimiento = van ambas cuando la unidad va directo a la venta (estuche o flow impreso)</t>
        </r>
      </text>
    </comment>
    <comment ref="E15" authorId="4" shapeId="0" xr:uid="{AD0459C9-D888-43FA-BC41-CE2B9118F8A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Ver de hacer con Paladini o con TUKI al final, envasar en 80gr con ra</t>
        </r>
      </text>
    </comment>
    <comment ref="E16" authorId="5" shapeId="0" xr:uid="{D623A818-29E9-4388-B1CE-1E4BF641CE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Picadora 33mm (tenemos de 19 y de 13)
Mezcladora 10 mm (tenemos de 3.5, 4.27 y 6)
Formax placa de llenado
Prueba con: 
- Chorizo formado mariposa congelado.
- Formado en unidades de 100/110g
- Envasado en flow x 2
- Medidas aprox. de referencia: 130mm x 90mm x 8mm de espesor.
- Volumen estimado: 15 Tn/mes.
- Marca Paladini
- MP: la pasta es enviada por Paladini a valor cero.
- Resto de Insumos: cajas, flow, etc son comprados y gestionados por UG.
- Retiro a cargo de Paladini</t>
        </r>
      </text>
    </comment>
    <comment ref="E17" authorId="6" shapeId="0" xr:uid="{F1A5DE60-02FD-4D6C-A947-F4336387C4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Picadora 33mm (tenemos de 19 y de 13)
Mezcladora 10 mm (tenemos de 3.5, 4.27 y 6)
Formax placa de llenado
Prueba con: 
- Chorizo formado mariposa congelado.
- Formado en unidades de 100/110g
- Envasado en flow x 2
- Medidas aprox. de referencia: 130mm x 90mm x 8mm de espesor.
- Volumen estimado: 15 Tn/mes.
- Marca Paladini
- MP: la pasta es enviada por Paladini a valor cero.
- Resto de Insumos: cajas, flow, etc son comprados y gestionados por UG.
- Retiro a cargo de Paladini</t>
        </r>
      </text>
    </comment>
    <comment ref="E18" authorId="7" shapeId="0" xr:uid="{13937B96-48CA-41E7-871A-4D49836575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 la máquina puede sellar 20 paquetes por minuto.
- nosotros apuntamos a envasar mientras hacemos 110, de 20hs a 23.30hs, y haremos 600kg (considerando la info que tenemos de Catter). La capacidad de la máquina nos da para 450 kg por hora, por ende, tenemos capacidad para seguir mejorando. 
- hoy Catter nos manda por mes 1.200 KG, estimando que haremos 4 veces por semana 110, estaríamos duplicando el envío de Catter mensual en una sola semana. 
- nosotros producimos 3.500/4000 kg por semana, podríamos guardar la primer tanda para hacer stock en cpc y luego empezar a repartir según demanda.
- 4 personas: dos de llenado, uno de sellado, uno de envasado</t>
        </r>
      </text>
    </comment>
    <comment ref="E26" authorId="8" shapeId="0" xr:uid="{03FDB3BA-DB08-435F-AD21-AC948B4B40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Dos presupuestos, aprox 15 M</t>
        </r>
      </text>
    </comment>
    <comment ref="E28" authorId="9" shapeId="0" xr:uid="{843B88CF-ED60-48B0-8FA0-EDB80764C0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Averiguar por dos más</t>
        </r>
      </text>
    </comment>
    <comment ref="E31" authorId="10" shapeId="0" xr:uid="{64E5F20B-1216-4363-A7EA-2898308E11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 11 a 11:15</t>
        </r>
      </text>
    </comment>
    <comment ref="E32" authorId="11" shapeId="0" xr:uid="{E0ACFA9A-BD9A-490E-8CF0-822F7068FB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-Cambiar el circutor que comanda los capacitores
-Ver recomendaciones del proveedor
-Validar que quede ok con el consumo de Edenor</t>
        </r>
      </text>
    </comment>
    <comment ref="L33" authorId="12" shapeId="0" xr:uid="{E783665C-4F39-47CF-81C7-2936593A475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Insonorización
</t>
        </r>
      </text>
    </comment>
    <comment ref="E35" authorId="13" shapeId="0" xr:uid="{8DE81EAB-7E8F-4111-B13A-773EAB3E03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enviar mail a insumaq</t>
        </r>
      </text>
    </comment>
    <comment ref="E37" authorId="14" shapeId="0" xr:uid="{E6037FB8-5987-48C4-BA9C-6773906039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Cotizar motor - pulmón - rodillo - Mejorar capacidad del actual</t>
        </r>
      </text>
    </comment>
    <comment ref="E44" authorId="15" shapeId="0" xr:uid="{97A159DE-4243-478E-AC70-36CA12B0B6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Volvió a dar mal un ítem</t>
        </r>
      </text>
    </comment>
    <comment ref="E45" authorId="16" shapeId="0" xr:uid="{BA260CE6-8B02-4E11-BF4B-D273C8F72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Tenemos 2 de media de nuevo sin funcionar. Manchón y otro se le va el aceite
Reply:
    Se agregan 2 de baja sin funcionar. Ya pedimos los repuestos y que revisen los de media</t>
        </r>
      </text>
    </comment>
    <comment ref="E49" authorId="17" shapeId="0" xr:uid="{5A265D08-2EDF-4A2D-B0BB-A8E97D6BAF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Definir con Migue</t>
        </r>
      </text>
    </comment>
    <comment ref="E50" authorId="18" shapeId="0" xr:uid="{EF6185C4-FFF2-4F38-8E72-1A64087096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Proyecto PB</t>
        </r>
      </text>
    </comment>
    <comment ref="L53" authorId="19" shapeId="0" xr:uid="{F081FE2E-1456-4601-BFF7-0BADD794C7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FALTA BARANDA DE MOTOR</t>
        </r>
      </text>
    </comment>
    <comment ref="E56" authorId="20" shapeId="0" xr:uid="{59C2C9AB-5954-4D6C-8DB1-A59C2BFD1C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Tomahawk</t>
        </r>
      </text>
    </comment>
    <comment ref="E57" authorId="21" shapeId="0" xr:uid="{0DD92CBF-E286-4AFD-B6B6-9444BE3F77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Tomahawk</t>
        </r>
      </text>
    </comment>
    <comment ref="E64" authorId="22" shapeId="0" xr:uid="{DC80D8CF-722B-424E-ADA0-3BDDDAD919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Siscod, Ricato, Ingia
Reply:
    Victor, nuevo proveedor</t>
        </r>
      </text>
    </comment>
    <comment ref="E65" authorId="23" shapeId="0" xr:uid="{75068F55-869B-447D-B53C-78014A9EAE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Torfresma y Cama</t>
        </r>
      </text>
    </comment>
    <comment ref="E66" authorId="24" shapeId="0" xr:uid="{A0A2C715-2612-496E-8011-8C54A06141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Tomahawk
Reply:
    Están viendo la medida de la placa que es de una estimación, no sale de una prueba real
Reply:
     110gr, 130 diám, 9 espesor</t>
        </r>
      </text>
    </comment>
    <comment ref="E68" authorId="25" shapeId="0" xr:uid="{3FC9036A-4D75-46BD-827D-C4378AE63D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 Alcance: aditivos, embalaje y marketing.
- Objetivo: estar al tanto del stock (Tigre y Perón) y asegurar que la información en el sistema esté bien (Tigre).
- Gestionar los vencidos y obsoletos
- Dar respuesta por los controles de inventario a realizar con Abril
- A fututo ver coordinación de fines de semana
- Marketing: ordenar, inventariar y que Fofi gestione los movimientos por sistema. Coordinarlo con Cami de mktg. 
- Perón: ver las necesidades que Julio le pasa a Rebu de stock y validar el proceso de pedido a Tigre, recepción en Perón y mantenimiento del stock.</t>
        </r>
      </text>
    </comment>
    <comment ref="E69" authorId="26" shapeId="0" xr:uid="{3331C30D-C259-49C4-9EF1-57B81C7BBBC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 Retirar el aditivo que ya no está en el inventario por sistema
- Armar una planilla con el embalaje para descartar con el detalle de la situación en cada caso, para evaluar su descarte previa autorización de ventas o 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tc={BB123EE9-7121-4AEF-81A2-8969AA692F71}</author>
    <author>tc={B9A60079-9FE6-4DC8-9785-F9631F6458A0}</author>
    <author>tc={3FA8B4CB-6B77-41ED-A8BD-9712AFF00320}</author>
    <author>tc={2C5B9D76-6350-4EE5-A56C-703409A5F6BA}</author>
    <author>tc={19FDCF90-F21A-4E67-943A-E0F66A24D83E}</author>
    <author>tc={C590E10A-BE4F-4D25-AAF8-33B6CBAFA315}</author>
    <author>tc={D8A30884-A5C2-43C2-8F0A-81E4B29D11EA}</author>
    <author>tc={8189518D-1781-4E32-B74A-AD241B479405}</author>
    <author>tc={FC6F3EC9-7F38-4FBB-A062-A217F681D040}</author>
    <author>tc={DA764683-934F-45B9-BA8F-2152BC38665B}</author>
    <author>tc={EA393D8E-63E9-4D84-86AD-BA1400BDCE5E}</author>
    <author>tc={EE18DCDE-026F-4014-8020-C67A844E537A}</author>
    <author>tc={89F33C5A-1F99-44C2-B43A-5FE907110AC7}</author>
    <author>tc={3414D0B4-0859-4318-8365-CD073C582E4A}</author>
    <author>tc={776A4CD5-D5E7-4E78-A261-0061EB044067}</author>
    <author>tc={0644266C-651A-4A82-B04B-B31A9EE6B348}</author>
    <author>tc={6FC4E1DA-50A4-4EDF-9140-7434D10F915F}</author>
    <author>tc={6FB64D0F-535B-4B34-8AB2-A8B0D1B2A3F1}</author>
    <author>tc={47085ABF-7C0D-4F85-93FD-D246A08C9DF5}</author>
    <author>tc={9141494A-D551-4E32-9A8D-C0E3523110C5}</author>
    <author>tc={CB52B102-B962-491F-9873-DD30F085697F}</author>
    <author>tc={06B937BD-795A-4580-BC7D-396DC844AC9F}</author>
    <author>tc={EFD6DBCD-018A-4E2F-83B5-5B8512E1A63D}</author>
    <author>tc={7633EA8C-C6A8-41E9-B2E4-790167687DEE}</author>
    <author>tc={A7DD3147-350C-44FB-8090-B4B4C7D9E650}</author>
    <author>tc={72A3AA7A-18B1-4594-8290-C2BCFDFB4C0A}</author>
    <author>tc={FE9E684E-6B13-41CE-A04C-8772890BDA0A}</author>
    <author>tc={2FBEA442-58AF-4EF2-A4D6-4B7C5265B7C9}</author>
    <author>tc={B39DDC60-6E85-4CB4-B712-75C89CA6DC43}</author>
    <author>tc={8CF4F901-73DA-402B-AB11-818438BA8562}</author>
    <author>tc={F2500824-C3E5-43EC-A547-298B3C2C6AB6}</author>
  </authors>
  <commentList>
    <comment ref="AK7" authorId="0" shapeId="0" xr:uid="{BB123EE9-7121-4AEF-81A2-8969AA692F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 bien fueron 6 días de SDF, para que todos tengan dos turnos, lo divido por 4 ya que dos findes fueron de 1 turno cada día</t>
        </r>
      </text>
    </comment>
    <comment ref="AE15" authorId="1" shapeId="0" xr:uid="{B9A60079-9FE6-4DC8-9785-F9631F6458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18.3 kg promedio</t>
        </r>
      </text>
    </comment>
    <comment ref="AF15" authorId="2" shapeId="0" xr:uid="{3FA8B4CB-6B77-41ED-A8BD-9712AFF003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17.7 kg promedio</t>
        </r>
      </text>
    </comment>
    <comment ref="AG15" authorId="3" shapeId="0" xr:uid="{2C5B9D76-6350-4EE5-A56C-703409A5F6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19.8 kg promedio</t>
        </r>
      </text>
    </comment>
    <comment ref="AH15" authorId="4" shapeId="0" xr:uid="{19FDCF90-F21A-4E67-943A-E0F66A24D8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19.2 kg promedio</t>
        </r>
      </text>
    </comment>
    <comment ref="AI15" authorId="5" shapeId="0" xr:uid="{C590E10A-BE4F-4D25-AAF8-33B6CBAFA3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19.3 kg promedio</t>
        </r>
      </text>
    </comment>
    <comment ref="AJ15" authorId="6" shapeId="0" xr:uid="{D8A30884-A5C2-43C2-8F0A-81E4B29D11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19.2 kg promedio</t>
        </r>
      </text>
    </comment>
    <comment ref="AK15" authorId="7" shapeId="0" xr:uid="{8189518D-1781-4E32-B74A-AD241B4794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19.3 kg promedio</t>
        </r>
      </text>
    </comment>
    <comment ref="AL15" authorId="8" shapeId="0" xr:uid="{FC6F3EC9-7F38-4FBB-A062-A217F681D0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914kg por plástico</t>
        </r>
      </text>
    </comment>
    <comment ref="T22" authorId="9" shapeId="0" xr:uid="{DA764683-934F-45B9-BA8F-2152BC3866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 FORMAX</t>
        </r>
      </text>
    </comment>
    <comment ref="AG34" authorId="10" shapeId="0" xr:uid="{EA393D8E-63E9-4D84-86AD-BA1400BDCE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 corrección de andres</t>
        </r>
      </text>
    </comment>
    <comment ref="AH34" authorId="11" shapeId="0" xr:uid="{EE18DCDE-026F-4014-8020-C67A844E53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185 errores fueron del día 11, que varios batchs los cargaron en el día 12 por error</t>
        </r>
      </text>
    </comment>
    <comment ref="AJ34" authorId="12" shapeId="0" xr:uid="{89F33C5A-1F99-44C2-B43A-5FE907110AC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74 errores fueron del día 08/09:
- 25 errores fueron faltante de carne ya que un archivo de Villa Olga tuvo problemas y no se pudo ingresar al sistema como usualmente lo hacen. 
- 49 errores de lectura de aditivos fue porque no se habilitó el consumo de las etiquetas (pallets que vinieron de Tigre y Fofi estaba de vacaciones)
</t>
        </r>
      </text>
    </comment>
    <comment ref="AG40" authorId="13" shapeId="0" xr:uid="{3414D0B4-0859-4318-8365-CD073C582E4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5825 kg no se pudieron leer.</t>
        </r>
      </text>
    </comment>
    <comment ref="AH40" authorId="14" shapeId="0" xr:uid="{776A4CD5-D5E7-4E78-A261-0061EB0440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5496kg qu eno se leyeron</t>
        </r>
      </text>
    </comment>
    <comment ref="Y43" authorId="15" shapeId="0" xr:uid="{0644266C-651A-4A82-B04B-B31A9EE6B3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PV apareció cuando por realizar control de inventario se daban de baja cajas que en realidad estaban para reproceso.</t>
        </r>
      </text>
    </comment>
    <comment ref="AD45" authorId="16" shapeId="0" xr:uid="{6FC4E1DA-50A4-4EDF-9140-7434D10F91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analizar tema formax frenada</t>
        </r>
      </text>
    </comment>
    <comment ref="B49" authorId="17" shapeId="0" xr:uid="{6FB64D0F-535B-4B34-8AB2-A8B0D1B2A3F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Promedio del error absoluto entre forecast y venta real sobre la venta real para todos los skus</t>
        </r>
      </text>
    </comment>
    <comment ref="B53" authorId="18" shapeId="0" xr:uid="{47085ABF-7C0D-4F85-93FD-D246A08C9D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Promedio ponderado del error absoluto entre el forecast y la venta real sobre la venta real</t>
        </r>
      </text>
    </comment>
    <comment ref="AK80" authorId="19" shapeId="0" xr:uid="{9141494A-D551-4E32-9A8D-C0E3523110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71% unidad en flow</t>
        </r>
      </text>
    </comment>
    <comment ref="AK84" authorId="20" shapeId="0" xr:uid="{CB52B102-B962-491F-9873-DD30F08569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Plástico 50%</t>
        </r>
      </text>
    </comment>
    <comment ref="AK161" authorId="21" shapeId="0" xr:uid="{06B937BD-795A-4580-BC7D-396DC844AC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Figura como MAL SELLADO</t>
        </r>
      </text>
    </comment>
    <comment ref="AI170" authorId="22" shapeId="0" xr:uid="{EFD6DBCD-018A-4E2F-83B5-5B8512E1A6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RCL- 25-1221 - el cliente pesó el contenido </t>
        </r>
      </text>
    </comment>
    <comment ref="AI171" authorId="23" shapeId="0" xr:uid="{7633EA8C-C6A8-41E9-B2E4-790167687D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RCL-25-1245 - el cliente se queja del hielo en la bolsa
RCL-25-1263 - el cliente se queja por presencia de hueso</t>
        </r>
      </text>
    </comment>
    <comment ref="AM171" authorId="24" shapeId="0" xr:uid="{A7DD3147-350C-44FB-8090-B4B4C7D9E6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Pelo</t>
        </r>
      </text>
    </comment>
    <comment ref="AJ190" authorId="25" shapeId="0" xr:uid="{72A3AA7A-18B1-4594-8290-C2BCFDFB4C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Tengo data a partir del 26 de septiembre</t>
        </r>
      </text>
    </comment>
    <comment ref="AK195" authorId="26" shapeId="0" xr:uid="{FE9E684E-6B13-41CE-A04C-8772890BDA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@David Varela  tendrás el dato?
Reply:
    buen dia justi!!
no no lo tengo 
ahora lo vuelvo a pedir</t>
        </r>
      </text>
    </comment>
    <comment ref="AN198" authorId="27" shapeId="0" xr:uid="{2FBEA442-58AF-4EF2-A4D6-4B7C5265B7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compro 20 garrafas para instalacion de torre nueva de baja</t>
        </r>
      </text>
    </comment>
    <comment ref="AN200" authorId="28" shapeId="0" xr:uid="{B39DDC60-6E85-4CB4-B712-75C89CA6DC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partir del día 9 se empezó a registrar la cantidad de pallets que entraban de embalaje</t>
        </r>
      </text>
    </comment>
    <comment ref="AL202" authorId="29" shapeId="0" xr:uid="{8CF4F901-73DA-402B-AB11-818438BA85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Hay 22040 kg que fueron facturados el 11/11 que eran del cliente anterior que correspondían a kg de octubre.</t>
        </r>
      </text>
    </comment>
    <comment ref="C206" authorId="30" shapeId="0" xr:uid="{F2500824-C3E5-43EC-A547-298B3C2C6AB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Golpes por placa, considerando un 4% de pérdida de rendimiento (mal formado que reingresa a la formax)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tc={5724B3EC-F8EA-450A-9A54-867CA9DA5F77}</author>
    <author>tc={2B55BC30-0A9C-4F9E-8E95-16079CE8688F}</author>
    <author>tc={4EBD2F9B-3051-440C-B49E-4BE7F3977D78}</author>
    <author>tc={3ECA16C9-9D08-4867-8449-C8326A700FB2}</author>
    <author>tc={C2C5E817-3617-41E7-8837-3E2F5AF226EC}</author>
    <author>tc={8535D770-7756-4938-A69C-3264EC698F03}</author>
    <author>Justina Genes</author>
    <author>tc={7114287F-2B3D-41AA-AF6D-DD2AFD5E431E}</author>
    <author>tc={4B29C1ED-7E1F-4AB2-98D2-7EED1C04E1CA}</author>
    <author>tc={828BC30F-0A7D-45C2-8919-F3FA10D59C50}</author>
    <author>tc={9E78B95E-AB51-48B2-9096-5979B8187091}</author>
    <author>tc={08365331-A2DC-4E7D-AAF6-F67365AFBAAB}</author>
    <author>tc={967AADBE-39EA-4306-9E5B-1A96CFDAC1A6}</author>
    <author>tc={B56982E4-28C0-4D6F-9D49-E5DAB6DE57B1}</author>
    <author>tc={33EEEE97-6B06-4C66-9B2D-EBE57088972C}</author>
    <author>tc={886CD759-4AB7-4001-A1B5-CD658FFB9B5D}</author>
    <author>tc={08B5453B-4D0E-40D3-B937-AB204780D5C5}</author>
    <author>tc={13634B95-D05B-4F90-A565-84A44E6EBBCF}</author>
    <author>tc={0878599A-CEAB-4332-BD77-5E0BA99835D7}</author>
    <author>tc={CC511CC5-47BE-4F5A-B119-60CE8CECD5FE}</author>
    <author>tc={D6CD4E9A-88B0-47C6-8DC3-895D1A2BD976}</author>
    <author>tc={9CCFB082-E851-40A8-B49C-2A2061BA6C80}</author>
    <author>tc={C61E746C-BC21-4AD7-BE89-552D11727250}</author>
    <author>tc={B46A3F43-AA11-4DFA-9013-244BA368F5F6}</author>
    <author>tc={058F0F0A-4F6C-4F14-BC36-95206A51F50B}</author>
    <author>tc={9DE670ED-E938-45E3-AEE4-E9573EE4971B}</author>
    <author>tc={513170E6-14E8-41F9-B337-83C0A6E5FD8F}</author>
    <author>tc={3175376B-1F32-4442-AE9F-37A916245420}</author>
    <author>tc={C2960CC2-BB73-46B1-868F-9BC2CF2C5517}</author>
    <author>tc={5E22F9DE-5ECF-4D90-89FB-DEFD1E04C89C}</author>
    <author>tc={F767A306-1F57-46EA-8ED4-FD6B5BCEB1E2}</author>
    <author>tc={BB3FEEF1-051E-4E5A-A297-7F147B27C553}</author>
    <author>tc={A7860F43-A709-4FEB-88D1-4B34AD5F8E4D}</author>
    <author>tc={1C8B5585-AD06-4097-B04A-4B3DB1EEBCE8}</author>
    <author>tc={2C5EBE8B-39C4-477C-873C-C794F6598545}</author>
    <author>tc={808F6BAA-5118-40A1-89A6-DB02DBD8E59B}</author>
    <author>tc={C4087865-3FD6-4AAA-A04F-1973DE5F884D}</author>
    <author>tc={C768B92A-89DF-4CFC-ADD1-C96588F2607C}</author>
    <author>tc={846F7F59-44F8-4F06-895E-2F8D527EDC8A}</author>
    <author>tc={82230F8B-B5B6-4969-A33C-DB6B5E976489}</author>
    <author>tc={218F557B-FBE9-40A0-BA54-D200CAD686F0}</author>
    <author>tc={FA6B0F6F-EF8B-4C17-8089-62037550B013}</author>
    <author>tc={A0A2CF75-AF80-4A57-A666-AC89D1EA4D2B}</author>
    <author>tc={33580C4F-9E1E-49A4-92DC-2A080EB3F48F}</author>
    <author>tc={01A04616-C4F2-4C9C-B3CA-3C2EB7FA947B}</author>
    <author>tc={E0A7CDC9-FE9A-4ECB-BE9D-E173B36C2431}</author>
    <author>tc={A0BD65C7-9DF1-4F05-99FE-F31E25D23A35}</author>
    <author>tc={CCCEEC44-4989-42A4-BDBD-625DAF07C938}</author>
    <author>tc={D8443160-86A9-4BE6-B240-9C6671E89BF3}</author>
    <author>tc={AA3FCB52-A1EE-441B-B41A-8C794EEEBBC1}</author>
    <author>tc={24440EEB-864B-4AB7-9BF7-A5C95DE46E29}</author>
    <author>tc={944AFED1-F495-4027-8DC9-C0CEF6BDF81F}</author>
    <author>tc={61BCA96F-DC07-4C2F-9896-9082363887A9}</author>
    <author>tc={BC57E363-14EA-415C-A59D-B6870171E609}</author>
    <author>tc={A79CF382-ED7E-4842-A006-2E63D7847856}</author>
    <author>tc={6073AC17-0F8B-4BA0-96FB-37FD7462AB0B}</author>
    <author>tc={182C0FE5-03D0-4B9D-9A3F-9826E8EBC67B}</author>
    <author>tc={B8CD7ECF-B30C-4A4E-8168-0937C6E25BEA}</author>
    <author>tc={EFDBD598-6BB7-4543-8531-6E18FA2297D9}</author>
    <author>tc={21E25FCC-F3B0-4F55-A1CC-97E7BAE3E940}</author>
    <author>tc={D00CD3DB-D4C1-48C9-A9CD-B4240B734EE7}</author>
    <author>tc={986B3E16-C682-44C8-A955-4CE50A737DF5}</author>
    <author>tc={26CAD1A7-3017-4DB9-A86B-73E9AF6EE35C}</author>
    <author>tc={078384E4-550F-42B5-A19B-55DD1E52F5A4}</author>
    <author>tc={8565CA22-4004-4E1E-8349-3D8B84BF3EAA}</author>
    <author>tc={B996AC8C-68FE-4A59-AF21-0DD953377C02}</author>
    <author>tc={828202F6-EECE-47CC-98FD-82AD846100D7}</author>
    <author>tc={DC73E1C6-3E46-41D3-A9EE-331EACC6DF47}</author>
    <author>tc={AD0D9C64-1CD3-4627-9143-3BDD45686487}</author>
    <author>tc={2C27F930-82CF-4117-8B46-D1BD1F9E6B1B}</author>
    <author>tc={FD2C4F3A-5A5F-434C-8345-40B2A61F37EB}</author>
    <author>tc={E4E5E90A-AD1D-4274-B479-F0ECD19C0ADD}</author>
    <author>tc={A242C9E5-6828-4111-AF70-D6E53BD88A3B}</author>
    <author>tc={66A5220D-B720-452E-98E8-3552C85CA6FA}</author>
    <author>tc={96296EE1-1887-4E86-9423-F45575DCF6CE}</author>
    <author>tc={14F4C493-3038-4579-9227-CB216EFECC01}</author>
    <author>tc={E3473904-BF98-432F-9C0C-72F8F64C99AA}</author>
    <author>tc={C99D0650-90D4-4165-B9F7-94947F744463}</author>
    <author>tc={A633D3E0-D397-4570-9F0C-BD4FC4ABFE45}</author>
    <author>tc={F21DF486-C261-4ADC-A988-5FA61D226892}</author>
    <author>tc={A5728B56-61C8-4107-9EE6-9B5E8BE3277F}</author>
    <author>tc={75641280-E76F-4418-937A-0593C910CAD6}</author>
    <author>tc={E7ED57F7-A718-4029-9106-DF0149A95642}</author>
    <author>tc={525DEE36-D79B-4DE4-8E70-49ABB5BE0141}</author>
    <author>tc={DF187D24-8CE7-41D7-88C8-E44FB2D7C2E6}</author>
    <author>tc={5B4B5D6E-8A40-4F86-BDD4-3A0E99237BB2}</author>
    <author>tc={0215CF15-006B-41A5-835B-C77938ED1C4E}</author>
    <author>tc={3183D7D9-7C9F-49BF-99F0-B342953D0F76}</author>
    <author>tc={02FA7D70-6FA0-41BF-8A5B-7038378015D7}</author>
    <author>tc={E38BCDCE-7959-48F7-8C58-D8A914D4CF78}</author>
    <author>tc={9102943B-087C-4051-8D6E-D2EE6C8F8EA4}</author>
    <author>tc={150F9B71-A237-45F1-ABF5-C3448EFE4310}</author>
    <author>tc={B2B700E8-2C36-44D6-868A-FFB1B7490636}</author>
    <author>tc={A4728D09-00A8-42FC-B026-E88E44622B11}</author>
    <author>tc={504CAD60-CDFE-4C54-93FA-B00E7AFD1442}</author>
    <author>tc={A4865520-8EC8-4299-921B-AB356076E44E}</author>
    <author>tc={8A8722EF-2378-4FDE-9F70-94F48700ED69}</author>
    <author>tc={4E003294-E147-418E-B8C5-F6AD4AD9F975}</author>
    <author>tc={956D1C4A-D4D0-4374-8007-F6D0094F33D8}</author>
    <author>tc={81DE20D7-BCED-4696-BDE5-61654C5CD397}</author>
    <author>tc={0367E8A2-0592-4F24-8E6A-CA970B3EF990}</author>
    <author>tc={8688EF04-B8B2-41B2-9554-37E08225B259}</author>
    <author>tc={68E7CAA6-7DA7-4F11-8B0E-6765C9A31FCB}</author>
    <author>tc={E09D547B-4A94-490D-B29D-9AF242C0F9B4}</author>
    <author>tc={1DF5EC25-98BF-4DD2-9D7C-EBECEA6C2100}</author>
    <author>tc={51C34A0E-82DC-4E28-9B7E-17084C9E0D88}</author>
    <author>tc={59E17BED-F377-4C83-A898-644D676486EE}</author>
    <author>tc={A485B341-3F0A-4D4C-92B2-D0C1710AAF6E}</author>
    <author>tc={3ED2CC7F-0CBB-4734-9603-09AFAA419B7B}</author>
    <author>tc={944470EF-F342-4E81-B442-6B302275F092}</author>
    <author>tc={F2FCB625-FF0E-46BD-9000-B99F2B8886AE}</author>
    <author>tc={FD521063-C3AF-4FAC-AB2E-4561A638D38A}</author>
    <author>tc={F01088D9-2E9B-46EE-BBC1-81A417AF2F1B}</author>
    <author>tc={BCA16092-3E0A-49FF-ABC6-A6997C5A6088}</author>
    <author>tc={6B4AF683-E6CB-4907-95BF-E1C1F3D37B21}</author>
    <author>tc={7E41FB03-BB28-4FF1-B2AA-00F5793FC4F2}</author>
    <author>tc={E47CF27B-961F-486E-B24C-27800854C7E4}</author>
    <author>tc={F5D4C3F1-A178-4F02-AEC0-6407A6832884}</author>
    <author>tc={A0AA70B1-BB17-4E14-B617-8914E855560C}</author>
    <author>tc={91FFC58D-21B2-4FD2-811F-351052690791}</author>
    <author>tc={5237B7D8-6A0E-4469-804F-55BE8D085B3E}</author>
    <author>tc={63CCE1FA-D6AC-4FD9-80B4-E33E03F5AD54}</author>
    <author>tc={47668ABD-404C-4D70-9B13-D166E81495D8}</author>
    <author>tc={40939268-9B87-4509-8262-3B6A3480ACE7}</author>
    <author>tc={E351C542-B8A7-43A1-AB7A-D7ED6427FFC0}</author>
    <author>tc={9DACB359-6B5B-4A87-9E4F-E8DEAC2719B6}</author>
    <author>tc={B609D43A-ACF0-4F74-89A2-26F3A263B35C}</author>
    <author>tc={E0F453F1-5D40-47D8-B1B5-1D999B29BA44}</author>
    <author>tc={8D1F28A1-DB5B-4BB1-8EA9-AD50DBE4EC1A}</author>
    <author>tc={F9ECA8A3-C1AF-4737-B442-176491468E5A}</author>
    <author>tc={51CBA2DA-6449-47F6-B2C8-02EC7CD06AD9}</author>
    <author>tc={21F21A0D-414B-45D6-ABBD-33C4315D30A5}</author>
    <author>tc={0DF339F3-F2CF-4721-8085-0F38D58A5B3A}</author>
    <author>tc={56B88FC9-7B32-4CC5-99A4-3F718BEDD9DB}</author>
    <author>tc={EAC43A57-9719-40E2-84B9-72517E4E8841}</author>
    <author>tc={6EDA7870-C786-4956-A5BF-E33404AC3EE1}</author>
    <author>tc={33630BF1-D08E-4B1A-97D9-EB448B3A4CA3}</author>
    <author>tc={8B0E593A-2FE6-4BCC-985D-A060223EE90E}</author>
    <author>tc={63BC36C1-A21E-4699-9491-5E3DAA73C05F}</author>
    <author>tc={1D593466-8B80-4850-9BD7-AF497E305E3C}</author>
    <author>tc={72905C70-C6C7-4082-9DF2-556E327C80FC}</author>
    <author>tc={F34BAE39-076E-43C9-AD4C-2DF9A44709A1}</author>
    <author>tc={E085A129-8DEF-4FE6-867C-02487A74641B}</author>
    <author>tc={B549F9DD-FB0D-4DEB-8020-B735393C4185}</author>
    <author>tc={4A1BE8FA-5312-4F26-B70F-E12CBC9262C6}</author>
    <author>tc={1F2AF8AB-C170-4DEA-93EB-E7F9476C9414}</author>
    <author>tc={438B648D-C18C-473F-9758-F2A0AF484E8E}</author>
    <author>tc={F65A04DA-7C32-44FE-8324-CE625EC9F77B}</author>
    <author>tc={9F98E956-2A09-4BCA-AAFA-9D9B6CCA9764}</author>
    <author>tc={E96F87B0-2B66-41A2-8FAE-5EE22579B1FB}</author>
    <author>tc={69A464D3-4F16-488D-8375-09847C4AF4B6}</author>
    <author>tc={A4789393-848A-4465-B808-B60E49E09B78}</author>
    <author>tc={AB3153E9-6F63-48D5-9518-1789469D4FFE}</author>
    <author>tc={5FEC250F-5EBE-4704-803E-0C5B847C56C8}</author>
    <author>tc={7B234814-7CA5-4707-8344-3989C46C401B}</author>
    <author>tc={46CFB35A-4857-4880-97EE-151403CD9EEA}</author>
    <author>tc={FECC5DA1-E27A-45E7-B0BD-5A9AB5C9847D}</author>
    <author>tc={22A6517A-0F8B-4F36-83CA-124A987B372F}</author>
    <author>tc={48425ABD-E5CC-4CB9-AA6E-39733AB50564}</author>
    <author>tc={1A458C24-A798-4298-871E-65953E09EBE0}</author>
    <author>tc={00041E57-70BC-4269-91D8-1B7DE5EBE6AA}</author>
    <author>tc={F58A0FD3-0A94-4121-AE3B-AB34F3E3A032}</author>
    <author>tc={1BA8460A-DF21-4E2B-9D29-E1C85A232504}</author>
    <author>tc={15B0E9CD-BEF5-4FC4-A22E-FDCC4670B02B}</author>
    <author>tc={B7BEAF00-15C7-4143-B4A9-692E8FF4B6CF}</author>
    <author>tc={204E3CED-8B48-4944-97D2-7E84F24C0300}</author>
    <author>tc={D74DDA58-0441-4DF7-9540-4EDABE153510}</author>
    <author>tc={EC0E7666-D111-4318-B3D4-06527FDEFED1}</author>
    <author>tc={4FF32014-02ED-4FB0-AB04-13F61F8EBF36}</author>
    <author>tc={3876E1CC-6FEB-4815-A6AC-85E0E2A3E0DB}</author>
    <author>tc={B47C10DB-04C4-4B57-A75E-78FFBF2B8E5F}</author>
    <author>tc={555DD722-2B66-4D11-AE6A-E5C0B4F0D03A}</author>
    <author>tc={2F4A887B-A5A4-47AC-8621-0671133EF10B}</author>
    <author>tc={2A896588-305F-4642-9F3B-DB37EAAA53B4}</author>
    <author>tc={BAEEDDB0-C236-42CE-A18C-CC9125A465B2}</author>
    <author>tc={27692615-C589-42ED-BFA7-C5D62B42D86D}</author>
    <author>tc={6452691A-B08E-4C99-84B8-4257C4F6D8D4}</author>
    <author>tc={085FD946-5C98-48DE-93D5-AD5065709C2F}</author>
    <author>tc={81C29ECE-8CE9-48F1-9477-2F18596740F3}</author>
    <author>tc={B0D8EA8B-D0B6-49BD-9F57-B2BFA9183416}</author>
    <author>tc={E5779FAB-4A32-4B70-9232-FA0747748A38}</author>
    <author>tc={C967D0D3-F645-4225-8C71-5E457E72BBD3}</author>
    <author>tc={B4E66437-D1F7-44E7-9BDB-0A0129DDC53C}</author>
    <author>tc={C643DCE1-1851-4C01-A63A-54EBA1407207}</author>
    <author>tc={9E603F5B-B33E-4FE7-A636-78637AE460A2}</author>
    <author>tc={1198948C-49E3-4E4D-B721-DEB54E6EADAA}</author>
    <author>tc={5AF10DA5-BB85-40A1-A980-43888E3EAD7F}</author>
    <author>tc={A876F71F-3406-4A48-A827-BF74F0D0D312}</author>
    <author>tc={B06227FB-6A63-49E1-AA69-420A769CE26B}</author>
    <author>tc={889ED1FC-7BCC-48A9-A210-144D92AFBCA5}</author>
    <author>tc={66B8D1C5-CE4F-4F91-8F67-0F3123888864}</author>
    <author>tc={5D04A98C-41FB-4CCD-9391-60D44C0E9D96}</author>
    <author>tc={98F70820-B05C-4E12-9299-3CB8C642A35E}</author>
    <author>tc={EF4E58CA-BA43-463A-BC90-6AF81B937D37}</author>
    <author>tc={A218316E-2012-4D2E-8C37-E9C38A18769F}</author>
    <author>tc={99C70954-A187-4251-9A84-68C581185138}</author>
    <author>tc={12581ABF-8778-4F5E-A5CE-4DA81DCAD8D7}</author>
    <author>tc={8DBFD0D9-C2F5-42DD-A5B2-5918854C0CB9}</author>
    <author>tc={6D7DDF7B-EA27-479D-B0E8-022970150A9E}</author>
    <author>Henny Bermudez</author>
    <author>tc={E302DCF8-0864-495F-956C-E49CB0DA47D6}</author>
    <author>tc={FD8F101E-B10E-4607-98B1-6CDF6AC91E47}</author>
    <author>tc={6962B8BC-DF05-422E-8DA1-98F26163AD52}</author>
    <author>tc={DDCE608F-B17E-4EC7-94DD-C8345FAD10F7}</author>
    <author>tc={52B1311C-AF96-48EC-8394-D14E284C9691}</author>
    <author>tc={E6DCF93E-8C50-4D64-9405-33EB85EF3062}</author>
    <author>tc={2C1CE76A-F4FB-425F-8FEB-30000026F040}</author>
    <author>tc={672BB1C7-DB16-496E-A84F-CE23177E2049}</author>
    <author>tc={AB0126D9-517E-47B5-BB16-8772339AE6F9}</author>
    <author>tc={50E1A6CD-46AA-432B-BA51-2F9191248B5A}</author>
    <author>tc={87648D1B-4FC6-48D2-A6B1-FEAA41890CD3}</author>
    <author>tc={25DCFCA8-1950-4905-B4DB-70ECD4C2D351}</author>
    <author>tc={C977EEA8-5787-4C52-966B-8B7A4A506C01}</author>
    <author>tc={7C924982-9F86-4529-ADCA-35A5ADE8896E}</author>
    <author>tc={2620C48A-8749-4F4F-B5BB-D6C3969D2915}</author>
    <author>tc={4A24F165-B9DE-43E6-AFB7-23C7B02AE34C}</author>
    <author>tc={F29964D5-B007-47CE-9288-649AB8FBE73A}</author>
    <author>tc={1340528C-2426-4506-9FBC-612BCD76F5B2}</author>
    <author>tc={7E33AB12-FCFE-4D5C-B982-BC4B8C047178}</author>
    <author>tc={F864164D-DF3F-40FC-A12D-D266E813EA9C}</author>
    <author>tc={2BE8D635-3EB2-4013-9E57-6057733AE9B5}</author>
    <author>tc={2E2E5907-5D4D-4584-98C6-AF13493DE118}</author>
    <author>tc={9526831B-DDA6-4866-8CD9-B716EEF039C6}</author>
    <author>tc={5B881201-01BF-4E73-B441-DAF4D962F6F6}</author>
    <author>tc={845E7E9F-2C26-40E3-B526-3FB4F092413F}</author>
    <author>tc={FE99698A-6E17-47E3-B937-71A68C2F3FFA}</author>
    <author>tc={58693FEE-A064-4966-B94B-F8C873B93832}</author>
    <author>tc={7B5CDB4E-3D16-4998-99CB-E500C6E53CA0}</author>
    <author>tc={DD43F42D-928F-478F-A25D-AC3D4F95695C}</author>
    <author>tc={741A2F01-EDAC-400B-A011-D6943BFDB1C7}</author>
    <author>tc={597DBB74-9456-4EB2-AAD3-06028BD7618E}</author>
    <author>tc={62F479CE-F657-4A11-907C-4A350775EE64}</author>
    <author>tc={EF1C85F5-B3D5-4E8C-9C0F-60E79906E2AF}</author>
    <author>tc={B52FDDF2-1070-43D2-B0DB-C95B0C77ABC6}</author>
    <author>tc={7587091D-FDE0-40B3-8C27-894517E653B4}</author>
    <author>tc={076D71C6-998F-49BB-A123-B38114A27E2B}</author>
    <author>tc={6BBFE4A6-0347-4D4B-AF67-E58AA528487E}</author>
    <author>tc={DAB584FF-7847-49C0-BBD5-87BADE353065}</author>
    <author>tc={839DD42E-C165-461F-BDF7-01A500F92AA6}</author>
    <author>tc={8BE67708-551F-4B66-8115-4DB3846385D4}</author>
    <author>tc={4A2DBD92-3E8D-44E8-9F13-AF1980F55EFC}</author>
    <author>tc={3AA0ECA3-C038-46FF-A1E1-40C80CDB323D}</author>
    <author>tc={52BCE2DE-C98F-41AE-9F1F-60C479BAB3DE}</author>
    <author>tc={1721E4F4-5ED5-4C61-B598-F99AA43A63AB}</author>
    <author>tc={FE224064-FFC5-4A99-9F40-7EC7BA3E9090}</author>
    <author>tc={844D4B56-B4BA-4967-9F68-0385AEB1F11A}</author>
    <author>tc={411F77E1-9378-4AFD-B308-E72CB48FD226}</author>
    <author>tc={A38AA7D9-8925-40D4-96B9-C612B72703D5}</author>
    <author>tc={2F7C2C9C-0366-4F2E-9D9D-19C69C9A8753}</author>
    <author>tc={B3B17B04-E177-462E-9F68-948DF3C0519A}</author>
    <author>tc={3E592B70-5DF9-40FE-ABA4-BA9712F53D51}</author>
    <author>tc={53DFFD3E-7D5E-46CA-B609-2B06BB8813D5}</author>
    <author>tc={28D517ED-E26A-48D0-BE26-0E70F0A873DA}</author>
    <author>tc={EED26A8F-F582-4302-8540-55DD277F604F}</author>
    <author>tc={AC4C59CA-7E4D-4A1E-9E70-A8CBFC31F51C}</author>
    <author>tc={8AA4CA10-EE21-49E1-B5A2-75245E928F0D}</author>
    <author>tc={472217B7-6E0F-46F8-8C57-07106FDC2889}</author>
    <author>tc={C9CF0FB2-DF45-472A-A149-0DC18430EAFD}</author>
    <author>tc={8EB14DD5-F847-4102-9DB3-15A3B55075E5}</author>
    <author>tc={A1C52BBB-EC68-4FB2-BD36-03B081476955}</author>
    <author>tc={4F4C1C9C-B34B-4DBD-B00D-C9170F4BBED5}</author>
    <author>tc={7E9BB782-CB53-45EE-8C66-F29E74A2BC2F}</author>
    <author>tc={07639CC8-0DEC-4092-B9CE-D35D789AD9FD}</author>
    <author>tc={340075C8-CF9F-44C8-AF48-62DC3F380239}</author>
    <author>tc={D0D02188-DCA1-44C7-A5D7-82E45B26D6EA}</author>
    <author>tc={AE794251-48EF-4744-A08F-A77C3BA7CECD}</author>
    <author>tc={548741BB-B7E5-4893-BE78-DCE0DF389EF2}</author>
    <author>tc={170D56AB-BCCB-43E3-A540-EEAE2C7DEA33}</author>
    <author>tc={3A005F50-5B8E-4CDA-98F5-94BCB48A3953}</author>
    <author>tc={1440529E-3251-4947-9CC2-152414498775}</author>
    <author>tc={7E4BD000-48E0-48B4-BEDC-41D0CCE4A351}</author>
    <author>tc={83CA3CFD-397C-46E1-BA8A-5DB9CC879AC0}</author>
    <author>tc={C004E548-CE7F-457F-8182-F04AE1CC1CD6}</author>
    <author>tc={787D170C-3B29-4C7D-AA72-F4C17890AFD8}</author>
    <author>tc={CEF170ED-3763-451F-8A21-D378BB762AF1}</author>
    <author>tc={66845316-72E5-44DC-A9EB-AD721A47EA1E}</author>
    <author>tc={C29CA4B0-9B91-4063-B00C-622A229AFFFA}</author>
    <author>tc={C5A0BFEC-ED9B-4751-A800-8DBCE2F21738}</author>
    <author>tc={451AA288-A72B-43D1-B97B-B16457B2B4E9}</author>
    <author>tc={AD05D8F5-1DCD-47FC-8E5B-663AA5E4AE84}</author>
    <author>tc={3380130E-00EE-486B-A301-779E105811F8}</author>
    <author>tc={0890F3D8-FE88-4127-9155-4E79BAF11712}</author>
    <author>tc={4119CAFF-26BB-42E7-855A-F1E4BED0678A}</author>
    <author>tc={29DB865F-8277-4FBE-A42A-8075E069CC09}</author>
    <author>tc={A581442C-C486-4E52-9DBB-E1DFD2F2E777}</author>
    <author>tc={EAD9FE1A-E9D6-46CD-9064-3AB058C77C2D}</author>
    <author>tc={F8298071-B9A9-4F05-8109-FBCAB0D2B60C}</author>
    <author>tc={854D7FF1-C468-47D5-802C-BC47614DBE78}</author>
    <author>tc={4F527CE3-F5B5-477B-880B-C8391584C274}</author>
    <author>tc={50193C71-5298-4441-9C1E-7AEEF40A15D5}</author>
    <author>tc={6C4CABBC-7C40-4F66-A786-E457BDAB8103}</author>
    <author>tc={B48AF703-8713-4662-8A60-603F3365DC24}</author>
    <author>tc={8282D386-D68C-4BF7-BF45-E81481F2350A}</author>
    <author>tc={7B7EA0B8-8FD2-4797-9701-F5CF7BFF092D}</author>
    <author>tc={AB74A3C0-9F24-45A7-83D2-94E564679BE2}</author>
    <author>tc={2D4C23A8-8701-45BF-8825-D8F755ECC7C1}</author>
    <author>tc={E5E6E747-5B1C-40A1-BC74-09D626628CE6}</author>
    <author>tc={6225F89C-221C-4601-861A-EC4D9E4E0F08}</author>
    <author>tc={857BA97E-FCAD-4F8A-B331-D9117CB4D2EC}</author>
    <author>tc={1F09F01F-0BC6-4D94-BD0B-22447B52842E}</author>
    <author>tc={F206D61E-F1D5-4A13-A2A1-CF5DEADF069D}</author>
    <author>tc={C08DB5AE-93E9-48C9-BA60-51B538873A3B}</author>
    <author>tc={2EA4BAD1-F6E0-4FCE-8FA6-6FE835AF4D3D}</author>
    <author>tc={8DB669A0-DE8B-410F-B58C-77CE23EC69C5}</author>
    <author>tc={A49BF473-E274-451B-AD04-CC74998B74B2}</author>
    <author>tc={2FD64187-5AC3-48EB-9898-95A845E78119}</author>
    <author>tc={BFE7FC5F-0D46-4F37-BCDB-5F8F1D82D547}</author>
    <author>tc={FECCE92D-A803-4593-AEFD-9885F245D463}</author>
    <author>tc={E974BF4D-5D2D-4A6D-B029-A9A6CC7AEF8D}</author>
    <author>tc={A2060B1B-DF4E-4632-AC4F-0987AA845160}</author>
    <author>tc={A93061FE-671E-4654-BDF9-6F201AE81F41}</author>
    <author>tc={6BE9C63C-BEF5-461A-A591-C20A34BA95B8}</author>
    <author>tc={D0976577-8921-4595-B656-859452C6DD81}</author>
    <author>tc={9F229AA3-C8A0-4CE9-A1FF-F8C71BACF070}</author>
    <author>tc={4137AFB0-9DE4-4812-97BC-C2EAD0C08662}</author>
    <author>tc={AE951CA3-23A6-47E9-B452-1791BA3ECB42}</author>
    <author>tc={12555EAE-F10D-4F5F-A7E2-49E33DF97C4B}</author>
    <author>tc={E6ED1F1A-284B-4649-8E7B-8759A9A01A29}</author>
    <author>tc={5919A16E-93C9-43B0-993B-B656F3001C19}</author>
    <author>tc={EA653A6B-37CC-48E9-AA90-D5941EB11BE4}</author>
    <author>tc={0528001B-3CEB-4DF7-B9EA-8E7267A36DAA}</author>
    <author>tc={33508101-BD9E-4309-849E-964491D53204}</author>
    <author>tc={9F0CC99F-1154-488A-84B5-2B16FF0D0F2F}</author>
    <author>tc={148A4CED-04F4-4217-8493-1E185077C450}</author>
    <author>tc={91190834-F9BF-43EE-8DD4-38A06E648156}</author>
    <author>tc={C63BF976-1B56-40AA-AC1E-440BDD4663CF}</author>
    <author>tc={71CCB7ED-D4C5-49E1-A380-BBE01FE9BCF6}</author>
    <author>tc={46DCA1F0-5C78-4C44-A20E-BDA48AF406C0}</author>
    <author>tc={03632393-D843-4CF9-BDA0-E07DA6EAC1A6}</author>
    <author>tc={399171EC-9A75-46C5-AA05-27A87097257C}</author>
    <author>tc={83B4DC0C-B81F-4DDD-97D1-0C81885D52C5}</author>
    <author>tc={6065CD0B-F085-4B51-9B4E-8F426F0C7FD0}</author>
    <author>tc={7C47C9DE-BACA-4241-B750-F4C7B3DF643B}</author>
    <author>tc={40577ECF-C941-40D6-82FF-62112AE316DE}</author>
    <author>tc={6D9B8BD3-71DB-4DBF-87BD-6A568A78C99D}</author>
    <author>tc={FAF44892-18EB-4383-8474-F3FA3FC75B0C}</author>
    <author>tc={74E62D3E-55A7-43DD-801E-9508231A7750}</author>
    <author>tc={5CE4617C-2DF0-427A-A5C7-6DB6697800E4}</author>
    <author>tc={6F17A50C-FF8B-4C87-85C1-A38A80B36EE1}</author>
    <author>tc={0748AB1F-87AA-4021-A01D-0DAC60E1007B}</author>
    <author>tc={F7E1E3D4-E9DE-4901-A544-396C3F3FCCC2}</author>
    <author>tc={6E21F255-9504-40B0-B913-D09D29EA1430}</author>
    <author>tc={18B36BD9-1CE0-497B-9B0C-C6F8F3A7A130}</author>
    <author>tc={2A6FA0A0-C0F7-48BA-A2E9-6EA9DC0B6A1C}</author>
    <author>tc={20FF1772-6849-471A-ADD8-78728CBC07B1}</author>
    <author>tc={0B5EDF02-14F0-460E-9369-A52725EE1700}</author>
    <author>tc={09870D8C-C582-44A3-B296-6873F8386008}</author>
    <author>tc={D589D15A-8E4B-4602-8735-18BC5F0D09A8}</author>
    <author>tc={B34F4FF3-AFCD-4B2F-B43E-A6512E57E90F}</author>
    <author>tc={D41CEAF8-DF2D-4287-9361-D377277138F6}</author>
    <author>tc={99E25F50-84AC-4FB4-A374-EC6A00C032E6}</author>
    <author>tc={7919701D-B37B-44CB-BE4C-C829B525F627}</author>
    <author>tc={6A9BB1C0-75A7-4C4A-8126-C5A782E0E86C}</author>
    <author>tc={15A508F6-E5F1-4EE4-8777-0F66DAD80BB3}</author>
    <author>tc={90EC10D1-FFF8-4BC4-8F38-CDE3BAE44DC5}</author>
    <author>tc={3D2CAF5D-3D47-4C58-AAC5-7976ADC8B16E}</author>
    <author>tc={2AA2A1D8-E656-4B4B-A026-AC89B5186F47}</author>
    <author>tc={7CADA6CE-95C9-4FC1-B4C4-805057C3E463}</author>
    <author>tc={DBAA57E3-1306-49C7-9433-9BDAD400DA34}</author>
    <author>tc={306B4128-448D-4BB5-9D25-7455D4317784}</author>
    <author>tc={24509A3B-6A02-42D1-90C7-21037A7288DB}</author>
    <author>tc={7D6DABCB-408B-4057-A055-123DCC3D9DDE}</author>
    <author>tc={6574766F-7B72-4EDE-B8E4-4CF3735106AA}</author>
    <author>tc={BB3C9B48-6C48-44F5-9CF5-F8666912CDCF}</author>
    <author>tc={79454DAD-9348-4B16-A691-1B823C9E710E}</author>
    <author>tc={45EC0848-181A-4AA1-94BB-CE0107CB1D95}</author>
    <author>tc={A64F9A04-1CB4-4C34-AD11-4EEB768834F3}</author>
    <author>tc={19109D9C-91CB-41C0-A8D4-D4238B7C3B0A}</author>
    <author>tc={35C3EB85-AECA-4B95-9887-76E94261D04C}</author>
    <author>tc={32FE8408-EF65-4ABC-8936-9212D45643FF}</author>
    <author>tc={E1EBA1D2-5FB9-446F-B298-512667341007}</author>
    <author>tc={FEE6815D-7B3D-46B4-BD2F-F3A37F76BC3E}</author>
    <author>tc={E008174E-F4E1-45A6-A41F-DA808C0D8465}</author>
    <author>tc={43A31C39-DA5C-4A2A-8220-5D923C68B7E4}</author>
    <author>tc={1BD9CCB5-354C-4CE6-8C74-AECBD807E882}</author>
    <author>tc={25BE4C9D-116A-40C2-BB6A-4D1709B5031C}</author>
    <author>tc={CD1E2783-0B21-4404-A345-90920205D900}</author>
    <author>tc={4A735BA9-A00F-49C3-A579-3FFE5C25E0EB}</author>
    <author>tc={F0040A63-88D7-4FD3-B2A9-83B8971463DC}</author>
    <author>tc={6FFA2C47-50FD-4401-84E1-496B38B7AA23}</author>
    <author>tc={2955C1D9-76B2-4BD7-BF4B-69565DE3467F}</author>
    <author>tc={14631F2A-4900-4495-A0BC-753949573D48}</author>
    <author>tc={219C82B5-42F0-4137-9F00-44D0DE9810A5}</author>
    <author>tc={C3EB0C26-189F-4131-B2C1-173E99AF19E4}</author>
    <author>tc={6550DEC5-98C7-45D7-8AA9-727111841365}</author>
    <author>tc={290980DE-4F97-4026-9953-38747C429CB8}</author>
    <author>tc={6B3EA4B7-FE2B-4FA3-A0EE-2D507A05A426}</author>
    <author>tc={D14D9DB6-2FA4-4F60-9B54-A514C33C43EB}</author>
    <author>tc={3F463D0C-F715-4357-A6CA-BCFAB8D0B2E3}</author>
    <author>tc={A625D1EA-6D20-49B8-9EF3-70ADDB9E5338}</author>
    <author>tc={2DAA7A09-32BF-43C3-85F4-95ADD1CA8C04}</author>
    <author>tc={F4D3132E-4409-43A9-8719-020E595A4AAB}</author>
    <author>tc={8ECE92FF-6E01-4874-A1DD-5D687186F5BE}</author>
    <author>tc={8B02D939-38E2-4247-AD82-B6EF2733875C}</author>
    <author>tc={F97EF308-8368-4674-BFDC-80E798BE79B7}</author>
    <author>tc={978F5AB3-D2A2-4E28-8690-7D496070A0B3}</author>
    <author>tc={24FB4F0D-A8B0-4781-A488-EBDD5B3C1271}</author>
    <author>tc={3688AF0D-0BE7-49DC-928B-B10062D61DEE}</author>
    <author>tc={44B11CD2-FD9F-470F-ABAF-807483491202}</author>
    <author>tc={2AF0E237-4F01-4CF6-82E0-8A3FD18CB3DE}</author>
    <author>tc={C2340978-F519-4B05-AE62-4E36A126857B}</author>
    <author>tc={D2778D31-591A-4F33-8517-0F99D16AF4B6}</author>
    <author>tc={8C72B8E6-594B-47B8-95A7-DC8A5E42009D}</author>
    <author>tc={C66E6385-7CED-46C9-AD96-9913AD065CE8}</author>
    <author>tc={E89BC177-3976-4B55-976F-F63FC3BB99C5}</author>
    <author>tc={AB3114A5-33D3-4911-82D3-598C54009455}</author>
    <author>tc={F800A3D5-3012-4F0B-AB03-6D3AC8E44345}</author>
    <author>tc={316102A6-C35C-4F5F-BF96-95F4A5F71BCE}</author>
    <author>tc={E6507846-0440-4DD6-8F16-357DD0A00B1D}</author>
    <author>tc={26D34B95-1AD8-4389-9B58-7968C1FECBD7}</author>
    <author>tc={C43F46A6-5EC7-40B5-9FE8-979314F06774}</author>
    <author>tc={9A864531-23A6-4904-B670-2314508A84AA}</author>
    <author>tc={A127582C-76A6-47C6-80F8-08D4557CC8A8}</author>
    <author>tc={8DB77A1C-7595-47AE-8A7A-9D94148FF296}</author>
    <author>tc={DE3081E2-B85F-4C6C-BED4-1DE074563A2C}</author>
    <author>tc={EC0D1585-379A-474A-B869-B446FE803286}</author>
    <author>tc={F85D8249-CD81-477C-822D-60573AE52009}</author>
    <author>tc={2BE47441-11FE-4377-9B8C-27B1F549412D}</author>
    <author>tc={77BA0A68-25CA-4952-9ABE-1463AB039E94}</author>
    <author>tc={3D8E25EF-51E6-4467-B0F8-F75FB9C26A01}</author>
    <author>tc={F426D814-6014-43B8-8C3A-C546644395EB}</author>
    <author>tc={2F7502F2-7EAD-492A-B69B-8E4429B41CA3}</author>
    <author>tc={7B73BCEC-F7B0-4548-B6BC-A5D24398865D}</author>
    <author>tc={11C4A7F3-6DD0-476D-86F7-6266A464FFE7}</author>
    <author>tc={4FE4EAB0-EF6B-48FB-BFEF-A77716D6EFC1}</author>
    <author>tc={9E613541-BCF8-4685-A322-E2930FDAC7D1}</author>
    <author>tc={83246FCD-F7ED-4963-8DF6-6F86B20D58D6}</author>
    <author>tc={E5093710-CFE7-44E9-B803-6B8F3F7D1639}</author>
    <author>tc={3751C13D-C102-4B4F-B82E-E29A94706304}</author>
    <author>tc={18599296-2808-420E-B7AC-CACAD8A5DCB0}</author>
    <author>tc={4A0E3DD5-EF65-43E6-927E-66125F9BAD71}</author>
    <author>tc={FAE93280-FDD6-4BF2-BCF4-4CCB343FB1B6}</author>
    <author>tc={7BA00B5B-474D-4640-B932-A243CE019C24}</author>
    <author>tc={ED2F90F4-4E40-43FE-9549-2F62B75BD7B2}</author>
    <author>tc={761A5777-7430-45D3-97A9-9E2EAAE0E683}</author>
    <author>tc={A25FA936-41F7-4D8F-827E-E3FED572CE89}</author>
    <author>tc={BD9037D8-09F9-483B-8552-4EBA6BF6F47C}</author>
    <author>tc={3DF28B9B-F85B-48AE-ABF6-541C2B284AB8}</author>
    <author>tc={36C0BE4B-F2A8-40F9-8366-54482F446701}</author>
    <author>tc={84070D8E-D5CE-448A-831F-FCFD61393D8D}</author>
    <author>tc={532806FC-15EC-4E9D-B1C4-AF65888A34E2}</author>
    <author>tc={D9CEC680-5E1E-448B-B235-D8EA7B41B1C3}</author>
    <author>tc={08DB0B9D-FD09-4F0C-9B4E-506EE0160956}</author>
    <author>tc={2130D8E3-19B3-4BCB-A3E8-D583BFFB4E5D}</author>
    <author>tc={CFCDDB77-6D89-4505-A60B-FF5BC84C99F1}</author>
    <author>tc={5FD76650-1924-40E7-869D-F1CEA9584DE3}</author>
    <author>tc={D70616A7-7EE3-4E5B-BB09-AD19F19C7B94}</author>
    <author>tc={496B2731-D397-4074-BB87-ABE4EAB87992}</author>
    <author>tc={589D0298-909B-432B-B8BA-6D6DA0C9559B}</author>
  </authors>
  <commentList>
    <comment ref="AJ6" authorId="0" shapeId="0" xr:uid="{5724B3EC-F8EA-450A-9A54-867CA9DA5F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Corte de luz 30min</t>
        </r>
      </text>
    </comment>
    <comment ref="AM6" authorId="1" shapeId="0" xr:uid="{2B55BC30-0A9C-4F9E-8E95-16079CE868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Corte de luz 1.30hs</t>
        </r>
      </text>
    </comment>
    <comment ref="AP6" authorId="2" shapeId="0" xr:uid="{4EBD2F9B-3051-440C-B49E-4BE7F3977D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Pulpetas -3 TN 
30min producción frenada por arreglo en la formadora</t>
        </r>
      </text>
    </comment>
    <comment ref="AS6" authorId="3" shapeId="0" xr:uid="{3ECA16C9-9D08-4867-8449-C8326A700F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perdieron 60 minutos debido a la reunión de RRHH por el olor a marihuana en la planta, esto provocó que se congelara la cinta del Gyro</t>
        </r>
      </text>
    </comment>
    <comment ref="AV6" authorId="4" shapeId="0" xr:uid="{C2C5E817-3617-41E7-8837-3E2F5AF226E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turno noche arranco 79 minutos más tarde por deficiencia en la limpieza marcadas por German Suberbie
Reply:
    Además tuvimos problemas con una de las Ulma que no cortaba el flow</t>
        </r>
      </text>
    </comment>
    <comment ref="BE6" authorId="5" shapeId="0" xr:uid="{8535D770-7756-4938-A69C-3264EC698F0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Después de la comida se hicieron 2 picadas de UG de 83, y se utilizó una de las líneas de la estuchadora 2 y demora un poco la producción</t>
        </r>
      </text>
    </comment>
    <comment ref="BH6" authorId="6" shapeId="0" xr:uid="{1E04D4C9-1129-4EAD-8395-EEF738566A33}">
      <text>
        <r>
          <rPr>
            <sz val="11"/>
            <color theme="1"/>
            <rFont val="Calibri"/>
            <family val="2"/>
            <scheme val="minor"/>
          </rPr>
          <t xml:space="preserve">Justina Genes:
En el turno mañana se trabó la cinta de la entrada al gyro, demorando 1 hora a la producción. Y a su vez, hay un acumulado de 24 minutos por disco tapado.
</t>
        </r>
      </text>
    </comment>
    <comment ref="CF6" authorId="7" shapeId="0" xr:uid="{7114287F-2B3D-41AA-AF6D-DD2AFD5E43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Pulpetas</t>
        </r>
      </text>
    </comment>
    <comment ref="CL6" authorId="8" shapeId="0" xr:uid="{4B29C1ED-7E1F-4AB2-98D2-7EED1C04E1C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el turno tarde se quemo el motor de la mezcladora se perdieron 2 horas 53 minutos
</t>
        </r>
      </text>
    </comment>
    <comment ref="CR6" authorId="9" shapeId="0" xr:uid="{828BC30F-0A7D-45C2-8919-F3FA10D59C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cambio el interruptor de la mezcladora se perdieron 1 hora  23 minutos</t>
        </r>
      </text>
    </comment>
    <comment ref="CU6" authorId="10" shapeId="0" xr:uid="{9E78B95E-AB51-48B2-9096-5979B818709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el turno mañana tuvimos problemas con la cinta de entrada al gyro, 
</t>
        </r>
      </text>
    </comment>
    <comment ref="CX6" authorId="11" shapeId="0" xr:uid="{08365331-A2DC-4E7D-AAF6-F67365AFBAA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turno tarde se quemo el motor de la mezcladora se perdieron 2 horas 45 minutos</t>
        </r>
      </text>
    </comment>
    <comment ref="DA6" authorId="12" shapeId="0" xr:uid="{967AADBE-39EA-4306-9E5B-1A96CFDAC1A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corto la luz se perdieron 1 hora y 15 minutos
</t>
        </r>
      </text>
    </comment>
    <comment ref="DD6" authorId="13" shapeId="0" xr:uid="{B56982E4-28C0-4D6F-9D49-E5DAB6DE57B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el turno mañana se rompio la barra de movimiento de placa , se pincho un caño de freon y esto trajo problemas con la cinta del GYRO que afecto el turno tarde
</t>
        </r>
      </text>
    </comment>
    <comment ref="DG6" authorId="14" shapeId="0" xr:uid="{33EEEE97-6B06-4C66-9B2D-EBE5708897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Tuvimos problemas con el Gyro en ambos turnos, si bien se arregla rápido en la acumulación de episodios se pierde tiempo, en el turno tarde tuvimos problemas con la pasta (salió muy blanda) y nos costó formar las primeras picadas y se cortó un cable del motor de la mezcladora (el que se cambió el martes 04-03)</t>
        </r>
      </text>
    </comment>
    <comment ref="EK6" authorId="15" shapeId="0" xr:uid="{886CD759-4AB7-4001-A1B5-CD658FFB9B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Caída cuchillo picadora en el TT</t>
        </r>
      </text>
    </comment>
    <comment ref="EN6" authorId="16" shapeId="0" xr:uid="{08B5453B-4D0E-40D3-B937-AB204780D5C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TT se rompio cinta 3 de bajada de Gyro y cinta azul entrada gyro
</t>
        </r>
      </text>
    </comment>
    <comment ref="HB6" authorId="17" shapeId="0" xr:uid="{13634B95-D05B-4F90-A565-84A44E6EBB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de Frio en Gyro, al arranque del turno tarde</t>
        </r>
      </text>
    </comment>
    <comment ref="HN6" authorId="18" shapeId="0" xr:uid="{0878599A-CEAB-4332-BD77-5E0BA99835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turno mañana tuvimos problemas con la cinta de la picadora a la mezcladora ( se perdieron 2hs 36 ´)
En el turno tarde tuvimos problemas para formar la Tuki y faltaron cajas de Victoria.</t>
        </r>
      </text>
    </comment>
    <comment ref="HT6" authorId="19" shapeId="0" xr:uid="{CC511CC5-47BE-4F5A-B119-60CE8CECD5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turno tarde tuvimos problemas en el arranque se trabo el Gyro</t>
        </r>
      </text>
    </comment>
    <comment ref="HW6" authorId="20" shapeId="0" xr:uid="{D6CD4E9A-88B0-47C6-8DC3-895D1A2BD97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turno mañana tuvimos problemas con la formax, e hicimos Cerdo para Paladini</t>
        </r>
      </text>
    </comment>
    <comment ref="IL6" authorId="21" shapeId="0" xr:uid="{9CCFB082-E851-40A8-B49C-2A2061BA6C8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turno mañana se rompio Gyro, se rompio la mezcladora, la cinta 2 y hubo reunion gremial </t>
        </r>
      </text>
    </comment>
    <comment ref="IO6" authorId="22" shapeId="0" xr:uid="{C61E746C-BC21-4AD7-BE89-552D1172725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el TM se hicieron albóndigas y en el TT problemas para formar en el arranque </t>
        </r>
      </text>
    </comment>
    <comment ref="JG6" authorId="23" shapeId="0" xr:uid="{B46A3F43-AA11-4DFA-9013-244BA368F5F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el TM se hicieron Albondigas
</t>
        </r>
      </text>
    </comment>
    <comment ref="KB6" authorId="24" shapeId="0" xr:uid="{058F0F0A-4F6C-4F14-BC36-95206A51F5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TM tuvimos problemas con la mezcladora, la Ulma 2 y se romio una caja reductora de la Formax</t>
        </r>
      </text>
    </comment>
    <comment ref="PV6" authorId="25" shapeId="0" xr:uid="{9DE670ED-E938-45E3-AEE4-E9573EE497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las 11:50 se quemó el motor de la picadora y frenó la producción del TM y TT nunca arrancó</t>
        </r>
      </text>
    </comment>
    <comment ref="PY6" authorId="26" shapeId="0" xr:uid="{513170E6-14E8-41F9-B337-83C0A6E5FD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reemplazó el motor de la picadora y se retomó la producción en el TT</t>
        </r>
      </text>
    </comment>
    <comment ref="TN6" authorId="27" shapeId="0" xr:uid="{3175376B-1F32-4442-AE9F-37A9162454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Falta de operadores en TT, dificultad para calibrar el flowpack</t>
        </r>
      </text>
    </comment>
    <comment ref="TQ6" authorId="28" shapeId="0" xr:uid="{C2960CC2-BB73-46B1-868F-9BC2CF2C55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Falta de gente</t>
        </r>
      </text>
    </comment>
    <comment ref="XI6" authorId="29" shapeId="0" xr:uid="{5E22F9DE-5ECF-4D90-89FB-DEFD1E04C8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hicieron los simulacros en los dos turnos</t>
        </r>
      </text>
    </comment>
    <comment ref="ZN6" authorId="30" shapeId="0" xr:uid="{F767A306-1F57-46EA-8ED4-FD6B5BCEB1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ZQ6" authorId="31" shapeId="0" xr:uid="{BB3FEEF1-051E-4E5A-A297-7F147B27C5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ZT6" authorId="32" shapeId="0" xr:uid="{A7860F43-A709-4FEB-88D1-4B34AD5F8E4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ZW6" authorId="33" shapeId="0" xr:uid="{1C8B5585-AD06-4097-B04A-4B3DB1EEBC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ZZ6" authorId="34" shapeId="0" xr:uid="{2C5EBE8B-39C4-477C-873C-C794F65985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AAF6" authorId="35" shapeId="0" xr:uid="{808F6BAA-5118-40A1-89A6-DB02DBD8E5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AAI6" authorId="36" shapeId="0" xr:uid="{C4087865-3FD6-4AAA-A04F-1973DE5F884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AAL6" authorId="37" shapeId="0" xr:uid="{C768B92A-89DF-4CFC-ADD1-C96588F260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AAO6" authorId="38" shapeId="0" xr:uid="{846F7F59-44F8-4F06-895E-2F8D527EDC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Utilización de la space/ rotativa</t>
        </r>
      </text>
    </comment>
    <comment ref="AAR6" authorId="39" shapeId="0" xr:uid="{82230F8B-B5B6-4969-A33C-DB6B5E9764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está utilizando la Space (problemas con la regulación del flowpack) En el TT se utilizaron las 2 estuchadoras.</t>
        </r>
      </text>
    </comment>
    <comment ref="GA7" authorId="40" shapeId="0" xr:uid="{218F557B-FBE9-40A0-BA54-D200CAD686F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Incendio picadora</t>
        </r>
      </text>
    </comment>
    <comment ref="GD7" authorId="41" shapeId="0" xr:uid="{FA6B0F6F-EF8B-4C17-8089-62037550B0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Mezcladora congelada</t>
        </r>
      </text>
    </comment>
    <comment ref="GV7" authorId="42" shapeId="0" xr:uid="{A0A2CF75-AF80-4A57-A666-AC89D1EA4D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hicieron Albondigas, y se reparó durante 10 minutos la cinta de picadora - mezcladoora.</t>
        </r>
      </text>
    </comment>
    <comment ref="IL7" authorId="43" shapeId="0" xr:uid="{33580C4F-9E1E-49A4-92DC-2A080EB3F4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con la mezcladora. la produccion comenzo 9.07
aparte hubieron otros parates con la mezcladora</t>
        </r>
      </text>
    </comment>
    <comment ref="KE7" authorId="44" shapeId="0" xr:uid="{01A04616-C4F2-4C9C-B3CA-3C2EB7FA94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Reunión sindical de 8:30 a 10:00 hs
Reply:
    Se agrega que por paro de transporte faltaron 7 personas de producción.</t>
        </r>
      </text>
    </comment>
    <comment ref="KH7" authorId="45" shapeId="0" xr:uid="{E0A7CDC9-FE9A-4ECB-BE9D-E173B36C24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Paro sindical de 7:10 a 10:10hs. De 5 a 6 no hubo producción y de 6 a 7 media máquina.</t>
        </r>
      </text>
    </comment>
    <comment ref="LR7" authorId="46" shapeId="0" xr:uid="{A0BD65C7-9DF1-4F05-99FE-F31E25D23A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con el Mycom</t>
        </r>
      </text>
    </comment>
    <comment ref="LU7" authorId="47" shapeId="0" xr:uid="{CCCEEC44-4989-42A4-BDBD-625DAF07C9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TM se rompio la cadena del gyro antes de hacer albondigas</t>
        </r>
      </text>
    </comment>
    <comment ref="MM7" authorId="48" shapeId="0" xr:uid="{D8443160-86A9-4BE6-B240-9C6671E89B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TM hicimos pulpetas</t>
        </r>
      </text>
    </comment>
    <comment ref="MY7" authorId="49" shapeId="0" xr:uid="{AA3FCB52-A1EE-441B-B41A-8C794EEEBB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TM problemas con la cinta azul de entrada al gyro</t>
        </r>
      </text>
    </comment>
    <comment ref="OI7" authorId="50" shapeId="0" xr:uid="{24440EEB-864B-4AB7-9BF7-A5C95DE46E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barra Formax 39min</t>
        </r>
      </text>
    </comment>
    <comment ref="OO7" authorId="51" shapeId="0" xr:uid="{944AFED1-F495-4027-8DC9-C0CEF6BDF81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encontró plástico en la mezcladora y se sacó picada para reproceso/decomiso.</t>
        </r>
      </text>
    </comment>
    <comment ref="PA7" authorId="52" shapeId="0" xr:uid="{61BCA96F-DC07-4C2F-9896-9082363887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Tuvimos problemas con la picadora mezcladora, no salía el duro. También tuvimos problemas para formar la F de 55 grs (desgaste de la placa de 52 grs)</t>
        </r>
      </text>
    </comment>
    <comment ref="PD7" authorId="53" shapeId="0" xr:uid="{BC57E363-14EA-415C-A59D-B6870171E60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barra Formax 96min</t>
        </r>
      </text>
    </comment>
    <comment ref="PG7" authorId="54" shapeId="0" xr:uid="{A79CF382-ED7E-4842-A006-2E63D78478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hicieron albondigas, lo que baja la cantidad de Tn producidas, pero no asi la eficiencia</t>
        </r>
      </text>
    </comment>
    <comment ref="QT7" authorId="55" shapeId="0" xr:uid="{6073AC17-0F8B-4BA0-96FB-37FD7462AB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30min prueba albondigas</t>
        </r>
      </text>
    </comment>
    <comment ref="RR7" authorId="56" shapeId="0" xr:uid="{182C0FE5-03D0-4B9D-9A3F-9826E8EBC6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rompió la cadena del Gyro, cortó producción a las 13:50</t>
        </r>
      </text>
    </comment>
    <comment ref="SG7" authorId="57" shapeId="0" xr:uid="{B8CD7ECF-B30C-4A4E-8168-0937C6E25B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Arranque 1hs tarde por auditoría, demora al almuerzo por malentendido</t>
        </r>
      </text>
    </comment>
    <comment ref="VJ7" authorId="58" shapeId="0" xr:uid="{EFDBD598-6BB7-4543-8531-6E18FA2297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con el frío</t>
        </r>
      </text>
    </comment>
    <comment ref="WE7" authorId="59" shapeId="0" xr:uid="{21E25FCC-F3B0-4F55-A1CC-97E7BAE3E9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reductor tornillo Formax</t>
        </r>
      </text>
    </comment>
    <comment ref="WZ7" authorId="60" shapeId="0" xr:uid="{D00CD3DB-D4C1-48C9-A9CD-B4240B734E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con el tornillo de la tolva Formax y luego con el tablero de la mezcladora</t>
        </r>
      </text>
    </comment>
    <comment ref="XI7" authorId="61" shapeId="0" xr:uid="{986B3E16-C682-44C8-A955-4CE50A737D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hizo albondigas</t>
        </r>
      </text>
    </comment>
    <comment ref="XL7" authorId="62" shapeId="0" xr:uid="{26CAD1A7-3017-4DB9-A86B-73E9AF6EE3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con la mezcladora y se saco una picada porque tenia resto de etiqueta (TRESNAL)</t>
        </r>
      </text>
    </comment>
    <comment ref="XU7" authorId="63" shapeId="0" xr:uid="{078384E4-550F-42B5-A19B-55DD1E52F5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Producción Kosher</t>
        </r>
      </text>
    </comment>
    <comment ref="YD7" authorId="64" shapeId="0" xr:uid="{8565CA22-4004-4E1E-8349-3D8B84BF3E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Disco tapado</t>
        </r>
      </text>
    </comment>
    <comment ref="ZK7" authorId="65" shapeId="0" xr:uid="{B996AC8C-68FE-4A59-AF21-0DD953377C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Puesta en marcha envasadora nueva, y 30min de parada por problema con los expulsores</t>
        </r>
      </text>
    </comment>
    <comment ref="ABD7" authorId="66" shapeId="0" xr:uid="{828202F6-EECE-47CC-98FD-82AD846100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con un sensor de los plunger de la formax.
Detención por roce de hamburguesas en la cinta.
Se trabó la placa molde de la formax</t>
        </r>
      </text>
    </comment>
    <comment ref="ABJ7" authorId="67" shapeId="0" xr:uid="{DC73E1C6-3E46-41D3-A9EE-331EACC6DF4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Casi toda la mañana con 2 lineas por problema electrico (disyuntor) en la space y luego dos estuchadoras</t>
        </r>
      </text>
    </comment>
    <comment ref="ADC7" authorId="68" shapeId="0" xr:uid="{AD0D9C64-1CD3-4627-9143-3BDD456864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produjo Paladini Cerdo, se complico con la Space</t>
        </r>
      </text>
    </comment>
    <comment ref="ADL7" authorId="69" shapeId="0" xr:uid="{2C27F930-82CF-4117-8B46-D1BD1F9E6B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trabajo con 2 líneas en 69 grs por falta de personal</t>
        </r>
      </text>
    </comment>
    <comment ref="ADX7" authorId="70" shapeId="0" xr:uid="{FD2C4F3A-5A5F-434C-8345-40B2A61F37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cayó un pedazo de cinta de la picadora a la picada</t>
        </r>
      </text>
    </comment>
    <comment ref="AEA7" authorId="71" shapeId="0" xr:uid="{E4E5E90A-AD1D-4274-B479-F0ECD19C0A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en arranque con tolva de Formax, rotura expulsor de Formax</t>
        </r>
      </text>
    </comment>
    <comment ref="AEV7" authorId="72" shapeId="0" xr:uid="{A242C9E5-6828-4111-AF70-D6E53BD88A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con el flowpack nuevo de finitas, no sellaba bien la Space, y además resbalaba por la cinta hacia empaque. Demoras generales de regulación del flowpack.</t>
        </r>
      </text>
    </comment>
    <comment ref="AFH7" authorId="73" shapeId="0" xr:uid="{66A5220D-B720-452E-98E8-3552C85CA6F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Plástico en la picada, Gyro trabado, reunión sindical</t>
        </r>
      </text>
    </comment>
    <comment ref="AGC7" authorId="74" shapeId="0" xr:uid="{96296EE1-1887-4E86-9423-F45575DCF6C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Picada con plástico, Rotura de la resistencia de la Formax</t>
        </r>
      </text>
    </comment>
    <comment ref="AGI7" authorId="75" shapeId="0" xr:uid="{14F4C493-3038-4579-9227-CB216EFECC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manchones Formax y Rotura cinta Gyro (100min)</t>
        </r>
      </text>
    </comment>
    <comment ref="AGR7" authorId="76" shapeId="0" xr:uid="{E3473904-BF98-432F-9C0C-72F8F64C99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motor cinta Formax, Problema eléctrico Ulma 2</t>
        </r>
      </text>
    </comment>
    <comment ref="AHG7" authorId="77" shapeId="0" xr:uid="{C99D0650-90D4-4165-B9F7-94947F74446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 16min</t>
        </r>
      </text>
    </comment>
    <comment ref="AIH7" authorId="78" shapeId="0" xr:uid="{A633D3E0-D397-4570-9F0C-BD4FC4ABFE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reductor tornillo sin fin Formax y la tolva, pérdida de 70 min aprox</t>
        </r>
      </text>
    </comment>
    <comment ref="AIW7" authorId="79" shapeId="0" xr:uid="{F21DF486-C261-4ADC-A988-5FA61D2268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caja reductora Formax 200min aprox</t>
        </r>
      </text>
    </comment>
    <comment ref="AJF7" authorId="80" shapeId="0" xr:uid="{A5728B56-61C8-4107-9EE6-9B5E8BE327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Mucha producción 55gr, regulación Space</t>
        </r>
      </text>
    </comment>
    <comment ref="AJX7" authorId="81" shapeId="0" xr:uid="{75641280-E76F-4418-937A-0593C910CA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rompió la cinta de la picadora y se tapó el disco. Además se produjo pulpetas</t>
        </r>
      </text>
    </comment>
    <comment ref="AKD7" authorId="82" shapeId="0" xr:uid="{E7ED57F7-A718-4029-9106-DF0149A956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termino de limpiar lo del día anterior y se rompió una aleta de la cadena del Gyro, 158 minutos</t>
        </r>
      </text>
    </comment>
    <comment ref="AKG7" authorId="83" shapeId="0" xr:uid="{525DEE36-D79B-4DE4-8E70-49ABB5BE01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azul picadora</t>
        </r>
      </text>
    </comment>
    <comment ref="AKV7" authorId="84" shapeId="0" xr:uid="{DF187D24-8CE7-41D7-88C8-E44FB2D7C2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de aire con las Ulmas</t>
        </r>
      </text>
    </comment>
    <comment ref="AKY7" authorId="85" shapeId="0" xr:uid="{5B4B5D6E-8A40-4F86-BDD4-3A0E99237B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t>
        </r>
      </text>
    </comment>
    <comment ref="ALE7" authorId="86" shapeId="0" xr:uid="{0215CF15-006B-41A5-835B-C77938ED1C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Roce de hamburguesas</t>
        </r>
      </text>
    </comment>
    <comment ref="ALN7" authorId="87" shapeId="0" xr:uid="{3183D7D9-7C9F-49BF-99F0-B342953D0F7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resistencia Space</t>
        </r>
      </text>
    </comment>
    <comment ref="ALZ7" authorId="88" shapeId="0" xr:uid="{02FA7D70-6FA0-41BF-8A5B-7038378015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regulación Space</t>
        </r>
      </text>
    </comment>
    <comment ref="AMI7" authorId="89" shapeId="0" xr:uid="{E38BCDCE-7959-48F7-8C58-D8A914D4CF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Demora 30min producción Kosher</t>
        </r>
      </text>
    </comment>
    <comment ref="AML7" authorId="90" shapeId="0" xr:uid="{9102943B-087C-4051-8D6E-D2EE6C8F8E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 y plástico en picada</t>
        </r>
      </text>
    </comment>
    <comment ref="AMR7" authorId="91" shapeId="0" xr:uid="{150F9B71-A237-45F1-ABF5-C3448EFE43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 17min</t>
        </r>
      </text>
    </comment>
    <comment ref="AMU7" authorId="92" shapeId="0" xr:uid="{B2B700E8-2C36-44D6-868A-FFB1B74906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de temperatura Space</t>
        </r>
      </text>
    </comment>
    <comment ref="AMX7" authorId="93" shapeId="0" xr:uid="{A4728D09-00A8-42FC-B026-E88E44622B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cinta empaque línea 2 y rotura cinta picadora</t>
        </r>
      </text>
    </comment>
    <comment ref="ANA7" authorId="94" shapeId="0" xr:uid="{504CAD60-CDFE-4C54-93FA-B00E7AFD14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 y problema ulma 1</t>
        </r>
      </text>
    </comment>
    <comment ref="AND7" authorId="95" shapeId="0" xr:uid="{A4865520-8EC8-4299-921B-AB356076E4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resistencia Space</t>
        </r>
      </text>
    </comment>
    <comment ref="ANM7" authorId="96" shapeId="0" xr:uid="{8A8722EF-2378-4FDE-9F70-94F48700ED6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Corte de luz 70 min</t>
        </r>
      </text>
    </comment>
    <comment ref="AON7" authorId="97" shapeId="0" xr:uid="{4E003294-E147-418E-B8C5-F6AD4AD9F97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t>
        </r>
      </text>
    </comment>
    <comment ref="AOW7" authorId="98" shapeId="0" xr:uid="{956D1C4A-D4D0-4374-8007-F6D0094F33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cayó la pala a la mezcladora</t>
        </r>
      </text>
    </comment>
    <comment ref="APO7" authorId="99" shapeId="0" xr:uid="{81DE20D7-BCED-4696-BDE5-61654C5CD39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Arraque tarde por limpieza, problemas con los expulsores y con los variadores de la cinta ingreso al gyro</t>
        </r>
      </text>
    </comment>
    <comment ref="APX7" authorId="100" shapeId="0" xr:uid="{0367E8A2-0592-4F24-8E6A-CA970B3EF9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motor albondiguera 1hs</t>
        </r>
      </text>
    </comment>
    <comment ref="AQA7" authorId="101" shapeId="0" xr:uid="{8688EF04-B8B2-41B2-9554-37E08225B25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de frío Gyro, se cortó producción a las 15:00</t>
        </r>
      </text>
    </comment>
    <comment ref="AQY7" authorId="102" shapeId="0" xr:uid="{68E7CAA6-7DA7-4F11-8B0E-6765C9A31F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tapó el disco 27min</t>
        </r>
      </text>
    </comment>
    <comment ref="ARH7" authorId="103" shapeId="0" xr:uid="{E09D547B-4A94-490D-B29D-9AF242C0F9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Hubo problemas de formado en el arranque y luego se trabó el gyro varias veces</t>
        </r>
      </text>
    </comment>
    <comment ref="ARK7" authorId="104" shapeId="0" xr:uid="{1DF5EC25-98BF-4DD2-9D7C-EBECEA6C21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produjo albondigas</t>
        </r>
      </text>
    </comment>
    <comment ref="ASI7" authorId="105" shapeId="0" xr:uid="{51C34A0E-82DC-4E28-9B7E-17084C9E0D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 10min</t>
        </r>
      </text>
    </comment>
    <comment ref="ASU7" authorId="106" shapeId="0" xr:uid="{59E17BED-F377-4C83-A898-644D676486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Arranque tarde por desentendimiento con los kosher 15min</t>
        </r>
      </text>
    </comment>
    <comment ref="ATJ7" authorId="107" shapeId="0" xr:uid="{A485B341-3F0A-4D4C-92B2-D0C1710AAF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eléctrico con variadores del Gyro, se perdieron 60min</t>
        </r>
      </text>
    </comment>
    <comment ref="ATS7" authorId="108" shapeId="0" xr:uid="{3ED2CC7F-0CBB-4734-9603-09AFAA419B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produjo albondigas</t>
        </r>
      </text>
    </comment>
    <comment ref="ATY7" authorId="109" shapeId="0" xr:uid="{944470EF-F342-4E81-B442-6B302275F0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Prueba paladini HPRU4 (1h15m)</t>
        </r>
      </text>
    </comment>
    <comment ref="AUT7" authorId="110" shapeId="0" xr:uid="{F2FCB625-FF0E-46BD-9000-B99F2B8886A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por cañón congelado y por falta de aire en el pulmón</t>
        </r>
      </text>
    </comment>
    <comment ref="AVF7" authorId="111" shapeId="0" xr:uid="{FD521063-C3AF-4FAC-AB2E-4561A638D3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Producción albóndigas</t>
        </r>
      </text>
    </comment>
    <comment ref="AVI7" authorId="112" shapeId="0" xr:uid="{F01088D9-2E9B-46EE-BBC1-81A417AF2F1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Producción parada 50min por problemas con expulsores en Formax. </t>
        </r>
      </text>
    </comment>
    <comment ref="JV8" authorId="113" shapeId="0" xr:uid="{BCA16092-3E0A-49FF-ABC6-A6997C5A60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turno tarde se rompio la Ulma 2 y la Ulma 1 no estaba preparada, a última hora se trabo el Gyro</t>
        </r>
      </text>
    </comment>
    <comment ref="KQ8" authorId="114" shapeId="0" xr:uid="{6B4AF683-E6CB-4907-95BF-E1C1F3D37B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TT lo que mas afecto a la eficiencia fue que tuvimos problemas para formar los medallones</t>
        </r>
      </text>
    </comment>
    <comment ref="LX8" authorId="115" shapeId="0" xr:uid="{7E41FB03-BB28-4FF1-B2AA-00F5793FC4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TT problemas con la cadena del GYRO</t>
        </r>
      </text>
    </comment>
    <comment ref="MS8" authorId="116" shapeId="0" xr:uid="{E47CF27B-961F-486E-B24C-27800854C7E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TT se trabo la picadora
</t>
        </r>
      </text>
    </comment>
    <comment ref="NN8" authorId="117" shapeId="0" xr:uid="{F5D4C3F1-A178-4F02-AEC0-6407A68328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demora el arranque por falta de frío en el gyro</t>
        </r>
      </text>
    </comment>
    <comment ref="OI8" authorId="118" shapeId="0" xr:uid="{A0AA70B1-BB17-4E14-B617-8914E85556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Baja de tensión 10min, Roce hamburguesas entrada Gyro 34min</t>
        </r>
      </text>
    </comment>
    <comment ref="OO8" authorId="119" shapeId="0" xr:uid="{91FFC58D-21B2-4FD2-811F-3510526907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trabó la mezcladora 108min</t>
        </r>
      </text>
    </comment>
    <comment ref="PA8" authorId="120" shapeId="0" xr:uid="{5237B7D8-6A0E-4469-804F-55BE8D085B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tapo el disco de la mezcladora, por ese motivo las primeras hamburguesas no se pudieron envasar, la primera caja recién se pesó  20:39:40</t>
        </r>
      </text>
    </comment>
    <comment ref="PD8" authorId="121" shapeId="0" xr:uid="{63CCE1FA-D6AC-4FD9-80B4-E33E03F5AD5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cortó la cadena cinta azul entrada Gyro 45min</t>
        </r>
      </text>
    </comment>
    <comment ref="QB8" authorId="122" shapeId="0" xr:uid="{47668ABD-404C-4D70-9B13-D166E81495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rompió la cinta de la picadora</t>
        </r>
      </text>
    </comment>
    <comment ref="QE8" authorId="123" shapeId="0" xr:uid="{40939268-9B87-4509-8262-3B6A3480AC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tensor cinta entrada Gyro/Doble estuchadora</t>
        </r>
      </text>
    </comment>
    <comment ref="QQ8" authorId="124" shapeId="0" xr:uid="{E351C542-B8A7-43A1-AB7A-D7ED6427FF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la hora de la cena utilizamos las 2 estuchadoras con parrilleras</t>
        </r>
      </text>
    </comment>
    <comment ref="QT8" authorId="125" shapeId="0" xr:uid="{9DACB359-6B5B-4A87-9E4F-E8DEAC2719B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Algunos inconvenientes para formar fórmula S 110g</t>
        </r>
      </text>
    </comment>
    <comment ref="QW8" authorId="126" shapeId="0" xr:uid="{B609D43A-ACF0-4F74-89A2-26F3A263B3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rompió el reductor de la Formax 79min</t>
        </r>
      </text>
    </comment>
    <comment ref="RI8" authorId="127" shapeId="0" xr:uid="{E0F453F1-5D40-47D8-B1B5-1D999B29BA4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usó doble estuchadora de 20 a 23:30</t>
        </r>
      </text>
    </comment>
    <comment ref="RU8" authorId="128" shapeId="0" xr:uid="{8D1F28A1-DB5B-4BB1-8EA9-AD50DBE4EC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cortó la cadena de tracción de la cinta transportadora azul entrada gyro</t>
        </r>
      </text>
    </comment>
    <comment ref="SG8" authorId="129" shapeId="0" xr:uid="{F9ECA8A3-C1AF-4737-B442-176491468E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t>
        </r>
      </text>
    </comment>
    <comment ref="UC8" authorId="130" shapeId="0" xr:uid="{51CBA2DA-6449-47F6-B2C8-02EC7CD06A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 de 20:30 a 22hs</t>
        </r>
      </text>
    </comment>
    <comment ref="VM8" authorId="131" shapeId="0" xr:uid="{21F21A0D-414B-45D6-ABBD-33C4315D30A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Problemas con el formado de HT y V de 110grs, Pasta muy dura.
</t>
        </r>
      </text>
    </comment>
    <comment ref="VP8" authorId="132" shapeId="0" xr:uid="{0DF339F3-F2CF-4721-8085-0F38D58A5B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usaron 2 estuchadora</t>
        </r>
      </text>
    </comment>
    <comment ref="XI8" authorId="133" shapeId="0" xr:uid="{56B88FC9-7B32-4CC5-99A4-3F718BEDD9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Día % no se hizo estuchadora, lo que alentece la producción</t>
        </r>
      </text>
    </comment>
    <comment ref="XL8" authorId="134" shapeId="0" xr:uid="{EAC43A57-9719-40E2-84B9-72517E4E88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las picadas de 110grs se utilizó congelado de TOP MEAT con una etiqueta difícil de sacar, esto hizo que sea más lenta la operación</t>
        </r>
      </text>
    </comment>
    <comment ref="XX8" authorId="135" shapeId="0" xr:uid="{6EDA7870-C786-4956-A5BF-E33404AC3E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Prueba desarrollo 30min y doble estuchadora</t>
        </r>
      </text>
    </comment>
    <comment ref="YD8" authorId="136" shapeId="0" xr:uid="{33630BF1-D08E-4B1A-97D9-EB448B3A4C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con la Formax, los expulsores golpeaban con la placa (84min)</t>
        </r>
      </text>
    </comment>
    <comment ref="YP8" authorId="137" shapeId="0" xr:uid="{8B0E593A-2FE6-4BCC-985D-A060223EE9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realizó una prueba y se perdieron 29min</t>
        </r>
      </text>
    </comment>
    <comment ref="YS8" authorId="138" shapeId="0" xr:uid="{63BC36C1-A21E-4699-9491-5E3DAA73C0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t>
        </r>
      </text>
    </comment>
    <comment ref="YV8" authorId="139" shapeId="0" xr:uid="{1D593466-8B80-4850-9BD7-AF497E305E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t>
        </r>
      </text>
    </comment>
    <comment ref="ZK8" authorId="140" shapeId="0" xr:uid="{72905C70-C6C7-4082-9DF2-556E327C80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trabajó 55gr con dos líneas por no poder usar la envasadora nueva</t>
        </r>
      </text>
    </comment>
    <comment ref="ABD8" authorId="141" shapeId="0" xr:uid="{F34BAE39-076E-43C9-AD4C-2DF9A44709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Cambio de disco que se demoró</t>
        </r>
      </text>
    </comment>
    <comment ref="ACE8" authorId="142" shapeId="0" xr:uid="{E085A129-8DEF-4FE6-867C-02487A7464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trabajo con dos estuchadoras ( 69 grs y parrillera )</t>
        </r>
      </text>
    </comment>
    <comment ref="ACH8" authorId="143" shapeId="0" xr:uid="{B549F9DD-FB0D-4DEB-8020-B735393C41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Tuvimos problemas con la Space para envasar las F de 55grs.</t>
        </r>
      </text>
    </comment>
    <comment ref="ACW8" authorId="144" shapeId="0" xr:uid="{4A1BE8FA-5312-4F26-B70F-E12CBC9262C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 de 00:00 a 02:30</t>
        </r>
      </text>
    </comment>
    <comment ref="ACZ8" authorId="145" shapeId="0" xr:uid="{1F2AF8AB-C170-4DEA-93EB-E7F9476C941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hicieron estuches de 12 y 20 de 83grs formula S (sin estuchadora) </t>
        </r>
      </text>
    </comment>
    <comment ref="ADC8" authorId="146" shapeId="0" xr:uid="{438B648D-C18C-473F-9758-F2A0AF484E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utilizaron 2 estuchadoras parrillera y se complicó la regulación del flowpack UG finitas</t>
        </r>
      </text>
    </comment>
    <comment ref="ADI8" authorId="147" shapeId="0" xr:uid="{F65A04DA-7C32-44FE-8324-CE625EC9F7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arranque de producción se activaron los detectores de metales</t>
        </r>
      </text>
    </comment>
    <comment ref="ADL8" authorId="148" shapeId="0" xr:uid="{9F98E956-2A09-4BCA-AAFA-9D9B6CCA97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utilizaron 2 estuchadoras para hacer UG0047</t>
        </r>
      </text>
    </comment>
    <comment ref="ADX8" authorId="149" shapeId="0" xr:uid="{E96F87B0-2B66-41A2-8FAE-5EE22579B1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Cambio de disco</t>
        </r>
      </text>
    </comment>
    <comment ref="AEG8" authorId="150" shapeId="0" xr:uid="{69A464D3-4F16-488D-8375-09847C4AF4B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 min de pérdida por presencia de metal</t>
        </r>
      </text>
    </comment>
    <comment ref="AFW8" authorId="151" shapeId="0" xr:uid="{A4789393-848A-4465-B808-B60E49E09B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con el Mycom, acople del manchón bomba de aceite. 1hs de demora en arranque</t>
        </r>
      </text>
    </comment>
    <comment ref="AIE8" authorId="152" shapeId="0" xr:uid="{AB3153E9-6F63-48D5-9518-1789469D4F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con el Gyro</t>
        </r>
      </text>
    </comment>
    <comment ref="AJF8" authorId="153" shapeId="0" xr:uid="{5FEC250F-5EBE-4704-803E-0C5B847C56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Roce de hamburguesas entrada Gyro y problema cinta de caída línea 3</t>
        </r>
      </text>
    </comment>
    <comment ref="AJI8" authorId="154" shapeId="0" xr:uid="{7B234814-7CA5-4707-8344-3989C46C40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 de 00 a 02hs</t>
        </r>
      </text>
    </comment>
    <comment ref="AJL8" authorId="155" shapeId="0" xr:uid="{46CFB35A-4857-4880-97EE-151403CD9E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perdieron 215 minutos por el problema de la presión del Mycom</t>
        </r>
      </text>
    </comment>
    <comment ref="AKA8" authorId="156" shapeId="0" xr:uid="{FECC5DA1-E27A-45E7-B0BD-5A9AB5C984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encontró componente electrónico en la picada (puede ser tipo datalogger). Se perdieron 90 minutos.</t>
        </r>
      </text>
    </comment>
    <comment ref="AKM8" authorId="157" shapeId="0" xr:uid="{22A6517A-0F8B-4F36-83CA-124A987B37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Regulación de Ulma 1 y Space</t>
        </r>
      </text>
    </comment>
    <comment ref="ALE8" authorId="158" shapeId="0" xr:uid="{48425ABD-E5CC-4CB9-AA6E-39733AB505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blanca</t>
        </r>
      </text>
    </comment>
    <comment ref="ALK8" authorId="159" shapeId="0" xr:uid="{1A458C24-A798-4298-871E-65953E09EB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motor cinta salida Formax</t>
        </r>
      </text>
    </comment>
    <comment ref="ALQ8" authorId="160" shapeId="0" xr:uid="{00041E57-70BC-4269-91D8-1B7DE5EBE6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resistencia Space</t>
        </r>
      </text>
    </comment>
    <comment ref="ANA8" authorId="161" shapeId="0" xr:uid="{F58A0FD3-0A94-4121-AE3B-AB34F3E3A03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cinta picadora y problema temperatura Space</t>
        </r>
      </text>
    </comment>
    <comment ref="AND8" authorId="162" shapeId="0" xr:uid="{1BA8460A-DF21-4E2B-9D29-E1C85A2325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resistencia Space</t>
        </r>
      </text>
    </comment>
    <comment ref="AOQ8" authorId="163" shapeId="0" xr:uid="{15B0E9CD-BEF5-4FC4-A22E-FDCC4670B0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Formax 70min</t>
        </r>
      </text>
    </comment>
    <comment ref="APC8" authorId="164" shapeId="0" xr:uid="{B7BEAF00-15C7-4143-B4A9-692E8FF4B6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Rotura motor Gyro 74min</t>
        </r>
      </text>
    </comment>
    <comment ref="APX8" authorId="165" shapeId="0" xr:uid="{204E3CED-8B48-4944-97D2-7E84F24C03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 de 00:20 a 02:50hs</t>
        </r>
      </text>
    </comment>
    <comment ref="AQY8" authorId="166" shapeId="0" xr:uid="{D74DDA58-0441-4DF7-9540-4EDABE1535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Problemas con los fechadores</t>
        </r>
      </text>
    </comment>
    <comment ref="ART8" authorId="167" shapeId="0" xr:uid="{EC0E7666-D111-4318-B3D4-06527FDEFED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encontró plástico en la mezcladora y se perdieron 50min</t>
        </r>
      </text>
    </comment>
    <comment ref="ATS8" authorId="168" shapeId="0" xr:uid="{4FF32014-02ED-4FB0-AB04-13F61F8EBF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perdieron 20 min por picado con plástico</t>
        </r>
      </text>
    </comment>
    <comment ref="AVL8" authorId="169" shapeId="0" xr:uid="{3876E1CC-6FEB-4815-A6AC-85E0E2A3E0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Prueba 6mm - 30min</t>
        </r>
      </text>
    </comment>
    <comment ref="DS9" authorId="170" shapeId="0" xr:uid="{B47C10DB-04C4-4B57-A75E-78FFBF2B8E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turno mañana hicimos pulpetas, en el turno tarde se perdieron 109 minutos por problemas eléctricos que afectaron a los detectores de metales</t>
        </r>
      </text>
    </comment>
    <comment ref="FF9" authorId="171" shapeId="0" xr:uid="{555DD722-2B66-4D11-AE6A-E5C0B4F0D0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el TM se rompió un tramo de la cinta del Gyro y en TT se rompió el encastre de la placa molde de la formax</t>
        </r>
      </text>
    </comment>
    <comment ref="HN10" authorId="172" shapeId="0" xr:uid="{2F4A887B-A5A4-47AC-8621-0671133EF1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5.24 a 8.15 se rompe cinta de picadora a mezcladora
por falta de soja se hacen prruebas con la soja de rosenteck en el TT</t>
        </r>
      </text>
    </comment>
    <comment ref="JS10" authorId="173" shapeId="0" xr:uid="{2A896588-305F-4642-9F3B-DB37EAAA53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perdieron 45 minutos (TM) por problemas con el Gyro</t>
        </r>
      </text>
    </comment>
    <comment ref="TZ10" authorId="174" shapeId="0" xr:uid="{BAEEDDB0-C236-42CE-A18C-CC9125A465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rompió la cinta de la picadora, poca gente</t>
        </r>
      </text>
    </comment>
    <comment ref="ABV10" authorId="175" shapeId="0" xr:uid="{27692615-C589-42ED-BFA7-C5D62B42D86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rompió la termocupla de la Space, se trabajaron con la línea 1 y 2 </t>
        </r>
      </text>
    </comment>
    <comment ref="ACQ10" authorId="176" shapeId="0" xr:uid="{6452691A-B08E-4C99-84B8-4257C4F6D8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Falta de gente, problemas para calibrar los flowpacks en la space, secaron 1300 kilos por presencia de guante en la picada.</t>
        </r>
      </text>
    </comment>
    <comment ref="ACT10" authorId="177" shapeId="0" xr:uid="{085FD946-5C98-48DE-93D5-AD5065709C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hicieron 2 lineas cuando con 69grs (Estuches M&amp;K) por falta de colaboradores. Se decomiso un batch por presencia de etiqueta de alto impacto.</t>
        </r>
      </text>
    </comment>
    <comment ref="GJ11" authorId="178" shapeId="0" xr:uid="{81C29ECE-8CE9-48F1-9477-2F18596740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rompio barra de expulsion a las 5.01 a 6.39</t>
        </r>
      </text>
    </comment>
    <comment ref="GV11" authorId="179" shapeId="0" xr:uid="{B0D8EA8B-D0B6-49BD-9F57-B2BFA91834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demoró el arranque por problemas con la cinta del gyrofreezer. 20:40hs terminaron de arreglarlo, por lo que recien 21:23hs cayó la primer caja de PT</t>
        </r>
      </text>
    </comment>
    <comment ref="GY11" authorId="180" shapeId="0" xr:uid="{E5779FAB-4A32-4B70-9232-FA0747748A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 4am a 7am se reparó una de las cintas de empaque secundario, lo que generó que se utilicen 2 Ulmas en vez de 3.</t>
        </r>
      </text>
    </comment>
    <comment ref="MV11" authorId="181" shapeId="0" xr:uid="{C967D0D3-F645-4225-8C71-5E457E72BB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TT tuvimos problemas con la impresora de empaque.</t>
        </r>
      </text>
    </comment>
    <comment ref="SJ11" authorId="182" shapeId="0" xr:uid="{B4E66437-D1F7-44E7-9BDB-0A0129DDC5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con la pasta, estaba muy dura por tener el congelado en la cámara 1.5</t>
        </r>
      </text>
    </comment>
    <comment ref="SY11" authorId="183" shapeId="0" xr:uid="{C643DCE1-1851-4C01-A63A-54EBA14072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Doble estuchadora, producción de cerdo y hubo menos gente</t>
        </r>
      </text>
    </comment>
    <comment ref="TB11" authorId="184" shapeId="0" xr:uid="{9E603F5B-B33E-4FE7-A636-78637AE460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Por falta de gente estamos trabajando más lento y se hicieron muchos cambios de placas por gramaje.</t>
        </r>
      </text>
    </comment>
    <comment ref="TE11" authorId="185" shapeId="0" xr:uid="{1198948C-49E3-4E4D-B721-DEB54E6EAD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Por falta de personal se trabajó más lento con los estuches de MCDL002</t>
        </r>
      </text>
    </comment>
    <comment ref="WN11" authorId="186" shapeId="0" xr:uid="{5AF10DA5-BB85-40A1-A980-43888E3EAD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trabajo con 2 estuchadoras de 69grs.</t>
        </r>
      </text>
    </comment>
    <comment ref="WQ11" authorId="187" shapeId="0" xr:uid="{A876F71F-3406-4A48-A827-BF74F0D0D31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hicieron tres picadas de Cerdo UG, la caja trae complicaciones. 
</t>
        </r>
      </text>
    </comment>
    <comment ref="ACQ11" authorId="188" shapeId="0" xr:uid="{B06227FB-6A63-49E1-AA69-420A769CE2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tarda mucho en regular la space para hacer 55 grs.</t>
        </r>
      </text>
    </comment>
    <comment ref="E13" authorId="189" shapeId="0" xr:uid="{889ED1FC-7BCC-48A9-A210-144D92AFBC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va a registrar solo cuando cambia, en caos contrario, quedara vacío</t>
        </r>
      </text>
    </comment>
    <comment ref="VP13" authorId="190" shapeId="0" xr:uid="{66B8D1C5-CE4F-4F91-8F67-0F31238888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Ajuste por doble estuchadora</t>
        </r>
      </text>
    </comment>
    <comment ref="EE14" authorId="191" shapeId="0" xr:uid="{5D04A98C-41FB-4CCD-9391-60D44C0E9D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Bajo estudio.</t>
        </r>
      </text>
    </comment>
    <comment ref="ANY14" authorId="192" shapeId="0" xr:uid="{98F70820-B05C-4E12-9299-3CB8C642A35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Considerando hielo, pasa a 1.924%
</t>
        </r>
      </text>
    </comment>
    <comment ref="AQY14" authorId="193" shapeId="0" xr:uid="{EF4E58CA-BA43-463A-BC90-6AF81B937D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 hielo da 3.119</t>
        </r>
      </text>
    </comment>
    <comment ref="ASU14" authorId="194" shapeId="0" xr:uid="{A218316E-2012-4D2E-8C37-E9C38A1876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 Merma con hielo de aca en adelante</t>
        </r>
      </text>
    </comment>
    <comment ref="AUQ14" authorId="195" shapeId="0" xr:uid="{99C70954-A187-4251-9A84-68C5811851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Merma sin hielo: 2,3%
45 lotes de fórmula S con 8 bolsas de 20,5kg</t>
        </r>
      </text>
    </comment>
    <comment ref="OO15" authorId="196" shapeId="0" xr:uid="{12581ABF-8778-4F5E-A5CE-4DA81DCAD8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decomisó cerdo, lo que eleva el porcentaje</t>
        </r>
      </text>
    </comment>
    <comment ref="AGI15" authorId="197" shapeId="0" xr:uid="{8DBFD0D9-C2F5-42DD-A5B2-5918854C0C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914 kg plastico/metal</t>
        </r>
      </text>
    </comment>
    <comment ref="AUK15" authorId="198" shapeId="0" xr:uid="{6D7DDF7B-EA27-479D-B0E8-022970150A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encontraron perdigones en la carne</t>
        </r>
      </text>
    </comment>
    <comment ref="BT19" authorId="199" shapeId="0" xr:uid="{AAE22F08-2BF4-421F-AC62-1AE8D14100AE}">
      <text>
        <r>
          <rPr>
            <sz val="11"/>
            <color theme="1"/>
            <rFont val="Calibri"/>
            <family val="2"/>
            <scheme val="minor"/>
          </rPr>
          <t>Henny Bermudez:
Incluye el semi a depósitos externos</t>
        </r>
      </text>
    </comment>
    <comment ref="BZ19" authorId="199" shapeId="0" xr:uid="{FB75BB65-8E1A-4F34-96A4-00766B2F8A79}">
      <text>
        <r>
          <rPr>
            <sz val="11"/>
            <color theme="1"/>
            <rFont val="Calibri"/>
            <family val="2"/>
            <scheme val="minor"/>
          </rPr>
          <t>Henny Bermudez:
Incluye el semi a winter y las dos cargas a depositos que no figuran en el listado</t>
        </r>
      </text>
    </comment>
    <comment ref="CL19" authorId="199" shapeId="0" xr:uid="{BA729163-FC30-46F2-8671-2C106891E61B}">
      <text>
        <r>
          <rPr>
            <sz val="11"/>
            <color theme="1"/>
            <rFont val="Calibri"/>
            <family val="2"/>
            <scheme val="minor"/>
          </rPr>
          <t>Henny Bermudez:
Incluye el semi a depósitos externos</t>
        </r>
      </text>
    </comment>
    <comment ref="CU19" authorId="199" shapeId="0" xr:uid="{FAF6CB8C-3278-47BD-A7A0-2C5856AA0311}">
      <text>
        <r>
          <rPr>
            <sz val="11"/>
            <color theme="1"/>
            <rFont val="Calibri"/>
            <family val="2"/>
            <scheme val="minor"/>
          </rPr>
          <t>Henny Bermudez:
Abastecimiento a depósitos</t>
        </r>
      </text>
    </comment>
    <comment ref="CX19" authorId="199" shapeId="0" xr:uid="{0099B0E6-0B3A-4474-8B9C-05B9AC1466A8}">
      <text>
        <r>
          <rPr>
            <sz val="11"/>
            <color theme="1"/>
            <rFont val="Calibri"/>
            <family val="2"/>
            <scheme val="minor"/>
          </rPr>
          <t>Henny Bermudez:
Incluye semi a depósitos externos</t>
        </r>
      </text>
    </comment>
    <comment ref="KN19" authorId="200" shapeId="0" xr:uid="{E302DCF8-0864-495F-956C-E49CB0DA47D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Un semi se cargó para hacer lugar de caras al fin de semana
</t>
        </r>
      </text>
    </comment>
    <comment ref="KQ19" authorId="201" shapeId="0" xr:uid="{FD8F101E-B10E-4607-98B1-6CDF6AC91E4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Dos semis se cargaron para hacer lugar de caras al fin de semana</t>
        </r>
      </text>
    </comment>
    <comment ref="KZ19" authorId="202" shapeId="0" xr:uid="{6962B8BC-DF05-422E-8DA1-98F26163AD5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cargó durante el día un semi a Froneri p/hacer lugar
</t>
        </r>
      </text>
    </comment>
    <comment ref="LC19" authorId="203" shapeId="0" xr:uid="{DDCE608F-B17E-4EC7-94DD-C8345FAD10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durante el día un semi a Froneri p/hacer lugar</t>
        </r>
      </text>
    </comment>
    <comment ref="LU19" authorId="204" shapeId="0" xr:uid="{52B1311C-AF96-48EC-8394-D14E284C96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durante el día un semi a Froneri p/hacer lugar</t>
        </r>
      </text>
    </comment>
    <comment ref="LX19" authorId="205" shapeId="0" xr:uid="{E6DCF93E-8C50-4D64-9405-33EB85EF30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durante el día un semi a Froneri p/hacer lugar</t>
        </r>
      </text>
    </comment>
    <comment ref="MA19" authorId="206" shapeId="0" xr:uid="{2C1CE76A-F4FB-425F-8FEB-30000026F0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cargaron durante la noche dos semis a Americold p/hacer lugar</t>
        </r>
      </text>
    </comment>
    <comment ref="MD19" authorId="207" shapeId="0" xr:uid="{672BB1C7-DB16-496E-A84F-CE23177E20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cargaron dos semis, uno a Froneri y otro a Americold p/hacer lugar</t>
        </r>
      </text>
    </comment>
    <comment ref="MG19" authorId="208" shapeId="0" xr:uid="{AB0126D9-517E-47B5-BB16-8772339AE6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cargaron 4 semis p/hacer lugar (1 Froneri - 1 Americold - 1 Gema - 1 cámara para el lunes Americold)</t>
        </r>
      </text>
    </comment>
    <comment ref="MM19" authorId="209" shapeId="0" xr:uid="{50E1A6CD-46AA-432B-BA51-2F9191248B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anoche un semi a Americold p/hacer lugar</t>
        </r>
      </text>
    </comment>
    <comment ref="MP19" authorId="210" shapeId="0" xr:uid="{87648D1B-4FC6-48D2-A6B1-FEAA41890CD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cargó un semi a Froneri durante el día 
</t>
        </r>
      </text>
    </comment>
    <comment ref="MS19" authorId="211" shapeId="0" xr:uid="{25DCFCA8-1950-4905-B4DB-70ECD4C2D3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anoche un semi a Americold p/hacer lugar</t>
        </r>
      </text>
    </comment>
    <comment ref="MV19" authorId="212" shapeId="0" xr:uid="{C977EEA8-5787-4C52-966B-8B7A4A506C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anoche un semi a Americold p/hacer lugar</t>
        </r>
      </text>
    </comment>
    <comment ref="MY19" authorId="213" shapeId="0" xr:uid="{7C924982-9F86-4529-ADCA-35A5ADE889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cargaron 2 semis p/hacer lugar (1 Froneri - 1 Americold)</t>
        </r>
      </text>
    </comment>
    <comment ref="NB19" authorId="214" shapeId="0" xr:uid="{2620C48A-8749-4F4F-B5BB-D6C3969D29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1 semi p/hacer lugar (1 Froneri)</t>
        </r>
      </text>
    </comment>
    <comment ref="NH19" authorId="215" shapeId="0" xr:uid="{4A24F165-B9DE-43E6-AFB7-23C7B02AE3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1 semi p/hacer lugar (1 Froneri)</t>
        </r>
      </text>
    </comment>
    <comment ref="NK19" authorId="216" shapeId="0" xr:uid="{F29964D5-B007-47CE-9288-649AB8FBE73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cargó por la noche un semi con destino Americold p/hacer lugar
</t>
        </r>
      </text>
    </comment>
    <comment ref="NN19" authorId="217" shapeId="0" xr:uid="{1340528C-2426-4506-9FBC-612BCD76F5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por la noche un semi con destino Americold p/hacer lugar y otro durante el día a Froneri</t>
        </r>
      </text>
    </comment>
    <comment ref="NQ19" authorId="218" shapeId="0" xr:uid="{7E33AB12-FCFE-4D5C-B982-BC4B8C0471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por la noche un semi con destino Froneri p/hacer lugar</t>
        </r>
      </text>
    </comment>
    <comment ref="NT19" authorId="219" shapeId="0" xr:uid="{F864164D-DF3F-40FC-A12D-D266E813EA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cargaron dos semis con destino Americold y Froneri p/hacer lugar</t>
        </r>
      </text>
    </comment>
    <comment ref="OL19" authorId="220" shapeId="0" xr:uid="{2BE8D635-3EB2-4013-9E57-6057733AE9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durante la noche un semi con destino Froneri</t>
        </r>
      </text>
    </comment>
    <comment ref="OO19" authorId="221" shapeId="0" xr:uid="{2E2E5907-5D4D-4584-98C6-AF13493DE11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cargó durante el día un semi p/hacer lugar con destino Froneri
</t>
        </r>
      </text>
    </comment>
    <comment ref="PJ19" authorId="222" shapeId="0" xr:uid="{9526831B-DDA6-4866-8CD9-B716EEF039C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por la mañana un semi hacia Froneri p/hacer lugar</t>
        </r>
      </text>
    </comment>
    <comment ref="PV19" authorId="223" shapeId="0" xr:uid="{5B881201-01BF-4E73-B441-DAF4D962F6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por la noche un semi a Froneri p/hacer lugar</t>
        </r>
      </text>
    </comment>
    <comment ref="TN19" authorId="224" shapeId="0" xr:uid="{845E7E9F-2C26-40E3-B526-3FB4F09241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cargaron dos semis, paso el cliente por el pedido</t>
        </r>
      </text>
    </comment>
    <comment ref="BT20" authorId="199" shapeId="0" xr:uid="{6A18BC86-122C-40DE-B50C-06B30360EC8F}">
      <text>
        <r>
          <rPr>
            <sz val="11"/>
            <color theme="1"/>
            <rFont val="Calibri"/>
            <family val="2"/>
            <scheme val="minor"/>
          </rPr>
          <t>Henny Bermudez:
No incluye el retiro de Paladini</t>
        </r>
      </text>
    </comment>
    <comment ref="CI20" authorId="199" shapeId="0" xr:uid="{AB4F6A54-7761-4B59-A1DC-6C63700C3BC2}">
      <text>
        <r>
          <rPr>
            <sz val="11"/>
            <color theme="1"/>
            <rFont val="Calibri"/>
            <family val="2"/>
            <scheme val="minor"/>
          </rPr>
          <t>Henny Bermudez:
Incluye la carga a depósitos de la noche</t>
        </r>
      </text>
    </comment>
    <comment ref="KW20" authorId="225" shapeId="0" xr:uid="{FE99698A-6E17-47E3-B937-71A68C2F3FF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cargó un semi durante el día p/enviar PT a Froneri p/hacer lugar
</t>
        </r>
      </text>
    </comment>
    <comment ref="MP20" authorId="226" shapeId="0" xr:uid="{58693FEE-A064-4966-B94B-F8C873B9383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despachó cliente Morres en 2° vuelta p/hacer lugar
</t>
        </r>
      </text>
    </comment>
    <comment ref="BH21" authorId="227" shapeId="0" xr:uid="{7B5CDB4E-3D16-4998-99CB-E500C6E53C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camión AB233 no se presento</t>
        </r>
      </text>
    </comment>
    <comment ref="BZ21" authorId="199" shapeId="0" xr:uid="{3DA69933-51C9-46E8-9576-CBA4AFD620DB}">
      <text>
        <r>
          <rPr>
            <sz val="11"/>
            <color theme="1"/>
            <rFont val="Calibri"/>
            <family val="2"/>
            <scheme val="minor"/>
          </rPr>
          <t>Henny Bermudez:
El camión KOW quedo armado y salio en la noche</t>
        </r>
      </text>
    </comment>
    <comment ref="CF21" authorId="199" shapeId="0" xr:uid="{738AE0DA-A466-4B77-B684-8F3B8DBDB10E}">
      <text>
        <r>
          <rPr>
            <sz val="11"/>
            <color theme="1"/>
            <rFont val="Calibri"/>
            <family val="2"/>
            <scheme val="minor"/>
          </rPr>
          <t>Henny Bermudez:
Incluye 2da vuelta a winter y el envio a depositos Americold</t>
        </r>
      </text>
    </comment>
    <comment ref="DG21" authorId="228" shapeId="0" xr:uid="{DD43F42D-928F-478F-A25D-AC3D4F9569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agregó durante el día una entrega a la Municipalidad de San Fernando solicitado por Jorge Rimoldi</t>
        </r>
      </text>
    </comment>
    <comment ref="KW21" authorId="229" shapeId="0" xr:uid="{741A2F01-EDAC-400B-A011-D6943BFDB1C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un balancín durante el día a Froneri p/hacer lugar</t>
        </r>
      </text>
    </comment>
    <comment ref="LC21" authorId="230" shapeId="0" xr:uid="{597DBB74-9456-4EB2-AAD3-06028BD761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cargó un segunda con un chasis para adelantar entregas y hacer lugar</t>
        </r>
      </text>
    </comment>
    <comment ref="LF21" authorId="231" shapeId="0" xr:uid="{62F479CE-F657-4A11-907C-4A350775EE6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sacó durante el día un camión en segunda vuelta para hacer lugar
</t>
        </r>
      </text>
    </comment>
    <comment ref="BQ22" authorId="199" shapeId="0" xr:uid="{9A277878-59BF-40D7-A7B7-E6F930F47BFF}">
      <text>
        <r>
          <rPr>
            <sz val="11"/>
            <color theme="1"/>
            <rFont val="Calibri"/>
            <family val="2"/>
            <scheme val="minor"/>
          </rPr>
          <t>Henny Bermudez:
No salio AA050 queda armada para la noche</t>
        </r>
      </text>
    </comment>
    <comment ref="CF22" authorId="199" shapeId="0" xr:uid="{CD4EE493-E27A-4388-95D9-65BC95F2AFE4}">
      <text>
        <r>
          <rPr>
            <sz val="11"/>
            <color theme="1"/>
            <rFont val="Calibri"/>
            <family val="2"/>
            <scheme val="minor"/>
          </rPr>
          <t>Henny Bermudez:
La camioneta AA427 regresa a CPC por equipo roto, queda armado igual sale en la noche</t>
        </r>
      </text>
    </comment>
    <comment ref="CL22" authorId="199" shapeId="0" xr:uid="{5DB347E9-A761-4A5D-936C-C1067492A9D0}">
      <text>
        <r>
          <rPr>
            <sz val="11"/>
            <color theme="1"/>
            <rFont val="Calibri"/>
            <family val="2"/>
            <scheme val="minor"/>
          </rPr>
          <t>Henny Bermudez:
Incluye la 2da vuelta a confirmar y se resta FLP525 no sale por averia</t>
        </r>
      </text>
    </comment>
    <comment ref="AUK28" authorId="232" shapeId="0" xr:uid="{EF1C85F5-B3D5-4E8C-9C0F-60E79906E2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acá, fue Escobar, desde el 17/03, es Ituzaingó</t>
        </r>
      </text>
    </comment>
    <comment ref="B29" authorId="233" shapeId="0" xr:uid="{B52FDDF2-1070-43D2-B0DB-C95B0C77ABC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Antes del 6/12 el dato que se muestra es el de calidad de carga logística</t>
        </r>
      </text>
    </comment>
    <comment ref="FI29" authorId="234" shapeId="0" xr:uid="{7587091D-FDE0-40B3-8C27-894517E653B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Temp Caja - 35.71%
Temp Prod - 35.71%
</t>
        </r>
      </text>
    </comment>
    <comment ref="FL29" authorId="235" shapeId="0" xr:uid="{076D71C6-998F-49BB-A123-B38114A27E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Temp Caja - 21.05%
Temp Prod - 42.11%</t>
        </r>
      </text>
    </comment>
    <comment ref="FO29" authorId="236" shapeId="0" xr:uid="{6BBFE4A6-0347-4D4B-AF67-E58AA52848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Temp Caja - 25%
Temp Prod - 47.22%</t>
        </r>
      </text>
    </comment>
    <comment ref="FR29" authorId="237" shapeId="0" xr:uid="{DAB584FF-7847-49C0-BBD5-87BADE3530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Temp Caja - 30.43%
Temp Prod - 30.43%
Higiene - 69.57%
Chofer - 69.57%
Reply:
    Tomado a las 11:30am</t>
        </r>
      </text>
    </comment>
    <comment ref="GD29" authorId="238" shapeId="0" xr:uid="{839DD42E-C165-461F-BDF7-01A500F92A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- 50%
TP - 50%</t>
        </r>
      </text>
    </comment>
    <comment ref="GM29" authorId="239" shapeId="0" xr:uid="{8BE67708-551F-4B66-8115-4DB3846385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- 41.18%
TP - 47.06%
CH - 94.12%</t>
        </r>
      </text>
    </comment>
    <comment ref="GP29" authorId="240" shapeId="0" xr:uid="{4A2DBD92-3E8D-44E8-9F13-AF1980F55E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- 53.57%
TP - 57.14%</t>
        </r>
      </text>
    </comment>
    <comment ref="GY29" authorId="241" shapeId="0" xr:uid="{3AA0ECA3-C038-46FF-A1E1-40C80CDB32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- 31.82%
TP - 50%</t>
        </r>
      </text>
    </comment>
    <comment ref="HB29" authorId="242" shapeId="0" xr:uid="{52BCE2DE-C98F-41AE-9F1F-60C479BAB3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- 41.67%
TP - 45.83%
CH - 91.675</t>
        </r>
      </text>
    </comment>
    <comment ref="HE29" authorId="243" shapeId="0" xr:uid="{1721E4F4-5ED5-4C61-B598-F99AA43A63A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- 26.92%
TP - 50%</t>
        </r>
      </text>
    </comment>
    <comment ref="HH29" authorId="244" shapeId="0" xr:uid="{FE224064-FFC5-4A99-9F40-7EC7BA3E90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- 26.92%
TP - 50%</t>
        </r>
      </text>
    </comment>
    <comment ref="HK29" authorId="245" shapeId="0" xr:uid="{844D4B56-B4BA-4967-9F68-0385AEB1F1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10 %
TP = 30 %
H = 80%
CH = 40 %</t>
        </r>
      </text>
    </comment>
    <comment ref="HQ29" authorId="246" shapeId="0" xr:uid="{411F77E1-9378-4AFD-B308-E72CB48FD2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0 46.43 %
TP = 71.43 %
H = 100 %
CH = 100 %</t>
        </r>
      </text>
    </comment>
    <comment ref="HT29" authorId="247" shapeId="0" xr:uid="{A38AA7D9-8925-40D4-96B9-C612B72703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41.67 %
TP = 22.22 %
H = 38.89 %
CH = 38.89 %
Reply:
    TC - 28.57%
TP - 57.14%
H- 100%
CH -100%</t>
        </r>
      </text>
    </comment>
    <comment ref="HW29" authorId="248" shapeId="0" xr:uid="{2F7C2C9C-0366-4F2E-9D9D-19C69C9A875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TC = 44.74%
TP = 63.16 %
H = 100 %
CH = 100 %
</t>
        </r>
      </text>
    </comment>
    <comment ref="HZ29" authorId="249" shapeId="0" xr:uid="{B3B17B04-E177-462E-9F68-948DF3C051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38.8 %
TP = 50 %
H = 100 %
CH = 77.78 %</t>
        </r>
      </text>
    </comment>
    <comment ref="IO29" authorId="250" shapeId="0" xr:uid="{3E592B70-5DF9-40FE-ABA4-BA9712F53D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46.88%
TP: 81.25%
H: 100 %
CH: 87.50%</t>
        </r>
      </text>
    </comment>
    <comment ref="IR29" authorId="251" shapeId="0" xr:uid="{53DFFD3E-7D5E-46CA-B609-2B06BB8813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61.11%
TP: 94.44%
H: 100 %
CH: 100%</t>
        </r>
      </text>
    </comment>
    <comment ref="IU29" authorId="252" shapeId="0" xr:uid="{28D517ED-E26A-48D0-BE26-0E70F0A873D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42.86 %
TP: 50 %
H: 100 %
CH: 85.71%</t>
        </r>
      </text>
    </comment>
    <comment ref="IX29" authorId="253" shapeId="0" xr:uid="{EED26A8F-F582-4302-8540-55DD277F60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50 %
TP: 73.81 %
H: 95.24 %
CH: 95.24 %</t>
        </r>
      </text>
    </comment>
    <comment ref="JA29" authorId="254" shapeId="0" xr:uid="{AC4C59CA-7E4D-4A1E-9E70-A8CBFC31F5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28.57 %
TP: 71.73 %
H: 100 %
CH: 92.86 %</t>
        </r>
      </text>
    </comment>
    <comment ref="JG29" authorId="255" shapeId="0" xr:uid="{8AA4CA10-EE21-49E1-B5A2-75245E928F0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57.14 %
TP: 92.86 %
H: 100 %
CH: 100 %</t>
        </r>
      </text>
    </comment>
    <comment ref="JJ29" authorId="256" shapeId="0" xr:uid="{472217B7-6E0F-46F8-8C57-07106FDC28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43.33 %
TP: 76.67 %
H: 100 %
CH: 100 %</t>
        </r>
      </text>
    </comment>
    <comment ref="JM29" authorId="257" shapeId="0" xr:uid="{C9CF0FB2-DF45-472A-A149-0DC18430EA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35,71 %
TP: 67,86 %
H: 100 %
CH: 85,71 %</t>
        </r>
      </text>
    </comment>
    <comment ref="JV29" authorId="258" shapeId="0" xr:uid="{8EB14DD5-F847-4102-9DB3-15A3B55075E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41.18 %
TP = 67.65 %
H = 94.12 %
CH = 88.24 %</t>
        </r>
      </text>
    </comment>
    <comment ref="KE29" authorId="259" shapeId="0" xr:uid="{A1C52BBB-EC68-4FB2-BD36-03B0814769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33.33 %
TP = 50%
H = 100 %
CH = 91.67 %</t>
        </r>
      </text>
    </comment>
    <comment ref="KH29" authorId="260" shapeId="0" xr:uid="{4F4C1C9C-B34B-4DBD-B00D-C9170F4BBE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37.50 %
TP = 33.33 %
H = 91.67 %
CH = 91.67 %</t>
        </r>
      </text>
    </comment>
    <comment ref="KK29" authorId="261" shapeId="0" xr:uid="{7E9BB782-CB53-45EE-8C66-F29E74A2BC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20 %
TP = 30 %
H = 100 %
CH = 70 %</t>
        </r>
      </text>
    </comment>
    <comment ref="KN29" authorId="262" shapeId="0" xr:uid="{07639CC8-0DEC-4092-B9CE-D35D789AD9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46.43 %
TP = 50 %
H = 100 %
CH = 85.71 %</t>
        </r>
      </text>
    </comment>
    <comment ref="KW29" authorId="263" shapeId="0" xr:uid="{340075C8-CF9F-44C8-AF48-62DC3F3802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50 %
TP = 85.29 %
H = 100%
CH = 88.24 %</t>
        </r>
      </text>
    </comment>
    <comment ref="KZ29" authorId="264" shapeId="0" xr:uid="{D0D02188-DCA1-44C7-A5D7-82E45B26D6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42.86 %
TP = 67.86 %
H = 100%
CH = 92.86 %</t>
        </r>
      </text>
    </comment>
    <comment ref="LC29" authorId="265" shapeId="0" xr:uid="{AE794251-48EF-4744-A08F-A77C3BA7CEC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56.67 %
TP = 56.67 %
H = 100%
CH = 100 %</t>
        </r>
      </text>
    </comment>
    <comment ref="LF29" authorId="266" shapeId="0" xr:uid="{548741BB-B7E5-4893-BE78-DCE0DF389E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35.71 %
TP = 53.57 %
H = 100%
CH = 92.86 %</t>
        </r>
      </text>
    </comment>
    <comment ref="LI29" authorId="267" shapeId="0" xr:uid="{170D56AB-BCCB-43E3-A540-EEAE2C7DEA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33.33 %
TP = 50 %
H = 100%
CH = 83.33 %</t>
        </r>
      </text>
    </comment>
    <comment ref="LL29" authorId="268" shapeId="0" xr:uid="{3A005F50-5B8E-4CDA-98F5-94BCB48A39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30 %
TP = 50 %
H = 100%
CH = 80 %</t>
        </r>
      </text>
    </comment>
    <comment ref="LR29" authorId="269" shapeId="0" xr:uid="{1440529E-3251-4947-9CC2-15241449877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30 %
TP = 50 %
H = 100%
CH = 80 %</t>
        </r>
      </text>
    </comment>
    <comment ref="LU29" authorId="270" shapeId="0" xr:uid="{7E4BD000-48E0-48B4-BEDC-41D0CCE4A3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73.08 %
TP = 57.69 %
H = 100%
CH = 100 %</t>
        </r>
      </text>
    </comment>
    <comment ref="LX29" authorId="271" shapeId="0" xr:uid="{83CA3CFD-397C-46E1-BA8A-5DB9CC879A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50 %
TP = 55 %
H = 100%
CH = 91.67 %</t>
        </r>
      </text>
    </comment>
    <comment ref="MA29" authorId="272" shapeId="0" xr:uid="{C004E548-CE7F-457F-8182-F04AE1CC1C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57.14 %
TP = 50 %
H = 100%
CH = 85.71 %</t>
        </r>
      </text>
    </comment>
    <comment ref="MD29" authorId="273" shapeId="0" xr:uid="{787D170C-3B29-4C7D-AA72-F4C17890AF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59.09 %
TP = 59.09 %
H = 100%
CH = 100 %</t>
        </r>
      </text>
    </comment>
    <comment ref="MG29" authorId="274" shapeId="0" xr:uid="{CEF170ED-3763-451F-8A21-D378BB762AF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50 %
TP = 45 %
H = 100%
CH = 100 %</t>
        </r>
      </text>
    </comment>
    <comment ref="MP29" authorId="275" shapeId="0" xr:uid="{66845316-72E5-44DC-A9EB-AD721A47EA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32.14 %
TP = 60.71 %
H = 100 %
CH = 92.86 %</t>
        </r>
      </text>
    </comment>
    <comment ref="MS29" authorId="276" shapeId="0" xr:uid="{C29CA4B0-9B91-4063-B00C-622A229AFFF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53.33 %
TP = 53.33 %
H = 100 %
CH = 93.33 %</t>
        </r>
      </text>
    </comment>
    <comment ref="NB29" authorId="277" shapeId="0" xr:uid="{C5A0BFEC-ED9B-4751-A800-8DBCE2F217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 66.67 %
TP = 50 %
H = 66.67 %
CH = 33.33 %</t>
        </r>
      </text>
    </comment>
    <comment ref="NK29" authorId="278" shapeId="0" xr:uid="{451AA288-A72B-43D1-B97B-B16457B2B4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50 %
TP: 54.17 %
H: 100 %
CH: 83.33 %</t>
        </r>
      </text>
    </comment>
    <comment ref="NN29" authorId="279" shapeId="0" xr:uid="{AD05D8F5-1DCD-47FC-8E5B-663AA5E4AE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64.71 %
TP: 70.59 %
H: 100 %
CH: 82.35 %</t>
        </r>
      </text>
    </comment>
    <comment ref="NQ29" authorId="280" shapeId="0" xr:uid="{3380130E-00EE-486B-A301-779E105811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60 %
TP: 60 %
H: 100 %
CH: 90 %</t>
        </r>
      </text>
    </comment>
    <comment ref="NT29" authorId="281" shapeId="0" xr:uid="{0890F3D8-FE88-4127-9155-4E79BAF1171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69.23 %
TP: 65.38 %
H: 100 %
CH: 92.31 %</t>
        </r>
      </text>
    </comment>
    <comment ref="NW29" authorId="282" shapeId="0" xr:uid="{4119CAFF-26BB-42E7-855A-F1E4BED067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32.14 %
TP: 50 %
H: 100 %
CH: 92.86 %</t>
        </r>
      </text>
    </comment>
    <comment ref="OC29" authorId="283" shapeId="0" xr:uid="{29DB865F-8277-4FBE-A42A-8075E069CC0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62.50 %
TP: 54.17 %
H: 100 %
CH: 91.67 %</t>
        </r>
      </text>
    </comment>
    <comment ref="OF29" authorId="284" shapeId="0" xr:uid="{A581442C-C486-4E52-9DBB-E1DFD2F2E7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TC: 77.27 %
TP: 72.73 %
H: 100 %
CH: 95.45 %</t>
        </r>
      </text>
    </comment>
    <comment ref="AIW29" authorId="285" shapeId="0" xr:uid="{EAD9FE1A-E9D6-46CD-9064-3AB058C77C2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acá fue el dato de calidad de carga logística, desde ahora será puntaje de transportes</t>
        </r>
      </text>
    </comment>
    <comment ref="B30" authorId="286" shapeId="0" xr:uid="{F8298071-B9A9-4F05-8109-FBCAB0D2B6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- 2 de -5 °C para abajo
- 1 entre -5 °C y 5 °C
- 0 por encima de este último valor. 
Lo ideal es tener un intervalo más estricto (por debajo de -10°C) y que la temperatura llegue a -18 °C a la salida, pero hoy es todavía muy difícil que se cumpla este requerimiento.</t>
        </r>
      </text>
    </comment>
    <comment ref="ASU30" authorId="287" shapeId="0" xr:uid="{854D7FF1-C468-47D5-802C-BC47614DBE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analista de calidad, encargado de esta tarea, esta cubriendo otras tareas, porque hay una persona de su equipo de vacaciones.</t>
        </r>
      </text>
    </comment>
    <comment ref="ASX30" authorId="288" shapeId="0" xr:uid="{4F527CE3-F5B5-477B-880B-C8391584C2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analista de calidad, encargado de esta tarea, esta cubriendo otras tareas, porque hay una persona de su equipo de vacaciones.</t>
        </r>
      </text>
    </comment>
    <comment ref="ATA30" authorId="289" shapeId="0" xr:uid="{50193C71-5298-4441-9C1E-7AEEF40A15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analista de calidad, encargado de esta tarea, esta cubriendo otras tareas, porque hay una persona de su equipo de vacaciones.</t>
        </r>
      </text>
    </comment>
    <comment ref="ATD30" authorId="290" shapeId="0" xr:uid="{6C4CABBC-7C40-4F66-A786-E457BDAB810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analista de calidad, encargado de esta tarea, esta cubriendo otras tareas, porque hay una persona de su equipo de vacaciones.</t>
        </r>
      </text>
    </comment>
    <comment ref="ATG30" authorId="291" shapeId="0" xr:uid="{B48AF703-8713-4662-8A60-603F3365DC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analista de calidad, encargado de esta tarea, esta cubriendo otras tareas, porque hay una persona de su equipo de vacaciones.</t>
        </r>
      </text>
    </comment>
    <comment ref="ATJ30" authorId="292" shapeId="0" xr:uid="{8282D386-D68C-4BF7-BF45-E81481F235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analista de calidad, encargado de esta tarea, esta cubriendo otras tareas, porque hay una persona de su equipo de vacaciones.</t>
        </r>
      </text>
    </comment>
    <comment ref="ATP30" authorId="293" shapeId="0" xr:uid="{7B7EA0B8-8FD2-4797-9701-F5CF7BFF092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analista de calidad, encargado de esta tarea, esta cubriendo otras tareas, porque hay una persona de su equipo de vacaciones.</t>
        </r>
      </text>
    </comment>
    <comment ref="AUE30" authorId="294" shapeId="0" xr:uid="{AB74A3C0-9F24-45A7-83D2-94E564679B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hay datos en la App de temperaturas</t>
        </r>
      </text>
    </comment>
    <comment ref="AUK30" authorId="295" shapeId="0" xr:uid="{2D4C23A8-8701-45BF-8825-D8F755ECC7C1}">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No hay datos en la App de temperaturas</t>
        </r>
      </text>
    </comment>
    <comment ref="B33" authorId="296" shapeId="0" xr:uid="{E5E6E747-5B1C-40A1-BC74-09D626628CE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- 2 de -18 °C para abajo
- 1 entre -18 °C y -16 °C
- 0 por encima de este último valor. 
Se toma el valor más alto como referencia, esto es, si hay un producto con temperatura por encima de -16 °C, el valor es 0. </t>
        </r>
      </text>
    </comment>
    <comment ref="AGF33" authorId="297" shapeId="0" xr:uid="{6225F89C-221C-4601-861A-EC4D9E4E0F0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Cambió el método de cálculo</t>
        </r>
      </text>
    </comment>
    <comment ref="AKG33" authorId="298" shapeId="0" xr:uid="{857BA97E-FCAD-4F8A-B331-D9117CB4D2E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10 unidades de las 16 analizadas, los promedios de temp. están por encima de -18° C.
Reply:
    La temperatura más elevada es de -12° C y corresponde al código UG0044. </t>
        </r>
      </text>
    </comment>
    <comment ref="AKM33" authorId="299" shapeId="0" xr:uid="{1F09F01F-0BC6-4D94-BD0B-22447B5284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 los productos analizados, sólo para dos unidades las mediciones arrojan un promedio por debajo de -18° C</t>
        </r>
      </text>
    </comment>
    <comment ref="AKV33" authorId="300" shapeId="0" xr:uid="{F206D61E-F1D5-4A13-A2A1-CF5DEADF06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 temperatura más elevada es de -16° C y corresponde a nuggets</t>
        </r>
      </text>
    </comment>
    <comment ref="AKM35" authorId="301" shapeId="0" xr:uid="{C08DB5AE-93E9-48C9-BA60-51B538873A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Las pocas unidades controladas son consecuencia de las demoras en la preparación, que demoran a su vez el despacho.</t>
        </r>
      </text>
    </comment>
    <comment ref="AMX35" authorId="302" shapeId="0" xr:uid="{2EA4BAD1-F6E0-4FCE-8FA6-6FE835AF4D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Sólo para 4 de las 15 unidades los valores promedios están por debajo -18° C.</t>
        </r>
      </text>
    </comment>
    <comment ref="AND35" authorId="303" shapeId="0" xr:uid="{8DB669A0-DE8B-410F-B58C-77CE23EC69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 unidades con promedios por encima de -18° C.</t>
        </r>
      </text>
    </comment>
    <comment ref="AM36" authorId="304" shapeId="0" xr:uid="{A49BF473-E274-451B-AD04-CC74998B74B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cortó la luz durante el despacho lo que demoró la carga
</t>
        </r>
      </text>
    </comment>
    <comment ref="AP36" authorId="305" shapeId="0" xr:uid="{2FD64187-5AC3-48EB-9898-95A845E7811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 carga comenzó retrasada por corte de calle por Partido
</t>
        </r>
      </text>
    </comment>
    <comment ref="CC36" authorId="199" shapeId="0" xr:uid="{99FD823B-06BF-4C9B-932A-114B1FB1D395}">
      <text>
        <r>
          <rPr>
            <sz val="11"/>
            <color theme="1"/>
            <rFont val="Calibri"/>
            <family val="2"/>
            <scheme val="minor"/>
          </rPr>
          <t>Henny Bermudez:
Atrasos por el partido de tigre</t>
        </r>
      </text>
    </comment>
    <comment ref="PS36" authorId="306" shapeId="0" xr:uid="{BFE7FC5F-0D46-4F37-BCDB-5F8F1D82D54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Decia 00:56, RARO</t>
        </r>
      </text>
    </comment>
    <comment ref="RX36" authorId="307" shapeId="0" xr:uid="{FECCE92D-A803-4593-AEFD-9885F245D46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Varios camiones se presentaron tarde  a cargar </t>
        </r>
      </text>
    </comment>
    <comment ref="SD36" authorId="308" shapeId="0" xr:uid="{E974BF4D-5D2D-4A6D-B029-A9A6CC7AEF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SJ36" authorId="309" shapeId="0" xr:uid="{A2060B1B-DF4E-4632-AC4F-0987AA8451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SM36" authorId="310" shapeId="0" xr:uid="{A93061FE-671E-4654-BDF9-6F201AE81F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SP36" authorId="311" shapeId="0" xr:uid="{6BE9C63C-BEF5-461A-A591-C20A34BA95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SY36" authorId="312" shapeId="0" xr:uid="{D0976577-8921-4595-B656-859452C6DD8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
</t>
        </r>
      </text>
    </comment>
    <comment ref="TB36" authorId="313" shapeId="0" xr:uid="{9F229AA3-C8A0-4CE9-A1FF-F8C71BACF0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TE36" authorId="314" shapeId="0" xr:uid="{4137AFB0-9DE4-4812-97BC-C2EAD0C086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TH36" authorId="315" shapeId="0" xr:uid="{AE951CA3-23A6-47E9-B452-1791BA3ECB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TK36" authorId="316" shapeId="0" xr:uid="{12555EAE-F10D-4F5F-A7E2-49E33DF97C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TN36" authorId="317" shapeId="0" xr:uid="{E6ED1F1A-284B-4649-8E7B-8759A9A01A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TT36" authorId="318" shapeId="0" xr:uid="{5919A16E-93C9-43B0-993B-B656F3001C1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
</t>
        </r>
      </text>
    </comment>
    <comment ref="TW36" authorId="319" shapeId="0" xr:uid="{EA653A6B-37CC-48E9-AA90-D5941EB11B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TZ36" authorId="320" shapeId="0" xr:uid="{0528001B-3CEB-4DF7-B9EA-8E7267A36D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Hasta agosto Alejandro va a estar con una persona menos, periodo vacacional de Fernandez y Brizuela</t>
        </r>
      </text>
    </comment>
    <comment ref="UF36" authorId="321" shapeId="0" xr:uid="{33508101-BD9E-4309-849E-964491D5320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Anoche hubo problemas de emisión de facturas, demorando la carga de los camiones </t>
        </r>
      </text>
    </comment>
    <comment ref="UR36" authorId="322" shapeId="0" xr:uid="{9F0CC99F-1154-488A-84B5-2B16FF0D0F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Alejandro aun tiene una persona de su equipo de vacaciones, hasta la semana próxima</t>
        </r>
      </text>
    </comment>
    <comment ref="UU36" authorId="323" shapeId="0" xr:uid="{148A4CED-04F4-4217-8493-1E185077C4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Alejandro aun tiene una persona de su equipo de vacaciones, hasta la semana próxima</t>
        </r>
      </text>
    </comment>
    <comment ref="UX36" authorId="324" shapeId="0" xr:uid="{91190834-F9BF-43EE-8DD4-38A06E6481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Alejandro aun tiene una persona de su equipo de vacaciones, hasta la semana próxima</t>
        </r>
      </text>
    </comment>
    <comment ref="VA36" authorId="325" shapeId="0" xr:uid="{C63BF976-1B56-40AA-AC1E-440BDD4663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Alejandro aun tiene una persona de su equipo de vacaciones, hasta la semana próxima</t>
        </r>
      </text>
    </comment>
    <comment ref="VD36" authorId="326" shapeId="0" xr:uid="{71CCB7ED-D4C5-49E1-A380-BBE01FE9BC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presentaron varias unidades fuera del horario asignado, generando demoras en la carga.</t>
        </r>
      </text>
    </comment>
    <comment ref="VS36" authorId="327" shapeId="0" xr:uid="{46DCA1F0-5C78-4C44-A20E-BDA48AF406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motivo del retraso fue porque anoche tuvo 3 semis, y 5 balancines de eso se carga por fuera, teniendo que asignar una persona de la operación para que acomode los pallet arriba del camion</t>
        </r>
      </text>
    </comment>
    <comment ref="VV36" authorId="328" shapeId="0" xr:uid="{03632393-D843-4CF9-BDA0-E07DA6EAC1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Tuvimos retraso porque anoche hubo hamburgueseada  y 35 camiones para despachar</t>
        </r>
      </text>
    </comment>
    <comment ref="WK36" authorId="329" shapeId="0" xr:uid="{399171EC-9A75-46C5-AA05-27A8709725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Hubo problemas operativos, con el espacio de las cámara para preparar los pedidos, y muchos camiones tuvieron que agrupar pallet porque no daban con el volumen asignado</t>
        </r>
      </text>
    </comment>
    <comment ref="WN36" authorId="330" shapeId="0" xr:uid="{83B4DC0C-B81F-4DDD-97D1-0C81885D52C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Problemas en el piso de la cámara 04, eso retraso mucho el movimiento operativo de las paleteras y eso retraso la carga, ya se solicito la limpieza de los pisos </t>
        </r>
      </text>
    </comment>
    <comment ref="XF36" authorId="331" shapeId="0" xr:uid="{6065CD0B-F085-4B51-9B4E-8F426F0C7F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anoche tuvimos complicaciones con el espacio en las cámaras, eso genero demoras en la preparación de los pedidos</t>
        </r>
      </text>
    </comment>
    <comment ref="XI36" authorId="332" shapeId="0" xr:uid="{7C47C9DE-BACA-4241-B750-F4C7B3DF64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Estamos con la ocupación de las cámaras al limite, y eso nos genera complicaciones en el armado y posterior al despacho</t>
        </r>
      </text>
    </comment>
    <comment ref="YA36" authorId="333" shapeId="0" xr:uid="{40577ECF-C941-40D6-82FF-62112AE316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Durante toda esta semana, el despacho se esta realizando con una sola rampa de carga, ya que la otra esta restringida con los pallets de ensamble</t>
        </r>
      </text>
    </comment>
    <comment ref="YD36" authorId="334" shapeId="0" xr:uid="{6D9B8BD3-71DB-4DBF-87BD-6A568A78C9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Durante toda esta semana, el despacho se esta realizando con una sola rampa de carga, ya que la otra esta restringida con los pallets de ensamble</t>
        </r>
      </text>
    </comment>
    <comment ref="YG36" authorId="335" shapeId="0" xr:uid="{FAF44892-18EB-4383-8474-F3FA3FC75B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Anoche hubo complicaciones con algunos camiones, los cuales demoraron toda la operacion de armado y despacho</t>
        </r>
      </text>
    </comment>
    <comment ref="YY36" authorId="336" shapeId="0" xr:uid="{74E62D3E-55A7-43DD-801E-9508231A77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 salida de este dia tuvo casi 800 lineas de pickeo, muchos pedidos con pocas cajas</t>
        </r>
      </text>
    </comment>
    <comment ref="ZB36" authorId="337" shapeId="0" xr:uid="{5CE4617C-2DF0-427A-A5C7-6DB6697800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 salida de este dia tuvo casi 800 lineas de pickeo, muchos pedidos con pocas cajas</t>
        </r>
      </text>
    </comment>
    <comment ref="ZK36" authorId="338" shapeId="0" xr:uid="{6F17A50C-FF8B-4C87-85C1-A38A80B36EE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 carga anoche comenzó a las 00:00, porque jugo Tigre
</t>
        </r>
      </text>
    </comment>
    <comment ref="CC56" authorId="339" shapeId="0" xr:uid="{0748AB1F-87AA-4021-A01D-0DAC60E100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Rebusatte Amadeo Martin: Llegada tarde.
Ramos Juan Daris: Agresión a compañero.</t>
        </r>
      </text>
    </comment>
    <comment ref="CF56" authorId="340" shapeId="0" xr:uid="{F7E1E3D4-E9DE-4901-A544-396C3F3FCC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Ortiz Diego Federico: acostado en el piso de la oficina con ropa de trabajo.</t>
        </r>
      </text>
    </comment>
    <comment ref="DD56" authorId="341" shapeId="0" xr:uid="{6E21F255-9504-40B0-B913-D09D29EA143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Soria Walter Edgardo - AUSENCIA INJUSTIFICADA 1 día
</t>
        </r>
      </text>
    </comment>
    <comment ref="EQ56" authorId="342" shapeId="0" xr:uid="{18B36BD9-1CE0-497B-9B0C-C6F8F3A7A1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Mongelos Ivana Gisele - Agresión a un compañero</t>
        </r>
      </text>
    </comment>
    <comment ref="GA56" authorId="343" shapeId="0" xr:uid="{2A6FA0A0-C0F7-48BA-A2E9-6EA9DC0B6A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Bogado Carlos Alberto - Ingresó a trabajar en estado de ebriedad 2 días.</t>
        </r>
      </text>
    </comment>
    <comment ref="MD56" authorId="344" shapeId="0" xr:uid="{20FF1772-6849-471A-ADD8-78728CBC07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Quirico Jose Adolfo - llegada tarde sin justificación ni aviso
Silva Franco Maximiliano - llegada tarde y nuevamente omitir registrar ingreso a planta para ocultar la impuntualidad.</t>
        </r>
      </text>
    </comment>
    <comment ref="ANJ56" authorId="345" shapeId="0" xr:uid="{0B5EDF02-14F0-460E-9369-A52725EE17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Rivero Mauro Escobar y Ledesma Silvio Antonio: por ausencia injustificada y sin avisar</t>
        </r>
      </text>
    </comment>
    <comment ref="ANM56" authorId="346" shapeId="0" xr:uid="{09870D8C-C582-44A3-B296-6873F838600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Ledesma Silvio Antonio: por ausencia injustificada y sin avisar
Lopez Diego: se lo encontró durmiendo en el vestuario el 14/01</t>
        </r>
      </text>
    </comment>
    <comment ref="AOZ56" authorId="347" shapeId="0" xr:uid="{D589D15A-8E4B-4602-8735-18BC5F0D09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Pineda Arnaldo Matias - no respetar acuerdo de confidencialidad (difundir video en redes sociales)</t>
        </r>
      </text>
    </comment>
    <comment ref="APX56" authorId="348" shapeId="0" xr:uid="{B34F4FF3-AFCD-4B2F-B43E-A6512E57E9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Walter Caceres - difundir un video de la empresa por redes sociales</t>
        </r>
      </text>
    </comment>
    <comment ref="BZ57" authorId="349" shapeId="0" xr:uid="{D41CEAF8-DF2D-4287-9361-D377277138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Quirico Jose Adolfo, Irala Ian Luca y Caceres Oscar Walter por llegadas tarde.</t>
        </r>
      </text>
    </comment>
    <comment ref="DA57" authorId="350" shapeId="0" xr:uid="{99E25F50-84AC-4FB4-A374-EC6A00C032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LLEGADAS TARDE
- Lopez Cesar Adrian
- Campos Angel Fernando
- Garcete Jose Luis</t>
        </r>
      </text>
    </comment>
    <comment ref="EB57" authorId="351" shapeId="0" xr:uid="{7919701D-B37B-44CB-BE4C-C829B525F62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Brizuela Jonatan Alan, uso de anillos y cadenas dentro de planta.</t>
        </r>
      </text>
    </comment>
    <comment ref="EN57" authorId="352" shapeId="0" xr:uid="{6A9BB1C0-75A7-4C4A-8126-C5A782E0E8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Juarez Rodrigo Nicolas - BPM Remera de futbol y no utiliza filtro N2.
Mongelos Ivana Gisele - BPM Buzo negro debajo de buzo blanco en estuchadora.
Corbalan Luis Lorenzo - BPM bolsa con comida C02</t>
        </r>
      </text>
    </comment>
    <comment ref="EQ57" authorId="353" shapeId="0" xr:uid="{15A508F6-E5F1-4EE4-8777-0F66DAD80BB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Lage Fernando German - BPM Olvidar buzo con mal olor y carne en aditivos
</t>
        </r>
      </text>
    </comment>
    <comment ref="EW57" authorId="354" shapeId="0" xr:uid="{90EC10D1-FFF8-4BC4-8F38-CDE3BAE44D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Calo Cristian Leandro - Ausencia injustificada (10/03 y 12/03)</t>
        </r>
      </text>
    </comment>
    <comment ref="FL57" authorId="355" shapeId="0" xr:uid="{3D2CAF5D-3D47-4C58-AAC5-7976ADC8B1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Cabral Hernan Nicolas - BPM caminando sin cofia por antecámara, llegando a picadora sin EPP.
Cabral Hernan Nicolas - AUSENCIA INJUSTIFICADA
Brest Ruben Daniel - BPM enviando producto con doble etiqueta (una errónea)
LLEGADAS TARDE:
- Diaz Hernan Alfredo
- Campos Angel Fernando
- Figueroa Marcelo Gabriel
- Gonzalez Angel Leonel
- Gonzalez Lucas Matias
- Quirico José Adolfo
- Sorhanet Agustin Nicolas</t>
        </r>
      </text>
    </comment>
    <comment ref="FO57" authorId="356" shapeId="0" xr:uid="{2AA2A1D8-E656-4B4B-A026-AC89B5186F4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Rivas Maximiliano Martin - BPM, uso inadecuado del celular.
</t>
        </r>
      </text>
    </comment>
    <comment ref="FR57" authorId="357" shapeId="0" xr:uid="{7CADA6CE-95C9-4FC1-B4C4-805057C3E46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LLEGADAS TARDE:
- Aranda Agustin Gabriel
- Brandan Carlos Javier
- Brito Kevin Nicolas
- Cespedes Cristian David
- Dorado Martin Alberto
- Irala Ian Luca
</t>
        </r>
      </text>
    </comment>
    <comment ref="GD57" authorId="358" shapeId="0" xr:uid="{DBAA57E3-1306-49C7-9433-9BDAD400DA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Huertas Ricardo Fernando - AUSENCIA INJUSTIFICADA
Brito Kevin Nicolas - AUSENCIA INJUSTIFICADA
Colman Braian Nahuel - LLEGADA TARDE</t>
        </r>
      </text>
    </comment>
    <comment ref="HE57" authorId="359" shapeId="0" xr:uid="{306B4128-448D-4BB5-9D25-7455D43177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Brandan Carlos Javier - BPM Utilizar reiteradas veces el telefono a la hora de formar.
Cabrera Juan José - BPM Masticar chicle en empaque secundario
Calo Crisitan Leandro - BPM Masticar chicle en empaque secundario</t>
        </r>
      </text>
    </comment>
    <comment ref="IO57" authorId="360" shapeId="0" xr:uid="{24509A3B-6A02-42D1-90C7-21037A7288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Saggini Sergio - por pasar por puerta de emergencia</t>
        </r>
      </text>
    </comment>
    <comment ref="IU57" authorId="361" shapeId="0" xr:uid="{7D6DABCB-408B-4057-A055-123DCC3D9D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Silva Franco Maximiliano - AUSENCIA INJUSTIFICADA</t>
        </r>
      </text>
    </comment>
    <comment ref="JM57" authorId="362" shapeId="0" xr:uid="{6574766F-7B72-4EDE-B8E4-4CF3735106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LLEGADA TARDE:
-Rebusatte Amadeo Martin
-Silva Franco Maximiliano
-Brandan Carlos Javier
-Lage Fernando German
-Cabrera Juan José</t>
        </r>
      </text>
    </comment>
    <comment ref="MA57" authorId="363" shapeId="0" xr:uid="{BB3C9B48-6C48-44F5-9CF5-F8666912CD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BPM - Rivas Maximiliano Martin no usa barbijo teniendo barba. Gomez Franco Agustin mastica chicle dentro de producción.
LLEGADA TARDE:
-Rebusatte Leonardo Gabriel
-Sorhanet Agustin Nicolas
-Martinez Diego Adrian
-Gimenez Thiago Valentin
-Brito Kevin Nicolas
-Figueroa Marcelo Gabriel</t>
        </r>
      </text>
    </comment>
    <comment ref="NH57" authorId="364" shapeId="0" xr:uid="{79454DAD-9348-4B16-A691-1B823C9E71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Brito Kevin Nicolas - BPM auricular en empaque el 28/05</t>
        </r>
      </text>
    </comment>
    <comment ref="QE57" authorId="365" shapeId="0" xr:uid="{45EC0848-181A-4AA1-94BB-CE0107CB1D9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Gomez Franco Agustin - se lo encuentra con comida en el vestuario el 17/06</t>
        </r>
      </text>
    </comment>
    <comment ref="QH57" authorId="366" shapeId="0" xr:uid="{A64F9A04-1CB4-4C34-AD11-4EEB768834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Silva Franco Maximiliano - uso de celular mientras  trabajaba en la formax</t>
        </r>
      </text>
    </comment>
    <comment ref="QQ57" authorId="367" shapeId="0" xr:uid="{19109D9C-91CB-41C0-A8D4-D4238B7C3B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Colman Brian: utilizó de manera indebida el auto elevador.
Cosimi Juan: utilizó de manera indebida el auto elevador.
Silva Franco: uso del celular mientras trabajaba en la formax</t>
        </r>
      </text>
    </comment>
    <comment ref="SP57" authorId="368" shapeId="0" xr:uid="{35C3EB85-AECA-4B95-9887-76E94261D0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BPM: Escobar Juan de Dios (uso de uniforme fuera del establecimiento, uso inadecuado de los EPP y uso de celular en su puesto)</t>
        </r>
      </text>
    </comment>
    <comment ref="TB57" authorId="369" shapeId="0" xr:uid="{32FE8408-EF65-4ABC-8936-9212D45643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BPM:
-Lopez Alan Emanuel: uniforme en locker personal
-Demenes: celular cargando en estuchadora
-Rebusatte Amadeo: en la ulma con el celular el día de la auditoría
-Guzman Franco: ingresar a producción sin cofia
Salir a la terraza por la puerta de emergencia: Reyes David, Brandan Carlos, Gomez Hernan, Maidana Agustin, Caceres Oscar, Leguizamon Alejandro.</t>
        </r>
      </text>
    </comment>
    <comment ref="TH57" authorId="370" shapeId="0" xr:uid="{E1EBA1D2-5FB9-446F-B298-5126673410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BPM: Gomez Franco Agustin y Silva Franco Maximiliano - ingresar al sector producción sin pasar por filtro sanitario</t>
        </r>
      </text>
    </comment>
    <comment ref="UF57" authorId="371" shapeId="0" xr:uid="{FEE6815D-7B3D-46B4-BD2F-F3A37F76BC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LLEGADAS TARDE: Ruiz Diaz Walter Orlando, Rebusatte Amadeo Martin</t>
        </r>
      </text>
    </comment>
    <comment ref="UU57" authorId="372" shapeId="0" xr:uid="{E008174E-F4E1-45A6-A41F-DA808C0D84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BPM: Cespedes Cristian David - uso de auriculares en sector empaque</t>
        </r>
      </text>
    </comment>
    <comment ref="VA57" authorId="373" shapeId="0" xr:uid="{43A31C39-DA5C-4A2A-8220-5D923C68B7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BPM: Miranda Roberto Miguel, Soria Evelyn Tamara, Brito Benjamin Ezequiel - uso de la puerta de emergencia.
BPM: Campos Mathias Gabriel - por arrojar cajas al suelo
LLEGADA TARDE: Monsalvo Victor Hugo - por fichar con ropa de calle</t>
        </r>
      </text>
    </comment>
    <comment ref="VV57" authorId="374" shapeId="0" xr:uid="{1BD9CCB5-354C-4CE6-8C74-AECBD807E8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BPM: Ingreso con uniforme ya puesto
-Maldonado Pedro Abel
-Maidana Agustin
-Gonzalez Angel Leonel</t>
        </r>
      </text>
    </comment>
    <comment ref="YG57" authorId="375" shapeId="0" xr:uid="{25BE4C9D-116A-40C2-BB6A-4D1709B503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Error en el despacho:
- Fernandez Ramon Esteban se equivoca al controlar el despacho.
- Cosimi Juan Carlos se equivoca al identificar los pallets.</t>
        </r>
      </text>
    </comment>
    <comment ref="YS57" authorId="376" shapeId="0" xr:uid="{CD1E2783-0B21-4404-A345-90920205D9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Gomez Rito Jose: exceso de materia prima en picadora, lo que generó decomisar un poco de carne</t>
        </r>
      </text>
    </comment>
    <comment ref="AAR57" authorId="377" shapeId="0" xr:uid="{4A735BA9-A00F-49C3-A579-3FFE5C25E0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Rebusatte Amadeo - deja campera colgada en el detector n3 el 18/09
Dorado Martin - deja el celular cargando en el piso sobre balanza de aditivos
Gomez Rito - parlante en el sector de aditivos con cargador
Bordón Victor - deja el celular cargando en el piso sobre la balanza de aditivos</t>
        </r>
      </text>
    </comment>
    <comment ref="ACB57" authorId="378" shapeId="0" xr:uid="{F0040A63-88D7-4FD3-B2A9-83B8971463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Mongelos Ivana - usar celular en producción manipulando hamburguesas con los mismos guantes</t>
        </r>
      </text>
    </comment>
    <comment ref="ANG57" authorId="379" shapeId="0" xr:uid="{6FFA2C47-50FD-4401-84E1-496B38B7AA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Lopez Diego - No utilizar filtro sanitario 2 y fichar sin cofia</t>
        </r>
      </text>
    </comment>
    <comment ref="APR57" authorId="380" shapeId="0" xr:uid="{2955C1D9-76B2-4BD7-BF4B-69565DE346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Bordon Orlando - simuló lavarse las manos y desatendió lo que le marcó calidad
Gomez Hernan - ingresó a la sala de bobinas a través de la abertura de sala de bobinas</t>
        </r>
      </text>
    </comment>
    <comment ref="APU57" authorId="381" shapeId="0" xr:uid="{14631F2A-4900-4495-A0BC-753949573D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Rivas Maximiliano - entrar al sector productivo con auricular</t>
        </r>
      </text>
    </comment>
    <comment ref="AQJ57" authorId="382" shapeId="0" xr:uid="{219C82B5-42F0-4137-9F00-44D0DE9810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Aguilar Leonel - realizar maniobras inseguras al introducir parte de su cuerpo por la tronera de sala de bobinas</t>
        </r>
      </text>
    </comment>
    <comment ref="ASL57" authorId="383" shapeId="0" xr:uid="{C3EB0C26-189F-4131-B2C1-173E99AF19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 por no utilizar el filtro sanitario
6 por no lavarse las manos en el filtro sanitario
Gomez Andres y Pedrozo - por irse en uniforme post fichar
Lopez Julio - por fichar con paquete de galletitas en la mano y responder cuando le hicieron dicha observación de parte de calidad</t>
        </r>
      </text>
    </comment>
    <comment ref="ATA57" authorId="384" shapeId="0" xr:uid="{6550DEC5-98C7-45D7-8AA9-7271118413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Hernan Diaz - mal utiliza los recursos de la empresa (se sube a un apilador en funcionamiento)</t>
        </r>
      </text>
    </comment>
    <comment ref="AUB57" authorId="385" shapeId="0" xr:uid="{290980DE-4F97-4026-9953-38747C429C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Enzo Cisterna - irse del establecimiento con parte del uniforme puesto.
Bordon - por entrar a la producción con auriculares puestos.</t>
        </r>
      </text>
    </comment>
    <comment ref="VY58" authorId="386" shapeId="0" xr:uid="{6B3EA4B7-FE2B-4FA3-A0EE-2D507A05A4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Juan Ramos - fichar sin pasar por el filtro</t>
        </r>
      </text>
    </comment>
    <comment ref="WK58" authorId="387" shapeId="0" xr:uid="{D14D9DB6-2FA4-4F60-9B54-A514C33C43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Aguilar Leonel Marcos: por envolver flowpack sobre cabeza de compañero</t>
        </r>
      </text>
    </comment>
    <comment ref="ZQ58" authorId="388" shapeId="0" xr:uid="{3F463D0C-F715-4357-A6CA-BCFAB8D0B2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Graells Leandro + Brandan Carlos: Dejan botines arriba de los lockers y con carne</t>
        </r>
      </text>
    </comment>
    <comment ref="ABY58" authorId="389" shapeId="0" xr:uid="{A625D1EA-6D20-49B8-9EF3-70ADDB9E53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Maciel Lisandro - afilar cuchillo con la mesada y luego usarlo en carne sin antes esterilizarlo</t>
        </r>
      </text>
    </comment>
    <comment ref="ACE58" authorId="390" shapeId="0" xr:uid="{2DAA7A09-32BF-43C3-85F4-95ADD1CA8C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Tardaguila Ayrton - llenar demasiado la pciadora</t>
        </r>
      </text>
    </comment>
    <comment ref="ACQ58" authorId="391" shapeId="0" xr:uid="{F4D3132E-4409-43A9-8719-020E595A4AA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Silva Franco - ingresar a producción con las uñas largas</t>
        </r>
      </text>
    </comment>
    <comment ref="ACZ58" authorId="392" shapeId="0" xr:uid="{8ECE92FF-6E01-4874-A1DD-5D687186F5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Rodriguez Mauro - Avanza por el filtro 2 sin cofia. No entra a la producción</t>
        </r>
      </text>
    </comment>
    <comment ref="ADR58" authorId="393" shapeId="0" xr:uid="{8B02D939-38E2-4247-AD82-B6EF273387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Gomez Franco - dejar cofia tirada en el nicho hidratante
Guzman Marcelo - destraba la picadora mientras está en funcionamiento</t>
        </r>
      </text>
    </comment>
    <comment ref="ADX58" authorId="394" shapeId="0" xr:uid="{F97EF308-8368-4674-BFDC-80E798BE79B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Montero Leonel - Destraba la picadora mientras está en funcionamiento</t>
        </r>
      </text>
    </comment>
    <comment ref="AFN58" authorId="395" shapeId="0" xr:uid="{978F5AB3-D2A2-4E28-8690-7D496070A0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Ndure Julian - arroja papel en el nicho hidrante
Pitton Karina - pasar con alimentos por línea de producción</t>
        </r>
      </text>
    </comment>
    <comment ref="AGF58" authorId="396" shapeId="0" xr:uid="{24FB4F0D-A8B0-4781-A488-EBDD5B3C12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Aguilar Leonel y Miranda Luis - por no comunicarse con su compañero y dejar su sector descubierto sin supervisión</t>
        </r>
      </text>
    </comment>
    <comment ref="AHV58" authorId="397" shapeId="0" xr:uid="{3688AF0D-0BE7-49DC-928B-B10062D61D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Diego Lopez - No utilizar cubre barba en el sector productivo (empaque)</t>
        </r>
      </text>
    </comment>
    <comment ref="AJO58" authorId="398" shapeId="0" xr:uid="{44B11CD2-FD9F-470F-ABAF-8074834912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Hernan Díaz y Emanuel Florentin - utilizar incorrectamente el apilador electrico</t>
        </r>
      </text>
    </comment>
    <comment ref="AKA58" authorId="399" shapeId="0" xr:uid="{2AF0E237-4F01-4CF6-82E0-8A3FD18CB3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Hector Barca - pote de helado en cámara 1.5, y falta de cofia en sector productivo.</t>
        </r>
      </text>
    </comment>
    <comment ref="ANY58" authorId="400" shapeId="0" xr:uid="{C2340978-F519-4B05-AE62-4E36A12685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Hernan Gomez - campera colgada en estuchadora</t>
        </r>
      </text>
    </comment>
    <comment ref="AOE58" authorId="401" shapeId="0" xr:uid="{D2778D31-591A-4F33-8517-0F99D16AF4B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Juan Zapana - simuló lavarse las manos y cuando le pidieron que lo haga correctamente, no dió bola</t>
        </r>
      </text>
    </comment>
    <comment ref="AOK58" authorId="402" shapeId="0" xr:uid="{8C72B8E6-594B-47B8-95A7-DC8A5E4200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Rebusatte Martin- usar remera de civil debajo de uniforme</t>
        </r>
      </text>
    </comment>
    <comment ref="AOZ58" authorId="403" shapeId="0" xr:uid="{C66E6385-7CED-46C9-AD96-9913AD065C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Gomez Franco y Tardaguila Ayrton - por dejar utensillos de picadora en la bacha</t>
        </r>
      </text>
    </comment>
    <comment ref="ATA58" authorId="404" shapeId="0" xr:uid="{E89BC177-3976-4B55-976F-F63FC3BB99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Matias Fernandez - mal utiliza recursos de la empresa (maneja un apilador mientras un compañero se sube)</t>
        </r>
      </text>
    </comment>
    <comment ref="ATY58" authorId="405" shapeId="0" xr:uid="{AB3114A5-33D3-4911-82D3-598C540094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Hernan Gomez - fichar e ingresar a procesos sin cofia.
Federico Ledezma - sentado en escalera mezcladora con telefono
Dylan ledesma - escuchando audios en su puesto de trabajo</t>
        </r>
      </text>
    </comment>
    <comment ref="AUB58" authorId="406" shapeId="0" xr:uid="{F800A3D5-3012-4F0B-AB03-6D3AC8E443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Rito gomez - fichar sin cofia</t>
        </r>
      </text>
    </comment>
    <comment ref="HB59" authorId="407" shapeId="0" xr:uid="{316102A6-C35C-4F5F-BF96-95F4A5F71B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Gomez Francisco Javier - dolor de cintura y piernas Alta el 12/4, realiza tareas livianas por el momento.
</t>
        </r>
      </text>
    </comment>
    <comment ref="KH59" authorId="408" shapeId="0" xr:uid="{E6507846-0440-4DD6-8F16-357DD0A00B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Pineda Arnaldo Matias, estaba yendo a trabajar y chocaa contra un auto que frena de golpe, y no llega a frenar.</t>
        </r>
      </text>
    </comment>
    <comment ref="MD59" authorId="409" shapeId="0" xr:uid="{26D34B95-1AD8-4389-9B58-7968C1FECB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Aguirre javier - levanta una chapa y le queda doliendo el brazo izquierdo</t>
        </r>
      </text>
    </comment>
    <comment ref="MV59" authorId="410" shapeId="0" xr:uid="{C43F46A6-5EC7-40B5-9FE8-979314F0677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GRAELLS ACEVEDO LEANDRO AGUSTIN - queriendo cortar un bonel de carne, se corta dedo indice izquierdo. Le hicieron 3 puntos </t>
        </r>
      </text>
    </comment>
    <comment ref="PA59" authorId="411" shapeId="0" xr:uid="{9A864531-23A6-4904-B670-2314508A84A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VISENTIN ARNOLDO ALBERTO - Ensamblando una armadora de caja se produce un corte en dedo mayor de la mano derecha.
</t>
        </r>
      </text>
    </comment>
    <comment ref="RL59" authorId="412" shapeId="0" xr:uid="{A127582C-76A6-47C6-80F8-08D4557CC8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Ledesma Dylan Sebastian - pisa aceite en moto, resbala ya cae</t>
        </r>
      </text>
    </comment>
    <comment ref="WZ59" authorId="413" shapeId="0" xr:uid="{8DB77A1C-7595-47AE-8A7A-9D94148FF2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Demenes, Luis Fernando: de camino a su lugar de trabajo, al bajar del colectivo se dobla el tobillo izquierdo</t>
        </r>
      </text>
    </comment>
    <comment ref="XF59" authorId="414" shapeId="0" xr:uid="{DE3081E2-B85F-4C6C-BED4-1DE074563A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Garcia, Cesar: Descontando una máquina de línea de producción siente un tirón en la zona lumbar (era una contractura)</t>
        </r>
      </text>
    </comment>
    <comment ref="XL59" authorId="415" shapeId="0" xr:uid="{EC0D1585-379A-474A-B869-B446FE8032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Aguirre, Javier: un apilador le aprisiona el pie derecho</t>
        </r>
      </text>
    </comment>
    <comment ref="YY59" authorId="416" shapeId="0" xr:uid="{F85D8249-CD81-477C-822D-60573AE5200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Gomez Juan tomas - cae de la moto regresando al domicilio. 43 días?</t>
        </r>
      </text>
    </comment>
    <comment ref="ZK59" authorId="417" shapeId="0" xr:uid="{2BE47441-11FE-4377-9B8C-27B1F549412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Moscoso Edwin - yendo de la casa al trabajo tiene accidente con la moto. 2 días</t>
        </r>
      </text>
    </comment>
    <comment ref="ADC59" authorId="418" shapeId="0" xr:uid="{77BA0A68-25CA-4952-9ABE-1463AB039E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Diego Ortiz - Duchándose, se resbaló y sintió un tirón al intentar no caerse en la rodilla derecha. Sigue en evaluación el caso.</t>
        </r>
      </text>
    </comment>
    <comment ref="AIH59" authorId="419" shapeId="0" xr:uid="{3D8E25EF-51E6-4467-B0F8-F75FB9C26A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Sorhanet Agustin Nicolas - volviendo al domicilio lo choca un auto, lastimandose la pierna derecha</t>
        </r>
      </text>
    </comment>
    <comment ref="AJO59" authorId="420" shapeId="0" xr:uid="{F426D814-6014-43B8-8C3A-C546644395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Walter Soria - varices bilaterales
Rito Gomez - reingresa por ART para que puedan realizar la cirugía que no pudieron realizar en el primer ingreso ya que le habia dado mal el prequirurgico</t>
        </r>
      </text>
    </comment>
    <comment ref="AKY59" authorId="421" shapeId="0" xr:uid="{2F7502F2-7EAD-492A-B69B-8E4429B41C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Pineda, Matias Arnaldo - se le cae un disco de una máquina en el empeine izquierdo</t>
        </r>
      </text>
    </comment>
    <comment ref="AMO59" authorId="422" shapeId="0" xr:uid="{7B73BCEC-F7B0-4548-B6BC-A5D2439886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Rebusatte, Emanuel - regresaba en moto y choca con auto de costado</t>
        </r>
      </text>
    </comment>
    <comment ref="AMU59" authorId="423" shapeId="0" xr:uid="{11C4A7F3-6DD0-476D-86F7-6266A464FF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Cesar Garcia - sufre salpicadura en ojo derecho de una sustancia haciendo limpieza de máquinas</t>
        </r>
      </text>
    </comment>
    <comment ref="ANS59" authorId="424" shapeId="0" xr:uid="{4FE4EAB0-EF6B-48FB-BFEF-A77716D6EF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Leal, Matias Nicolas - yendo al trabajo en moto, lo embiste un camión</t>
        </r>
      </text>
    </comment>
    <comment ref="BZ60" authorId="425" shapeId="0" xr:uid="{9E613541-BCF8-4685-A322-E2930FDAC7D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Calo Cristian: Caída en producción.
Barrera Ramiro: Caída en producción.</t>
        </r>
      </text>
    </comment>
    <comment ref="FR60" authorId="426" shapeId="0" xr:uid="{83246FCD-F7ED-4963-8DF6-6F86B20D58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Graells Agustin - se lastimó´el dedo derecho con la estuchadora.</t>
        </r>
      </text>
    </comment>
    <comment ref="HB60" authorId="427" shapeId="0" xr:uid="{E5093710-CFE7-44E9-B803-6B8F3F7D16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Pereyra Ariel - cae lavando la producción.</t>
        </r>
      </text>
    </comment>
    <comment ref="HH60" authorId="428" shapeId="0" xr:uid="{3751C13D-C102-4B4F-B82E-E29A947063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Romero Ramón - se cayó pero se va indicando que no era nada (se fue apurado a un tramite)</t>
        </r>
      </text>
    </comment>
    <comment ref="HQ60" authorId="429" shapeId="0" xr:uid="{18599296-2808-420E-B7AC-CACAD8A5DC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Romero Ramón - se corta brazo con chapa que tiene filo en el sector estuchado. Lo curan y sigue trabajando.
Campos Mathias Gabriel - se golpea dedo en sector balanza (48hs reposo)</t>
        </r>
      </text>
    </comment>
    <comment ref="LI60" authorId="430" shapeId="0" xr:uid="{4A0E3DD5-EF65-43E6-927E-66125F9BAD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Calo Cristian - se cae por la escalera del entre piso</t>
        </r>
      </text>
    </comment>
    <comment ref="LL60" authorId="431" shapeId="0" xr:uid="{FAE93280-FDD6-4BF2-BCF4-4CCB343FB1B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Gonzalez Lucas - limpiando cinta de producción se aprieta el dedo y se corta arriba de la uña</t>
        </r>
      </text>
    </comment>
    <comment ref="MP60" authorId="432" shapeId="0" xr:uid="{7BA00B5B-474D-4640-B932-A243CE019C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Gonzalez Lucas - se va al doctor porque se le sale la uña que se lastimó el 17/5</t>
        </r>
      </text>
    </comment>
    <comment ref="NQ60" authorId="433" shapeId="0" xr:uid="{ED2F90F4-4E40-43FE-9549-2F62B75BD7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GOMEZ HERNAN FRANCISCO - se le zafa de la mano el cuchillo y se corta. Lo curaron y continuó trabajando</t>
        </r>
      </text>
    </comment>
    <comment ref="PA60" authorId="434" shapeId="0" xr:uid="{761A5777-7430-45D3-97A9-9E2EAAE0E6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CARLOS EDUARDO PAIS - se cortó con la chapa de formax, se le otorgó vendaje y desinfectante.</t>
        </r>
      </text>
    </comment>
    <comment ref="AAR60" authorId="435" shapeId="0" xr:uid="{A25FA936-41F7-4D8F-827E-E3FED572CE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Lopez Alan - se cortó con la flejadora, se le puso una gasa y siguió trabajando.</t>
        </r>
      </text>
    </comment>
    <comment ref="AAU60" authorId="436" shapeId="0" xr:uid="{BD9037D8-09F9-483B-8552-4EBA6BF6F4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Pereyra Rodrigo - se cortó con un estuche, se le puso una gasa y siguió trabajando.</t>
        </r>
      </text>
    </comment>
    <comment ref="ABJ60" authorId="437" shapeId="0" xr:uid="{3DF28B9B-F85B-48AE-ABF6-541C2B284A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Lage Fernando - se lastimó la mano con la C04, se le puso una gasa y siguió trabajando.</t>
        </r>
      </text>
    </comment>
    <comment ref="ACT60" authorId="438" shapeId="0" xr:uid="{36C0BE4B-F2A8-40F9-8366-54482F4467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Amena Gabriel - se agarró la mano con la puerta del comedor, se lastimó el dedo indice.</t>
        </r>
      </text>
    </comment>
    <comment ref="ADC60" authorId="439" shapeId="0" xr:uid="{84070D8E-D5CE-448A-831F-FCFD61393D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Lopez Alan - se raspa con flejadora, se le puso gasa y siguió trabajando.</t>
        </r>
      </text>
    </comment>
    <comment ref="ADU60" authorId="440" shapeId="0" xr:uid="{532806FC-15EC-4E9D-B1C4-AF65888A34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Iglesias Camila - se cortó con un estuche, se le puso gasa y siguió trabajando.
Visentin Tomas - se raspó con una caja, se le puso una gasa y siguió trabajando.</t>
        </r>
      </text>
    </comment>
    <comment ref="AEJ60" authorId="441" shapeId="0" xr:uid="{D9CEC680-5E1E-448B-B235-D8EA7B41B1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Caceres Walter - hoy hace denuncia de que el 16/10 bajando una pila de cajas de un estante, la agarra mal y se le va la mano para atras.</t>
        </r>
      </text>
    </comment>
    <comment ref="AES60" authorId="442" shapeId="0" xr:uid="{08DB0B9D-FD09-4F0C-9B4E-506EE01609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Iglesias Camila - se le cayó la pala que utilizan para la soja en aditivos en la mano, le dolía, se puso hielo y siguió trabajando.</t>
        </r>
      </text>
    </comment>
    <comment ref="AGI60" authorId="443" shapeId="0" xr:uid="{2130D8E3-19B3-4BCB-A3E8-D583BFFB4E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Elisio Jonathan - se cortó con un estuche, se le puso gasa y siguió trabajando.
Romero Ramon - se cortó con la flejadora, se le puso gasa y siguió trabajando</t>
        </r>
      </text>
    </comment>
    <comment ref="AGR60" authorId="444" shapeId="0" xr:uid="{CFCDDB77-6D89-4505-A60B-FF5BC84C99F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Iglesias Camila - se cayó de la escalera del detector n2 y n3, solo le dolía un poco la mano. Siguió trabajando</t>
        </r>
      </text>
    </comment>
    <comment ref="AGU60" authorId="445" shapeId="0" xr:uid="{5FD76650-1924-40E7-869D-F1CEA9584D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Rebusatte Martin - se cayó en escalera del detector n2 y n3, cayó sentado y se lastimo la mano derecha y espalda. Un día de reposo</t>
        </r>
      </text>
    </comment>
    <comment ref="AND60" authorId="446" shapeId="0" xr:uid="{D70616A7-7EE3-4E5B-BB09-AD19F19C7B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Gomez Ramón Hernan - se cayó de la plataforma de la ulma, le dolía la mano y la rodilla</t>
        </r>
      </text>
    </comment>
    <comment ref="ANG60" authorId="447" shapeId="0" xr:uid="{496B2731-D397-4074-BB87-ABE4EAB879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Ivana Mongelos - se cayó de la plataforma de la ulma, se lastimó la pierna</t>
        </r>
      </text>
    </comment>
    <comment ref="ANP60" authorId="448" shapeId="0" xr:uid="{589D0298-909B-432B-B8BA-6D6DA0C955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Luna Agustina - se cortó el dedo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tc={3F52D486-BA0C-4226-AE5E-D18C67CE26E1}</author>
  </authors>
  <commentList>
    <comment ref="R1" authorId="0" shapeId="0" xr:uid="{3F52D486-BA0C-4226-AE5E-D18C67CE26E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 por patentes de los últimos tres meses controlados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tc={E35593B7-5E8D-4B15-8837-AB2220C3FE8B}</author>
    <author>tc={E020E195-A3B5-433E-8BD1-9A91DD610E1D}</author>
    <author>tc={8F07C1FC-9C2D-4F5A-B93A-F68D026A9E1C}</author>
    <author>tc={E8132D51-5B44-4E91-A135-BE0807BD2E61}</author>
    <author>tc={8BCDDACA-C540-41F6-A5E6-AC0431F4AC9E}</author>
    <author>tc={F680EC0B-77D6-42D0-A2F3-6A57780FF379}</author>
    <author>tc={689C79DB-277E-4765-B7A8-1CAF5BE5B4EC}</author>
    <author>tc={3F2344F0-1C4E-4E80-A4EC-AB9FCD95770C}</author>
  </authors>
  <commentList>
    <comment ref="J39" authorId="0" shapeId="0" xr:uid="{E35593B7-5E8D-4B15-8837-AB2220C3FE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Faltaría ver qué hay en el piso</t>
        </r>
      </text>
    </comment>
    <comment ref="J42" authorId="1" shapeId="0" xr:uid="{E020E195-A3B5-433E-8BD1-9A91DD610E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Habría que ver qué es lo sucio</t>
        </r>
      </text>
    </comment>
    <comment ref="T46" authorId="2" shapeId="0" xr:uid="{8F07C1FC-9C2D-4F5A-B93A-F68D026A9E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Por la cinta en el mingitorio</t>
        </r>
      </text>
    </comment>
    <comment ref="M56" authorId="3" shapeId="0" xr:uid="{E8132D51-5B44-4E91-A135-BE0807BD2E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Quién lo sube?</t>
        </r>
      </text>
    </comment>
    <comment ref="J88" authorId="4" shapeId="0" xr:uid="{8BCDDACA-C540-41F6-A5E6-AC0431F4AC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Aclarar qué tipo de guante es para entender a quién le corresponde</t>
        </r>
      </text>
    </comment>
    <comment ref="N149" authorId="5" shapeId="0" xr:uid="{F680EC0B-77D6-42D0-A2F3-6A57780FF3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VER</t>
        </r>
      </text>
    </comment>
    <comment ref="J158" authorId="6" shapeId="0" xr:uid="{689C79DB-277E-4765-B7A8-1CAF5BE5B4E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VER</t>
        </r>
      </text>
    </comment>
    <comment ref="J278" authorId="7" shapeId="0" xr:uid="{3F2344F0-1C4E-4E80-A4EC-AB9FCD9577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@Rodrigo Viana  hay más detalle?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tc={4EBAD8AD-1C18-4D5E-BE10-68B60C490902}</author>
    <author>tc={2CEE4B7E-2E52-488C-A3B1-CABD57A5E2B3}</author>
    <author>tc={B8134BDD-16C6-49B6-9360-AB363E12434E}</author>
    <author>tc={A7AAC64A-62AE-4E6B-9C7A-B60AE4E98ADA}</author>
    <author>tc={89CD405F-70D8-43E3-AD59-EBA6E8E619B3}</author>
    <author>tc={21323EFF-F190-4C7E-9F89-CFAE92CFC634}</author>
    <author>tc={5B3049C5-4CDE-4401-890C-DA4AAFC92EBC}</author>
    <author>tc={4A7FC835-4728-4E28-8374-430BF8B4367C}</author>
    <author>tc={0E44E56E-BCBC-4D81-8BBE-355D69F888F9}</author>
    <author>tc={E5E174F2-784F-44FA-AD7C-4B2A0DBB3277}</author>
    <author>tc={BB69234B-4131-41ED-A33A-8F387716CDF6}</author>
    <author>tc={55AA7046-8A17-4FF6-A04F-4B3BAD376969}</author>
    <author>tc={AB553E30-0240-483A-84A4-1EB0D0A67721}</author>
    <author>tc={F408F06A-0A7D-4812-BD3E-E91B9E249C47}</author>
    <author>tc={07014DD6-1270-4C86-A342-F5517DC34270}</author>
    <author>tc={F3947A38-7656-4AAC-9388-E07CD63289B8}</author>
    <author>tc={F245C68E-1906-479E-BEE0-E282F0B2A6BE}</author>
    <author>tc={08C649E4-056C-42C4-9C3F-7DC0244D881D}</author>
    <author>tc={4B25A3CC-6AAA-4C5D-9C75-CF71A0FF1098}</author>
    <author>tc={814F62C1-668E-4EFB-8FC3-3599AF77D4FD}</author>
    <author>tc={2C89685E-9587-4E00-AE86-F4CB0D848BF8}</author>
  </authors>
  <commentList>
    <comment ref="V13" authorId="0" shapeId="0" xr:uid="{4EBAD8AD-1C18-4D5E-BE10-68B60C4909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@Rodrigo Viana  recordar que todo tiene que estar en 2 cuando termine la semana!</t>
        </r>
      </text>
    </comment>
    <comment ref="AB33" authorId="1" shapeId="0" xr:uid="{2CEE4B7E-2E52-488C-A3B1-CABD57A5E2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Tablero de electricidad suelto, con cables al aire</t>
        </r>
      </text>
    </comment>
    <comment ref="AB34" authorId="2" shapeId="0" xr:uid="{B8134BDD-16C6-49B6-9360-AB363E1243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Tablero de electricidad suelto, con cables al aire</t>
        </r>
      </text>
    </comment>
    <comment ref="AB35" authorId="3" shapeId="0" xr:uid="{A7AAC64A-62AE-4E6B-9C7A-B60AE4E98AD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Etiquetas de Fraccionado en los cables y soporte de ingreso</t>
        </r>
      </text>
    </comment>
    <comment ref="AB36" authorId="4" shapeId="0" xr:uid="{89CD405F-70D8-43E3-AD59-EBA6E8E619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Etiquetas de Fraccionado en los cables y soporte de ingreso</t>
        </r>
      </text>
    </comment>
    <comment ref="AB40" authorId="5" shapeId="0" xr:uid="{21323EFF-F190-4C7E-9F89-CFAE92CFC6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Cofias arriba de los loker y en el piso</t>
        </r>
      </text>
    </comment>
    <comment ref="AB41" authorId="6" shapeId="0" xr:uid="{5B3049C5-4CDE-4401-890C-DA4AAFC92EB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Botellas de Jugo, papeles en el piso y arriba de los locker</t>
        </r>
      </text>
    </comment>
    <comment ref="AB42" authorId="7" shapeId="0" xr:uid="{4A7FC835-4728-4E28-8374-430BF8B436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Zapatillas de calle en el sector de ropa de trabajo.</t>
        </r>
      </text>
    </comment>
    <comment ref="AB43" authorId="8" shapeId="0" xr:uid="{0E44E56E-BCBC-4D81-8BBE-355D69F888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Zapatillas de calle en el sector de ropa de trabajo.</t>
        </r>
      </text>
    </comment>
    <comment ref="AB45" authorId="9" shapeId="0" xr:uid="{E5E174F2-784F-44FA-AD7C-4B2A0DBB32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Mucho desorden</t>
        </r>
      </text>
    </comment>
    <comment ref="AB47" authorId="10" shapeId="0" xr:uid="{BB69234B-4131-41ED-A33A-8F387716CD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Zapatillas de calle en el sector de ropa de trabajo.
Reply:
    Y cofias papeles en el piso</t>
        </r>
      </text>
    </comment>
    <comment ref="AB48" authorId="11" shapeId="0" xr:uid="{55AA7046-8A17-4FF6-A04F-4B3BAD37696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Hamburguesas en el piso</t>
        </r>
      </text>
    </comment>
    <comment ref="AB50" authorId="12" shapeId="0" xr:uid="{AB553E30-0240-483A-84A4-1EB0D0A677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habla con camarista del depósito varios para dejar el piso libre de astillas de madera al finalizar su turno.</t>
        </r>
      </text>
    </comment>
    <comment ref="AB51" authorId="13" shapeId="0" xr:uid="{F408F06A-0A7D-4812-BD3E-E91B9E249C4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debe dejar el piso libre de astillas de madera al finalizar el turno a las 16 o 17 hs. Como los chicos de higiene están en producción a esa hora, deberían mantener limpia la entrada entre los camaristas. Y sería justo que reciban su lugar de trabajo en las mismas condiciones al otro día.</t>
        </r>
      </text>
    </comment>
    <comment ref="AB52" authorId="14" shapeId="0" xr:uid="{07014DD6-1270-4C86-A342-F5517DC342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encuentra piso roto en la entrada de la cámara 04, lado izquierdo al entrar.</t>
        </r>
      </text>
    </comment>
    <comment ref="AB53" authorId="15" shapeId="0" xr:uid="{F3947A38-7656-4AAC-9388-E07CD63289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Casi todos las cajas atrapa roedores no están amuradas y en el día a día se desacomodan. Me gustaría tener un plano de donde deberían ir para poner pedir amurarlas y saber si falta alguna
Reply:
    @Martin Argañaraz  Podrás brindárselos? Graciaas!
Reply:
    buenos días, perfecto ya te envió vía mail los planos solicitados!
Reply:
    Recibido, muchas gracias!</t>
        </r>
      </text>
    </comment>
    <comment ref="AB54" authorId="16" shapeId="0" xr:uid="{F245C68E-1906-479E-BEE0-E282F0B2A6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Cofias arriba de los loker.
Reply:
    Se suma un cesto de basura en el sector de Ropa de calle.</t>
        </r>
      </text>
    </comment>
    <comment ref="AB57" authorId="17" shapeId="0" xr:uid="{08C649E4-056C-42C4-9C3F-7DC0244D88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cofias arriba de los loquer</t>
        </r>
      </text>
    </comment>
    <comment ref="AB61" authorId="18" shapeId="0" xr:uid="{4B25A3CC-6AAA-4C5D-9C75-CF71A0FF109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Maderas papeles, tierra</t>
        </r>
      </text>
    </comment>
    <comment ref="AC63" authorId="19" shapeId="0" xr:uid="{814F62C1-668E-4EFB-8FC3-3599AF77D4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Habían estuches sin producto de UG0053, los mismos se ordenaron.</t>
        </r>
      </text>
    </comment>
    <comment ref="AC66" authorId="20" shapeId="0" xr:uid="{2C89685E-9587-4E00-AE86-F4CB0D848B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Tachos de papales llenos y mingitorios con un pedazo de cinta.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tc={9C6E94CD-FC0C-4C07-B6F7-C0ED04B86FAB}</author>
    <author>tc={AB139AF8-903F-4603-B158-6CD8A8CECF30}</author>
    <author>tc={0AAD395B-3378-4596-AB6A-999BC2C726FF}</author>
    <author>tc={C3AAE620-273C-4D5B-9D23-26AABA871F5C}</author>
    <author>tc={2AF02618-007E-4837-84C9-60A4E2DE2F2C}</author>
    <author>tc={50F6A1DB-6F90-4B87-A9C9-09C8050B43ED}</author>
    <author>tc={DFABF715-E69B-494C-9764-EDB162ED358D}</author>
    <author>tc={844321C2-843F-4CF3-A895-798B64B1B4CE}</author>
    <author>tc={CDF7A43A-245F-4FF3-A51E-A3E9AB80D230}</author>
    <author>tc={611D391D-A201-4753-BC82-188198BAB01E}</author>
    <author>tc={80308C1F-B182-42F4-9CD7-EF74F1006839}</author>
    <author>tc={9D4BB336-56E9-4E13-A99E-91E2051158E3}</author>
  </authors>
  <commentList>
    <comment ref="Q4" authorId="0" shapeId="0" xr:uid="{9C6E94CD-FC0C-4C07-B6F7-C0ED04B86FA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Viene para la recepción de MP, los días sábado. No es tenida en cuenta para control de procesos.</t>
        </r>
      </text>
    </comment>
    <comment ref="S4" authorId="1" shapeId="0" xr:uid="{AB139AF8-903F-4603-B158-6CD8A8CECF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Analista de Aseguramiento de la Calidad</t>
        </r>
      </text>
    </comment>
    <comment ref="Q5" authorId="2" shapeId="0" xr:uid="{0AAD395B-3378-4596-AB6A-999BC2C726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Reemplazo</t>
        </r>
      </text>
    </comment>
    <comment ref="S6" authorId="3" shapeId="0" xr:uid="{C3AAE620-273C-4D5B-9D23-26AABA871F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Analista de Control de Calidad</t>
        </r>
      </text>
    </comment>
    <comment ref="Q8" authorId="4" shapeId="0" xr:uid="{2AF02618-007E-4837-84C9-60A4E2DE2F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Reemplazo</t>
        </r>
      </text>
    </comment>
    <comment ref="S8" authorId="5" shapeId="0" xr:uid="{50F6A1DB-6F90-4B87-A9C9-09C8050B43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Supervisor</t>
        </r>
      </text>
    </comment>
    <comment ref="Q9" authorId="6" shapeId="0" xr:uid="{DFABF715-E69B-494C-9764-EDB162ED35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Reemplazo</t>
        </r>
      </text>
    </comment>
    <comment ref="Q12" authorId="7" shapeId="0" xr:uid="{844321C2-843F-4CF3-A895-798B64B1B4C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Puede llevar a cabo control de procesos, pero se prioriza el despacho del domingo a la noche / lunes a la madrugada.</t>
        </r>
      </text>
    </comment>
    <comment ref="P13" authorId="8" shapeId="0" xr:uid="{CDF7A43A-245F-4FF3-A51E-A3E9AB80D23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Lo pongo en verde, pero tiene muchas veces se lo convoca y no viene, predisposición siempre tiene </t>
        </r>
      </text>
    </comment>
    <comment ref="P20" authorId="9" shapeId="0" xr:uid="{611D391D-A201-4753-BC82-188198BAB01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al tener fijo el domingo en su jornada, utiliza el sábado para descansar </t>
        </r>
      </text>
    </comment>
    <comment ref="P21" authorId="10" shapeId="0" xr:uid="{80308C1F-B182-42F4-9CD7-EF74F100683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vive lejos, aparte en su jornada ya tienen fijo el domingo </t>
        </r>
      </text>
    </comment>
    <comment ref="P58" authorId="11" shapeId="0" xr:uid="{9D4BB336-56E9-4E13-A99E-91E2051158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Ya no trabaja para Unión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<sst xmlns="http://schemas.openxmlformats.org/spreadsheetml/2006/main" count="18086" uniqueCount="2200">
  <si>
    <t>SECTOR</t>
  </si>
  <si>
    <t>RESP</t>
  </si>
  <si>
    <t>PRIORIDAD</t>
  </si>
  <si>
    <t>TEMA</t>
  </si>
  <si>
    <t>REVISÓN</t>
  </si>
  <si>
    <t>FECHA
INICIO</t>
  </si>
  <si>
    <t>DÍAS
TRANSCU</t>
  </si>
  <si>
    <t>FECHA OBJETIVO</t>
  </si>
  <si>
    <t>CANT. MODIF FECHA OBJETIVO</t>
  </si>
  <si>
    <t>DÍAS
A FAVOR</t>
  </si>
  <si>
    <t>NIVEL DE AVANCE</t>
  </si>
  <si>
    <t>CERRADO</t>
  </si>
  <si>
    <t>CALIDAD</t>
  </si>
  <si>
    <t>RODRI</t>
  </si>
  <si>
    <t xml:space="preserve">Exceso de sodio </t>
  </si>
  <si>
    <t>INDIVIDUAL</t>
  </si>
  <si>
    <t>NO</t>
  </si>
  <si>
    <t>BRCGS al día</t>
  </si>
  <si>
    <t>MESA</t>
  </si>
  <si>
    <t>Fórmulas comparativas: soja</t>
  </si>
  <si>
    <t>-</t>
  </si>
  <si>
    <t>Control de Calidad: Adit, Emb y Nuggets en app o excel</t>
  </si>
  <si>
    <t>Pruebas grasa S en microondas</t>
  </si>
  <si>
    <t>Cambio de foodscan</t>
  </si>
  <si>
    <t>SI</t>
  </si>
  <si>
    <t>Etiquetas aprobadas vs fechador</t>
  </si>
  <si>
    <t>PRODUCCIÓN</t>
  </si>
  <si>
    <t>JULIO</t>
  </si>
  <si>
    <t>Placa de 11</t>
  </si>
  <si>
    <t>Reducir batch de 700</t>
  </si>
  <si>
    <t>Reproceso con etiqueta</t>
  </si>
  <si>
    <t>Merma recupero para venta</t>
  </si>
  <si>
    <t>Nueva dotación de producción</t>
  </si>
  <si>
    <t>P</t>
  </si>
  <si>
    <t>Hamburguesas con mezcla de cerdo - (lograr el producto)</t>
  </si>
  <si>
    <t>--</t>
  </si>
  <si>
    <t>Chorizo cerdo (recorte + panceta) - (lograr el producto)</t>
  </si>
  <si>
    <t>Hamburguesa 6mm - (lograr el producto)</t>
  </si>
  <si>
    <t>Selladora de pulpetas CPC - (lograr el producto)</t>
  </si>
  <si>
    <t>ABASTECIMIENTO</t>
  </si>
  <si>
    <t>CARLOS</t>
  </si>
  <si>
    <t>Implementar Quadmins</t>
  </si>
  <si>
    <t>Orden HH con producción</t>
  </si>
  <si>
    <t>Implementar Escobar/Ituzaingó</t>
  </si>
  <si>
    <t>Rampa niveladora para descarga de semis pareja</t>
  </si>
  <si>
    <t>Tabla carga equipos de carga</t>
  </si>
  <si>
    <t>HIGIENE</t>
  </si>
  <si>
    <t>DAVID</t>
  </si>
  <si>
    <t>Lavado de cintas automático</t>
  </si>
  <si>
    <t>Vestuaristas + cerrado de vestuario menos en almuerzo</t>
  </si>
  <si>
    <t>Lavarropas - nuevo</t>
  </si>
  <si>
    <t>Frecuencias de limpieza</t>
  </si>
  <si>
    <t>Secamanos (5), guillotinas (4) y autocortes (5)</t>
  </si>
  <si>
    <t>Lavado con agua caliente (contenedor y disificación)</t>
  </si>
  <si>
    <t>Máquina a vapor</t>
  </si>
  <si>
    <t>Limpiezas diarias comedor</t>
  </si>
  <si>
    <t>MANTENIMIENTO</t>
  </si>
  <si>
    <t>FACU</t>
  </si>
  <si>
    <t>Trafo: análisis, informe y acciones a tomar (Electrotech)</t>
  </si>
  <si>
    <t xml:space="preserve">Torre de enfriamiento </t>
  </si>
  <si>
    <t>Preventivo GYRO</t>
  </si>
  <si>
    <t>Preventivo Formax</t>
  </si>
  <si>
    <t>Arreglo piso 1.2 y 1.3</t>
  </si>
  <si>
    <t>Pulmón</t>
  </si>
  <si>
    <t>Bomba de lavado</t>
  </si>
  <si>
    <t>Goteras: dep. cajas, estuchado, palletizado</t>
  </si>
  <si>
    <t>Evaporadores 03 y producción</t>
  </si>
  <si>
    <t>Tomra</t>
  </si>
  <si>
    <t>Impermeabilizar la terraza del lado del comedor</t>
  </si>
  <si>
    <t>Pintura de tanque</t>
  </si>
  <si>
    <t>H</t>
  </si>
  <si>
    <t>Efluentes</t>
  </si>
  <si>
    <t>Sabroes</t>
  </si>
  <si>
    <t>Implementar Protecnus</t>
  </si>
  <si>
    <t>Recordar certificados aceites</t>
  </si>
  <si>
    <t>Stock motores</t>
  </si>
  <si>
    <t xml:space="preserve">Stock grandes repuestos </t>
  </si>
  <si>
    <t>Cinta estuchadora 2</t>
  </si>
  <si>
    <t>Techo depósito varios</t>
  </si>
  <si>
    <t>Mezcladora congelada: temporizador de motor</t>
  </si>
  <si>
    <t>Pintura de piso: de calle o acrílica</t>
  </si>
  <si>
    <t>Máquina film pallets</t>
  </si>
  <si>
    <t xml:space="preserve">Empuje de prensa: pistón o malacate </t>
  </si>
  <si>
    <t>Texturizado de soja (sincro de mezclado + dos salidas de agua) - (Otto)</t>
  </si>
  <si>
    <t>MIGUE</t>
  </si>
  <si>
    <t>Línea 2 producción</t>
  </si>
  <si>
    <t>Racionalización de productos</t>
  </si>
  <si>
    <t>EMBALAJE</t>
  </si>
  <si>
    <t>Circuito embalaje: pedidos a Tigre y recepción Perón</t>
  </si>
  <si>
    <t>N/A</t>
  </si>
  <si>
    <t>Uso de tablet en producción con aplicación en cálculo eficiencia</t>
  </si>
  <si>
    <t>Dónde colocan los cuchillos en los relevos</t>
  </si>
  <si>
    <t>Protectores auditivos copa colgados en pared</t>
  </si>
  <si>
    <t>Estandarización de flow, estuches y cajas</t>
  </si>
  <si>
    <t>Uso de flow viejos para agotar stock</t>
  </si>
  <si>
    <t>PROYECTOS</t>
  </si>
  <si>
    <t>Etiquetadora automática</t>
  </si>
  <si>
    <t>Estuchadora de 12 y de 20</t>
  </si>
  <si>
    <t>Hamburguesas estilo artesanal</t>
  </si>
  <si>
    <t>Inventario bimestral Tigre</t>
  </si>
  <si>
    <t>Gestión depósito Tigre y Perón</t>
  </si>
  <si>
    <t>Inventario Tigre aditivos y embalaje</t>
  </si>
  <si>
    <t>GENERAL</t>
  </si>
  <si>
    <t>JUSTI</t>
  </si>
  <si>
    <t>Relevamiento circuito: ingreso de rechazos y devoluciones</t>
  </si>
  <si>
    <t>Abastecimiento Catter: definir circuito</t>
  </si>
  <si>
    <t>Orden sector Recepción</t>
  </si>
  <si>
    <t>Dotación Cazadores</t>
  </si>
  <si>
    <t>Dotación Mantenimiento</t>
  </si>
  <si>
    <t>Dotación Calidad</t>
  </si>
  <si>
    <t>Dotación Higiene</t>
  </si>
  <si>
    <t>Recorridas</t>
  </si>
  <si>
    <t>2023</t>
  </si>
  <si>
    <t>PRODUCCIÓN REAL</t>
  </si>
  <si>
    <t>TN</t>
  </si>
  <si>
    <t>PRODUCCIÓN OBJETIVO</t>
  </si>
  <si>
    <t>PRODUCCIÓN REAL VS OBJETIVO</t>
  </si>
  <si>
    <t>%</t>
  </si>
  <si>
    <t>PRODUCCIÓN PROM POR DÍA</t>
  </si>
  <si>
    <t>PRODUCCIÓN PROM SDF</t>
  </si>
  <si>
    <t>PRODUCCIÓN PROM LV</t>
  </si>
  <si>
    <t>EFICIENCIA</t>
  </si>
  <si>
    <t>MERMA</t>
  </si>
  <si>
    <t>DECOMISO</t>
  </si>
  <si>
    <t> </t>
  </si>
  <si>
    <t>0.7%</t>
  </si>
  <si>
    <t>PÉRDIDA POR PESO</t>
  </si>
  <si>
    <t>0.5%</t>
  </si>
  <si>
    <t>0.3%</t>
  </si>
  <si>
    <t>PÉRDIDA POR FRÍO</t>
  </si>
  <si>
    <t>0.2%</t>
  </si>
  <si>
    <t>SIN EXPLICACIÓN</t>
  </si>
  <si>
    <t>1.0%</t>
  </si>
  <si>
    <t>HIELO</t>
  </si>
  <si>
    <t>FORMAX OPERACIÓN</t>
  </si>
  <si>
    <t>DURO</t>
  </si>
  <si>
    <t>PISO</t>
  </si>
  <si>
    <t>BARRIDO HIGIENE</t>
  </si>
  <si>
    <t>SOJA</t>
  </si>
  <si>
    <t>OTRO</t>
  </si>
  <si>
    <t>0.1%</t>
  </si>
  <si>
    <t>DESVÍO COSTO STD VS REAL - SIN REP</t>
  </si>
  <si>
    <t>MILL</t>
  </si>
  <si>
    <t>DESVÍO COSTO STD VS REAL - CON REP</t>
  </si>
  <si>
    <t>COSTO PRODUCCIÓN POR KG</t>
  </si>
  <si>
    <t>$</t>
  </si>
  <si>
    <t>CONSUMO CARNE POR KG</t>
  </si>
  <si>
    <t>CONSUMO ADITIVOS POR KG</t>
  </si>
  <si>
    <t>CONSUMOS EMBALAJE POR KG</t>
  </si>
  <si>
    <t>CONSUMO HIELO POR KG S, TH Y J</t>
  </si>
  <si>
    <t>CONSUMO REPROCESO POR KG</t>
  </si>
  <si>
    <t>CONSUMO REENVASADO POR KG DE REENVASADO</t>
  </si>
  <si>
    <t>DESVÍO INGRESO A PICADORA</t>
  </si>
  <si>
    <t>UNI</t>
  </si>
  <si>
    <t>ELIMINADOS</t>
  </si>
  <si>
    <t>ETIQUETAS TOTALES</t>
  </si>
  <si>
    <t xml:space="preserve">                   -  </t>
  </si>
  <si>
    <t xml:space="preserve">                     -  </t>
  </si>
  <si>
    <t>2.56</t>
  </si>
  <si>
    <t>ETIQUETAS REENVASADO</t>
  </si>
  <si>
    <t>ETIQUETAS H1</t>
  </si>
  <si>
    <t>ETIQUETAS FISICAS/ JUSTIFICADAS</t>
  </si>
  <si>
    <t>REPROCESO - REPCAM</t>
  </si>
  <si>
    <t>KG</t>
  </si>
  <si>
    <t>2.52</t>
  </si>
  <si>
    <t>REPROCESO LEIDO</t>
  </si>
  <si>
    <t>REPROCESO ESTADO E</t>
  </si>
  <si>
    <t xml:space="preserve">                         -  </t>
  </si>
  <si>
    <t>REPROCESO PV</t>
  </si>
  <si>
    <t xml:space="preserve">                    -  </t>
  </si>
  <si>
    <t>3.55</t>
  </si>
  <si>
    <t>MIN PERDIDOS PROM POR DÍA (SEGÚN HORARIO)</t>
  </si>
  <si>
    <t>MIN</t>
  </si>
  <si>
    <t>MIN FORMAX FRENADA TOTAL MES</t>
  </si>
  <si>
    <t>PRE-OPERACIONALES</t>
  </si>
  <si>
    <t>VENTA REAL VS FORECAST</t>
  </si>
  <si>
    <t>ERROR ABS % PROMEDIO TOTAL</t>
  </si>
  <si>
    <t>h</t>
  </si>
  <si>
    <t>HAMBURGUESAS Y PULPETAS</t>
  </si>
  <si>
    <t>SALCHICHAS</t>
  </si>
  <si>
    <t>RESTO</t>
  </si>
  <si>
    <t>ERROR ABS % PONDERADO TOTAL</t>
  </si>
  <si>
    <t>REMITOS ESCANEADOS</t>
  </si>
  <si>
    <t>CALIDAD DE CARGA LOGÍSTICA</t>
  </si>
  <si>
    <t>HIGIENE DE LA CAJA</t>
  </si>
  <si>
    <t>TEMPERATURA DE LA CAJA</t>
  </si>
  <si>
    <t>PRESENTACIÓN DEL CHOFER</t>
  </si>
  <si>
    <t>TEMPERATURA PROM. DEL PRODUCTO</t>
  </si>
  <si>
    <t>FALTANTES CPC</t>
  </si>
  <si>
    <t>RECHAZOS + DEVOLUCIONES</t>
  </si>
  <si>
    <t>4.0%</t>
  </si>
  <si>
    <t>3.4%</t>
  </si>
  <si>
    <t>2.6%</t>
  </si>
  <si>
    <t>2.0%</t>
  </si>
  <si>
    <t>0.6%</t>
  </si>
  <si>
    <t>0.8%</t>
  </si>
  <si>
    <t>1.1%</t>
  </si>
  <si>
    <t>1.5%</t>
  </si>
  <si>
    <t>0.9%</t>
  </si>
  <si>
    <t>PAQ</t>
  </si>
  <si>
    <t>BOCAS</t>
  </si>
  <si>
    <t>CANT DE UNIDADES SALIDA - PROMEDIO MES</t>
  </si>
  <si>
    <t>HORARIO FIN DESPACHO - PROMEDIO MES</t>
  </si>
  <si>
    <t>HS</t>
  </si>
  <si>
    <t>FALTANTES ABASTECIMIENTO CATTER</t>
  </si>
  <si>
    <t>CAJAS</t>
  </si>
  <si>
    <t>PALLETS</t>
  </si>
  <si>
    <t>FALTANTES + RECHAZOS DESPACHOS CATTER</t>
  </si>
  <si>
    <t>FLETES COMERCIALES</t>
  </si>
  <si>
    <t>FLETES MP DEPOSITOS/ PLANTA</t>
  </si>
  <si>
    <t>FLETES PT DEPOSITOS/ PLANTA</t>
  </si>
  <si>
    <t>OCUPACIÓN EN CAMIONES</t>
  </si>
  <si>
    <t>SAC - HAMBURGUESAS/ MEDALLONES</t>
  </si>
  <si>
    <t>FALTA UNIDAD</t>
  </si>
  <si>
    <t>FALTA UNIDAD-FALTA UN FLOWPACK EN ESTUCHE</t>
  </si>
  <si>
    <t>FALTA UNIDAD-FALTA UN PEDAZO DE HAMBURGUESA</t>
  </si>
  <si>
    <t>FALTA UNIDAD-FALTA UNIDAD BOLSITA/FLOWPACK</t>
  </si>
  <si>
    <t>CUERPO EXTRAÑO</t>
  </si>
  <si>
    <t>CUERPO EXTRAÑO-CARTILAGO</t>
  </si>
  <si>
    <t>CUERPO EXTRAÑO-INSECTO</t>
  </si>
  <si>
    <t>CUERPO EXTRAÑO-HUESO</t>
  </si>
  <si>
    <t>CUERPO EXTRAÑO-METAL</t>
  </si>
  <si>
    <t>CUERPO EXTRAÑO-OTRO</t>
  </si>
  <si>
    <t>CUERPO EXTRAÑO-PELO</t>
  </si>
  <si>
    <t>CUERPO EXTRAÑO-PLASTICO</t>
  </si>
  <si>
    <t>CUERPO EXTRAÑO-TRIPA</t>
  </si>
  <si>
    <t>CUERPO EXTRAÑO-VIDRIO</t>
  </si>
  <si>
    <t>MAL SELLADO</t>
  </si>
  <si>
    <t>MAL SELLADO-CAJA/ESTUCHE</t>
  </si>
  <si>
    <t>MAL SELLADO-FLOWPACK</t>
  </si>
  <si>
    <t>CAMBIO CALIDAD/SABOR</t>
  </si>
  <si>
    <t>CAMBIO-CALIDAD</t>
  </si>
  <si>
    <t>CAMBIO-SABOR</t>
  </si>
  <si>
    <t>CONTENIDO</t>
  </si>
  <si>
    <t>MAL ESTADO</t>
  </si>
  <si>
    <t>MAL ESTADO-MANCHAS EN HAMBURGUESA</t>
  </si>
  <si>
    <t>MAL ESTADO-MAS CLARA</t>
  </si>
  <si>
    <t>MAL ESTADO-MAS OSCURA</t>
  </si>
  <si>
    <t>MAL ESTADO-OTRO</t>
  </si>
  <si>
    <t>MAL ESTADO-PEGADAS</t>
  </si>
  <si>
    <t>MAL ESTADO-PERDIDA DE FRIO</t>
  </si>
  <si>
    <t>TAMAÑO</t>
  </si>
  <si>
    <t>ORGANOLÉPTICO</t>
  </si>
  <si>
    <t>ORGANOLEPTICO-DURA</t>
  </si>
  <si>
    <t>ORGANOLEPTICO-GRASIENTA</t>
  </si>
  <si>
    <t>ORGANOLEPTICO-MAL SABOR</t>
  </si>
  <si>
    <t>ORGANOLEPTICO-OLOR FEO</t>
  </si>
  <si>
    <t>ORGANOLEPTICO-SALADA</t>
  </si>
  <si>
    <t>VENCIDA / FECHADO</t>
  </si>
  <si>
    <t xml:space="preserve">                   2.0</t>
  </si>
  <si>
    <t>SAC - SALCHICHAS</t>
  </si>
  <si>
    <t>FALTA UNIDAD- FALTA UN PEDAZO DE SALCHICHA</t>
  </si>
  <si>
    <t>FALTA UNIDAD- FALTA UNA SALCHICHA COMPLETA</t>
  </si>
  <si>
    <t>CUERPO EXTRAÑO-GUSANO</t>
  </si>
  <si>
    <t>MAL ESTADO-DEFORMADA</t>
  </si>
  <si>
    <t>MAL ESTADO-MANCHAS BLANCAS EN SALCHICHAS</t>
  </si>
  <si>
    <t>MAL ESTADO-SALCHICHA DESHIDRATADA</t>
  </si>
  <si>
    <t>MAL ESTADO-SE DESARMA EN LA COCCION</t>
  </si>
  <si>
    <t>SOBRANTE</t>
  </si>
  <si>
    <t>VENCIDA</t>
  </si>
  <si>
    <t>DEFECTO DE EMBALAJE</t>
  </si>
  <si>
    <t>DEFECTO DE EMBALAJE-PAQUETE DE SALCHICHA SIN VACIO</t>
  </si>
  <si>
    <t>DEFECTO DE EMBALAJE-PAQUETE HINCHADO</t>
  </si>
  <si>
    <t>SAC - MILANESAS</t>
  </si>
  <si>
    <t>VARIACIÓN DE PESO</t>
  </si>
  <si>
    <t>FECHADO</t>
  </si>
  <si>
    <t>SAC - PULPETAS</t>
  </si>
  <si>
    <t>MENOR CONTENIDO</t>
  </si>
  <si>
    <t>SAC - NUGGETS</t>
  </si>
  <si>
    <t>MAL ESTADO-ROTA</t>
  </si>
  <si>
    <t>PRESENTISMO</t>
  </si>
  <si>
    <t xml:space="preserve"> </t>
  </si>
  <si>
    <t>SUSPENSIONES</t>
  </si>
  <si>
    <t>APERCIBIMIENTOS</t>
  </si>
  <si>
    <t>INCUMPLIMIENTO BPM</t>
  </si>
  <si>
    <t>ACCIDENTES</t>
  </si>
  <si>
    <t>INCIDENTES</t>
  </si>
  <si>
    <t>PROMEDIO HH/ TN PRODUCIDOS</t>
  </si>
  <si>
    <t>HH/TN</t>
  </si>
  <si>
    <t>PROMEDIO HH/ TN PRODUCIDOS SDF</t>
  </si>
  <si>
    <t>PROMEDIO HH/ TN PRODUCIDOS LV</t>
  </si>
  <si>
    <t>CONSUMO GAS</t>
  </si>
  <si>
    <t>Kcal/M3</t>
  </si>
  <si>
    <t>CONSUMO LUZ</t>
  </si>
  <si>
    <t>Kwh</t>
  </si>
  <si>
    <t>LUZ/DIAS DE PROD</t>
  </si>
  <si>
    <t>Kwh/día</t>
  </si>
  <si>
    <t>CONSUMO DE GAS FREÓN</t>
  </si>
  <si>
    <t>CONSUMO AGUA</t>
  </si>
  <si>
    <t>M3</t>
  </si>
  <si>
    <t>CONSUMO DE PALLETS</t>
  </si>
  <si>
    <t>GENERACIÓN DE FARDOS</t>
  </si>
  <si>
    <t>FACTURACIÓN DE FARDOS</t>
  </si>
  <si>
    <t>CONSUMO DE STRETCH</t>
  </si>
  <si>
    <t>CONSUMO STRETCH/ TN PRODUCIDOS</t>
  </si>
  <si>
    <t>KG/TN</t>
  </si>
  <si>
    <t>GOLPES PLACA 52 G</t>
  </si>
  <si>
    <t>GOLPES PLACA 54 G</t>
  </si>
  <si>
    <t>GOLPES PLACA 55 G</t>
  </si>
  <si>
    <t>GOLPES PLACA 58 G</t>
  </si>
  <si>
    <t>GOLPES PLACA 63 G</t>
  </si>
  <si>
    <t>GOLPES PLACA 64 G</t>
  </si>
  <si>
    <t>GOLPES PLACA 66 G</t>
  </si>
  <si>
    <t>GOLPES PLACA 67 G</t>
  </si>
  <si>
    <t>GOLPES PLACA 68 G</t>
  </si>
  <si>
    <t>GOLPES PLACA 80 G</t>
  </si>
  <si>
    <t>GOLPES PLACA 81 G</t>
  </si>
  <si>
    <t>GOLPES PLACA 82 G</t>
  </si>
  <si>
    <t>GOLPES PLACA 83 G</t>
  </si>
  <si>
    <t>GOLPES PLACA 85 G</t>
  </si>
  <si>
    <t>GOLPES PLACA 104 G</t>
  </si>
  <si>
    <t>GOLPES PLACA 107 G</t>
  </si>
  <si>
    <t>GOLPES PLACA 108 G</t>
  </si>
  <si>
    <t>GOLPES PLACA 110 G</t>
  </si>
  <si>
    <t>GOLPES PLACA 118 G</t>
  </si>
  <si>
    <t>GOLPES PLACA 137 G</t>
  </si>
  <si>
    <t>GOLPES PLACA ALBON</t>
  </si>
  <si>
    <t>TABLERO OPERACIONES</t>
  </si>
  <si>
    <t>VIE</t>
  </si>
  <si>
    <t>SAB</t>
  </si>
  <si>
    <t>DOM</t>
  </si>
  <si>
    <t>LUN</t>
  </si>
  <si>
    <t>MAR</t>
  </si>
  <si>
    <t>MIE</t>
  </si>
  <si>
    <t>JUE</t>
  </si>
  <si>
    <t>,,0</t>
  </si>
  <si>
    <t>TOTAL KG PRODUCIDOS - TOTAL</t>
  </si>
  <si>
    <t>Migue</t>
  </si>
  <si>
    <t>TOTAL KG PRODUCIDOS - TM</t>
  </si>
  <si>
    <t>TOTAL KG PRODUCIDOS - TT</t>
  </si>
  <si>
    <t>EFICIENCIA % - TOTAL</t>
  </si>
  <si>
    <t>EFICIENCIA % - TM</t>
  </si>
  <si>
    <t>EFICIENCIA % - TT</t>
  </si>
  <si>
    <t>EFICIENCIA % - PAGA TM</t>
  </si>
  <si>
    <t>EFICIENCIA % - PAGA TT</t>
  </si>
  <si>
    <t>MERMA %</t>
  </si>
  <si>
    <t>Justi</t>
  </si>
  <si>
    <t>1,,773%</t>
  </si>
  <si>
    <t>DECOMISO %</t>
  </si>
  <si>
    <t>TM</t>
  </si>
  <si>
    <t>GYRO</t>
  </si>
  <si>
    <t>OK</t>
  </si>
  <si>
    <t>Henny</t>
  </si>
  <si>
    <t>DIFERENCIA DE STOCK</t>
  </si>
  <si>
    <t>OTROS</t>
  </si>
  <si>
    <t>LOGÍSTICA</t>
  </si>
  <si>
    <t>TOTAL CAMIONES - CPC + DEPÓSITOS</t>
  </si>
  <si>
    <t>TOTAL CAMIONES - CPC</t>
  </si>
  <si>
    <t>CANT. SEMI</t>
  </si>
  <si>
    <t>Carlos</t>
  </si>
  <si>
    <t>CANT. BALANCÍN</t>
  </si>
  <si>
    <t>CANT. CHASIS</t>
  </si>
  <si>
    <t>CANT. CAMIONETAS</t>
  </si>
  <si>
    <t>TOTAL CAMIONES - ITUZAINGÓ</t>
  </si>
  <si>
    <t>TOTAL CAMIONES - ESCOBAR</t>
  </si>
  <si>
    <t>PUNTAJE DE TRANSPORTES (CPC + DEPÓSITOS)</t>
  </si>
  <si>
    <t>69,,79%</t>
  </si>
  <si>
    <t>PRESENCIA CHOFER</t>
  </si>
  <si>
    <t>TEMPERATURA PRODUCTO (CPC + DEPÓSITOS)</t>
  </si>
  <si>
    <t>% CAMIONES MUESTREADOS (CPC + DEPÓSITOS)</t>
  </si>
  <si>
    <t>CANT. CAMIONES MUESTREADOS (CPC + DEPÓSITOS)</t>
  </si>
  <si>
    <t>HORA FIN DESPACHO CPC</t>
  </si>
  <si>
    <t>HORA FIN DESPACHO ITUZAINGÓ</t>
  </si>
  <si>
    <t>HORA FIN DESPACHO ESCOBAR</t>
  </si>
  <si>
    <t>OCUPACIÓN DE CAMIONES (CPC + DEPÓSITOS)</t>
  </si>
  <si>
    <t>STOCK CPC + DEPÓSITOS</t>
  </si>
  <si>
    <t>HAMBURGUESAS</t>
  </si>
  <si>
    <t>NUGGETS</t>
  </si>
  <si>
    <t>MILANESAS</t>
  </si>
  <si>
    <t>APTO</t>
  </si>
  <si>
    <t>A REVISAR COMERCIAL</t>
  </si>
  <si>
    <t>DETENIDO PRODUCCIÓN</t>
  </si>
  <si>
    <t>OBSERVADO CALIDAD</t>
  </si>
  <si>
    <t>DEVOLUCIONES</t>
  </si>
  <si>
    <t>REACONDICIONAMIENTO (REPRO)</t>
  </si>
  <si>
    <t>SIN ESTADO</t>
  </si>
  <si>
    <t>GENERALES</t>
  </si>
  <si>
    <t>PRESENTISMO EN CANTIDAD - SOLO PROD</t>
  </si>
  <si>
    <t>TT</t>
  </si>
  <si>
    <t>HH/TN PRODUCIDOS</t>
  </si>
  <si>
    <t>FECHA</t>
  </si>
  <si>
    <t>MES</t>
  </si>
  <si>
    <t>CÓDIGO DE PRODUCTO</t>
  </si>
  <si>
    <t>DESCRIPCIÓN DE PRODUCTO</t>
  </si>
  <si>
    <t>CONCATENAR PRODUCTO</t>
  </si>
  <si>
    <t>PEDIDO</t>
  </si>
  <si>
    <t>CLIENTE</t>
  </si>
  <si>
    <t>MOTIVO</t>
  </si>
  <si>
    <t>H018</t>
  </si>
  <si>
    <t>H413</t>
  </si>
  <si>
    <t>H770</t>
  </si>
  <si>
    <t>H771</t>
  </si>
  <si>
    <t>Cajas rotas</t>
  </si>
  <si>
    <t>H772</t>
  </si>
  <si>
    <t>H773</t>
  </si>
  <si>
    <t>UG0045</t>
  </si>
  <si>
    <t>UG0910</t>
  </si>
  <si>
    <t>UG0914</t>
  </si>
  <si>
    <t>MAYCAR SA - (001) - SAN JUSTO</t>
  </si>
  <si>
    <t>MAXICONSUMO SA - SUC 10 - BOULOGNE</t>
  </si>
  <si>
    <t>MAYCAR SA - (007) - LAFERRERE</t>
  </si>
  <si>
    <t>MAYCAR SA - (014) - LOMA HERMOSA</t>
  </si>
  <si>
    <t>H046</t>
  </si>
  <si>
    <t>H110</t>
  </si>
  <si>
    <t>H356</t>
  </si>
  <si>
    <t>H357</t>
  </si>
  <si>
    <t>UG0013</t>
  </si>
  <si>
    <t>UG0048</t>
  </si>
  <si>
    <t>UG0752</t>
  </si>
  <si>
    <t xml:space="preserve"> ALBONDIGA UNION G ANADERA 15 x 360 g (PULPETAS)</t>
  </si>
  <si>
    <t>PEREYRA DIEGO - SUC 01 - SAN MIGUEL</t>
  </si>
  <si>
    <t>UG0919</t>
  </si>
  <si>
    <t>COTO - SUC 219</t>
  </si>
  <si>
    <t>H061</t>
  </si>
  <si>
    <t>H515</t>
  </si>
  <si>
    <t>UG0049</t>
  </si>
  <si>
    <t>SUPERCONGELADOS FATIMA S.A.</t>
  </si>
  <si>
    <t>UG0052</t>
  </si>
  <si>
    <t xml:space="preserve"> HAMBURGUESA UG 30 x 2 x 83 grs</t>
  </si>
  <si>
    <t>UG0486</t>
  </si>
  <si>
    <t>VEMART SA</t>
  </si>
  <si>
    <t>H213</t>
  </si>
  <si>
    <t>H355</t>
  </si>
  <si>
    <t>CENCOSUD - SUP - 211 - JUMBO - PILAR</t>
  </si>
  <si>
    <t>H869</t>
  </si>
  <si>
    <t>DIARCO BARRIO SA - 369 - AV LOPE DE VEGA</t>
  </si>
  <si>
    <t>UG0005</t>
  </si>
  <si>
    <t>UG0033</t>
  </si>
  <si>
    <t>MAXICONSUMO SA - SUC 01 - SAN MIGUEL</t>
  </si>
  <si>
    <t>COTO - SUC 107</t>
  </si>
  <si>
    <t>UG0055</t>
  </si>
  <si>
    <t>MAYCAR SA - (023) - PILAR</t>
  </si>
  <si>
    <t>UG0058</t>
  </si>
  <si>
    <t>LA GENOVESA SUPERMERCADOS SA - SUC 5</t>
  </si>
  <si>
    <t>H908</t>
  </si>
  <si>
    <t>INC - 703 - CARREFOUR MAXI - MORENO</t>
  </si>
  <si>
    <t>UG0488</t>
  </si>
  <si>
    <t>DIA ARGENTINA - CD  V. LOPEZ</t>
  </si>
  <si>
    <t>MIX DISTRIBUCION SA</t>
  </si>
  <si>
    <t>HTUK001</t>
  </si>
  <si>
    <t>SMART ORDER S.A.</t>
  </si>
  <si>
    <t>MTUK001</t>
  </si>
  <si>
    <t>KUMICHEL JOSE LUIS</t>
  </si>
  <si>
    <t>DISTRIBUIDORA ALTOS DEL CAMPO SA</t>
  </si>
  <si>
    <t>UG0030</t>
  </si>
  <si>
    <t>COTO - SUC 181</t>
  </si>
  <si>
    <t>SUPERMERCADOS LA ECONOMIA S.A. - ECO 21</t>
  </si>
  <si>
    <t>H078</t>
  </si>
  <si>
    <t>JANELAC S.A.</t>
  </si>
  <si>
    <t>COTO - SUC 061 - ONCE</t>
  </si>
  <si>
    <t>COTO - SUC 091</t>
  </si>
  <si>
    <t>H231</t>
  </si>
  <si>
    <t>HFR001</t>
  </si>
  <si>
    <t>MUGX585</t>
  </si>
  <si>
    <t>MUGX587</t>
  </si>
  <si>
    <t>MUGX586</t>
  </si>
  <si>
    <t>DIARCO SA - 060 - PEHUAJO</t>
  </si>
  <si>
    <t>XMAR1212</t>
  </si>
  <si>
    <t>DIARCO BARRIO SA - 342 - -Montes de Oca</t>
  </si>
  <si>
    <t>MAXICONSUMO SA - SUC 08 - MAR DEL PLATA</t>
  </si>
  <si>
    <t>H990</t>
  </si>
  <si>
    <t>SUAREZ ANGEL</t>
  </si>
  <si>
    <t>COTO - SUC 045 - BELGRANO</t>
  </si>
  <si>
    <t>CH0911</t>
  </si>
  <si>
    <t>CLA002</t>
  </si>
  <si>
    <t>COTO - SUC 208</t>
  </si>
  <si>
    <t>COTO - SUC 160</t>
  </si>
  <si>
    <t>UG0896</t>
  </si>
  <si>
    <t>CH0887</t>
  </si>
  <si>
    <t>H070</t>
  </si>
  <si>
    <t>NUG001</t>
  </si>
  <si>
    <t>COTO - SUC 197</t>
  </si>
  <si>
    <t>DULCE Y SALADO MAX EN FORM</t>
  </si>
  <si>
    <t>UG0894</t>
  </si>
  <si>
    <t>MAXICONSUMO SA - SUC 39 - TIGRE</t>
  </si>
  <si>
    <t>COTO - SUC 220</t>
  </si>
  <si>
    <t>UG0899</t>
  </si>
  <si>
    <t>COTO - SUC 186</t>
  </si>
  <si>
    <t>UG0485</t>
  </si>
  <si>
    <t>UG0487</t>
  </si>
  <si>
    <t>H916</t>
  </si>
  <si>
    <t>H513</t>
  </si>
  <si>
    <t>DIARCO SA - 010 - JUNIN</t>
  </si>
  <si>
    <t>S&amp;P002</t>
  </si>
  <si>
    <t>H083</t>
  </si>
  <si>
    <t>H530</t>
  </si>
  <si>
    <t>MAKRO - 03 - HAEDO</t>
  </si>
  <si>
    <t>COTO - SUC 103</t>
  </si>
  <si>
    <t>H043</t>
  </si>
  <si>
    <t>COTO - SUC 064 - SARANDI</t>
  </si>
  <si>
    <t>H113</t>
  </si>
  <si>
    <t>DIARCO BARRIO SA - 394 - LAVALLE</t>
  </si>
  <si>
    <t>UG0056</t>
  </si>
  <si>
    <t>MAYCAR SA - (006) - MORENO</t>
  </si>
  <si>
    <t>UG0044</t>
  </si>
  <si>
    <t>H923</t>
  </si>
  <si>
    <t>MAYCAR SA - (015) - EL TALAR</t>
  </si>
  <si>
    <t>UG0050</t>
  </si>
  <si>
    <t>H556</t>
  </si>
  <si>
    <t>H087</t>
  </si>
  <si>
    <t>H557</t>
  </si>
  <si>
    <t>UG0895</t>
  </si>
  <si>
    <t>COTO - SUC 131</t>
  </si>
  <si>
    <t>H024</t>
  </si>
  <si>
    <t>UG0053</t>
  </si>
  <si>
    <t>CENCOSUD - SUP - 259 - JUMBO - TRONADOR</t>
  </si>
  <si>
    <t>CH0231</t>
  </si>
  <si>
    <t>PASTIL SA</t>
  </si>
  <si>
    <t>MA002</t>
  </si>
  <si>
    <t>UG0047</t>
  </si>
  <si>
    <t>CONSUMIDOR FINAL (TM)</t>
  </si>
  <si>
    <t>COTO - SUC 215</t>
  </si>
  <si>
    <t>CLA003</t>
  </si>
  <si>
    <t>F043</t>
  </si>
  <si>
    <t>COTO - SUC 188</t>
  </si>
  <si>
    <t>F046</t>
  </si>
  <si>
    <t>COTO - SUC 204 - MAR DEL TUYU</t>
  </si>
  <si>
    <t>Q DORADA RETAIL</t>
  </si>
  <si>
    <t>COTO - SUC 163</t>
  </si>
  <si>
    <t>COTO - SUC 044 - COGHLAN</t>
  </si>
  <si>
    <t>COTO - SUC 065 - QUILMES</t>
  </si>
  <si>
    <t>RAPPI - GASTRONOMIA EMPRENDIMIENTOS</t>
  </si>
  <si>
    <t>HTUK003</t>
  </si>
  <si>
    <t>CH0897</t>
  </si>
  <si>
    <t>H154</t>
  </si>
  <si>
    <t>MMAR102</t>
  </si>
  <si>
    <t xml:space="preserve"> MEDALLONES MAROLIO 36 x 2 x 55 grs</t>
  </si>
  <si>
    <t>MCDL001</t>
  </si>
  <si>
    <t>H023</t>
  </si>
  <si>
    <t>H073</t>
  </si>
  <si>
    <t>H858</t>
  </si>
  <si>
    <t>H543</t>
  </si>
  <si>
    <t>H115</t>
  </si>
  <si>
    <t>H375</t>
  </si>
  <si>
    <t>H513E</t>
  </si>
  <si>
    <t>FRAMAY 2 SRL</t>
  </si>
  <si>
    <t>H320</t>
  </si>
  <si>
    <t>H016</t>
  </si>
  <si>
    <t>MAKRO - 02 - AVELLANEDA</t>
  </si>
  <si>
    <t>MAKRO - 08 - LOMAS DE ZAMORA</t>
  </si>
  <si>
    <t>STUK001</t>
  </si>
  <si>
    <t>DORINKA SRL - SUC 0001 - MORENO</t>
  </si>
  <si>
    <t>STUK002</t>
  </si>
  <si>
    <t>UG0750</t>
  </si>
  <si>
    <t>H892</t>
  </si>
  <si>
    <t>H543F</t>
  </si>
  <si>
    <t>COTO - SUC 238 - MAR DEL PLATA</t>
  </si>
  <si>
    <t>CH0230</t>
  </si>
  <si>
    <t>H112</t>
  </si>
  <si>
    <t>H155</t>
  </si>
  <si>
    <t>H533</t>
  </si>
  <si>
    <t> MEDALLONES TUKI 18 x 4 x 63 grs</t>
  </si>
  <si>
    <t> HAMBURGUESAS RIOPLATENSE 60 x 83 Grs</t>
  </si>
  <si>
    <t>CH0912</t>
  </si>
  <si>
    <t>CENTRO DE DISTRIBUCION HUGO R TUFARO S A</t>
  </si>
  <si>
    <t>BEST0074</t>
  </si>
  <si>
    <t>HTUK004</t>
  </si>
  <si>
    <t>UG0057</t>
  </si>
  <si>
    <t>HTUK002</t>
  </si>
  <si>
    <t>DESEMBARCO DEL REY S.R.L.</t>
  </si>
  <si>
    <t>CLA001</t>
  </si>
  <si>
    <t>H084</t>
  </si>
  <si>
    <t>H530F</t>
  </si>
  <si>
    <t>H079</t>
  </si>
  <si>
    <t>NUG002</t>
  </si>
  <si>
    <t>BTUK001</t>
  </si>
  <si>
    <t xml:space="preserve"> MILANESA DE PECETO UG SIN GLUTEN 6 x 750 grs</t>
  </si>
  <si>
    <t xml:space="preserve"> MILANESA DE POLLO UG SIN GLUTEN 6 x 750 grs</t>
  </si>
  <si>
    <t>COTO - SUC 078</t>
  </si>
  <si>
    <t>DI TONTO MARCELO</t>
  </si>
  <si>
    <t>MAYCAR SA - (002) - BURZACO</t>
  </si>
  <si>
    <t>INC - 927 - CARREFOUR CD I. CASANOVA</t>
  </si>
  <si>
    <t>SALCHICHA S&amp;P 18 paq (6u) x 445 grs LARGAS</t>
  </si>
  <si>
    <t>MAYCAR SA - (021) - MAR DEL PLATA</t>
  </si>
  <si>
    <t>MAXICONSUMO SA - SUC 37 - MORENO</t>
  </si>
  <si>
    <t>ALBONDIGA A GRANEL</t>
  </si>
  <si>
    <t>MEDALLONES CAMPO NUESTRO 40 x 110 grs</t>
  </si>
  <si>
    <t>SALCHICHA UG 12 paq (12u) x 380 grs CORTAS</t>
  </si>
  <si>
    <t>H924</t>
  </si>
  <si>
    <t>CENCOSUD - SUP - 201 - JUMBO - ESCALADA</t>
  </si>
  <si>
    <t>LA GENOVESA SUPERMERCADOS SA - SUC 4</t>
  </si>
  <si>
    <t>INC - 294 - ITUZAINGO BLAS PARERA</t>
  </si>
  <si>
    <t>SALCHICHA UG 18 paq (6u) x 445 grs LARGAS</t>
  </si>
  <si>
    <t>HMAR212</t>
  </si>
  <si>
    <t>HAMBURGUESA MAROLIO 12x12x80g</t>
  </si>
  <si>
    <t>HMAR220</t>
  </si>
  <si>
    <t>HAMBURGUESA MAROLIO 6x20x80g</t>
  </si>
  <si>
    <t>HAMBURGUESA UG 36 x 2 x 55 grs</t>
  </si>
  <si>
    <t>XMAR112</t>
  </si>
  <si>
    <t>MEDALLON MAROLIO 12x12x69g</t>
  </si>
  <si>
    <t>NUGGETS UG 10 x 1 kgrs</t>
  </si>
  <si>
    <t>OCTUBRE</t>
  </si>
  <si>
    <t>K046</t>
  </si>
  <si>
    <t>K048</t>
  </si>
  <si>
    <t>CENCOSUD - SUP - 208 - JUMBO - PLAZA OESTE</t>
  </si>
  <si>
    <t>H313</t>
  </si>
  <si>
    <t>MEDALLONES VICTORIA 60 x 69 grs</t>
  </si>
  <si>
    <t>UG0591</t>
  </si>
  <si>
    <t>H153</t>
  </si>
  <si>
    <t>MTUK002</t>
  </si>
  <si>
    <t>NOVIEMBRE</t>
  </si>
  <si>
    <t>HCEN402</t>
  </si>
  <si>
    <t xml:space="preserve"> HAMBURGUESA CUISINE&amp;CO 18x2x120g PARRILLERA</t>
  </si>
  <si>
    <t>HCEN408</t>
  </si>
  <si>
    <t xml:space="preserve"> HAMBURGUESA CUISINE&amp;CO 12x8x120g PARRILLERA</t>
  </si>
  <si>
    <t>Caja Rota</t>
  </si>
  <si>
    <t>HS&amp;P302</t>
  </si>
  <si>
    <t>H026</t>
  </si>
  <si>
    <t>HTUK003J</t>
  </si>
  <si>
    <t>XUGX402</t>
  </si>
  <si>
    <t>H021</t>
  </si>
  <si>
    <t>XBES104</t>
  </si>
  <si>
    <t>MEDALLONES BEST 18x4x69g</t>
  </si>
  <si>
    <t>DICIEMBRE</t>
  </si>
  <si>
    <t>MEDALLONES BONMAR 72 x 55 grs</t>
  </si>
  <si>
    <t>H022</t>
  </si>
  <si>
    <t>HCUI408</t>
  </si>
  <si>
    <t>DELIVERY HERO E-COMMERCE S.A. CD (SURFRIGO)</t>
  </si>
  <si>
    <t>SALCHICHA UG ALEMANA 12 paq (5u) x 445 grs LARGA</t>
  </si>
  <si>
    <t>HTUK540</t>
  </si>
  <si>
    <t>COTO - SUC 104</t>
  </si>
  <si>
    <t>HCUI212</t>
  </si>
  <si>
    <t xml:space="preserve"> HAMBURGUESA CUISINE&amp;CO 12 X 12 X 80 G</t>
  </si>
  <si>
    <t>SCLA002</t>
  </si>
  <si>
    <t>F680</t>
  </si>
  <si>
    <t>H060</t>
  </si>
  <si>
    <t>H013</t>
  </si>
  <si>
    <t xml:space="preserve"> *NO USAR* MEDALLONES UG 40 x 110 grs</t>
  </si>
  <si>
    <t>BATTISTIN DISTRIBUCIONES</t>
  </si>
  <si>
    <t>MAKRO - 23 - PILAR</t>
  </si>
  <si>
    <t>H904</t>
  </si>
  <si>
    <t>H045</t>
  </si>
  <si>
    <t>SUP.MAYOR. YAGUAR SA BSAS - (10 - CABA)</t>
  </si>
  <si>
    <t>H027</t>
  </si>
  <si>
    <t>H049</t>
  </si>
  <si>
    <t>SUGX900</t>
  </si>
  <si>
    <t xml:space="preserve"> SALCHICHA UG 20 X 6u X 230 G CORTAS</t>
  </si>
  <si>
    <t>MUGX786</t>
  </si>
  <si>
    <t>CENCOSUD - SUP - 628 - JUMBO - SAN FERNANDO</t>
  </si>
  <si>
    <t>SUP.MAYOR. YAGUAR SA BSAS - (24 - CABALLITO)</t>
  </si>
  <si>
    <t>H374</t>
  </si>
  <si>
    <t>H354</t>
  </si>
  <si>
    <t>SALCHICHA UG COPETIN 16 paq x 300 grs C/PIEL</t>
  </si>
  <si>
    <t xml:space="preserve">HAMBURGUESA ARO 18 x 4 x 83 grs </t>
  </si>
  <si>
    <t>UG0059</t>
  </si>
  <si>
    <t>SPAN001</t>
  </si>
  <si>
    <t>SALCHICHA PANIGAZZI 18 X 6 X353 G</t>
  </si>
  <si>
    <t>MILANESA DE POLLO UG 6x750g</t>
  </si>
  <si>
    <t>COTO - SUC 066 - BELGRANO</t>
  </si>
  <si>
    <t>HPRU3</t>
  </si>
  <si>
    <t xml:space="preserve"> HAMBURGUESA PRUEBA 6MM #2</t>
  </si>
  <si>
    <t>H077</t>
  </si>
  <si>
    <t>XCDL112</t>
  </si>
  <si>
    <t>HAMBURGUESA VICTORIA 60 x 80 grs</t>
  </si>
  <si>
    <t>MEDALLONES CIUDAD DEL LAGO 12 X 12 X 69 G</t>
  </si>
  <si>
    <t>(en blanco)</t>
  </si>
  <si>
    <t>Total general</t>
  </si>
  <si>
    <t>H530 - HAMBURGUESA VICTORIA 60 x 80 grs</t>
  </si>
  <si>
    <t>CAJAS RECHAZADAS</t>
  </si>
  <si>
    <t>HAMBURGUESA UG 20 x 83 grs</t>
  </si>
  <si>
    <t>SUPERMERCADOS EL ABASTECEDOR SA - SUC 14 - BELLA VISTA</t>
  </si>
  <si>
    <t>No trabajan ese SKU</t>
  </si>
  <si>
    <t>MEDALLONES UG 40 x 100 grs</t>
  </si>
  <si>
    <t>Diferencia de peso en la caja</t>
  </si>
  <si>
    <t>MEDALLONES VICTORIA 40 x 110 grs</t>
  </si>
  <si>
    <t>Se la devolvió un cliente por flowpack diferente, no lo quiere</t>
  </si>
  <si>
    <t>ROSAS CAROLINA PAOLA</t>
  </si>
  <si>
    <t>NUGGETS UG 20 x 300 grs</t>
  </si>
  <si>
    <t>FINALIZACION COMERCIAL - Las cantidades están expresadas en UNIDADES no en CAJAS</t>
  </si>
  <si>
    <t>HAMBURGUESA UG PARRILLERA 24 x 2 x120 grs</t>
  </si>
  <si>
    <t>HAMBURGUESA UG 20 x 2 x 110 grs</t>
  </si>
  <si>
    <t>HAMBURGUESA UG 10 x 2 x 140 grs</t>
  </si>
  <si>
    <t>HAMBURGUESA UG 18 x 4 x 69 grs</t>
  </si>
  <si>
    <t>HAMBURGUESA BLACK TUKI 18 x 4 x 80 grs S/GLUTEN S/TACC</t>
  </si>
  <si>
    <t>SALCHICHA UG 20 paq (6u) x 190 grs CORTAS</t>
  </si>
  <si>
    <t>SALCHICHA CHACRA FIESTA 20 paq (6u) x 190 grs CORTAS</t>
  </si>
  <si>
    <t>HAMBURGUESA TUKI 18 x 4 x 80 grs</t>
  </si>
  <si>
    <t>SALCHICHA TUKI 20 paq (6u) x 190 grs</t>
  </si>
  <si>
    <t>CAJAS DEVUELTAS</t>
  </si>
  <si>
    <t>RESPONSABLE</t>
  </si>
  <si>
    <t>ABR</t>
  </si>
  <si>
    <t>SALCHICHA UG 12 paq (12u) x 38</t>
  </si>
  <si>
    <t>COTO - SUC 018</t>
  </si>
  <si>
    <t>VENTAS TERCEROS</t>
  </si>
  <si>
    <t>Error de recepción del cliente, cerró la OC antes de terminar de recibir</t>
  </si>
  <si>
    <t>VENTAS</t>
  </si>
  <si>
    <t>No pedido</t>
  </si>
  <si>
    <t>MEDALLONES CHACRA NUESTRA 24 x</t>
  </si>
  <si>
    <t>INC 294 - ITUZAINGO</t>
  </si>
  <si>
    <t>LOGISTICA</t>
  </si>
  <si>
    <t>Fuera de Horario</t>
  </si>
  <si>
    <t>HAMBURGUESA UG 18 x 4 x 83 grs</t>
  </si>
  <si>
    <t>HAMBURGUESA UG 12 x 12 x 83 gr</t>
  </si>
  <si>
    <t>HAMBURGUESA UG PARRILLERA 24 x</t>
  </si>
  <si>
    <t>Faltante a la carga</t>
  </si>
  <si>
    <t>CENCOSUD JUMBO MARTINEZ</t>
  </si>
  <si>
    <t>SALCHICHA UG 20 paq (6u) x 190</t>
  </si>
  <si>
    <t>COTO - SUC 176</t>
  </si>
  <si>
    <t>No recibido por falta de espacio</t>
  </si>
  <si>
    <t>No recibido por principio de incendio en el local</t>
  </si>
  <si>
    <t xml:space="preserve">MILANESA DE PECETO UG 6 x 500 </t>
  </si>
  <si>
    <t>MILANESA DE POLLO UG 6 x 500 g</t>
  </si>
  <si>
    <t>SALCHICHA UG 18 paq (6u) x 445</t>
  </si>
  <si>
    <t>SALCHICHA UG ALEMANA 12 paq (5</t>
  </si>
  <si>
    <t>DISTRIBUIDORA METROPOLITANA</t>
  </si>
  <si>
    <t>LOGISTICA TERCEROS</t>
  </si>
  <si>
    <t>Por problemas operativos del expreso en la loccalidad de Rosario</t>
  </si>
  <si>
    <t xml:space="preserve">HAMBURGUESA UG 60 x 83 grs </t>
  </si>
  <si>
    <t>CLUB ASTURIANO</t>
  </si>
  <si>
    <t>Mercadería sin cargo no recibida por falta de espacio en la cámara</t>
  </si>
  <si>
    <t>Sobra de acuerdo a lo cargado en la OC</t>
  </si>
  <si>
    <t>COTO - SUC 155</t>
  </si>
  <si>
    <t>No pueden replicar la OC - Vencida o caida</t>
  </si>
  <si>
    <t>HERTOM S.A.</t>
  </si>
  <si>
    <t xml:space="preserve">No recibió por ser Feriado </t>
  </si>
  <si>
    <t>COTO - SUC 183</t>
  </si>
  <si>
    <t>El cliente puso por fecha corta de vencimiento pero el producto se había producido el 16/04 con Vto.13/10/25</t>
  </si>
  <si>
    <t>MEDALLONES VICTORIA 60 x 69 gr</t>
  </si>
  <si>
    <t>PLANTA</t>
  </si>
  <si>
    <t>Rotura por mal sellado (Prod.17/03/25 - Vto: 13/09/25)</t>
  </si>
  <si>
    <t>MEDALLONES UG 60 x 83 grs</t>
  </si>
  <si>
    <t>TRANSPORTE VESPRINI</t>
  </si>
  <si>
    <t>Por falta de documentación</t>
  </si>
  <si>
    <t>HAMBURGUESA UG 10 x 2 x 140 gr</t>
  </si>
  <si>
    <t>HAMBURGUESA DE CERDO UG 15 x 2</t>
  </si>
  <si>
    <t>No pudieron leer la etiqueta</t>
  </si>
  <si>
    <t>Orden de Compra vencida</t>
  </si>
  <si>
    <t>MEDALLONES CHACRA NUESTRA 36 x</t>
  </si>
  <si>
    <t>No recibió por estar de Inventario</t>
  </si>
  <si>
    <t>MEDALLONES BONMAR 72 x 69 grs</t>
  </si>
  <si>
    <t>Falta de espacio en cámara</t>
  </si>
  <si>
    <t>Rechazo por fecha corta</t>
  </si>
  <si>
    <t xml:space="preserve"> LOGISTICA TERCEROS</t>
  </si>
  <si>
    <t xml:space="preserve">SALCHICHA UG COPETIN 16 paq x </t>
  </si>
  <si>
    <t>SALCHICHA CHACRA FIESTA 20 paq</t>
  </si>
  <si>
    <t xml:space="preserve">CLUB ASTURIANO </t>
  </si>
  <si>
    <t>No recibe por no poder leer el código</t>
  </si>
  <si>
    <t>No recibe por sobre stock</t>
  </si>
  <si>
    <t>No recibe por tener la cámara rota</t>
  </si>
  <si>
    <t>FERNANDEZ JERONIMO NICOLAS</t>
  </si>
  <si>
    <t>Error en el pedido del cliente</t>
  </si>
  <si>
    <t>SALCHICHAS UG 9 paq (12u) x 89</t>
  </si>
  <si>
    <t>HAMBURGUESA TUKI 18 x 4 x 80 g</t>
  </si>
  <si>
    <t>Producto recuperado a pedido de CPC</t>
  </si>
  <si>
    <t>Fuera de horario</t>
  </si>
  <si>
    <t>MILANESA DE NALGA UG 6 x 500 g</t>
  </si>
  <si>
    <t>No lo recibieron por requisio no cumplido por el chofer (fue sin casco)</t>
  </si>
  <si>
    <t>MAY</t>
  </si>
  <si>
    <t>Orden Vencida</t>
  </si>
  <si>
    <t>HAMBURGEUSA CLASSIC 6 X 20 X 83 grs</t>
  </si>
  <si>
    <t>INC CASANOVA - 927</t>
  </si>
  <si>
    <t>Fecha Corta</t>
  </si>
  <si>
    <t xml:space="preserve">MAYCAR SA - (015) - EL TALAR </t>
  </si>
  <si>
    <t>HAMBURGUESA S&amp;P 12 x 12 x 80 g</t>
  </si>
  <si>
    <t>COTO  - SUC 182 - NORDELTA</t>
  </si>
  <si>
    <t>HAMBURGUESA UG 36 x 83 grs</t>
  </si>
  <si>
    <t>GALLEMAR SRL</t>
  </si>
  <si>
    <t xml:space="preserve">No pedido </t>
  </si>
  <si>
    <t xml:space="preserve">MEDALLONES BONMAR 24 x 4 x 69 </t>
  </si>
  <si>
    <t>No se puede replicar la OC</t>
  </si>
  <si>
    <t>SALCHICHA CH.NUESTRA GASTRONOM</t>
  </si>
  <si>
    <t>HAMBURGUESA UG 40 x 110 grs</t>
  </si>
  <si>
    <t>HAMBURGUESA UG 72 x 69 grs</t>
  </si>
  <si>
    <t>SALCHICHA S&amp;P 20paq (6u) x 225</t>
  </si>
  <si>
    <t>SALCHICHA BONMAR 24 paq (6u) x</t>
  </si>
  <si>
    <t>SALCHICHA S&amp;P 18 paq (6u) x 44</t>
  </si>
  <si>
    <t>MILANESA DE CERDO UG 6 x 500 g</t>
  </si>
  <si>
    <t>SUP.MAYOR -12 - YAGUAR SA INTERIOR - MAR DEL PLATA -</t>
  </si>
  <si>
    <t>Sin fecha de vencimiento</t>
  </si>
  <si>
    <t>DIARCO BARRIO SA - 306 - TACUARI</t>
  </si>
  <si>
    <t>Faltante de una unidad en la caja</t>
  </si>
  <si>
    <t>Fechas Corta (23/01/2025)</t>
  </si>
  <si>
    <t>MAXICONSUMO SA - SUC 17 - LA PLATA</t>
  </si>
  <si>
    <t>HAMBURGUESA UG 20 x 2 x 110 gr</t>
  </si>
  <si>
    <t>HAMBURGUESA TUKI 60 x 80 grs</t>
  </si>
  <si>
    <t xml:space="preserve">CLUB DEPORTIVO MORÓN - SIN CARGO </t>
  </si>
  <si>
    <t>Caja en mal estado (abierta)</t>
  </si>
  <si>
    <t>Caja rechazada por CCAL</t>
  </si>
  <si>
    <t>Pedido sin Turno</t>
  </si>
  <si>
    <t xml:space="preserve">Por problemas operativos del expreso </t>
  </si>
  <si>
    <t>HAMBURGUESA UG 10 x 12 x 83 gr</t>
  </si>
  <si>
    <t xml:space="preserve">SALCHICHA CHICHAS 20 paq (6u) </t>
  </si>
  <si>
    <t>MAXICONSUMO SA - SUC 19 - SANTA FE</t>
  </si>
  <si>
    <t>Pedido insuficiente para la zona, no lo quiso recibir el Expreso</t>
  </si>
  <si>
    <t>Código invertido</t>
  </si>
  <si>
    <t>LA GENOVESA SUPERMERCADO S.A.</t>
  </si>
  <si>
    <t>Fuera de horario - Se rempió la camioneta</t>
  </si>
  <si>
    <t>Dársena Inundada no se pudo descargar</t>
  </si>
  <si>
    <t>ALBONDIGA UNION G ANADERA 15 x</t>
  </si>
  <si>
    <t>No recibe por estar de inventario</t>
  </si>
  <si>
    <t>MEDALLONES MAROLIO 30 x 2 x 69</t>
  </si>
  <si>
    <t>CENCOSUD - SUP - 700 - VEA - AV. CORDOBA - CABA</t>
  </si>
  <si>
    <t>No pudo entregar el transporte por tema de espacio para estacionar en el centro</t>
  </si>
  <si>
    <t>No pedido. Es un pedido sin cargo por merma</t>
  </si>
  <si>
    <t>OC Vencida</t>
  </si>
  <si>
    <t>HAMBURGUESA UG 30 x 2 x 83 grs</t>
  </si>
  <si>
    <t>HAMBURGUESA DIA % 12 x 12 x 80</t>
  </si>
  <si>
    <t>Se rechaza por pallet roto, ofrecimos repalletizar pero no lo aceptaron - Froneri</t>
  </si>
  <si>
    <t>MEDALLONES M&amp;K 6 x 20 x 69 grs</t>
  </si>
  <si>
    <t>Caja sin fecha de vencimiento</t>
  </si>
  <si>
    <t>No recibió por fecha corta pero el producto tenía 90% de la VU remanente</t>
  </si>
  <si>
    <t>Se rechaza por no figurarles en el sistema</t>
  </si>
  <si>
    <t>SUP.MAYOR - 05 - YAGUAR SA BSAS - VERA STA FE</t>
  </si>
  <si>
    <t>El expreso no hace más la zona de Vera, provincia de Santa Fé</t>
  </si>
  <si>
    <t>No recibe por fecha corta</t>
  </si>
  <si>
    <t>Cerrado por refacción</t>
  </si>
  <si>
    <t>COTO - SUC 168</t>
  </si>
  <si>
    <t>No recibe por cámara rota</t>
  </si>
  <si>
    <t>COTO - SUC 149</t>
  </si>
  <si>
    <t>MEDALLONES VICTORIA 40 x 110 g</t>
  </si>
  <si>
    <t>COTO - SUC 170</t>
  </si>
  <si>
    <t>No recibió esa presentación</t>
  </si>
  <si>
    <t>No recibe por pedido forzado</t>
  </si>
  <si>
    <t>L.T.DE TIGRE S.R.L.- SUC 01 - DON TORCUATO</t>
  </si>
  <si>
    <t>No pedido, el cliente pidió UG0895</t>
  </si>
  <si>
    <t>Caja con faltante de unidades</t>
  </si>
  <si>
    <t xml:space="preserve">PULPETAS UNION GANADERA 3 KGS </t>
  </si>
  <si>
    <t>Orden de compra vencida</t>
  </si>
  <si>
    <t>COTO - SUC 052 - DEVOTO</t>
  </si>
  <si>
    <t>MEDALLONES ARO 40 x 110 grs</t>
  </si>
  <si>
    <t>Estaba inundada la dársena de ingreso al cliente</t>
  </si>
  <si>
    <t>MEDALLONES M&amp;K 20 x 2 x 110 gr</t>
  </si>
  <si>
    <t>H028</t>
  </si>
  <si>
    <t>MEDALLONES M&amp;K 30 x 2 x 69 grs</t>
  </si>
  <si>
    <t>Inconvenientes con el Codbar</t>
  </si>
  <si>
    <t>Fecha corta, es el único stock que tenemos</t>
  </si>
  <si>
    <t>Cajas que no estaban en condiciones, cajas con nieve en el techo del pallet</t>
  </si>
  <si>
    <t>MAXICONSUMO MORENO</t>
  </si>
  <si>
    <t>Mal armada la carga en el camión  - Lo pararon en el Abasto y le labraron un acta, no pudo continuar con la entrega</t>
  </si>
  <si>
    <t>HAMBURGUESA MAROLIO 18 x 4 x 8</t>
  </si>
  <si>
    <t>RICARDO NNI S.A.</t>
  </si>
  <si>
    <t>SMART ORDESR S.A.</t>
  </si>
  <si>
    <t>SALCHICHA TUKI 20 paq (6u) x 1</t>
  </si>
  <si>
    <t>Orden Inexistente</t>
  </si>
  <si>
    <t>No recibe por falta de espacio</t>
  </si>
  <si>
    <t>DIARCO SA - 038 - MARTINEZ</t>
  </si>
  <si>
    <t>No pudo abastar, mercadería mezclada</t>
  </si>
  <si>
    <t xml:space="preserve">SALCHICHA CHACRA FIESTA 9 paq </t>
  </si>
  <si>
    <t>MEDALLONES MAROLIO 30x2x69g</t>
  </si>
  <si>
    <t>MEDALLONES TUKI 18 x 4 x 63 gr</t>
  </si>
  <si>
    <t>JUN</t>
  </si>
  <si>
    <t>COTO - SUC 125</t>
  </si>
  <si>
    <t>COTO - SUC 108 - NUÑEZ</t>
  </si>
  <si>
    <t>Faltante de unidades en la caja</t>
  </si>
  <si>
    <t>No comercializa ese código</t>
  </si>
  <si>
    <t>No recibe por estar de Auditoría</t>
  </si>
  <si>
    <t>COTO - SUC 110</t>
  </si>
  <si>
    <t>COTO - SUC 136</t>
  </si>
  <si>
    <t>Cajas secundaria errónea (producto de 1 Kilo en cajas de 300 grs)</t>
  </si>
  <si>
    <t>Cajas aplastadas</t>
  </si>
  <si>
    <t>SUP.MAYOR. YAGUAR SA BSAS - (18 - MORENO)</t>
  </si>
  <si>
    <t>No se puede abastar los sábados</t>
  </si>
  <si>
    <t>SALCHICHA TUKI 18paq (6u) x 35</t>
  </si>
  <si>
    <t>Retiró el cliente y no le entró la mercadería en el transporte que envío</t>
  </si>
  <si>
    <t>Faltó una unidad en la caja</t>
  </si>
  <si>
    <t>Diarco Santa Rosa  - Tandil - Bolivar y Maxiconsumo Bragado - Olavarría y Azul</t>
  </si>
  <si>
    <t>No había frecuencia para esa zona - Modificada por el feriado</t>
  </si>
  <si>
    <t>No pudieron acceder al local por manifestación</t>
  </si>
  <si>
    <t>Lo demoraron en el primer cliente (COTO 110) y luego fue al expreso el DORADO y tenía clientes fuera de frecuencia</t>
  </si>
  <si>
    <t>HAMBURGUESA UG 12 x 12 x 83 grs</t>
  </si>
  <si>
    <t>HAMBURGUESA CUISINE &amp; CO 18 x 4 x 83 grs S/GLUTEN S/TACC</t>
  </si>
  <si>
    <t>MILANESA DE PECETO UG 6 x 500 grs</t>
  </si>
  <si>
    <t>HAMBURGUESA MAROLIO 18 x 4 x 80 grs</t>
  </si>
  <si>
    <t>MEDALLONES BONMAR 24 x 4 x 69 grs</t>
  </si>
  <si>
    <t>MEDALLONES UG 72 x 69 grs</t>
  </si>
  <si>
    <t>Error en la preparación, le fueron nuggets de 1 kilo</t>
  </si>
  <si>
    <t>El recepcionista cerró la OC al cargar la primera caja y por ende no pudo registrar la segunda</t>
  </si>
  <si>
    <t>COTO - SUC 178 - GRAL MADARIAGA</t>
  </si>
  <si>
    <t>Fuera de frecuencia</t>
  </si>
  <si>
    <t>INC - 295 - CORDOBA</t>
  </si>
  <si>
    <t>No recibió por sobrestock</t>
  </si>
  <si>
    <t>Falta de Vacío</t>
  </si>
  <si>
    <t>MAXICONSUMO SA - SUC 44 – Concordia Entre Rios</t>
  </si>
  <si>
    <t>Código cambiado</t>
  </si>
  <si>
    <t>Caja rota</t>
  </si>
  <si>
    <t>TRANSPORTE</t>
  </si>
  <si>
    <t>PATENTE</t>
  </si>
  <si>
    <t>OWA126</t>
  </si>
  <si>
    <t>AA854LY</t>
  </si>
  <si>
    <t>OYP470</t>
  </si>
  <si>
    <t>AD575XK</t>
  </si>
  <si>
    <t>DUQ686</t>
  </si>
  <si>
    <t>JWN279</t>
  </si>
  <si>
    <t>ACI503</t>
  </si>
  <si>
    <t>AB233IT</t>
  </si>
  <si>
    <t>IES288</t>
  </si>
  <si>
    <t>NOO925</t>
  </si>
  <si>
    <t>BXB394</t>
  </si>
  <si>
    <t>AD535UI</t>
  </si>
  <si>
    <t>HAW164</t>
  </si>
  <si>
    <t>AC040RO</t>
  </si>
  <si>
    <t>HHA085</t>
  </si>
  <si>
    <t>FTL525</t>
  </si>
  <si>
    <t>CFF038</t>
  </si>
  <si>
    <t xml:space="preserve">TRANSPORTE MICAELA </t>
  </si>
  <si>
    <t>AG229TH</t>
  </si>
  <si>
    <t>RHQ609</t>
  </si>
  <si>
    <t>LSG801</t>
  </si>
  <si>
    <t>NXP980</t>
  </si>
  <si>
    <t>AB176KN</t>
  </si>
  <si>
    <t>IMO939</t>
  </si>
  <si>
    <t>IYE750</t>
  </si>
  <si>
    <t>KZA644</t>
  </si>
  <si>
    <t>AG243PE</t>
  </si>
  <si>
    <t>DFO656</t>
  </si>
  <si>
    <t>AB312SE</t>
  </si>
  <si>
    <t>AD472GK</t>
  </si>
  <si>
    <t>AH583GW</t>
  </si>
  <si>
    <t xml:space="preserve">TRANSP LAGOS - KXZ670 </t>
  </si>
  <si>
    <t>NHR055</t>
  </si>
  <si>
    <t xml:space="preserve">TRANSPORTE GENA GAIA - BHG261 </t>
  </si>
  <si>
    <t>PALADINI - AC558NE - 12P RETIRA CLIENTE</t>
  </si>
  <si>
    <t>AC028WN</t>
  </si>
  <si>
    <t>KSI803</t>
  </si>
  <si>
    <t>HCP674</t>
  </si>
  <si>
    <t>FPL254</t>
  </si>
  <si>
    <t>EYP088</t>
  </si>
  <si>
    <t>BUZ242</t>
  </si>
  <si>
    <t>DGO507</t>
  </si>
  <si>
    <t>AA427LT</t>
  </si>
  <si>
    <t>MRV682</t>
  </si>
  <si>
    <t>CQQ304</t>
  </si>
  <si>
    <t>AF342ZY</t>
  </si>
  <si>
    <t>DLP830</t>
  </si>
  <si>
    <t>HRZ429</t>
  </si>
  <si>
    <t>KOW745</t>
  </si>
  <si>
    <t>DUF042</t>
  </si>
  <si>
    <t>EKE275</t>
  </si>
  <si>
    <t>HEF181</t>
  </si>
  <si>
    <t>BAI674</t>
  </si>
  <si>
    <t>JJF375</t>
  </si>
  <si>
    <t>AG314VN</t>
  </si>
  <si>
    <t>EFL176</t>
  </si>
  <si>
    <t>IKE806</t>
  </si>
  <si>
    <t>FQN744</t>
  </si>
  <si>
    <t>DMP850</t>
  </si>
  <si>
    <t>AA050HC</t>
  </si>
  <si>
    <t>AC049FP</t>
  </si>
  <si>
    <t>GYH519</t>
  </si>
  <si>
    <t>JOQ178</t>
  </si>
  <si>
    <t>AA358EQ</t>
  </si>
  <si>
    <t>AB288WX</t>
  </si>
  <si>
    <t>AH599XO</t>
  </si>
  <si>
    <t>KTJ626</t>
  </si>
  <si>
    <t>BHG261</t>
  </si>
  <si>
    <t>FWZ500</t>
  </si>
  <si>
    <t>DFE635</t>
  </si>
  <si>
    <t>WSC211</t>
  </si>
  <si>
    <t>JQF982</t>
  </si>
  <si>
    <t>AC188LH</t>
  </si>
  <si>
    <t>IRK036</t>
  </si>
  <si>
    <t>MOTIVO OTRO</t>
  </si>
  <si>
    <t>¿SE REALIZÓ OTRO DÍA?</t>
  </si>
  <si>
    <t>RECORTE EN KG</t>
  </si>
  <si>
    <t>CH0232 - MEDALLONES CHACRA NUESTRA 10 x12x55grs</t>
  </si>
  <si>
    <t>Discontinuado</t>
  </si>
  <si>
    <t>H110 - MEDALLONES PACHECO FIRST 60 x 83 grs</t>
  </si>
  <si>
    <t>Poca cantidad solicitada (no justifica cambio de placa)</t>
  </si>
  <si>
    <t>Falta carne para este tipo de fórmula</t>
  </si>
  <si>
    <t>MTUK001 - MEDALLON TUKI 18 x 4 X 63 G</t>
  </si>
  <si>
    <t>Estaba en el programa pero no se llegó por demoras de producción</t>
  </si>
  <si>
    <t xml:space="preserve">UG0045 - HAMBURGUESA UG 72 x 69 grs </t>
  </si>
  <si>
    <t>Se pidieron más KG de los acordados</t>
  </si>
  <si>
    <t>Total 18/03/2025</t>
  </si>
  <si>
    <t>H018 - MEDALLONES ARO 40 x 110 grs</t>
  </si>
  <si>
    <t>Faltante de embalaje (no encontrado o dañado – en CPC)</t>
  </si>
  <si>
    <t>H533 - HAMBURGUESA VICTORIA 72 X 69</t>
  </si>
  <si>
    <t>No se llega con las TN requeridas, se optó por recortar este código</t>
  </si>
  <si>
    <t>No se puede hacer el finde</t>
  </si>
  <si>
    <t>UG0005 - MEDALLONES UG 60 x 83 grs</t>
  </si>
  <si>
    <t>Otro</t>
  </si>
  <si>
    <t>UG0013 - MEDALLONES UG 40 x 110 grs</t>
  </si>
  <si>
    <t>Por producción de pulpetas</t>
  </si>
  <si>
    <t>Total 19/03/2025</t>
  </si>
  <si>
    <t xml:space="preserve">Se iba a hacer despues de paladini. la MP de paladini no llego a primera hora. con lo cual la prod de paladini comenzo mas tarde </t>
  </si>
  <si>
    <t>H077 - HAMBURGUESA DIA % 18 x 4 x 80 grs</t>
  </si>
  <si>
    <t>H515 - MEDALLONES VICTORIA 60 x 69 grs</t>
  </si>
  <si>
    <t>Entró después de hora</t>
  </si>
  <si>
    <t>HFR001 - HAMBURGUESA RIOPLATENSE 60X83 GRS</t>
  </si>
  <si>
    <t>Faltante de embalaje (sin stock, ni en CPC ni en Tigre)</t>
  </si>
  <si>
    <t>Faltante de embalaje (no pedido a Tigre)</t>
  </si>
  <si>
    <t>UG0057 - HAMBURGUESAS UNION GANADERA 12 X 8 X 120 G</t>
  </si>
  <si>
    <t>Total 20/03/2025</t>
  </si>
  <si>
    <t xml:space="preserve">H046 - HAMBURGUESA UG 60 x 83 grs </t>
  </si>
  <si>
    <t>H213 - MEDALLONES CAMPO NUESTRO 40 x 110 grs</t>
  </si>
  <si>
    <t>H990 - ALBONDIGA A GRANEL</t>
  </si>
  <si>
    <t>UG0047 - HAMBURGUESAS UG 18 X 4 X 83 GRS</t>
  </si>
  <si>
    <t>UG0048 - HAMBURGUESA UG 10 x 12 x 83 grs</t>
  </si>
  <si>
    <t>UG0049 - HAMBURGUESA UG 6 x 20 x 83 grs</t>
  </si>
  <si>
    <t>UG0052 - HAMBURGUESA UG 30 x 2 x 83 grs</t>
  </si>
  <si>
    <t>UG0053 - HAMBURGUESA UG 18 x 4 x 69 grs</t>
  </si>
  <si>
    <t>Total 21/03/2025</t>
  </si>
  <si>
    <t>H115 - MEDALLONES P, FIRST 60 X 69 grs</t>
  </si>
  <si>
    <t>Total 25/03/2025</t>
  </si>
  <si>
    <t>CLA003 - HAMBURGUESA CLASSIC 6 x 20 x 83 grs</t>
  </si>
  <si>
    <t>H078 - HAMBURGUESA DIA % 12 x 12 x 80 grs</t>
  </si>
  <si>
    <t>Se demoró la descarga de MP de Paladini por el despacho a Exhambar, con lo cual se comenzó esta producción más tarde.</t>
  </si>
  <si>
    <t>HTUK003 - HAMBURGUESA TUKI 60 x 80 G</t>
  </si>
  <si>
    <t>ug0030 - MEDALLONES UG 36 x 83 grs</t>
  </si>
  <si>
    <t>Total 26/03/2025</t>
  </si>
  <si>
    <t>H413 - MEDALLONES CAMPO CHICO 40 x 110 grs</t>
  </si>
  <si>
    <t>H513 - MEDALLONES VICTORIA 40 x 110 grs</t>
  </si>
  <si>
    <t>Total 27/03/2025</t>
  </si>
  <si>
    <t>H015 - MEDALLONES ARO  72 x 69 grs</t>
  </si>
  <si>
    <t>Producción Paladini (no se puede hacer soja despues del queso)</t>
  </si>
  <si>
    <t>Total 28/03/2025</t>
  </si>
  <si>
    <t>H112 - MEDALLONES P, FIRST 72 x 55 grs</t>
  </si>
  <si>
    <t>H153 - MEDALLONES BONMAR 24 x 4 x 69 grs</t>
  </si>
  <si>
    <t>H154 - MEDALLONES BONMAR 72 x 69 grs</t>
  </si>
  <si>
    <t>Total 31/03/2025</t>
  </si>
  <si>
    <t>UG0750 - ALBONDIGA UG 3 Kgs (PULPETAS)</t>
  </si>
  <si>
    <t>TT trabaja de corrido a las 16.no se puede hacer soja</t>
  </si>
  <si>
    <t>Total 04/04/2025</t>
  </si>
  <si>
    <t>Total 07/04/2025</t>
  </si>
  <si>
    <t>H357 - HAMBURGUESA CUISINE &amp; CO 6 X 20 X 83 grs S/GLUTEN S/TACC</t>
  </si>
  <si>
    <t>Total 08/04/2025</t>
  </si>
  <si>
    <t>H061 - MEDALLONES CHISAP 60 x 83 grs</t>
  </si>
  <si>
    <t>Total 09/04/2025</t>
  </si>
  <si>
    <t>H023 - MEDALLONES M&amp;K 36 x 2 x 55 grs</t>
  </si>
  <si>
    <t>H043 - HAMBURGUESA UG 40 x 110 grs</t>
  </si>
  <si>
    <t>H073 - MEDALLONES BEST 36 x 2 x 55 grs</t>
  </si>
  <si>
    <t>H113 - MEDALLONES P, FIRST 40 x 110 grs</t>
  </si>
  <si>
    <t>H313 - MEDALLONES E, LA HUELLA  40 x 110 grs</t>
  </si>
  <si>
    <t>Total 10/04/2025</t>
  </si>
  <si>
    <t xml:space="preserve"> -  </t>
  </si>
  <si>
    <t>Total (en blanco)</t>
  </si>
  <si>
    <t>UG0056 - HAMBURGUESA UG 40 x 110 grs (Impreso)</t>
  </si>
  <si>
    <t>No justifica cambio de rollo el fin de semana</t>
  </si>
  <si>
    <t>CH0230 - MEDALLONES CHACRA NUESTRA 36x2x55grs</t>
  </si>
  <si>
    <t>H375 - MEDALLONES MAXIMA 36 X 2 X 55 grs S/GLUTEN S/TACC</t>
  </si>
  <si>
    <t>No hay FP</t>
  </si>
  <si>
    <t>Total 11/04/2025</t>
  </si>
  <si>
    <t>UG0050 - HAMBURGUESA UG 12 x 12 x 83 grs</t>
  </si>
  <si>
    <t>Total 14/04/2025</t>
  </si>
  <si>
    <t xml:space="preserve">UG0055 - HAMBURGUESA UG 10 x 2 x 140 grs GIGANTES </t>
  </si>
  <si>
    <t>Total 15/04/2025</t>
  </si>
  <si>
    <t>Ayer no se llego a completar la cantidad. hoy se hace Paladini quesos</t>
  </si>
  <si>
    <t>MCDL002 - MED CON SOJA CIUDAD DEL LAGO 12 X 12 X 80G</t>
  </si>
  <si>
    <t>Total 16/04/2025</t>
  </si>
  <si>
    <t>CLA002 - HAMBURGUESA CLASSIC 12 x 12 x 83 grs</t>
  </si>
  <si>
    <t>H087 - MEDALLONES OPI F Pack x 2</t>
  </si>
  <si>
    <t>Total 17/04/2025</t>
  </si>
  <si>
    <t>H024 - MEDALLONES M&amp;K 20 x 2 x 110 grs</t>
  </si>
  <si>
    <t>MA002 - MAROLiO 18x4x80 grs</t>
  </si>
  <si>
    <t>Total 21/04/2025</t>
  </si>
  <si>
    <t>Anoche no se llegó a producir por reunión sindical</t>
  </si>
  <si>
    <t xml:space="preserve">UG0591 - HAMB DE CERDO UG 15 X 2 X 83 GRS </t>
  </si>
  <si>
    <t>CH0231 - MEDALLONES CHACRA NUESTRA 24 x 4 x 55 grs</t>
  </si>
  <si>
    <t>H543 - HAMBURGUESA VICTORIA 40 x 110 grs</t>
  </si>
  <si>
    <t>Total 22/04/2025</t>
  </si>
  <si>
    <t>Se anoto mal el codigo en el programa diario. a las 3.30 se hablo con los encargados para producir este codigo pero no se llego con la cantidad</t>
  </si>
  <si>
    <t>No estaba en programa, se hizo igual</t>
  </si>
  <si>
    <t>Total 23/04/2025</t>
  </si>
  <si>
    <t>Se produjeron menos cajas de lo pedido.</t>
  </si>
  <si>
    <t>Total 24/04/2025</t>
  </si>
  <si>
    <t>Se produjeron menos cajas de lo pedido. es el mismo recorte de ayer. se reprogramo el pedido</t>
  </si>
  <si>
    <t>Total 25/04/2025</t>
  </si>
  <si>
    <t>Total 28/04/2025</t>
  </si>
  <si>
    <t>RECORTE
EN CAJAS</t>
  </si>
  <si>
    <t>RECORTE
EN KG</t>
  </si>
  <si>
    <t>¿SE REALIZÓ OTRO DÍA?
FECHA</t>
  </si>
  <si>
    <t xml:space="preserve">MOTIVOS: </t>
  </si>
  <si>
    <t>CH0232</t>
  </si>
  <si>
    <t>Falta aditivo para este tipo de fórmula</t>
  </si>
  <si>
    <t>HAMBURGUESA RIOPLATENSE 60X83 GRS</t>
  </si>
  <si>
    <t>salida sabado</t>
  </si>
  <si>
    <t>salida martes</t>
  </si>
  <si>
    <t>ug0030</t>
  </si>
  <si>
    <t>sabado</t>
  </si>
  <si>
    <t>H015</t>
  </si>
  <si>
    <t>lunes</t>
  </si>
  <si>
    <t>MCDL002</t>
  </si>
  <si>
    <t>otro</t>
  </si>
  <si>
    <t xml:space="preserve">PLAN </t>
  </si>
  <si>
    <t>FERIADO</t>
  </si>
  <si>
    <t>MANT + PROD 22HS</t>
  </si>
  <si>
    <t>NI PROD NI MANT</t>
  </si>
  <si>
    <t>NO TOCAR! COMPROMISO RD CON NG + 40 DE FASON</t>
  </si>
  <si>
    <t>MANT</t>
  </si>
  <si>
    <t>LIMPIEZA</t>
  </si>
  <si>
    <t>A CONF</t>
  </si>
  <si>
    <t>DÍAS DE PRODUCCIÓN</t>
  </si>
  <si>
    <t>DÍAS DE MANTENIMIENTO</t>
  </si>
  <si>
    <t>CIERRE DE PRODUCCIÓN ESTIMADO</t>
  </si>
  <si>
    <t>DÍAS FERIADOS</t>
  </si>
  <si>
    <t>DÍA AUDITORÍA</t>
  </si>
  <si>
    <t>CONSIDERANDO STOCK</t>
  </si>
  <si>
    <t>REAL</t>
  </si>
  <si>
    <t>FERIADOS</t>
  </si>
  <si>
    <t>DESCRIPCION</t>
  </si>
  <si>
    <t>H921</t>
  </si>
  <si>
    <t>H922</t>
  </si>
  <si>
    <t>SBEST001</t>
  </si>
  <si>
    <t>Salchichas - Best - Cortas - 12x12x380gr</t>
  </si>
  <si>
    <t>MILANESA DE NALGA UG SIN GLUTEN 6 x 750 grs</t>
  </si>
  <si>
    <t>SDIA001</t>
  </si>
  <si>
    <t>SCLA001</t>
  </si>
  <si>
    <t>H915</t>
  </si>
  <si>
    <t>H903</t>
  </si>
  <si>
    <t>DIA0902</t>
  </si>
  <si>
    <t>SCLA003</t>
  </si>
  <si>
    <t>SMAG002</t>
  </si>
  <si>
    <t>SCLA004</t>
  </si>
  <si>
    <t>CÓDIGO</t>
  </si>
  <si>
    <t>H088</t>
  </si>
  <si>
    <t>ALBONDIGA UG 15 x 360 g (PULPETAS)</t>
  </si>
  <si>
    <t>HAMB UNION GANADERA PARRILLERA 24 X 2 X 120 G</t>
  </si>
  <si>
    <t>UG0042</t>
  </si>
  <si>
    <t>HAMBURGUESA UG 6 x 20 x 69 grs</t>
  </si>
  <si>
    <t>CLA004</t>
  </si>
  <si>
    <t>HAMBURGUESAS UNION GANADERA 12 X 8 X 120 G</t>
  </si>
  <si>
    <t>HAMBURGUESAS UNION GANADERA PARRILLERAS 36 X 120 G</t>
  </si>
  <si>
    <t>MEDALLONES CAMPO CHICO 40 x 110 grs</t>
  </si>
  <si>
    <t>MEDALLONES BEST 36 x 2 x 55 grs</t>
  </si>
  <si>
    <t>HAMBURGUESA VICTORIA 40 x 110 grs</t>
  </si>
  <si>
    <t>HCUI402</t>
  </si>
  <si>
    <t>S&amp;P001</t>
  </si>
  <si>
    <t>CAPACIDAD</t>
  </si>
  <si>
    <t>PLOTEADO</t>
  </si>
  <si>
    <t>PALA</t>
  </si>
  <si>
    <t>MODELO</t>
  </si>
  <si>
    <t>ANTIGÜEDAD</t>
  </si>
  <si>
    <t>AH898OB</t>
  </si>
  <si>
    <t>IDK392</t>
  </si>
  <si>
    <t>JNO540</t>
  </si>
  <si>
    <t>LYX479</t>
  </si>
  <si>
    <t>AH881BB</t>
  </si>
  <si>
    <t>BIS283</t>
  </si>
  <si>
    <t>EDW922</t>
  </si>
  <si>
    <t>AC491RY</t>
  </si>
  <si>
    <t>OIS535</t>
  </si>
  <si>
    <t>MCJ008</t>
  </si>
  <si>
    <t>BEX695</t>
  </si>
  <si>
    <t>AB787MT</t>
  </si>
  <si>
    <t>AD045GL</t>
  </si>
  <si>
    <t>AF582BJ</t>
  </si>
  <si>
    <t>LEK390</t>
  </si>
  <si>
    <t>AF456PB</t>
  </si>
  <si>
    <t>CANTIDAD DE VIAJES</t>
  </si>
  <si>
    <t>FECHA LUNES DE ESA SEMANA</t>
  </si>
  <si>
    <t>SEMANA
DEL AÑO</t>
  </si>
  <si>
    <t>GPS/TERMOCUPLA</t>
  </si>
  <si>
    <t>Dominio</t>
  </si>
  <si>
    <t>Ingr. Caja</t>
  </si>
  <si>
    <t>H. Caja</t>
  </si>
  <si>
    <t>H. Chofer</t>
  </si>
  <si>
    <t>valores</t>
  </si>
  <si>
    <t>Datos actualizados, Enero  a marzo 2026</t>
  </si>
  <si>
    <t>AA932VA</t>
  </si>
  <si>
    <t>AH748YG</t>
  </si>
  <si>
    <t>JZH 348</t>
  </si>
  <si>
    <t>AC940KZ</t>
  </si>
  <si>
    <t>DIP718</t>
  </si>
  <si>
    <t>KXZ670</t>
  </si>
  <si>
    <t>HEH598</t>
  </si>
  <si>
    <t>ATM092</t>
  </si>
  <si>
    <t>AE491HU</t>
  </si>
  <si>
    <t>AA176SY</t>
  </si>
  <si>
    <t>AWG969</t>
  </si>
  <si>
    <t>GFJ692</t>
  </si>
  <si>
    <t>EFL158</t>
  </si>
  <si>
    <t>BMI712</t>
  </si>
  <si>
    <t>AB822JX</t>
  </si>
  <si>
    <t>NXM925</t>
  </si>
  <si>
    <t>AE319RL</t>
  </si>
  <si>
    <t>DUF023</t>
  </si>
  <si>
    <t>AC558NA</t>
  </si>
  <si>
    <t>GRO558</t>
  </si>
  <si>
    <t>AH493TR</t>
  </si>
  <si>
    <t>AG058FU</t>
  </si>
  <si>
    <t>H117</t>
  </si>
  <si>
    <t>H973</t>
  </si>
  <si>
    <t>H974</t>
  </si>
  <si>
    <t>H978</t>
  </si>
  <si>
    <t>H985</t>
  </si>
  <si>
    <t>SEMANA</t>
  </si>
  <si>
    <t>TURNO</t>
  </si>
  <si>
    <t>RECORRIDA</t>
  </si>
  <si>
    <t>BAÑO</t>
  </si>
  <si>
    <t>Hora</t>
  </si>
  <si>
    <t>Piso</t>
  </si>
  <si>
    <t>Sector</t>
  </si>
  <si>
    <t>Hallazgo</t>
  </si>
  <si>
    <t>Detalle hallazgo</t>
  </si>
  <si>
    <t>RECEPCION</t>
  </si>
  <si>
    <t>DESPACHO</t>
  </si>
  <si>
    <t>PREPARACION</t>
  </si>
  <si>
    <t>PRODUCCION TM</t>
  </si>
  <si>
    <t>PRODUCCION TT</t>
  </si>
  <si>
    <t>MANT. PRODUCCION</t>
  </si>
  <si>
    <t>MANT. FRIO</t>
  </si>
  <si>
    <t>MANT. EDILICIO</t>
  </si>
  <si>
    <t>REVISADO</t>
  </si>
  <si>
    <t>CAM_1.5</t>
  </si>
  <si>
    <t>Restos de madera</t>
  </si>
  <si>
    <t>Sala_de_Elab</t>
  </si>
  <si>
    <t>Registros sin retirar</t>
  </si>
  <si>
    <t>Esto impacta al turno mañana por la limpieza</t>
  </si>
  <si>
    <t>Cuarto_de_Bobinas</t>
  </si>
  <si>
    <t>Bobinas sin cubrir</t>
  </si>
  <si>
    <t>CAM_0.4</t>
  </si>
  <si>
    <t>Producto mal ordenado</t>
  </si>
  <si>
    <t>CAM_0.5</t>
  </si>
  <si>
    <t>DOCK_DE_CARGA</t>
  </si>
  <si>
    <t>Indumentaria fuera de lugar</t>
  </si>
  <si>
    <t>Camperas sobre matafuegos</t>
  </si>
  <si>
    <t>VESTUARIO_H_PP</t>
  </si>
  <si>
    <t>Elementos fuera de lugar</t>
  </si>
  <si>
    <t>Cofias</t>
  </si>
  <si>
    <t>CAM_1.2</t>
  </si>
  <si>
    <t>Pisos sucios</t>
  </si>
  <si>
    <t>Restos de carne "vieja"</t>
  </si>
  <si>
    <t>CAM_1.4</t>
  </si>
  <si>
    <t>Muchas posiciones con reproceso.</t>
  </si>
  <si>
    <t>Producto dañado</t>
  </si>
  <si>
    <t>CAM_0.3</t>
  </si>
  <si>
    <t>Mantenimiento</t>
  </si>
  <si>
    <t>Tablero de electricidad suelto, con cables al aire</t>
  </si>
  <si>
    <t>PALLETIZADO</t>
  </si>
  <si>
    <t>Picadora</t>
  </si>
  <si>
    <t>Etiquetas fuera de lugar</t>
  </si>
  <si>
    <t>Etiquetas de Fraccionado en los cables y soporte de ingreso</t>
  </si>
  <si>
    <t>Sala_de_Aditivos</t>
  </si>
  <si>
    <t>Estuchadora</t>
  </si>
  <si>
    <t>Descarte de Producto sin retirar</t>
  </si>
  <si>
    <t>Un pallet de terciario</t>
  </si>
  <si>
    <t>Puertas Abiertas</t>
  </si>
  <si>
    <t>Cofias arriba de los locker y en el piso</t>
  </si>
  <si>
    <t>VESTUARIO_H_PB</t>
  </si>
  <si>
    <t>Comida</t>
  </si>
  <si>
    <t>Botellas de Jugo, papeles en el piso y arriba de los locker</t>
  </si>
  <si>
    <t>Zapatillas de calle en el sector de ropa de trabajo.</t>
  </si>
  <si>
    <t>VESTUARIO_H_SP</t>
  </si>
  <si>
    <t>Comedor</t>
  </si>
  <si>
    <t>Elementos de Higiene</t>
  </si>
  <si>
    <t>Sucios</t>
  </si>
  <si>
    <t>Taller_de_Mant</t>
  </si>
  <si>
    <t>Residuos - mucho desorden</t>
  </si>
  <si>
    <t>Depósito_de_Insumos_E.P</t>
  </si>
  <si>
    <t>Bolsas aditivos abiertas</t>
  </si>
  <si>
    <t>Zapatillas de calle en el sector de ropa de trabajo; cofias en el piso</t>
  </si>
  <si>
    <t>Hamburguesas en el piso</t>
  </si>
  <si>
    <t>Apilador N° 3 con restos de Hamburguesas.</t>
  </si>
  <si>
    <t>Depósito_varios</t>
  </si>
  <si>
    <t>Se habla con camarista del depósito varios para dejar el piso libre de astillas de madera al finalizar su turno.</t>
  </si>
  <si>
    <t>ANTECAMARA_PB</t>
  </si>
  <si>
    <t>Se debe dejar el piso libre de astillas de madera al finalizar el turno a las 16 o 17 hs. Como los chicos de higiene están en producción a esa hora, deberían mantener limpia la entrada entre los camaristas. Y sería justo que reciban su lugar de trabajo en las mismas condiciones al otro día.</t>
  </si>
  <si>
    <t>Se encuentra piso roto en la entrada de la cámara 04, lado izquierdo al entrar.</t>
  </si>
  <si>
    <t>PLANTA BAJA</t>
  </si>
  <si>
    <t>Casi todos las cajas atrapa roedores no están amuradas y en el día a día se desacomodan. Me gustaría tener un plano de donde deberían ir para poner pedir amurarlas y saber si falta alguna</t>
  </si>
  <si>
    <t>Cofias arriba de los locker, se suma un cesto de basura en el sector de Ropa de calle.</t>
  </si>
  <si>
    <t>Vencidos y abiertos</t>
  </si>
  <si>
    <t>Filtro_N1</t>
  </si>
  <si>
    <t>Sin producto en lavasuela</t>
  </si>
  <si>
    <t>Cofias arriba de los locker</t>
  </si>
  <si>
    <t>Con oxido</t>
  </si>
  <si>
    <t>Filtro_N5</t>
  </si>
  <si>
    <t>Maderas papeles, tierra</t>
  </si>
  <si>
    <t>BAÑO_H_PB</t>
  </si>
  <si>
    <t>Baños sucios</t>
  </si>
  <si>
    <t>Habían estuches sin producto de UG0053, los mismos se ordenaron.</t>
  </si>
  <si>
    <t>BAÑO_H_PP</t>
  </si>
  <si>
    <t>Cestos de residuos llenos</t>
  </si>
  <si>
    <t>Tachos de papales llenos y mingitorios con un pedazo de cinta.</t>
  </si>
  <si>
    <t>Caja de carton utilizada como cesto</t>
  </si>
  <si>
    <t>Empaque_secundario</t>
  </si>
  <si>
    <t>Cintas en el piso</t>
  </si>
  <si>
    <t>Decomiso arriba de la Mp</t>
  </si>
  <si>
    <t>Estuches de ug0047 sueltos</t>
  </si>
  <si>
    <t>Restos de hamburguesas en estuchadora n°2</t>
  </si>
  <si>
    <t>Bobinas sin cubrir, bolsas sin uso detras del tablero</t>
  </si>
  <si>
    <t>ANTECAMARA_PP</t>
  </si>
  <si>
    <t>Escalera fuera de lugar</t>
  </si>
  <si>
    <t>Arriba de los caños cinta de embalaje</t>
  </si>
  <si>
    <t>Bins con salchichas y pulpetas</t>
  </si>
  <si>
    <t>CAM_1.3</t>
  </si>
  <si>
    <t>Con sangre</t>
  </si>
  <si>
    <t>Cajas de descarte envueltas en cintas, estuches en cajas y en apoya estuches, cestos lleno de residuos,etiquetas ,cajas.</t>
  </si>
  <si>
    <t>Cofias y papeles arriba de los lockers y bancos.</t>
  </si>
  <si>
    <t>Piso con sangre (se lo notifica a David)</t>
  </si>
  <si>
    <t>Flow en el piso</t>
  </si>
  <si>
    <t xml:space="preserve">Bolsas acumuladas </t>
  </si>
  <si>
    <t>Fuera de lugar queso Chedar</t>
  </si>
  <si>
    <t>Canastos de paladini con olor</t>
  </si>
  <si>
    <t>Hamburguesa cocinada y parrilla sucia con resto de grasa carbon y tierra</t>
  </si>
  <si>
    <t>Detras de los loker con papeles</t>
  </si>
  <si>
    <t xml:space="preserve">Cofias y papeles arriba de los lockers </t>
  </si>
  <si>
    <t>Elementos sucios en Planta Baja</t>
  </si>
  <si>
    <t>Papeles y maderas en Planta baja</t>
  </si>
  <si>
    <t>Estuches con producto en el piso, cajas de descarte etiquetas ,cintas cartones.</t>
  </si>
  <si>
    <t>Restos de Carton</t>
  </si>
  <si>
    <t>Restos de flow, cintas y maderas.</t>
  </si>
  <si>
    <t>Envoltorio de Mantecol</t>
  </si>
  <si>
    <t>Mangueras en el piso</t>
  </si>
  <si>
    <t>Cajas de guantes arriba de un caño de desague</t>
  </si>
  <si>
    <t>Zocalos sucios</t>
  </si>
  <si>
    <t>Restos de papeles y carton en el piso</t>
  </si>
  <si>
    <t>Cofias en el piso y arriba de los lockers</t>
  </si>
  <si>
    <t xml:space="preserve">Papeles en el Minguitorios </t>
  </si>
  <si>
    <t>Cofias y guantesucios arriba de los locker</t>
  </si>
  <si>
    <t xml:space="preserve">Escaleras fuera de lugar </t>
  </si>
  <si>
    <t>Cortinas de Pvc en el piso</t>
  </si>
  <si>
    <t>Guantes en el carrito de seguridad</t>
  </si>
  <si>
    <t>CAM_0.6</t>
  </si>
  <si>
    <t>Pallet de madera vacio</t>
  </si>
  <si>
    <t xml:space="preserve">NUGGET </t>
  </si>
  <si>
    <t>Cofias arriba del estante para indumentaria</t>
  </si>
  <si>
    <t xml:space="preserve">Se detectan 5 cajas de milanesas, las mismas la retiro karina Pitton </t>
  </si>
  <si>
    <t>Se detectan los legajos 15-16-129-142-321- 461 con carne en las suelas.</t>
  </si>
  <si>
    <t>Papeles en el piso</t>
  </si>
  <si>
    <t>Depósito_de_Soja</t>
  </si>
  <si>
    <t>Pallet vacío en el pasillo</t>
  </si>
  <si>
    <t>Hojas de rutas pegada en las paredes</t>
  </si>
  <si>
    <t>Solucionado en el momento</t>
  </si>
  <si>
    <t>Se detectan cintas adhesivas debajo de las estructuras en los gabinetes</t>
  </si>
  <si>
    <t>Programas, dos unidades en el gabinete de balanza</t>
  </si>
  <si>
    <t>Hamburguesas en bolsas cristal arriba de la mp.</t>
  </si>
  <si>
    <t>Cintas de embalar arriba de los gabinetes y debajo de estructuras</t>
  </si>
  <si>
    <t>Varios Pallets de madera vacíos</t>
  </si>
  <si>
    <t>Etiquetas de Mp pegadas en el ingreso al sector de mp</t>
  </si>
  <si>
    <t>Descarte de producto sin retirar</t>
  </si>
  <si>
    <t>Cajas de carton de la mp</t>
  </si>
  <si>
    <t>Cofias y papeles arriba de los lockers</t>
  </si>
  <si>
    <t>Debajo de Ulma 3 flow con hamburguesas</t>
  </si>
  <si>
    <t>Estuches sin producto cargados en la máquina</t>
  </si>
  <si>
    <t>Pallet y cajas de residuos sin retirar en montacargas de empaque</t>
  </si>
  <si>
    <t>Cinta arriba de el caño de desague a la salida de camara 1,5</t>
  </si>
  <si>
    <t>Bolsas en el caño de equipo de frio</t>
  </si>
  <si>
    <t>Rollo de papel arriba del dispenser</t>
  </si>
  <si>
    <t xml:space="preserve">Restos de Cajas </t>
  </si>
  <si>
    <t>Bobinas sin retirar</t>
  </si>
  <si>
    <t>Bobinas fuera de lugar</t>
  </si>
  <si>
    <t>Cofias arriba de los loker</t>
  </si>
  <si>
    <t>Papeles de Flow y caramelos</t>
  </si>
  <si>
    <t>Cajas rotas de Hamburguesas</t>
  </si>
  <si>
    <t xml:space="preserve"> 2 palle con Cajas rotas de milanesas</t>
  </si>
  <si>
    <t>CAM_0.2</t>
  </si>
  <si>
    <t>Puerta con la manija rota</t>
  </si>
  <si>
    <t>Higiene general</t>
  </si>
  <si>
    <t>Cartones  y guantes en el canasto de seguridad</t>
  </si>
  <si>
    <t>Bidon de Azul de metileno en el piso y sin identificacion</t>
  </si>
  <si>
    <t>Percha sin el gancho para colgar</t>
  </si>
  <si>
    <t>Depósito_de_Prod_Qcos_E.P</t>
  </si>
  <si>
    <t>Papeles en el piso y guantes en cuarto de Quimicos Higiene 1</t>
  </si>
  <si>
    <t>Guantes de latex en el piso cuarto de quimicos higiene 2</t>
  </si>
  <si>
    <t>Bacha con tierra</t>
  </si>
  <si>
    <t>ENTRE PISO</t>
  </si>
  <si>
    <t>Falta pintura en el piso de Sala de lavado de canasto</t>
  </si>
  <si>
    <t>Zocalos  dañado</t>
  </si>
  <si>
    <t>Colores amarrillo y verde en sala de lavado de canastos</t>
  </si>
  <si>
    <t>En pasillo frente a los delegados cesto con yerba</t>
  </si>
  <si>
    <t xml:space="preserve">Paredes manchadas </t>
  </si>
  <si>
    <t>Sala_de_Clorinado</t>
  </si>
  <si>
    <t xml:space="preserve">Cables expuestos </t>
  </si>
  <si>
    <t>Cartones entre los loker</t>
  </si>
  <si>
    <t>Papeles entre los loker</t>
  </si>
  <si>
    <t xml:space="preserve">Con restos de comida </t>
  </si>
  <si>
    <t xml:space="preserve">Terraza del comedor con Colillas de Cigarrillos </t>
  </si>
  <si>
    <t>Varios elementos(lingas pintura etc) de mant debajo del mueble dep de mant.</t>
  </si>
  <si>
    <t>Bolsa de carbon humeda y en el piso</t>
  </si>
  <si>
    <t>Depósito_de_Prod_Qcos_S.P</t>
  </si>
  <si>
    <t>Papeles arriba del tacho de la vaselina</t>
  </si>
  <si>
    <t xml:space="preserve">Tapper en el piso </t>
  </si>
  <si>
    <t>Cajas con producto expuesto y dañado</t>
  </si>
  <si>
    <t>Varios pallet de maderas sin retirar</t>
  </si>
  <si>
    <t xml:space="preserve">Con restos de carton </t>
  </si>
  <si>
    <t>Cofias en el piso y loker</t>
  </si>
  <si>
    <t>Con restos de carne  debajo del pulmon</t>
  </si>
  <si>
    <t>Con restos de Carne y Hamburguesas</t>
  </si>
  <si>
    <t>Bolsas de cristal arriba del desague del equipo de frio</t>
  </si>
  <si>
    <t xml:space="preserve">Collila de cigarrillo dentro del comedor </t>
  </si>
  <si>
    <t>Oxido en los soportes del comedor</t>
  </si>
  <si>
    <t>Caja de Hamburguesa dentro del frezzer (el carton esta dañado)</t>
  </si>
  <si>
    <t>VER</t>
  </si>
  <si>
    <t xml:space="preserve">Sala de Lavadero de canastos, piso con yerba </t>
  </si>
  <si>
    <t>Techo flotante  con agua</t>
  </si>
  <si>
    <t>Pallet de Maderas</t>
  </si>
  <si>
    <t>Estacion de Plagas fuera de lugar</t>
  </si>
  <si>
    <t>Fuera de lugar y sucios en Sala de Prensado</t>
  </si>
  <si>
    <t>Bin mezclado con muestras de albondigas, chorizos, etc</t>
  </si>
  <si>
    <t>Cintas y rollo de servilletas</t>
  </si>
  <si>
    <t>Cofias , bolsas y papel de caramelos</t>
  </si>
  <si>
    <t>Camperas azul arriba de la mesada</t>
  </si>
  <si>
    <t>Bolsas de reprocesos arriba de la Mp.</t>
  </si>
  <si>
    <t>Pallet de chedar fuera de lugar</t>
  </si>
  <si>
    <t>Piso despintado frente al lavadero</t>
  </si>
  <si>
    <t>Bolsas de sojas mal acomodadas apoyadas a la pared</t>
  </si>
  <si>
    <t>Con hielo y tierra</t>
  </si>
  <si>
    <t>Pallet de madera detras del rack</t>
  </si>
  <si>
    <t>Cajas de milanesa dañadas</t>
  </si>
  <si>
    <t>Cajas de nuggets dañadas</t>
  </si>
  <si>
    <t>Cajas de Hamburguesas dañadas</t>
  </si>
  <si>
    <t>Arriba de los pallet de madera</t>
  </si>
  <si>
    <t>Bolsas negras arriba de los lockers</t>
  </si>
  <si>
    <t>Cartones arriba de los lockers</t>
  </si>
  <si>
    <t>Baterias con perdida de liquidos</t>
  </si>
  <si>
    <t>Playa N° 2 deposito de mantenimiento con desorden</t>
  </si>
  <si>
    <t xml:space="preserve">Baranda suelta </t>
  </si>
  <si>
    <t>EPP. arriba del nicho Hidrante con el nombre de Pucho</t>
  </si>
  <si>
    <t>Bidon de Producto clorado sin tapa</t>
  </si>
  <si>
    <t>Pasta de lavado  sin tapa</t>
  </si>
  <si>
    <t>Sala_de_Máquinas</t>
  </si>
  <si>
    <t>Percha colgada  en un caño.</t>
  </si>
  <si>
    <t>EPP colgado en el caño de ingreso ( al lado estaba el perchero para dichos elementos)</t>
  </si>
  <si>
    <t>BAÑO_H_SP</t>
  </si>
  <si>
    <t>Caja electrica sin cubrir</t>
  </si>
  <si>
    <t>Techo despintandose</t>
  </si>
  <si>
    <t>Pegamento en la pared</t>
  </si>
  <si>
    <t>Toalla en ropa de trabajo ,arriba de los botines.</t>
  </si>
  <si>
    <t>Mochila arriba de los portas botines</t>
  </si>
  <si>
    <t>Reprocesos arriba de la Mp</t>
  </si>
  <si>
    <t>Bachas de descartes con restos de Carne</t>
  </si>
  <si>
    <t>Restos de Carton por el piso</t>
  </si>
  <si>
    <t xml:space="preserve">Colgados con tierra y etiquetas </t>
  </si>
  <si>
    <t>Estacion de plagas fuera de lugar</t>
  </si>
  <si>
    <t>Restos de maderas dispersos por la sala</t>
  </si>
  <si>
    <t>2 Bin con decomiso fuera de camara</t>
  </si>
  <si>
    <t xml:space="preserve">Restos dispersos por la sala </t>
  </si>
  <si>
    <t xml:space="preserve">Cestos llenos de residuos </t>
  </si>
  <si>
    <t xml:space="preserve">Pallet de terciario </t>
  </si>
  <si>
    <t>Cintas de embalaje sueltas arriba de los gabinetes .</t>
  </si>
  <si>
    <t>Madera apoyada en el ingreso de la Camara 1,2</t>
  </si>
  <si>
    <t>Reprocesos arriba de los pallet de hielo y mp</t>
  </si>
  <si>
    <t>Cofias en el piso y arriba de los loker</t>
  </si>
  <si>
    <t>Cajas de Hamburguesa dañada</t>
  </si>
  <si>
    <t>Con hielo y tierra entre los rack</t>
  </si>
  <si>
    <t xml:space="preserve">Cajas de Milanesas </t>
  </si>
  <si>
    <t>Varias cajas  de Hamburguesas</t>
  </si>
  <si>
    <t>Dentro de una bolsa de Residuos estuches de Hamburguesas</t>
  </si>
  <si>
    <t xml:space="preserve">Productos dañados </t>
  </si>
  <si>
    <t>Cofia colocada en la puerta del vestuario</t>
  </si>
  <si>
    <t>Camas de cartones en una de las esquina</t>
  </si>
  <si>
    <t xml:space="preserve">En una de las esquinas cartones tirados </t>
  </si>
  <si>
    <t>Caja de toma corriente suelto</t>
  </si>
  <si>
    <t>Cajas de Guantes y cintas adhesivas arriba del caño de desague</t>
  </si>
  <si>
    <t>Bacha de descarte con restos de carne</t>
  </si>
  <si>
    <t>Botella de Gaseosa utilizada para la vaselina</t>
  </si>
  <si>
    <t>Reproceso sin retirar</t>
  </si>
  <si>
    <t>Escoba tirada</t>
  </si>
  <si>
    <t>Cofias y barbijos en el piso.</t>
  </si>
  <si>
    <t>Capa de lluvia colgada en el rack</t>
  </si>
  <si>
    <t>Cajas de guantes sin retirar</t>
  </si>
  <si>
    <t>Cintas Adhesivas colgada en el lavamanos</t>
  </si>
  <si>
    <t>Cajas de Guantes en caño de desague</t>
  </si>
  <si>
    <t xml:space="preserve">Programa en la balanza </t>
  </si>
  <si>
    <t>Paredes  y tableros con polvo</t>
  </si>
  <si>
    <t xml:space="preserve">Cintas Adhesivas arriba de los toma corriente </t>
  </si>
  <si>
    <t>Silicona en las paredes de en ingreso a empaque secundario</t>
  </si>
  <si>
    <t>Perforacion en techo hacia lavadero</t>
  </si>
  <si>
    <t>Elementos de higiene dentro de la bacha</t>
  </si>
  <si>
    <t>Bidones dispersos por el piso y pasta sin tapar</t>
  </si>
  <si>
    <t>Papel de caramelo en los estantes</t>
  </si>
  <si>
    <t>Cofia colgadas en ingreso al sector</t>
  </si>
  <si>
    <t>Esquinero /zocalo de pared con faltante de pintura</t>
  </si>
  <si>
    <t>SEGUNDO PISO</t>
  </si>
  <si>
    <t>Papel de secar las manos arriba de los tachos de Vaselina</t>
  </si>
  <si>
    <t xml:space="preserve">Cartones arriba de la parrilla </t>
  </si>
  <si>
    <t>Bolsas Abiertas de aditivos</t>
  </si>
  <si>
    <t>Bidones de Desinfectante en el piso</t>
  </si>
  <si>
    <t>Restos de Madera</t>
  </si>
  <si>
    <t>Color azul y blanco en zona de lavado de canastos</t>
  </si>
  <si>
    <t xml:space="preserve">Detras de los loker con bolsas </t>
  </si>
  <si>
    <t>Restos de Aditivos</t>
  </si>
  <si>
    <t>Guante al lado del compresor</t>
  </si>
  <si>
    <t>Restos de Maderas</t>
  </si>
  <si>
    <t>Cartel de grifo n°28 dañado</t>
  </si>
  <si>
    <t>Cartones entre los locker</t>
  </si>
  <si>
    <t>Cajas de Hamburguesas rotas</t>
  </si>
  <si>
    <t xml:space="preserve">Pallet encimados </t>
  </si>
  <si>
    <t>Formacion de hielo en el ingreso de la camara</t>
  </si>
  <si>
    <t>Toma electrico suelto</t>
  </si>
  <si>
    <t>Con formacion de hielo</t>
  </si>
  <si>
    <t>Cofias en el piso y envoltorio de caramelos</t>
  </si>
  <si>
    <t>Pallet de madera sin retirar</t>
  </si>
  <si>
    <t>Rollo de Film</t>
  </si>
  <si>
    <t>Paredes con sangre</t>
  </si>
  <si>
    <t>Piezas de ulmas 3 en el piso</t>
  </si>
  <si>
    <t>Tablero abiero y sujeto con cinta adhesiva</t>
  </si>
  <si>
    <t>Bolsas sobre el caño de desague</t>
  </si>
  <si>
    <t>Cajas de Cebolla con hielo</t>
  </si>
  <si>
    <t>Botella de agua arriba del asiento</t>
  </si>
  <si>
    <t>Cofia arriba de los loker</t>
  </si>
  <si>
    <t>Deposito de Mantenimiento con desorden y polvo</t>
  </si>
  <si>
    <t>Paredes de Descarte de Cajas con suciedad</t>
  </si>
  <si>
    <t>Arbolito en la terraza</t>
  </si>
  <si>
    <t>Ventana sin mosquitero</t>
  </si>
  <si>
    <t>Sector de Vaselina.  alfombra sanitizante tirada</t>
  </si>
  <si>
    <t xml:space="preserve">Sector de Vaselina. Techo con falta de pintura </t>
  </si>
  <si>
    <t>Sector de Vaselina. Pared con silicona (ausensia de cartel)</t>
  </si>
  <si>
    <t>Zocalos con falta de pintura</t>
  </si>
  <si>
    <t>Extractor con polvo</t>
  </si>
  <si>
    <t>Percha de acero colgada</t>
  </si>
  <si>
    <t>En sala de termotanque Percha de Acero</t>
  </si>
  <si>
    <t xml:space="preserve">Sala de lavado de bin, ventanas y extractor con restos de polvo </t>
  </si>
  <si>
    <t>Terraza de EP, luz sin funcionar</t>
  </si>
  <si>
    <t>Elementos Con restos de carne.</t>
  </si>
  <si>
    <t>Piezas de la space sueltas en el piso.</t>
  </si>
  <si>
    <t>Bolsas cristal y caja de guantes en caño de desague</t>
  </si>
  <si>
    <t>VESTUARIO_M_PP</t>
  </si>
  <si>
    <t>Cofias.</t>
  </si>
  <si>
    <t>Papeles de Chicles en el piso.</t>
  </si>
  <si>
    <t>Sector de Vaselina.  papel de toalla arriba de los tachos.</t>
  </si>
  <si>
    <t>Papeles arriba de los loker.</t>
  </si>
  <si>
    <t>Sala de Presnsado-Cabo de secador sujeto por guantes de latex</t>
  </si>
  <si>
    <t>Playa 1- Cesto sin bolsa y con residuos en su interior</t>
  </si>
  <si>
    <t>Cabo de Higiene sn secador.</t>
  </si>
  <si>
    <t xml:space="preserve">Productos encimados </t>
  </si>
  <si>
    <t>cajas de hamburguesas dañadas</t>
  </si>
  <si>
    <t>Con hielo</t>
  </si>
  <si>
    <t xml:space="preserve">Cajas de Guantes </t>
  </si>
  <si>
    <t>Programa diario</t>
  </si>
  <si>
    <t>Caja de guante sin retirar</t>
  </si>
  <si>
    <t>Varias cintas Adhesivas</t>
  </si>
  <si>
    <t>Cintas Adhesivas en el tablero.</t>
  </si>
  <si>
    <t>Con tierra</t>
  </si>
  <si>
    <t xml:space="preserve">Cofias </t>
  </si>
  <si>
    <t>Balde con Agua sucia.</t>
  </si>
  <si>
    <t>Con hielo y tierra.</t>
  </si>
  <si>
    <t>Cajas rotas de hamburguesas y milanesas.</t>
  </si>
  <si>
    <t>Con Barro.</t>
  </si>
  <si>
    <t>Cajas de Hamburguesa.</t>
  </si>
  <si>
    <t>SEM</t>
  </si>
  <si>
    <t>REC</t>
  </si>
  <si>
    <t>DESP</t>
  </si>
  <si>
    <t>PREP</t>
  </si>
  <si>
    <t>PROD TM</t>
  </si>
  <si>
    <t>PROD TT</t>
  </si>
  <si>
    <t>MANT P</t>
  </si>
  <si>
    <t>MANT F</t>
  </si>
  <si>
    <t>MANT E</t>
  </si>
  <si>
    <t>HIG</t>
  </si>
  <si>
    <t>CANTIDAD RECORRIDAS</t>
  </si>
  <si>
    <t>PRIMER PISO</t>
  </si>
  <si>
    <t>REGISTRO CANTIDAD RECORRIDAS</t>
  </si>
  <si>
    <t>holis</t>
  </si>
  <si>
    <t>Primer piso</t>
  </si>
  <si>
    <t>CAM 1.5</t>
  </si>
  <si>
    <t xml:space="preserve">SEM 
29 al 5 </t>
  </si>
  <si>
    <t xml:space="preserve">SEM 
6 al 12 </t>
  </si>
  <si>
    <t xml:space="preserve">SEM 
13 al 19 </t>
  </si>
  <si>
    <t xml:space="preserve">SEM 
20 al 26 </t>
  </si>
  <si>
    <t>SEM 
27 al 2</t>
  </si>
  <si>
    <t>SEM 
3 al 9</t>
  </si>
  <si>
    <t>SEM 
10 al 16</t>
  </si>
  <si>
    <t>SEM 
17 al 23</t>
  </si>
  <si>
    <t>SEM 
24 al 30</t>
  </si>
  <si>
    <t>SEM 
1 al 7</t>
  </si>
  <si>
    <t>SEM 
8 al 14</t>
  </si>
  <si>
    <t>SEM 
15 al 21</t>
  </si>
  <si>
    <t>SEM 
22 al 28</t>
  </si>
  <si>
    <t>SEM 
29 al 4</t>
  </si>
  <si>
    <t>Sala de Elab.</t>
  </si>
  <si>
    <t>Esto impacta al turno mañana por la limpieza porque después del TT no hay limpieza</t>
  </si>
  <si>
    <t>Sala de Bobinas</t>
  </si>
  <si>
    <t>CAM 0.4</t>
  </si>
  <si>
    <t>CAM 0.5</t>
  </si>
  <si>
    <t>Dock de carga</t>
  </si>
  <si>
    <t>VESTUARIO H (PP)</t>
  </si>
  <si>
    <t>Cuenta de Sector</t>
  </si>
  <si>
    <t>Cuenta de Hallazgo</t>
  </si>
  <si>
    <t>CAM 1.2</t>
  </si>
  <si>
    <t>CAM 1.4</t>
  </si>
  <si>
    <t>Empaque secundario</t>
  </si>
  <si>
    <t>CAM 0.3</t>
  </si>
  <si>
    <t>PASILLO</t>
  </si>
  <si>
    <t>Hojas de Rutas pegadas en las paredes de la antecámara</t>
  </si>
  <si>
    <t>Palletizado</t>
  </si>
  <si>
    <t>Indumentaria 
fuera de lugar</t>
  </si>
  <si>
    <t>Sala de Aditivos</t>
  </si>
  <si>
    <t>VESTUARIO H (PB)</t>
  </si>
  <si>
    <t>VESTUARIO H (SP)</t>
  </si>
  <si>
    <t>Taller de Mant.</t>
  </si>
  <si>
    <t>Desorden</t>
  </si>
  <si>
    <t>Deposito de Insumos E.P</t>
  </si>
  <si>
    <t>Depósito varios</t>
  </si>
  <si>
    <t>Antecamara Pb</t>
  </si>
  <si>
    <t>SA</t>
  </si>
  <si>
    <t>Planta baja</t>
  </si>
  <si>
    <t>Filtro N1</t>
  </si>
  <si>
    <t>Filtro N5</t>
  </si>
  <si>
    <t>BAÑO H (PB)</t>
  </si>
  <si>
    <t>Estuches sin retirar</t>
  </si>
  <si>
    <t>BAÑO H (PP)</t>
  </si>
  <si>
    <t>Antecamra PP</t>
  </si>
  <si>
    <t>CAM 1.3</t>
  </si>
  <si>
    <t>Cofias y papeles arriba de los loquer y bancos.</t>
  </si>
  <si>
    <t xml:space="preserve">Cofias y papeles arriba de los loquer </t>
  </si>
  <si>
    <t xml:space="preserve">Elementos sucios </t>
  </si>
  <si>
    <t>Papeles y maderas</t>
  </si>
  <si>
    <t>Arriba de un caño de desague</t>
  </si>
  <si>
    <t>Camara 1,2</t>
  </si>
  <si>
    <t xml:space="preserve">Zocalos sucios </t>
  </si>
  <si>
    <t>Cofias en el piso y arriba de los loquer</t>
  </si>
  <si>
    <t>Cofias y gauntes sucios arriba de los loquer</t>
  </si>
  <si>
    <t>Depositos Varios PB</t>
  </si>
  <si>
    <t>Elementos de Mantenimiento</t>
  </si>
  <si>
    <t xml:space="preserve">Esalaras fuera de lugar </t>
  </si>
  <si>
    <t>Escalera hacia la azotea</t>
  </si>
  <si>
    <t xml:space="preserve">Guantes de tela y cartones </t>
  </si>
  <si>
    <t>Camara decomiso</t>
  </si>
  <si>
    <t>SALA DE PICADORA</t>
  </si>
  <si>
    <t xml:space="preserve">SALA DE ESTUCHADORA </t>
  </si>
  <si>
    <t>Pallet de cajas de terciario.</t>
  </si>
  <si>
    <t>CAMARA 1,5</t>
  </si>
  <si>
    <t xml:space="preserve">Milanesas </t>
  </si>
  <si>
    <t xml:space="preserve">Botines con carne </t>
  </si>
  <si>
    <t>En el piso y arriba de los loker</t>
  </si>
  <si>
    <t xml:space="preserve">Pallet vacio en pasillo de Alergenos </t>
  </si>
  <si>
    <t>Planta Baja</t>
  </si>
  <si>
    <t>Se detetan cintas adhesivas debajo de las estructuras en los gabinetes</t>
  </si>
  <si>
    <t>Palet de madera</t>
  </si>
  <si>
    <t>Antecamara PP</t>
  </si>
  <si>
    <t xml:space="preserve"> Varios Pallet de Maderas </t>
  </si>
  <si>
    <t>Cajas de carton  de la mp</t>
  </si>
  <si>
    <t>cofias</t>
  </si>
  <si>
    <t>Camaras 04/05</t>
  </si>
  <si>
    <t xml:space="preserve">Cajas rotas en ambas camaras </t>
  </si>
  <si>
    <t>Cofias y papales arriba de los loker</t>
  </si>
  <si>
    <t>Sala de produccion</t>
  </si>
  <si>
    <t>Descarte de Producto 
sin retirar</t>
  </si>
  <si>
    <t xml:space="preserve">Sala de Estuchadora </t>
  </si>
  <si>
    <t>Estuches sin producto cargados en la maquina</t>
  </si>
  <si>
    <t>Dep. de Cartones</t>
  </si>
  <si>
    <t>Residuos sin retirar</t>
  </si>
  <si>
    <t>S/BAÑO</t>
  </si>
  <si>
    <t>Puntos Evaluados x semana</t>
  </si>
  <si>
    <t>Puntos Evaluados x mes</t>
  </si>
  <si>
    <t>BAÑIO</t>
  </si>
  <si>
    <t>Hallazgos</t>
  </si>
  <si>
    <t>% resultado</t>
  </si>
  <si>
    <t>KG/CAJA</t>
  </si>
  <si>
    <t>tipo de Vehiculo</t>
  </si>
  <si>
    <t>Nombre y Apellido</t>
  </si>
  <si>
    <t>Legajo</t>
  </si>
  <si>
    <t>PUESTO</t>
  </si>
  <si>
    <t>Filtro_N4</t>
  </si>
  <si>
    <t>Filtro_N2</t>
  </si>
  <si>
    <t>Filtro_N3</t>
  </si>
  <si>
    <t>BAÑO_M_PP</t>
  </si>
  <si>
    <t>CTUK001</t>
  </si>
  <si>
    <t xml:space="preserve">Carne picada - Tuki - 500g </t>
  </si>
  <si>
    <t xml:space="preserve">Retira </t>
  </si>
  <si>
    <t>TRANSP YANINA  LUONGO - AA050HC</t>
  </si>
  <si>
    <t>1.5P</t>
  </si>
  <si>
    <t>Camioneta</t>
  </si>
  <si>
    <t>Amena, Gabriel German</t>
  </si>
  <si>
    <t xml:space="preserve">Calidad </t>
  </si>
  <si>
    <t>MAÑANA</t>
  </si>
  <si>
    <t>UG0461</t>
  </si>
  <si>
    <t xml:space="preserve">Carne picada - UG - 500g </t>
  </si>
  <si>
    <t>Cliente</t>
  </si>
  <si>
    <t xml:space="preserve">PACHECO JULIO - AA176SY </t>
  </si>
  <si>
    <t>12P</t>
  </si>
  <si>
    <t xml:space="preserve">NO </t>
  </si>
  <si>
    <t>Balancín</t>
  </si>
  <si>
    <t>Barrera, Ramiro Damian</t>
  </si>
  <si>
    <t>UG0471</t>
  </si>
  <si>
    <t>Milanesa de Peceto Sin Gluten - UG - 750g</t>
  </si>
  <si>
    <t xml:space="preserve">BELLIMAR SRL - AA358EQ </t>
  </si>
  <si>
    <t>8P</t>
  </si>
  <si>
    <t>Chasis</t>
  </si>
  <si>
    <t>Casco, Maria de los Angeles</t>
  </si>
  <si>
    <t>UG0472</t>
  </si>
  <si>
    <t>Milanesa de Nalga Sin Gluten - UG - 750g</t>
  </si>
  <si>
    <t xml:space="preserve">GUSTAVO CERQUETTA - AA427LT </t>
  </si>
  <si>
    <t>1P</t>
  </si>
  <si>
    <t>Gomez Viana, Rodrigo Gabriel</t>
  </si>
  <si>
    <t xml:space="preserve">Jefe </t>
  </si>
  <si>
    <t>UG0473</t>
  </si>
  <si>
    <t>Milanesa de Pollo Sin Gluten - UG - 750g</t>
  </si>
  <si>
    <t xml:space="preserve">PACHECO JULIO - AA854LY </t>
  </si>
  <si>
    <t>7P</t>
  </si>
  <si>
    <t>Iglesias, Camila</t>
  </si>
  <si>
    <t>Cortina de aire apagada</t>
  </si>
  <si>
    <t>UG0462</t>
  </si>
  <si>
    <t xml:space="preserve">Carne picada - UG - 1kg </t>
  </si>
  <si>
    <t>AAA399</t>
  </si>
  <si>
    <t xml:space="preserve">TRANSP CARFORA - AAA399 </t>
  </si>
  <si>
    <t>22P</t>
  </si>
  <si>
    <t>Semi</t>
  </si>
  <si>
    <t>Luna, Agustina Berenice</t>
  </si>
  <si>
    <t xml:space="preserve">HAMB DE CERDO UG 15 X 2 X 83 GRS </t>
  </si>
  <si>
    <t xml:space="preserve">VAZQUEZ (TRV SRL) - AB176KN </t>
  </si>
  <si>
    <t>Soto, Florencia</t>
  </si>
  <si>
    <t>Control de Proceso</t>
  </si>
  <si>
    <t>Estaciones fuera de lugar</t>
  </si>
  <si>
    <t>H550</t>
  </si>
  <si>
    <t>FUNBURGUER 32 X 80 GRS - Cerdo</t>
  </si>
  <si>
    <t xml:space="preserve">LAURIA (SERVAL) - AB233IT </t>
  </si>
  <si>
    <t>6P</t>
  </si>
  <si>
    <t>Leal, Denis Ariel</t>
  </si>
  <si>
    <t xml:space="preserve">Supervisor </t>
  </si>
  <si>
    <t>TARDE</t>
  </si>
  <si>
    <t>H555</t>
  </si>
  <si>
    <t>FUNBURGUER CRIOLLA 32 X 80 GRS</t>
  </si>
  <si>
    <t xml:space="preserve">TRANSP TRANSFRIO - AB288WX </t>
  </si>
  <si>
    <t>28P</t>
  </si>
  <si>
    <t>Lopez, Agustin Nahuel</t>
  </si>
  <si>
    <t>FUNBURGUER BACON CHEDDAR 32 X 80 GRS</t>
  </si>
  <si>
    <t xml:space="preserve">J RIMOLDI - AB312SE </t>
  </si>
  <si>
    <t>Martinez, Diego Adrian</t>
  </si>
  <si>
    <t>FUN BURGERS PALADINI 32 X 80 G QUESO AZUL</t>
  </si>
  <si>
    <t xml:space="preserve">BELLIMAR SRL - AB787MT </t>
  </si>
  <si>
    <t>Pitton, Diego Eduardo</t>
  </si>
  <si>
    <t>H558</t>
  </si>
  <si>
    <t>FUN BURGERS PALADINI 32 x 80 grs PICANTE</t>
  </si>
  <si>
    <t>PERLETTI - 8P RETIRA CLIENTE</t>
  </si>
  <si>
    <t xml:space="preserve">Camarista </t>
  </si>
  <si>
    <t>Lezcano, Nolberto</t>
  </si>
  <si>
    <t xml:space="preserve">Camarista PB </t>
  </si>
  <si>
    <t xml:space="preserve">HAMBURGUESA UG 10 x 2 x 140 grs GIGANTES </t>
  </si>
  <si>
    <t>AB956NS</t>
  </si>
  <si>
    <t>PALADINI - AB956NS RETIRA CLIENTE</t>
  </si>
  <si>
    <t>26P</t>
  </si>
  <si>
    <t>Pineda, Arnaldo</t>
  </si>
  <si>
    <t>MEDALLON UG 24x2x120g SIN SAL</t>
  </si>
  <si>
    <t xml:space="preserve">PACHECO JULIO - AC028WN </t>
  </si>
  <si>
    <t>Monsalvo, Victor Hugo</t>
  </si>
  <si>
    <t>H025</t>
  </si>
  <si>
    <t xml:space="preserve">HAMBURGUESA ARO 36 x 83 grs </t>
  </si>
  <si>
    <t xml:space="preserve">TRANSPORTE GRACIELA - AC040RO </t>
  </si>
  <si>
    <t>ACEPTA( VER CAMI)</t>
  </si>
  <si>
    <t>Deposito</t>
  </si>
  <si>
    <t>Alvarez, Adolfo Amadeo</t>
  </si>
  <si>
    <t>Deposito Tigre</t>
  </si>
  <si>
    <t>MEDALLONES UG 36 x 83 grs</t>
  </si>
  <si>
    <t>TRANSP. CM TRANZ - AC049FP CALZIA RETIRA CLIENTE</t>
  </si>
  <si>
    <t>24P</t>
  </si>
  <si>
    <t>Fernandez, Victor Javier</t>
  </si>
  <si>
    <t>MILANESA DE PECETO UG 6 X 500 GRS</t>
  </si>
  <si>
    <t>PERLETTI - 24P RETIRA CLIENTE</t>
  </si>
  <si>
    <t>Rebusatte, Leonardo</t>
  </si>
  <si>
    <t>Deposito Victoria</t>
  </si>
  <si>
    <t>MILANESA DE POLLO UG 6 X 500 GRS</t>
  </si>
  <si>
    <t>CM TRANS - 24P RETIRA CLIENTE</t>
  </si>
  <si>
    <t>Ivanoff, Maximiliano</t>
  </si>
  <si>
    <t>MILANESA DE NALGA UG 6 X 500 GRS</t>
  </si>
  <si>
    <t>Brizuela, Jonatan Alan</t>
  </si>
  <si>
    <t>Carga Prod. Terminado</t>
  </si>
  <si>
    <t>NOCHE</t>
  </si>
  <si>
    <t>MILANESA DE CERDO UG 6 X 500 GRS</t>
  </si>
  <si>
    <t>AC740CJ</t>
  </si>
  <si>
    <t>PALADINI - AC740CJ RETIRA CLIENTE</t>
  </si>
  <si>
    <t>Fernandez, Ramon Esteban</t>
  </si>
  <si>
    <t>ALBONDIGA UG 3 Kgs (PULPETAS)</t>
  </si>
  <si>
    <t xml:space="preserve">GANZINI HUGO - AC940KZ </t>
  </si>
  <si>
    <t>Machuca, Alejandro Fabian</t>
  </si>
  <si>
    <t>Expressx2</t>
  </si>
  <si>
    <t>EXPRESS 30 X 2 X 63 G</t>
  </si>
  <si>
    <t xml:space="preserve">PACHECO JULIO - ACI503 </t>
  </si>
  <si>
    <t>Ledesma, Emanuel Braian</t>
  </si>
  <si>
    <t>SALCH, CHACRA FIESTA 20 paq (6u) x 190 grs</t>
  </si>
  <si>
    <t>GANZINI HUGO- 8P</t>
  </si>
  <si>
    <t>Higiene</t>
  </si>
  <si>
    <t>Gonzalez, Lucas Matias</t>
  </si>
  <si>
    <t xml:space="preserve">Limpieza Gral. </t>
  </si>
  <si>
    <t>SALCH, CHICHAS 20 paq (6u) x 190 grs CORTAS</t>
  </si>
  <si>
    <t xml:space="preserve">VAZQUEZ (TRV SRL) - AD472GK </t>
  </si>
  <si>
    <t>Guzman, Fabian Erasmo</t>
  </si>
  <si>
    <t>H898</t>
  </si>
  <si>
    <t>SALCH, CABAÑA ARG, 3/3 20paq (6u) x 190 grs</t>
  </si>
  <si>
    <t xml:space="preserve">TRANSP FIRST CLASS - AD535UI </t>
  </si>
  <si>
    <t>Lage, Fernando</t>
  </si>
  <si>
    <t>SALCH, OPI 20 paq (6u) x 190 grs</t>
  </si>
  <si>
    <t xml:space="preserve">LAURIA (SERVAL) - AD575XK </t>
  </si>
  <si>
    <t>Maidana, Agustin</t>
  </si>
  <si>
    <t>SALCH, DIA MAGICAS 20paq (6un) x 190 grs</t>
  </si>
  <si>
    <t>AD726HB</t>
  </si>
  <si>
    <t xml:space="preserve">TRANSP TRANSFRIO - AD726HB </t>
  </si>
  <si>
    <t>Ramos, Juan Daris</t>
  </si>
  <si>
    <t>SALCH, BEST 20 paq (6u) x 190 grs SIN PIEL</t>
  </si>
  <si>
    <t>BELLIMAR SRL - AF582BJ - 28P</t>
  </si>
  <si>
    <t>Varela, David Miguel</t>
  </si>
  <si>
    <t>SALCHICHAS CUSINE 20 PAQ  6 UNID  190 G</t>
  </si>
  <si>
    <t>TRANSPORTE FILARDI - AE491HU</t>
  </si>
  <si>
    <t>Pineda, Arnaldo Matias</t>
  </si>
  <si>
    <t>Filtro Sanitario</t>
  </si>
  <si>
    <t>H930</t>
  </si>
  <si>
    <t>SALCHICHAS PRIMER PRECIO 190 G 6 UNID X 20 PAQ</t>
  </si>
  <si>
    <t>AE655CT</t>
  </si>
  <si>
    <t xml:space="preserve">TRANSPORTE FILARDI - AE655CT </t>
  </si>
  <si>
    <t>Cañete, Dario  Andres</t>
  </si>
  <si>
    <t>H940</t>
  </si>
  <si>
    <t>SALCHICHAS CORTAS X 190 GRS, NOBS</t>
  </si>
  <si>
    <t>LAURIA (SERVAL) - AF342ZY</t>
  </si>
  <si>
    <t>Pereyra, Walter Rodrigo</t>
  </si>
  <si>
    <t>SALCH, UG 20paq (6u) x 190 grs (CORTAS)</t>
  </si>
  <si>
    <t xml:space="preserve">BELLIMAR SRL - AF456PB </t>
  </si>
  <si>
    <t>Saggini, Sergio</t>
  </si>
  <si>
    <t>HAMBUGUESA BLACK TUKI 36 x 2 x 55 grs S/GLUTEN S/TACC</t>
  </si>
  <si>
    <t xml:space="preserve">BELLIMAR SRL - AG058FU </t>
  </si>
  <si>
    <t>Aguirre, Javier Alejandro</t>
  </si>
  <si>
    <t>Edilicio</t>
  </si>
  <si>
    <t>MEDALLONES CHACRA NUESTRA 36x2x55grs</t>
  </si>
  <si>
    <t>2P</t>
  </si>
  <si>
    <t>Aranda, Agustin Gabriel</t>
  </si>
  <si>
    <t xml:space="preserve">Sala de Maquina </t>
  </si>
  <si>
    <t>MEDALLONES M&amp;K 36 x 2 x 55 grs</t>
  </si>
  <si>
    <t xml:space="preserve">TRANSP CLAUDIO BUSTOS - AG243PE </t>
  </si>
  <si>
    <t>Argañaraz, Jorge Martin</t>
  </si>
  <si>
    <t>HAMBURGUESA LA ANONIMA 36 x 2 x 55 grs</t>
  </si>
  <si>
    <t xml:space="preserve">BELLIMAR SRL - AG314VN </t>
  </si>
  <si>
    <t>Garcia, Cesar Adrian</t>
  </si>
  <si>
    <t>Sala de Produccion</t>
  </si>
  <si>
    <t xml:space="preserve">LAURIA (SERVAL) - AH583GW </t>
  </si>
  <si>
    <t>Irala, Ian Luca</t>
  </si>
  <si>
    <t>MEDALLONES P, FIRST 72 x 55 grs</t>
  </si>
  <si>
    <t>GANZINI HUGO - AH599 - 1P</t>
  </si>
  <si>
    <t>Luque, Facundo</t>
  </si>
  <si>
    <t xml:space="preserve">Administracion Mant. </t>
  </si>
  <si>
    <t>MEDALLONES P, FIRST 72 x 55 grs (flow crystal)</t>
  </si>
  <si>
    <t>DON NENO - 12P</t>
  </si>
  <si>
    <t>SI SATELITAL</t>
  </si>
  <si>
    <t>Maldonado, Pedro Abel</t>
  </si>
  <si>
    <t>MED BONMAR 36 X 2 X 55 GRS</t>
  </si>
  <si>
    <t>ATN199</t>
  </si>
  <si>
    <t xml:space="preserve">TRANSP CARFORA - ATN199 </t>
  </si>
  <si>
    <t>Quirico, Jose Adolfo</t>
  </si>
  <si>
    <t>Tot sin baño</t>
  </si>
  <si>
    <t>H330</t>
  </si>
  <si>
    <t>MEDALLONES E, LA HUELLA  72 x 55 grs</t>
  </si>
  <si>
    <t>PRONTOMAR - 12P</t>
  </si>
  <si>
    <t>Rodriguez, Mauro David</t>
  </si>
  <si>
    <t>Tot con baño</t>
  </si>
  <si>
    <t>HAMBURGUESA CUISINE &amp; CO 36 X 2 X 55 grs S/GLUTEN S/TACC</t>
  </si>
  <si>
    <t xml:space="preserve">PRONTOMAR - BAI674 </t>
  </si>
  <si>
    <t>14P</t>
  </si>
  <si>
    <t>Roig, Armando</t>
  </si>
  <si>
    <t>MEDALLONES MAXIMA 36 X 2 X 55 grs S/GLUTEN S/TACC</t>
  </si>
  <si>
    <t>BBE450</t>
  </si>
  <si>
    <t xml:space="preserve">GANZINI HUGO - BBE450 </t>
  </si>
  <si>
    <t>Sorhanet, Agustin Nicolas</t>
  </si>
  <si>
    <t>Hamburguesa - Tuki - 36x2ux55gr</t>
  </si>
  <si>
    <t>Gestya</t>
  </si>
  <si>
    <t>Visentin, Orlando Alberto</t>
  </si>
  <si>
    <t xml:space="preserve">BELLIMAR SRL - BIS283 </t>
  </si>
  <si>
    <t>Barca, Hector Cayetano</t>
  </si>
  <si>
    <t>MTUK004</t>
  </si>
  <si>
    <t>Medallon - Tuki - 36x2ux55gr</t>
  </si>
  <si>
    <t>MAIDANA ORLANDO - 11P</t>
  </si>
  <si>
    <t>11P</t>
  </si>
  <si>
    <t>Cardozo, Jose Antonio</t>
  </si>
  <si>
    <t>HAMBURGUESA UG 72 x 55 grs</t>
  </si>
  <si>
    <t xml:space="preserve">PRONTOMAR - BUZ242 </t>
  </si>
  <si>
    <t>16P</t>
  </si>
  <si>
    <t>Cardozo, Nehuen</t>
  </si>
  <si>
    <t>H001</t>
  </si>
  <si>
    <t>MEDALLONES ARO 48 x 83 grs</t>
  </si>
  <si>
    <t>ENRIQUE ROLLINO - BXB394</t>
  </si>
  <si>
    <t>Centurion, Facundo</t>
  </si>
  <si>
    <t>HTUK532</t>
  </si>
  <si>
    <t>HAMBURGUESA TUKI 32x125g</t>
  </si>
  <si>
    <t>CAP972</t>
  </si>
  <si>
    <t xml:space="preserve">PRONTOMAR - CAP972 </t>
  </si>
  <si>
    <t>Miranda, Roberto Miguel</t>
  </si>
  <si>
    <t>CHORIZO ALEMAN 20 paq x 200 grs</t>
  </si>
  <si>
    <t xml:space="preserve">GANZINI HUGO - CFF038 </t>
  </si>
  <si>
    <t>Roig, Roberto Fabian</t>
  </si>
  <si>
    <t>HAMBURGUESA DIA % 36x2x57 grs</t>
  </si>
  <si>
    <t xml:space="preserve">MAÑAS NORBERTO - CQQ304 </t>
  </si>
  <si>
    <t>Romero, Alan Nicolas</t>
  </si>
  <si>
    <t>MEDALLONES OPI F Pack x 2</t>
  </si>
  <si>
    <t xml:space="preserve">PRONTOMAR - DFE635 </t>
  </si>
  <si>
    <t>Colman, Braian Nahuel</t>
  </si>
  <si>
    <t xml:space="preserve">Preparacion de Pedido </t>
  </si>
  <si>
    <t>MEDALLONES M&amp;K 2X30 X 69 GR</t>
  </si>
  <si>
    <t xml:space="preserve">ENRIQUE ROLLINO - DFO656 </t>
  </si>
  <si>
    <t>Colman, Carlos Dario</t>
  </si>
  <si>
    <t>MEDALLONES P, FIRST 60 X 69 grs</t>
  </si>
  <si>
    <t>TRANSPORTE GENA GAIA - DGO507</t>
  </si>
  <si>
    <t>Colman, Edgar Nelson</t>
  </si>
  <si>
    <t>H415</t>
  </si>
  <si>
    <t>MEDALLONES CAMPO CHICO 60 x 69 grs</t>
  </si>
  <si>
    <t>PALADINI - DIP718 RETIRA CLIENTE</t>
  </si>
  <si>
    <t>Corbalan, Luis Lorenzo</t>
  </si>
  <si>
    <t xml:space="preserve">TRANSPORTE GENA GAIA - DLP830 </t>
  </si>
  <si>
    <t>Cosimi, Juan Carlos</t>
  </si>
  <si>
    <t>HAMBURGUESA CUISINE&amp;CO 18x2x120g PARRILLERA</t>
  </si>
  <si>
    <t xml:space="preserve">TRANSPORTE GENA GAIA - DUF042 </t>
  </si>
  <si>
    <t>Davalos, Brian Jose</t>
  </si>
  <si>
    <t xml:space="preserve">MAÑAS NORBERTO - DUQ686 </t>
  </si>
  <si>
    <t>Fernandez, Maximiliano Matias</t>
  </si>
  <si>
    <t xml:space="preserve">PRONTOMAR - EDW922 </t>
  </si>
  <si>
    <t>Lezcano, Sebastian</t>
  </si>
  <si>
    <t>BTUK004</t>
  </si>
  <si>
    <t>GASTRONOMICA BLACK TUKI 40 x 110 grs</t>
  </si>
  <si>
    <t xml:space="preserve">TRANSP MAVIR - EFL158 </t>
  </si>
  <si>
    <t>Barrancos, Marcelo Alejandro</t>
  </si>
  <si>
    <t>FASON HAMB, UNION GANADERA 40 x 110 grs</t>
  </si>
  <si>
    <t xml:space="preserve">TRANSP MAVIR - EFL176 </t>
  </si>
  <si>
    <t>Barrionuevo, Joel David</t>
  </si>
  <si>
    <t>Balanza</t>
  </si>
  <si>
    <t xml:space="preserve">TRANSP MAVIR - EKE275 </t>
  </si>
  <si>
    <t>Benitez, Alan Nicolas</t>
  </si>
  <si>
    <t xml:space="preserve">Operadores </t>
  </si>
  <si>
    <t>MEDALLONES M&amp;K 20 x 2 x 110 grs</t>
  </si>
  <si>
    <t xml:space="preserve">TRANSP MAIDANA CARLOS - EYP088 </t>
  </si>
  <si>
    <t>Bogado, Carlos Alberto</t>
  </si>
  <si>
    <t>Apiladores</t>
  </si>
  <si>
    <t>TRANSPORTE GRACIELA - FPL254</t>
  </si>
  <si>
    <t>NO (CAMI)</t>
  </si>
  <si>
    <t>Bordon, Victor Orlando</t>
  </si>
  <si>
    <t>MEDALLONES CHISAP 40 x 110 grs</t>
  </si>
  <si>
    <t>PALADINI - FQN744 RETIRA CLIENTE</t>
  </si>
  <si>
    <t>Brandan, Carlos Javier</t>
  </si>
  <si>
    <t>Mezcladora</t>
  </si>
  <si>
    <t>H067</t>
  </si>
  <si>
    <t>MEDALLONES CHISAP (BLANCA) 40 x 110 grs</t>
  </si>
  <si>
    <t xml:space="preserve">COLO - FTL525 </t>
  </si>
  <si>
    <t>Brest, Ruben Daniel</t>
  </si>
  <si>
    <t>Abast. de Embalaje</t>
  </si>
  <si>
    <t>HAMBURGUESA DIA GIGANTE 20x2x110 grs</t>
  </si>
  <si>
    <t>FWH822</t>
  </si>
  <si>
    <t xml:space="preserve">TRANSPORTE GENA GAIA -FWH822 </t>
  </si>
  <si>
    <t>Brito, Kevin Nicolas</t>
  </si>
  <si>
    <t>Empaque Secundario</t>
  </si>
  <si>
    <t>MEDALLONES P, FIRST 40 x 110 grs</t>
  </si>
  <si>
    <t>GANZINI HUGO - FWZ500 - 4P</t>
  </si>
  <si>
    <t>4P</t>
  </si>
  <si>
    <t>Cabrera, Juan Jose</t>
  </si>
  <si>
    <t xml:space="preserve">PRONTOMAR - GFJ692 </t>
  </si>
  <si>
    <t>Caceres, Oscar Walter</t>
  </si>
  <si>
    <t>MEDALLONES E, LA HUELLA  40 x 110 grs</t>
  </si>
  <si>
    <t xml:space="preserve">GANZINI HUGO - GRO558 </t>
  </si>
  <si>
    <t>Caminos, Julio</t>
  </si>
  <si>
    <t xml:space="preserve">COLO - HAW164 </t>
  </si>
  <si>
    <t>Celes, Diego Ramon</t>
  </si>
  <si>
    <t>H450</t>
  </si>
  <si>
    <t>MEDALLONES PROMOBURGER 40x110 grs</t>
  </si>
  <si>
    <t>TRANSP DON NENO - HCP674</t>
  </si>
  <si>
    <t>Cisterna, Enzo Ramon</t>
  </si>
  <si>
    <t>Abast. de Carne</t>
  </si>
  <si>
    <t xml:space="preserve">GANZINI HUGO - HEF181 </t>
  </si>
  <si>
    <t>Demenes, Luis Fernando</t>
  </si>
  <si>
    <t>DON NENO - 2P</t>
  </si>
  <si>
    <t>Dorado, Martin Alberto</t>
  </si>
  <si>
    <t xml:space="preserve">GANZINI HUGO - HHA085 </t>
  </si>
  <si>
    <t>Escobar, Juan De Dios</t>
  </si>
  <si>
    <t>Limpieza Produccion</t>
  </si>
  <si>
    <t>TRANSP MAVIR - HRZ429 -16P</t>
  </si>
  <si>
    <t>Flores, Rafael Antonio</t>
  </si>
  <si>
    <t>HAMBURGUESA S&amp;P GIGANTE 20x2x110g</t>
  </si>
  <si>
    <t xml:space="preserve">TRANSP DON NENO - IES288 </t>
  </si>
  <si>
    <t>Gomez, Adrian Dario</t>
  </si>
  <si>
    <t>HAMBURGUESA TUKI 40 x 110 G</t>
  </si>
  <si>
    <t>IHY821</t>
  </si>
  <si>
    <t xml:space="preserve">TRANSPORTE GENA GAIA - IHY821 </t>
  </si>
  <si>
    <t>Gomez, Andres</t>
  </si>
  <si>
    <t>K043</t>
  </si>
  <si>
    <t>HAMBURGUESA UG 40 x 110 grs KOSHER</t>
  </si>
  <si>
    <t xml:space="preserve">TRANSPORTE GENA GAIA - IKE806 </t>
  </si>
  <si>
    <t>Gomez, Francisco  Javier</t>
  </si>
  <si>
    <t>Prensa</t>
  </si>
  <si>
    <t>MEDALLON TUKI 40 x 110 G</t>
  </si>
  <si>
    <t>TRANSPORTE GENA GAIA - IMO939</t>
  </si>
  <si>
    <t>Gomez, Gabriel Anibal</t>
  </si>
  <si>
    <t>Delegado</t>
  </si>
  <si>
    <t>MEDALLONES UG 40 x 110 grs</t>
  </si>
  <si>
    <t xml:space="preserve">TRANSPORTE  GRACIELA - IYE750 </t>
  </si>
  <si>
    <t>Gomez, Hernan Francisco</t>
  </si>
  <si>
    <t>HAMBURGUESA UG 40 x 110 grs (Impreso)</t>
  </si>
  <si>
    <t xml:space="preserve">GANZINI HUGO - JJF375 </t>
  </si>
  <si>
    <t>Gomez, Juan  Tomas</t>
  </si>
  <si>
    <t>HAMBURGUESAS MEGAGIGANTES CLASSIC 16x2x140g</t>
  </si>
  <si>
    <t>TRANSP DON NENO - JNO540</t>
  </si>
  <si>
    <t>Gomez, Ramon Hernan</t>
  </si>
  <si>
    <t>DIA0900</t>
  </si>
  <si>
    <t>SALCH, DIA 20 paq (6u) x 225 grs</t>
  </si>
  <si>
    <t>TRANSP CLAUDIO BUSTOS - JOQ178</t>
  </si>
  <si>
    <t>Gomez, Rito Jose</t>
  </si>
  <si>
    <t>SALCH, S&amp;P 20paq (6u) x 225 grs CORTA S/PIEL</t>
  </si>
  <si>
    <t>CAMILA - 24P RETIRA CLIENTE</t>
  </si>
  <si>
    <t>Guzman, Braian Natanael</t>
  </si>
  <si>
    <t>SALCH, CATTER MEAT 40paq (3u) x 112 grs S/PIEL</t>
  </si>
  <si>
    <t xml:space="preserve">MAÑAS - JWN279 </t>
  </si>
  <si>
    <t>Leal, Maximiliano Andres</t>
  </si>
  <si>
    <t>Salchichas - Classic - Cortas - 20x6ux225gr</t>
  </si>
  <si>
    <t xml:space="preserve">PRONTOMAR - JZH 348 </t>
  </si>
  <si>
    <t>Ledesma, Raul Daniel</t>
  </si>
  <si>
    <t>Salchichas - Classic - Cortas - 10x12ux450gr</t>
  </si>
  <si>
    <t xml:space="preserve">TRANSP MAIDANA FACUNDO - KOW745 </t>
  </si>
  <si>
    <t>Ledesma, Silvio Antonio</t>
  </si>
  <si>
    <t>Salchichas - Dia - Cortas - 20x6ux225gr</t>
  </si>
  <si>
    <t xml:space="preserve">TRANSP DON NENO - KSI803 </t>
  </si>
  <si>
    <t>Lobo, Facundo Emanuel</t>
  </si>
  <si>
    <t>SDIA002</t>
  </si>
  <si>
    <t>Salchichas - Dia - Cortas - 10x12ux450gr</t>
  </si>
  <si>
    <t>GANZINI HUGO - KTJ626</t>
  </si>
  <si>
    <t>Lopez, Alan</t>
  </si>
  <si>
    <t>Lopez, Julio Efre</t>
  </si>
  <si>
    <t xml:space="preserve">GUSTAVO CERQUETTA - KZA644 </t>
  </si>
  <si>
    <t>Maciel, Lisandro Gabriel</t>
  </si>
  <si>
    <t>GANZINI HUGO - LEK390</t>
  </si>
  <si>
    <t>Nichea, Carlos Alberto</t>
  </si>
  <si>
    <t xml:space="preserve">MTUK001 </t>
  </si>
  <si>
    <t xml:space="preserve">TRANSP CLAUDIO BUSTOS - LSG801 </t>
  </si>
  <si>
    <t>Ortiz, Diego Federico</t>
  </si>
  <si>
    <t>Expressx72</t>
  </si>
  <si>
    <t>EXPRESS 72 X 63 GR</t>
  </si>
  <si>
    <t xml:space="preserve">TRANSP LAGOS - MRV682 </t>
  </si>
  <si>
    <t>Ortiz, Santiago David</t>
  </si>
  <si>
    <t>MEDALLON TUKI 18 x 4 X 63 G</t>
  </si>
  <si>
    <t xml:space="preserve">CRISTIAN MOYA - NHR055 </t>
  </si>
  <si>
    <t>Pais, Carlos Eduardo</t>
  </si>
  <si>
    <t>Encargado</t>
  </si>
  <si>
    <t>SALCHICHAS BONMAR 24 PAQ (6U) X 190 G</t>
  </si>
  <si>
    <t xml:space="preserve">TRANSP LAGOS - NOO925 </t>
  </si>
  <si>
    <t>Perez, Juan Sebastian</t>
  </si>
  <si>
    <t>GANZINI HUGO -DMP850</t>
  </si>
  <si>
    <t>Pitton, Silvia Karina</t>
  </si>
  <si>
    <t>Salchichas - TUKI- Cortas  24x6ux190g</t>
  </si>
  <si>
    <t xml:space="preserve">TRANSP BERMEJO - NXP980 </t>
  </si>
  <si>
    <t>Rebusatte, Amadeo Martin</t>
  </si>
  <si>
    <t>SALCH, UG 12 paq (12u) x 380 grs (CORTAS)</t>
  </si>
  <si>
    <t>TRANSP MAIDANA CARLOS - OWA126</t>
  </si>
  <si>
    <t>Reyes, David Emanuel</t>
  </si>
  <si>
    <t>BTUK003</t>
  </si>
  <si>
    <t>GASTRONOMICA BLACK TUKI 60 x 80 grs</t>
  </si>
  <si>
    <t xml:space="preserve">TRANSP JP - OYP470 </t>
  </si>
  <si>
    <t>Rivero, Mauro Oscar</t>
  </si>
  <si>
    <t>PHS271</t>
  </si>
  <si>
    <t xml:space="preserve">RECOGAS - PHS271 </t>
  </si>
  <si>
    <t>Roig, Raul</t>
  </si>
  <si>
    <t xml:space="preserve">TRANSP MAVIR - RHQ609 </t>
  </si>
  <si>
    <t>10P</t>
  </si>
  <si>
    <t>Rojas, Franco Daniel</t>
  </si>
  <si>
    <t>H918</t>
  </si>
  <si>
    <t>SALCH, UG COPETIN 16 paq x 300 grs S/PIEL</t>
  </si>
  <si>
    <t>RKY443</t>
  </si>
  <si>
    <t xml:space="preserve">PRONTOMAR - RKY443 </t>
  </si>
  <si>
    <t>Romero, Ramon Anibal</t>
  </si>
  <si>
    <t>HAMBURGUESA TUKI 60 x 80 G</t>
  </si>
  <si>
    <t>RPI846</t>
  </si>
  <si>
    <t xml:space="preserve">PRONTOMAR - RPI846 </t>
  </si>
  <si>
    <t>Sena, Francisco</t>
  </si>
  <si>
    <t xml:space="preserve">PRONTOMAR - WSC211 </t>
  </si>
  <si>
    <t>Torres, Mauro Abel</t>
  </si>
  <si>
    <t>SDIA004</t>
  </si>
  <si>
    <t>Salchichas - Dia - Copetin - 16x25ux300gr</t>
  </si>
  <si>
    <t>WZV438</t>
  </si>
  <si>
    <t xml:space="preserve">TRANSP MAVIR - WZV438 </t>
  </si>
  <si>
    <t>13P</t>
  </si>
  <si>
    <t>Zapana Paucara, Juan Tomas</t>
  </si>
  <si>
    <t>GANZINI HUGO -NXM925</t>
  </si>
  <si>
    <t>Aguilar, Leonel</t>
  </si>
  <si>
    <t>BELLIMAR SRL - AE319RL</t>
  </si>
  <si>
    <t>Bravo, Jonatan</t>
  </si>
  <si>
    <t xml:space="preserve"> HAMBURGUESA TUKI 40x122g SUPER</t>
  </si>
  <si>
    <t>PRONTOMAR - DUF023 - 24p</t>
  </si>
  <si>
    <t>Brito, Benjamin</t>
  </si>
  <si>
    <t>MEDALLONES ARO  72 x 69 grs</t>
  </si>
  <si>
    <t>TRANSPORTE GENA GAIA - GYH519  - 26P</t>
  </si>
  <si>
    <t>GESTYA</t>
  </si>
  <si>
    <t>Campos, Ángel Fernando</t>
  </si>
  <si>
    <t>MEDALLONES OPI 18 x 4 x 69 grs</t>
  </si>
  <si>
    <t>BELLIMAR SRL - AH493TR - 24P</t>
  </si>
  <si>
    <t>Campos, Mathias Gabriel</t>
  </si>
  <si>
    <t>H107</t>
  </si>
  <si>
    <t>MEDALLONES P, FIRST 72 x 69 grs</t>
  </si>
  <si>
    <t>GANZINI HUGO - DMP850</t>
  </si>
  <si>
    <t>Cespedes, Cristian David</t>
  </si>
  <si>
    <t>TRANSPORTE FIGGINI - LYX479 - 12p (CON PALA)</t>
  </si>
  <si>
    <t>Del Federico, Cristián Gonzalo</t>
  </si>
  <si>
    <t>HAMBURGUESA VICTORIA 72 X 69</t>
  </si>
  <si>
    <t>TRANSP DON NENO -IRK036- 2P</t>
  </si>
  <si>
    <t>Diaz, Hernán</t>
  </si>
  <si>
    <t>TRANSP LAGOS - IDK392 - 2P</t>
  </si>
  <si>
    <t>Duran, Roberto Ezequiel</t>
  </si>
  <si>
    <t xml:space="preserve">HAMBURGUESA UG 72 x 69 grs </t>
  </si>
  <si>
    <t>TRANSPORTE GENA GAIA - MCJ008</t>
  </si>
  <si>
    <t>Fleitas, Lautaro Augusto</t>
  </si>
  <si>
    <t>TRANSPORTE GENA GAIA - AH898OB</t>
  </si>
  <si>
    <t>Fleitas, Nahuel Blas</t>
  </si>
  <si>
    <t>FASON HAMB, UG 60 x 83 grs</t>
  </si>
  <si>
    <t>PACHECO JULIO - OIS535 - 12p (CON PALA)</t>
  </si>
  <si>
    <t>Gimenez, Ulises</t>
  </si>
  <si>
    <t>TRANSP DON NENO -AH881BB- 2P</t>
  </si>
  <si>
    <t>Godoy, Maximiliano</t>
  </si>
  <si>
    <t>MEDALLONES CHISAP 60 x 83 grs</t>
  </si>
  <si>
    <t>TRANSP DON NENO -BEX695- 2P</t>
  </si>
  <si>
    <t>Gomez, Facundo Adrian</t>
  </si>
  <si>
    <t>MEDALLONES PACHECO FIRST 60 x 83 grs</t>
  </si>
  <si>
    <t>Gomez, Franco Agustin</t>
  </si>
  <si>
    <t>HAMBURGUESA UG 60 x 83 grs KOSHER</t>
  </si>
  <si>
    <t>Gonzalez, Angel Leonel</t>
  </si>
  <si>
    <t>Graells, Leandro Agustin</t>
  </si>
  <si>
    <t>Guzman, Marcelo</t>
  </si>
  <si>
    <t>Guzman, Santiago Daniel</t>
  </si>
  <si>
    <t>MILANESA DE NALGA X 5 GRS</t>
  </si>
  <si>
    <t>Ivanoff, Matías</t>
  </si>
  <si>
    <t>MILANESA DE POLLO X 5 GRS</t>
  </si>
  <si>
    <t>Juárez, Jorge Orlando</t>
  </si>
  <si>
    <t>MILANESA DE PECETO X 5 KGS</t>
  </si>
  <si>
    <t>Ledesma, Dylan Sebastian</t>
  </si>
  <si>
    <t>MILANESA DE CERDO X 5 GRS</t>
  </si>
  <si>
    <t>Ledezma, Federico Nahuel</t>
  </si>
  <si>
    <t>Ledezma, Santiago</t>
  </si>
  <si>
    <t>MEDALLONES CHACRA NUESTRA 24 x 4 x 55 grs</t>
  </si>
  <si>
    <t>López, Alexis</t>
  </si>
  <si>
    <t>MEDALLONES MAXIMA 24 X 4 X 55 grs S/GLUTEN S/TACC</t>
  </si>
  <si>
    <t>López, Diego Fernando</t>
  </si>
  <si>
    <t>H917</t>
  </si>
  <si>
    <t>SALCH, ALEMANA NOBS 12 paq (5u) x 445 grs LARGA</t>
  </si>
  <si>
    <t>Maidana, Gastón Ezequiel</t>
  </si>
  <si>
    <t>Salchichas - Classic - Alemanas - 12x5ux445gr</t>
  </si>
  <si>
    <t>Medina, Alan</t>
  </si>
  <si>
    <t>SDIA005</t>
  </si>
  <si>
    <t>Salchichas - Dia - Alemanas - 12x5ux445gr</t>
  </si>
  <si>
    <t>Miranda, Norberto Luis</t>
  </si>
  <si>
    <t>SALCH, UG ALEMANA 12 paq (5u) x 445 grs LARGA</t>
  </si>
  <si>
    <t>Mongelós, Ivana Gisele</t>
  </si>
  <si>
    <t>SALCH, DIA 12 paq (12u) x 450 grs</t>
  </si>
  <si>
    <t>Montenegro, Ramiro Agustín</t>
  </si>
  <si>
    <t>Montero, Facundo Leonel</t>
  </si>
  <si>
    <t>BTUK002</t>
  </si>
  <si>
    <t>HAMBUGUESA BLACK TUKI 18 x 4 x 80 grs S/GLUTEN S/TACC</t>
  </si>
  <si>
    <t>Pucheta, Javier Fernando</t>
  </si>
  <si>
    <t>HAMBURGUESA DIA % 18 x 4 x 80 grs</t>
  </si>
  <si>
    <t>Rivas, Maximiliano</t>
  </si>
  <si>
    <t>HAMBURGUESA TUKI 18 x 4 x 80 G</t>
  </si>
  <si>
    <t>Rolón, Nahuel Elías</t>
  </si>
  <si>
    <t>Formadora</t>
  </si>
  <si>
    <t>MAROLiO 18x4x80 grs</t>
  </si>
  <si>
    <t>Santone, Joaquin Daniel</t>
  </si>
  <si>
    <t>MED CON SOJA CIUDAD DEL LAGO 18X4X80 G</t>
  </si>
  <si>
    <t>Silva, Franco Maximiliano</t>
  </si>
  <si>
    <t>HAMBURGUESA S&amp;P 18 X 4 X 80 G</t>
  </si>
  <si>
    <t>Soria, Evelyn Tamara</t>
  </si>
  <si>
    <t>Soria, Walter Edgardo</t>
  </si>
  <si>
    <t>HAMBURGUESA CLASSIC 18 x 4 x 83 grs</t>
  </si>
  <si>
    <t>Tardaguila, Ayrton Carlos</t>
  </si>
  <si>
    <t>Varela, Thiago Augusto</t>
  </si>
  <si>
    <t>HAMBURGUESA CUISINE &amp; CO 18 X 4 X 83 grs S/GLUTEN S/TACC</t>
  </si>
  <si>
    <t>Godoy, Ariel Armando</t>
  </si>
  <si>
    <t>Recepcion Mercaderia</t>
  </si>
  <si>
    <t>HAMBURGUESAS UG 18 X 4 X 83 GRS</t>
  </si>
  <si>
    <t>Leguizamon, Alejandro Julio</t>
  </si>
  <si>
    <t>NUGGETS X 300 GR</t>
  </si>
  <si>
    <t>Moscoso Gutierrez, Edwin Abelardo</t>
  </si>
  <si>
    <t>SALCH, CHACRA NUESTRA GASTR, 18paq (6u) x 353 grs LARGA</t>
  </si>
  <si>
    <t>Ndure, Darío Julián</t>
  </si>
  <si>
    <t>SALCH,CH,NUESTRA GASTR, 6paq (18u)x1060grs LARGAS</t>
  </si>
  <si>
    <t>Pedrozo, Diego Sebastian</t>
  </si>
  <si>
    <t>Salchichas - TUKI - Largas  18x6ux353gr</t>
  </si>
  <si>
    <t>Ruiz Kevin</t>
  </si>
  <si>
    <t>MEDALLONES CHACRA NUESTRA 10 x12x55grs</t>
  </si>
  <si>
    <t>MEDALLONES M&amp;K 4 x 24 x 69 grs</t>
  </si>
  <si>
    <t>H071</t>
  </si>
  <si>
    <t>MEDALLONES BEST 4 x 24 x 69 grs</t>
  </si>
  <si>
    <t>MEDALLONES E, LA HUELLA  4 x 24 x 69 grs</t>
  </si>
  <si>
    <t>SALCH, CHACRA FIESTA 9 paq (12u) x 890 grs LARGA</t>
  </si>
  <si>
    <t>SUPER-PANCHO DIA% 18 paq x 445 grs</t>
  </si>
  <si>
    <t>SALCH, BEST 18 paq LARGAS x 445 grs</t>
  </si>
  <si>
    <t>Salchichas - Classic - Largas - 9x12ux890gr</t>
  </si>
  <si>
    <t>SDIA003</t>
  </si>
  <si>
    <t>Salchichas - Dia - Largas - 18x6ux445gr</t>
  </si>
  <si>
    <t>SALCH, UG 9paq (12u) x 890 grs (LARGAS)</t>
  </si>
  <si>
    <t>SALCH, UG 18 paq (6u) x 445 grs LARGA</t>
  </si>
  <si>
    <t>MEDALLONES M&amp;K 10 x 12 x 69 grs</t>
  </si>
  <si>
    <t>UG0041</t>
  </si>
  <si>
    <t>HAMBURGUESA UG 10 x 12 x 69 grs,</t>
  </si>
  <si>
    <t>HAMBURGUESA DIA% 6 x 20 x 80 grs</t>
  </si>
  <si>
    <t>MEDALLONES BEST 12 x 12 x 69g</t>
  </si>
  <si>
    <t>H085</t>
  </si>
  <si>
    <t>MEDALLONES OPI 12 x 12 x 69 GRS</t>
  </si>
  <si>
    <t>HAMBURGUESA CLASSIC 6 x 20 x 83 grs</t>
  </si>
  <si>
    <t>FASON HAMBURGUESAS SABORES 10 X 12 X 83 G</t>
  </si>
  <si>
    <t xml:space="preserve">HAMBURGUESA ARO 10 X 12 X 83 grs </t>
  </si>
  <si>
    <t>H351</t>
  </si>
  <si>
    <t>HAMBURGUESA JUMBO 6 x 20 x 83 grs</t>
  </si>
  <si>
    <t>HAMBURGUESA CUISINE &amp; CO 10 X 12 X 83 grs S/GLUTEN S/TACC</t>
  </si>
  <si>
    <t>HAMBURGUESA CUISINE &amp; CO 6 X 20 X 83 grs S/GLUTEN S/TACC</t>
  </si>
  <si>
    <t>HAMBURGUESA UG 10 x 12 x 83 grs KOSHER</t>
  </si>
  <si>
    <t>HAMBURGUESA UG 10 x 12 x 83 grs</t>
  </si>
  <si>
    <t>HAMBURGUESA UG 6 x 20 x 83 grs</t>
  </si>
  <si>
    <t>NUGGETS X 1KG</t>
  </si>
  <si>
    <t>HAMBURGUESA DIA % 12 x 12 x 80 grs</t>
  </si>
  <si>
    <t>MED CON SOJA CIUDAD DEL LAGO 12 X 12 X 80G</t>
  </si>
  <si>
    <t>HAMBURGUESA S&amp;P 12 X 12 X 80 G</t>
  </si>
  <si>
    <t>HAMBURGUESA CUISINE&amp;CO 12x8x120g PARRILLERA</t>
  </si>
  <si>
    <t>HAMBURGUESA CLASSIC 12 x 12 x 83 grs</t>
  </si>
  <si>
    <t>HAMBURGUESAS 110 x 120 grs (Forma irregular)</t>
  </si>
  <si>
    <t>MEDALLONES GRANEL 240 x 63 grs FORMULA  TUKI</t>
  </si>
  <si>
    <t>H971</t>
  </si>
  <si>
    <t>A GRANEL192 x 83 grs Formula H</t>
  </si>
  <si>
    <t>H972</t>
  </si>
  <si>
    <t>A GRANEL HAMBURGUESAS TUKI 80 grs</t>
  </si>
  <si>
    <t>H975</t>
  </si>
  <si>
    <t>MEDALLONES GRANEL FORM F 80 grs</t>
  </si>
  <si>
    <t>H981</t>
  </si>
  <si>
    <t>MEDALLONES GRANEL FORM  S 80 grs</t>
  </si>
  <si>
    <t>MEDALLONES GRANEL FORM F 55 grs</t>
  </si>
  <si>
    <t>H980</t>
  </si>
  <si>
    <t>MEDALLONES GRANEL SIN SAL 120g</t>
  </si>
  <si>
    <t>MEDALLONES GRANEL FORM A 69 grs</t>
  </si>
  <si>
    <t>H979</t>
  </si>
  <si>
    <t>MEDALLONES GRANEL FORM F 69 grs</t>
  </si>
  <si>
    <t>H977</t>
  </si>
  <si>
    <t>HAMBURGUESAS A GRANEL FORM H 83 grs Formula U,G,</t>
  </si>
  <si>
    <t>SALCHICHAS MAGICA 18 X 6 X 353 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</si>
</sst>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h:mm;@"/>
    <numFmt numFmtId="165" formatCode="0.0%"/>
    <numFmt numFmtId="166" formatCode="[$-F400]h:mm:ss\ AM/PM"/>
    <numFmt numFmtId="167" formatCode="_-* #,##0_-;\-* #,##0_-;_-* &quot;-&quot;??_-;_-@_-"/>
    <numFmt numFmtId="168" formatCode="0.0"/>
    <numFmt numFmtId="169" formatCode="d\-m;@"/>
    <numFmt numFmtId="170" formatCode="0.000"/>
    <numFmt numFmtId="171" formatCode="_-* #,##0.000_-;\-* #,##0.000_-;_-* &quot;-&quot;??_-;_-@_-"/>
    <numFmt numFmtId="172" formatCode="#,##0.0"/>
    <numFmt numFmtId="173" formatCode="_-* #,##0.0_-;\-* #,##0.0_-;_-* &quot;-&quot;??_-;_-@_-"/>
    <numFmt numFmtId="178" formatCode="_-[$$-409]* #,##0_ ;_-[$$-409]* \-#,##0\ ;_-[$$-409]* &quot;-&quot;??_ ;_-@_ "/>
  </numFmts>
  <fonts count="69">
    <font>
      <sz val="11"/>
      <color theme="1"/>
      <name val="Calibri"/>
      <family val="2"/>
      <scheme val="minor"/>
    </font>
    <font>
      <sz val="9"/>
      <color theme="1"/>
      <name val="Montserrat"/>
    </font>
    <font>
      <b/>
      <sz val="11"/>
      <color theme="0"/>
      <name val="Montserrat"/>
    </font>
    <font>
      <b/>
      <sz val="11"/>
      <name val="Montserrat"/>
    </font>
    <font>
      <b/>
      <sz val="8.5"/>
      <color theme="0"/>
      <name val="Montserrat"/>
    </font>
    <font>
      <sz val="8.5"/>
      <color theme="1"/>
      <name val="Montserrat"/>
    </font>
    <font>
      <sz val="8.5"/>
      <color theme="1"/>
      <name val="Calibri"/>
      <family val="2"/>
      <scheme val="minor"/>
    </font>
    <font>
      <b/>
      <sz val="8.5"/>
      <color theme="1"/>
      <name val="Montserrat"/>
    </font>
    <font>
      <b/>
      <sz val="8.5"/>
      <color theme="0"/>
      <name val="Ariel"/>
    </font>
    <font>
      <sz val="8.5"/>
      <color theme="1"/>
      <name val="Ariel"/>
    </font>
    <font>
      <sz val="8.5"/>
      <color rgb="FFFF0000"/>
      <name val="Montserrat"/>
    </font>
    <font>
      <b/>
      <sz val="11"/>
      <color rgb="FFFFFFFF"/>
      <name val="Calibri"/>
      <family val="2"/>
    </font>
    <font>
      <sz val="11"/>
      <color rgb="FF000000"/>
      <name val="Calibri"/>
      <family val="2"/>
    </font>
    <font>
      <sz val="8"/>
      <color rgb="FF000000"/>
      <name val="Calibri"/>
      <family val="2"/>
    </font>
    <font>
      <sz val="8.5"/>
      <color rgb="FF000000"/>
      <name val="Montserrat"/>
    </font>
    <font>
      <b/>
      <sz val="11"/>
      <color theme="1"/>
      <name val="Calibri"/>
      <family val="2"/>
      <scheme val="minor"/>
    </font>
    <font>
      <sz val="11"/>
      <color rgb="FF000000"/>
      <name val="Calibri"/>
      <family val="2"/>
      <scheme val="minor"/>
    </font>
    <font>
      <sz val="11"/>
      <color theme="1"/>
      <name val="Calibri"/>
      <family val="2"/>
    </font>
    <font>
      <sz val="8"/>
      <name val="Calibri"/>
      <family val="2"/>
    </font>
    <font>
      <sz val="11"/>
      <color rgb="FFFF0000"/>
      <name val="Calibri"/>
      <family val="2"/>
    </font>
    <font>
      <sz val="11"/>
      <color rgb="FF503E1B"/>
      <name val="Arial"/>
      <family val="2"/>
    </font>
    <font>
      <sz val="11"/>
      <color theme="1"/>
      <name val="Arial"/>
      <family val="2"/>
    </font>
    <font>
      <sz val="10"/>
      <color theme="1"/>
      <name val="Arial"/>
      <family val="2"/>
    </font>
    <font>
      <sz val="10"/>
      <color rgb="FF2F5496"/>
      <name val="Calibri Light"/>
      <family val="2"/>
      <charset val="1"/>
    </font>
    <font>
      <b/>
      <sz val="10"/>
      <color rgb="FF2F5496"/>
      <name val="Calibri Light"/>
      <family val="2"/>
      <charset val="1"/>
    </font>
    <font>
      <b/>
      <sz val="11"/>
      <color theme="0"/>
      <name val="Calibri"/>
      <family val="2"/>
      <scheme val="minor"/>
    </font>
    <font>
      <sz val="11"/>
      <color rgb="FFFF0000"/>
      <name val="Calibri"/>
      <family val="2"/>
      <scheme val="minor"/>
    </font>
    <font>
      <sz val="11"/>
      <color rgb="FF000000"/>
      <name val="Montserrat"/>
      <family val="3"/>
    </font>
    <font>
      <b/>
      <sz val="11"/>
      <color rgb="FF000000"/>
      <name val="Montserrat"/>
      <family val="3"/>
    </font>
    <font>
      <sz val="12"/>
      <color theme="1"/>
      <name val="Calibri"/>
      <family val="2"/>
      <scheme val="minor"/>
    </font>
    <font>
      <b/>
      <sz val="12"/>
      <color rgb="FFFFFFFF"/>
      <name val="Montserrat"/>
      <family val="3"/>
    </font>
    <font>
      <b/>
      <sz val="12"/>
      <color rgb="FF000000"/>
      <name val="Montserrat"/>
      <family val="3"/>
    </font>
    <font>
      <sz val="12"/>
      <color rgb="FF000000"/>
      <name val="Montserrat"/>
      <family val="3"/>
    </font>
    <font>
      <sz val="12"/>
      <color rgb="FF000000"/>
      <name val="Montserrat"/>
    </font>
    <font>
      <sz val="12"/>
      <color rgb="FFFFFFFF"/>
      <name val="Montserrat"/>
      <family val="3"/>
    </font>
    <font>
      <sz val="12"/>
      <name val="Montserrat"/>
      <family val="3"/>
    </font>
    <font>
      <b/>
      <sz val="12"/>
      <name val="Montserrat"/>
      <family val="3"/>
    </font>
    <font>
      <b/>
      <sz val="12"/>
      <color rgb="FF000000"/>
      <name val="Montserrat"/>
    </font>
    <font>
      <sz val="10"/>
      <color rgb="FF000000"/>
      <name val="Helvetica"/>
      <family val="2"/>
    </font>
    <font>
      <u/>
      <sz val="11"/>
      <color theme="10"/>
      <name val="Calibri"/>
      <family val="2"/>
      <scheme val="minor"/>
    </font>
    <font>
      <b/>
      <sz val="11"/>
      <color rgb="FF000000"/>
      <name val="Calibri"/>
      <family val="2"/>
    </font>
    <font>
      <b/>
      <sz val="18"/>
      <color rgb="FFFFFFFF"/>
      <name val="Calibri"/>
      <family val="2"/>
    </font>
    <font>
      <b/>
      <sz val="11"/>
      <color rgb="FF375623"/>
      <name val="Calibri"/>
      <family val="2"/>
    </font>
    <font>
      <i/>
      <sz val="11"/>
      <color rgb="FF000000"/>
      <name val="Calibri"/>
      <family val="2"/>
    </font>
    <font>
      <b/>
      <sz val="36"/>
      <color theme="0"/>
      <name val="Calibri"/>
      <family val="2"/>
    </font>
    <font>
      <sz val="11"/>
      <color theme="0"/>
      <name val="Calibri"/>
      <family val="2"/>
    </font>
    <font>
      <b/>
      <sz val="12"/>
      <color theme="1"/>
      <name val="Calibri"/>
      <family val="2"/>
      <scheme val="minor"/>
    </font>
    <font>
      <sz val="11"/>
      <color theme="0"/>
      <name val="Calibri"/>
      <family val="2"/>
      <scheme val="minor"/>
    </font>
    <font>
      <b/>
      <sz val="8.5"/>
      <color theme="9" tint="-0.499984740745262"/>
      <name val="Ariel"/>
    </font>
    <font>
      <b/>
      <i/>
      <sz val="11"/>
      <color theme="1"/>
      <name val="Calibri"/>
      <family val="2"/>
      <scheme val="minor"/>
    </font>
    <font>
      <sz val="11"/>
      <color rgb="FF4D4D4D"/>
      <name val="Calibri"/>
      <family val="2"/>
    </font>
    <font>
      <sz val="11"/>
      <name val="Calibri"/>
      <family val="2"/>
    </font>
    <font>
      <b/>
      <sz val="11"/>
      <color theme="0"/>
      <name val="Calibri"/>
      <family val="2"/>
    </font>
    <font>
      <b/>
      <sz val="12"/>
      <color theme="0"/>
      <name val="Calibri"/>
      <family val="2"/>
      <scheme val="minor"/>
    </font>
    <font>
      <sz val="12"/>
      <color rgb="FFFF0000"/>
      <name val="Montserrat"/>
      <family val="3"/>
    </font>
    <font>
      <b/>
      <sz val="11"/>
      <color rgb="FFFFFFFF"/>
      <name val="Aptos Narrow"/>
      <family val="2"/>
    </font>
    <font>
      <sz val="11"/>
      <color rgb="FF000000"/>
      <name val="Aptos Narrow"/>
      <family val="2"/>
    </font>
    <font>
      <sz val="12"/>
      <name val="Calibri"/>
      <family val="2"/>
    </font>
    <font>
      <b/>
      <sz val="12"/>
      <color rgb="FFFF0000"/>
      <name val="Montserrat"/>
    </font>
    <font>
      <b/>
      <sz val="12"/>
      <color rgb="FFFF0000"/>
      <name val="Montserrat"/>
      <family val="3"/>
    </font>
    <font>
      <sz val="11"/>
      <color rgb="FF000000"/>
      <name val="Calibri"/>
      <family val="2"/>
    </font>
    <font>
      <b/>
      <sz val="11"/>
      <color rgb="FF000000"/>
      <name val="Calibri"/>
      <family val="2"/>
    </font>
    <font>
      <b/>
      <sz val="10"/>
      <color theme="0"/>
      <name val="Calibri"/>
      <family val="2"/>
      <scheme val="minor"/>
    </font>
    <font>
      <sz val="10"/>
      <color theme="1"/>
      <name val="Calibri"/>
      <family val="2"/>
      <scheme val="minor"/>
    </font>
    <font>
      <i/>
      <sz val="8.5"/>
      <color theme="1"/>
      <name val="Montserrat"/>
    </font>
    <font>
      <sz val="11"/>
      <color theme="1"/>
      <name val="Calibri"/>
      <family val="2"/>
      <scheme val="minor"/>
    </font>
    <font>
      <sz val="8"/>
      <color rgb="FF000000"/>
      <name val="Calibri"/>
      <family val="2"/>
    </font>
    <font>
      <sz val="11"/>
      <name val="Calibri"/>
      <family val="2"/>
      <scheme val="minor"/>
    </font>
    <font>
      <sz val="11"/>
      <name val="Calibri"/>
      <family val="2"/>
      <scheme val="minor"/>
    </font>
  </fonts>
  <fills count="52">
    <fill>
      <patternFill patternType="none"/>
    </fill>
    <fill>
      <patternFill patternType="gray125"/>
    </fill>
    <fill>
      <patternFill patternType="solid">
        <fgColor theme="9" tint="-0.499984740745262"/>
        <bgColor indexed="64"/>
      </patternFill>
    </fill>
    <fill>
      <patternFill patternType="solid">
        <fgColor theme="9" tint="0.79998168889431442"/>
        <bgColor indexed="64"/>
      </patternFill>
    </fill>
    <fill>
      <patternFill patternType="solid">
        <fgColor theme="0"/>
        <bgColor indexed="64"/>
      </patternFill>
    </fill>
    <fill>
      <patternFill patternType="solid">
        <fgColor rgb="FF375623"/>
        <bgColor rgb="FF000000"/>
      </patternFill>
    </fill>
    <fill>
      <patternFill patternType="solid">
        <fgColor rgb="FFBFBFBF"/>
        <bgColor rgb="FF000000"/>
      </patternFill>
    </fill>
    <fill>
      <patternFill patternType="solid">
        <fgColor rgb="FFBDD7EE"/>
        <bgColor rgb="FF000000"/>
      </patternFill>
    </fill>
    <fill>
      <patternFill patternType="solid">
        <fgColor rgb="FFFFFFFF"/>
        <bgColor rgb="FF000000"/>
      </patternFill>
    </fill>
    <fill>
      <patternFill patternType="solid">
        <fgColor rgb="FFFFFF00"/>
        <bgColor rgb="FF000000"/>
      </patternFill>
    </fill>
    <fill>
      <patternFill patternType="solid">
        <fgColor rgb="FFFFE699"/>
        <bgColor rgb="FF000000"/>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D966"/>
        <bgColor rgb="FF000000"/>
      </patternFill>
    </fill>
    <fill>
      <patternFill patternType="solid">
        <fgColor rgb="FFA9D08E"/>
        <bgColor rgb="FF000000"/>
      </patternFill>
    </fill>
    <fill>
      <patternFill patternType="solid">
        <fgColor rgb="FFD9E1F2"/>
        <bgColor rgb="FF000000"/>
      </patternFill>
    </fill>
    <fill>
      <patternFill patternType="solid">
        <fgColor rgb="FFF8CBAD"/>
        <bgColor rgb="FF000000"/>
      </patternFill>
    </fill>
    <fill>
      <patternFill patternType="solid">
        <fgColor rgb="FFC6E0B4"/>
        <bgColor rgb="FF000000"/>
      </patternFill>
    </fill>
    <fill>
      <patternFill patternType="solid">
        <fgColor rgb="FFE2EFDA"/>
        <bgColor rgb="FF000000"/>
      </patternFill>
    </fill>
    <fill>
      <patternFill patternType="solid">
        <fgColor rgb="FFFFC000"/>
        <bgColor rgb="FF000000"/>
      </patternFill>
    </fill>
    <fill>
      <patternFill patternType="solid">
        <fgColor rgb="FFF4B084"/>
        <bgColor rgb="FF000000"/>
      </patternFill>
    </fill>
    <fill>
      <patternFill patternType="solid">
        <fgColor rgb="FF9BC2E6"/>
        <bgColor rgb="FF000000"/>
      </patternFill>
    </fill>
    <fill>
      <patternFill patternType="solid">
        <fgColor rgb="FF00B05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3CB0C2"/>
        <bgColor indexed="64"/>
      </patternFill>
    </fill>
    <fill>
      <patternFill patternType="solid">
        <fgColor rgb="FF262626"/>
        <bgColor rgb="FF000000"/>
      </patternFill>
    </fill>
    <fill>
      <patternFill patternType="solid">
        <fgColor rgb="FF4F81BD"/>
        <bgColor rgb="FF4F81BD"/>
      </patternFill>
    </fill>
    <fill>
      <patternFill patternType="solid">
        <fgColor rgb="FF4F6228"/>
        <bgColor rgb="FF000000"/>
      </patternFill>
    </fill>
    <fill>
      <patternFill patternType="solid">
        <fgColor rgb="FFDCE6F1"/>
        <bgColor rgb="FFDCE6F1"/>
      </patternFill>
    </fill>
    <fill>
      <patternFill patternType="solid">
        <fgColor theme="9" tint="-0.249977111117893"/>
        <bgColor indexed="64"/>
      </patternFill>
    </fill>
    <fill>
      <patternFill patternType="solid">
        <fgColor rgb="FFFFC000"/>
        <bgColor indexed="64"/>
      </patternFill>
    </fill>
    <fill>
      <patternFill patternType="solid">
        <fgColor theme="7" tint="0.79998168889431442"/>
        <bgColor indexed="64"/>
      </patternFill>
    </fill>
    <fill>
      <patternFill patternType="solid">
        <fgColor rgb="FF156082"/>
        <bgColor rgb="FF156082"/>
      </patternFill>
    </fill>
    <fill>
      <patternFill patternType="solid">
        <fgColor rgb="FFC0E6F5"/>
        <bgColor rgb="FFC0E6F5"/>
      </patternFill>
    </fill>
    <fill>
      <patternFill patternType="solid">
        <fgColor rgb="FFB5E6A2"/>
        <bgColor rgb="FF000000"/>
      </patternFill>
    </fill>
    <fill>
      <patternFill patternType="solid">
        <fgColor theme="1"/>
        <bgColor theme="1"/>
      </patternFill>
    </fill>
    <fill>
      <patternFill patternType="solid">
        <fgColor rgb="FFC4D79B"/>
        <bgColor rgb="FF000000"/>
      </patternFill>
    </fill>
    <fill>
      <patternFill patternType="solid">
        <fgColor rgb="FFF2F2F2"/>
        <bgColor rgb="FF000000"/>
      </patternFill>
    </fill>
    <fill>
      <patternFill patternType="solid">
        <fgColor rgb="FFB7DEE8"/>
        <bgColor rgb="FF000000"/>
      </patternFill>
    </fill>
    <fill>
      <patternFill patternType="solid">
        <fgColor rgb="FFDAEEF3"/>
        <bgColor rgb="FF000000"/>
      </patternFill>
    </fill>
    <fill>
      <patternFill patternType="solid">
        <fgColor theme="2"/>
        <bgColor indexed="64"/>
      </patternFill>
    </fill>
    <fill>
      <patternFill patternType="solid">
        <fgColor rgb="FFD97979"/>
        <bgColor indexed="64"/>
      </patternFill>
    </fill>
    <fill>
      <patternFill patternType="solid">
        <fgColor theme="4" tint="0.59999389629810485"/>
        <bgColor indexed="64"/>
      </patternFill>
    </fill>
    <fill>
      <patternFill patternType="solid">
        <fgColor theme="4"/>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0" tint="-0.249977111117893"/>
        <bgColor indexed="64"/>
      </patternFill>
    </fill>
  </fills>
  <borders count="178">
    <border>
      <left/>
      <right/>
      <top/>
      <bottom/>
      <diagonal/>
    </border>
    <border>
      <left/>
      <right style="thin">
        <color indexed="64"/>
      </right>
      <top/>
      <bottom/>
      <diagonal/>
    </border>
    <border>
      <left style="thin">
        <color indexed="64"/>
      </left>
      <right/>
      <top/>
      <bottom/>
      <diagonal/>
    </border>
    <border>
      <left/>
      <right style="thick">
        <color theme="9" tint="-0.499984740745262"/>
      </right>
      <top/>
      <bottom/>
      <diagonal/>
    </border>
    <border>
      <left style="thick">
        <color theme="9" tint="-0.499984740745262"/>
      </left>
      <right/>
      <top/>
      <bottom/>
      <diagonal/>
    </border>
    <border>
      <left style="thick">
        <color theme="0"/>
      </left>
      <right style="thick">
        <color theme="0"/>
      </right>
      <top style="thick">
        <color theme="0"/>
      </top>
      <bottom style="thick">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ck">
        <color theme="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bottom style="thin">
        <color rgb="FF000000"/>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right style="thin">
        <color rgb="FF000000"/>
      </right>
      <top/>
      <bottom style="thin">
        <color rgb="FF000000"/>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right/>
      <top/>
      <bottom style="thin">
        <color rgb="FFFFFFFF"/>
      </bottom>
      <diagonal/>
    </border>
    <border>
      <left style="dotted">
        <color rgb="FF000000"/>
      </left>
      <right style="dotted">
        <color rgb="FF000000"/>
      </right>
      <top style="dotted">
        <color rgb="FF000000"/>
      </top>
      <bottom style="dotted">
        <color rgb="FF000000"/>
      </bottom>
      <diagonal/>
    </border>
    <border>
      <left/>
      <right/>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dotted">
        <color rgb="FF000000"/>
      </right>
      <top/>
      <bottom style="dotted">
        <color rgb="FF000000"/>
      </bottom>
      <diagonal/>
    </border>
    <border>
      <left style="dotted">
        <color rgb="FF000000"/>
      </left>
      <right style="dotted">
        <color rgb="FF000000"/>
      </right>
      <top/>
      <bottom style="double">
        <color rgb="FF000000"/>
      </bottom>
      <diagonal/>
    </border>
    <border>
      <left/>
      <right style="dotted">
        <color rgb="FF000000"/>
      </right>
      <top style="dotted">
        <color rgb="FF000000"/>
      </top>
      <bottom style="dotted">
        <color rgb="FF000000"/>
      </bottom>
      <diagonal/>
    </border>
    <border>
      <left/>
      <right style="dotted">
        <color rgb="FF000000"/>
      </right>
      <top style="dotted">
        <color rgb="FF000000"/>
      </top>
      <bottom style="double">
        <color rgb="FF000000"/>
      </bottom>
      <diagonal/>
    </border>
    <border>
      <left/>
      <right style="dotted">
        <color rgb="FF000000"/>
      </right>
      <top/>
      <bottom style="double">
        <color rgb="FF000000"/>
      </bottom>
      <diagonal/>
    </border>
    <border>
      <left/>
      <right style="dotted">
        <color rgb="FF000000"/>
      </right>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style="dotted">
        <color rgb="FF000000"/>
      </right>
      <top style="dotted">
        <color rgb="FF000000"/>
      </top>
      <bottom style="double">
        <color rgb="FF000000"/>
      </bottom>
      <diagonal/>
    </border>
    <border>
      <left style="dotted">
        <color rgb="FF000000"/>
      </left>
      <right style="medium">
        <color rgb="FF000000"/>
      </right>
      <top style="dotted">
        <color rgb="FF000000"/>
      </top>
      <bottom style="double">
        <color rgb="FF000000"/>
      </bottom>
      <diagonal/>
    </border>
    <border>
      <left style="medium">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medium">
        <color rgb="FF000000"/>
      </left>
      <right style="dotted">
        <color rgb="FF000000"/>
      </right>
      <top/>
      <bottom style="dotted">
        <color rgb="FF000000"/>
      </bottom>
      <diagonal/>
    </border>
    <border>
      <left style="dotted">
        <color rgb="FF000000"/>
      </left>
      <right style="medium">
        <color rgb="FF000000"/>
      </right>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double">
        <color rgb="FF000000"/>
      </bottom>
      <diagonal/>
    </border>
    <border>
      <left style="dotted">
        <color rgb="FF000000"/>
      </left>
      <right/>
      <top/>
      <bottom style="double">
        <color rgb="FF000000"/>
      </bottom>
      <diagonal/>
    </border>
    <border>
      <left style="dotted">
        <color rgb="FF000000"/>
      </left>
      <right/>
      <top/>
      <bottom style="dotted">
        <color rgb="FF000000"/>
      </bottom>
      <diagonal/>
    </border>
    <border>
      <left style="dotted">
        <color rgb="FF000000"/>
      </left>
      <right/>
      <top style="dotted">
        <color rgb="FF000000"/>
      </top>
      <bottom style="medium">
        <color rgb="FF000000"/>
      </bottom>
      <diagonal/>
    </border>
    <border>
      <left style="hair">
        <color rgb="FF000000"/>
      </left>
      <right/>
      <top style="hair">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dotted">
        <color rgb="FF000000"/>
      </right>
      <top/>
      <bottom/>
      <diagonal/>
    </border>
    <border>
      <left style="dotted">
        <color rgb="FF000000"/>
      </left>
      <right style="dotted">
        <color rgb="FF000000"/>
      </right>
      <top/>
      <bottom/>
      <diagonal/>
    </border>
    <border>
      <left style="dotted">
        <color rgb="FF000000"/>
      </left>
      <right style="medium">
        <color rgb="FF000000"/>
      </right>
      <top/>
      <bottom/>
      <diagonal/>
    </border>
    <border>
      <left/>
      <right style="dotted">
        <color rgb="FF000000"/>
      </right>
      <top/>
      <bottom/>
      <diagonal/>
    </border>
    <border>
      <left style="dotted">
        <color rgb="FF000000"/>
      </left>
      <right/>
      <top/>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right style="dotted">
        <color rgb="FF000000"/>
      </right>
      <top style="dotted">
        <color rgb="FF000000"/>
      </top>
      <bottom/>
      <diagonal/>
    </border>
    <border>
      <left style="dotted">
        <color rgb="FF000000"/>
      </left>
      <right/>
      <top style="dotted">
        <color rgb="FF000000"/>
      </top>
      <bottom/>
      <diagonal/>
    </border>
    <border>
      <left style="thick">
        <color theme="9" tint="-0.499984740745262"/>
      </left>
      <right/>
      <top/>
      <bottom style="medium">
        <color rgb="FF000000"/>
      </bottom>
      <diagonal/>
    </border>
    <border>
      <left/>
      <right style="thick">
        <color theme="9" tint="-0.499984740745262"/>
      </right>
      <top/>
      <bottom style="medium">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dotted">
        <color rgb="FF000000"/>
      </left>
      <right style="dotted">
        <color rgb="FF000000"/>
      </right>
      <top style="medium">
        <color rgb="FF000000"/>
      </top>
      <bottom/>
      <diagonal/>
    </border>
    <border>
      <left/>
      <right style="medium">
        <color rgb="FF000000"/>
      </right>
      <top style="dotted">
        <color rgb="FF000000"/>
      </top>
      <bottom style="dotted">
        <color rgb="FF000000"/>
      </bottom>
      <diagonal/>
    </border>
    <border>
      <left/>
      <right style="medium">
        <color rgb="FF000000"/>
      </right>
      <top/>
      <bottom style="double">
        <color rgb="FF000000"/>
      </bottom>
      <diagonal/>
    </border>
    <border>
      <left/>
      <right style="medium">
        <color rgb="FF000000"/>
      </right>
      <top/>
      <bottom style="dotted">
        <color rgb="FF000000"/>
      </bottom>
      <diagonal/>
    </border>
    <border>
      <left/>
      <right style="medium">
        <color rgb="FF000000"/>
      </right>
      <top style="dotted">
        <color rgb="FF000000"/>
      </top>
      <bottom style="double">
        <color rgb="FF000000"/>
      </bottom>
      <diagonal/>
    </border>
    <border>
      <left/>
      <right style="medium">
        <color rgb="FF000000"/>
      </right>
      <top style="dotted">
        <color rgb="FF000000"/>
      </top>
      <bottom/>
      <diagonal/>
    </border>
    <border>
      <left/>
      <right style="medium">
        <color rgb="FF000000"/>
      </right>
      <top style="dotted">
        <color rgb="FF000000"/>
      </top>
      <bottom style="medium">
        <color rgb="FF000000"/>
      </bottom>
      <diagonal/>
    </border>
    <border>
      <left/>
      <right/>
      <top style="dotted">
        <color rgb="FF000000"/>
      </top>
      <bottom style="dotted">
        <color rgb="FF000000"/>
      </bottom>
      <diagonal/>
    </border>
    <border>
      <left/>
      <right/>
      <top style="dotted">
        <color rgb="FF000000"/>
      </top>
      <bottom/>
      <diagonal/>
    </border>
    <border>
      <left/>
      <right/>
      <top style="dotted">
        <color rgb="FF000000"/>
      </top>
      <bottom style="medium">
        <color rgb="FF000000"/>
      </bottom>
      <diagonal/>
    </border>
    <border>
      <left/>
      <right/>
      <top/>
      <bottom style="dotted">
        <color rgb="FF000000"/>
      </bottom>
      <diagonal/>
    </border>
    <border>
      <left/>
      <right/>
      <top style="dotted">
        <color rgb="FF000000"/>
      </top>
      <bottom style="double">
        <color rgb="FF000000"/>
      </bottom>
      <diagonal/>
    </border>
    <border>
      <left style="medium">
        <color rgb="FF000000"/>
      </left>
      <right/>
      <top/>
      <bottom style="double">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rgb="FF95B3D7"/>
      </bottom>
      <diagonal/>
    </border>
    <border>
      <left/>
      <right style="thin">
        <color indexed="64"/>
      </right>
      <top style="thin">
        <color indexed="64"/>
      </top>
      <bottom style="thin">
        <color rgb="FF95B3D7"/>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style="medium">
        <color rgb="FF000000"/>
      </left>
      <right/>
      <top style="dotted">
        <color rgb="FF000000"/>
      </top>
      <bottom style="medium">
        <color rgb="FF000000"/>
      </bottom>
      <diagonal/>
    </border>
    <border>
      <left style="medium">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style="thin">
        <color theme="1"/>
      </left>
      <right/>
      <top style="thin">
        <color theme="1"/>
      </top>
      <bottom/>
      <diagonal/>
    </border>
    <border>
      <left/>
      <right/>
      <top style="thin">
        <color theme="1"/>
      </top>
      <bottom/>
      <diagonal/>
    </border>
    <border>
      <left style="thin">
        <color indexed="64"/>
      </left>
      <right style="thin">
        <color indexed="64"/>
      </right>
      <top style="thin">
        <color indexed="64"/>
      </top>
      <bottom style="thin">
        <color rgb="FF44B3E1"/>
      </bottom>
      <diagonal/>
    </border>
    <border>
      <left style="thin">
        <color rgb="FF44B3E1"/>
      </left>
      <right style="thin">
        <color indexed="64"/>
      </right>
      <top style="thin">
        <color indexed="64"/>
      </top>
      <bottom style="thin">
        <color indexed="64"/>
      </bottom>
      <diagonal/>
    </border>
    <border>
      <left style="thin">
        <color rgb="FF44B3E1"/>
      </left>
      <right style="thin">
        <color rgb="FF44B3E1"/>
      </right>
      <top style="thin">
        <color rgb="FF44B3E1"/>
      </top>
      <bottom style="thin">
        <color rgb="FF44B3E1"/>
      </bottom>
      <diagonal/>
    </border>
    <border>
      <left style="thin">
        <color rgb="FF44B3E1"/>
      </left>
      <right style="thin">
        <color rgb="FF44B3E1"/>
      </right>
      <top style="thin">
        <color indexed="64"/>
      </top>
      <bottom style="thin">
        <color indexed="64"/>
      </bottom>
      <diagonal/>
    </border>
    <border>
      <left style="thin">
        <color indexed="64"/>
      </left>
      <right style="thin">
        <color rgb="FF44B3E1"/>
      </right>
      <top style="thin">
        <color indexed="64"/>
      </top>
      <bottom style="thin">
        <color indexed="64"/>
      </bottom>
      <diagonal/>
    </border>
    <border>
      <left style="thin">
        <color rgb="FF44B3E1"/>
      </left>
      <right style="thin">
        <color indexed="64"/>
      </right>
      <top style="thin">
        <color indexed="64"/>
      </top>
      <bottom style="thin">
        <color rgb="FF44B3E1"/>
      </bottom>
      <diagonal/>
    </border>
    <border>
      <left/>
      <right style="thin">
        <color indexed="64"/>
      </right>
      <top style="thin">
        <color indexed="64"/>
      </top>
      <bottom style="thin">
        <color rgb="FF44B3E1"/>
      </bottom>
      <diagonal/>
    </border>
    <border>
      <left/>
      <right/>
      <top style="thin">
        <color indexed="64"/>
      </top>
      <bottom style="thin">
        <color indexed="64"/>
      </bottom>
      <diagonal/>
    </border>
    <border>
      <left/>
      <right/>
      <top style="thin">
        <color indexed="64"/>
      </top>
      <bottom style="thin">
        <color rgb="FF44B3E1"/>
      </bottom>
      <diagonal/>
    </border>
    <border>
      <left/>
      <right/>
      <top style="thin">
        <color indexed="64"/>
      </top>
      <bottom/>
      <diagonal/>
    </border>
    <border>
      <left/>
      <right style="thin">
        <color rgb="FF44B3E1"/>
      </right>
      <top style="thin">
        <color indexed="64"/>
      </top>
      <bottom style="thin">
        <color indexed="64"/>
      </bottom>
      <diagonal/>
    </border>
    <border>
      <left/>
      <right style="thin">
        <color rgb="FF44B3E1"/>
      </right>
      <top style="thin">
        <color indexed="64"/>
      </top>
      <bottom style="thin">
        <color rgb="FF44B3E1"/>
      </bottom>
      <diagonal/>
    </border>
    <border>
      <left/>
      <right style="thin">
        <color rgb="FF44B3E1"/>
      </right>
      <top style="thin">
        <color indexed="64"/>
      </top>
      <bottom/>
      <diagonal/>
    </border>
    <border>
      <left style="thin">
        <color rgb="FF44B3E1"/>
      </left>
      <right/>
      <top style="thin">
        <color indexed="64"/>
      </top>
      <bottom style="thin">
        <color rgb="FF44B3E1"/>
      </bottom>
      <diagonal/>
    </border>
    <border>
      <left style="thin">
        <color rgb="FF44B3E1"/>
      </left>
      <right/>
      <top style="thin">
        <color rgb="FF44B3E1"/>
      </top>
      <bottom style="thin">
        <color rgb="FF44B3E1"/>
      </bottom>
      <diagonal/>
    </border>
    <border>
      <left style="thin">
        <color rgb="FF44B3E1"/>
      </left>
      <right/>
      <top style="thin">
        <color rgb="FF44B3E1"/>
      </top>
      <bottom/>
      <diagonal/>
    </border>
    <border>
      <left/>
      <right/>
      <top style="thin">
        <color rgb="FF44B3E1"/>
      </top>
      <bottom style="thin">
        <color rgb="FF44B3E1"/>
      </bottom>
      <diagonal/>
    </border>
    <border>
      <left/>
      <right/>
      <top style="thin">
        <color rgb="FF44B3E1"/>
      </top>
      <bottom/>
      <diagonal/>
    </border>
    <border>
      <left style="thin">
        <color rgb="FF44B3E1"/>
      </left>
      <right/>
      <top style="thin">
        <color indexed="64"/>
      </top>
      <bottom style="thin">
        <color indexed="64"/>
      </bottom>
      <diagonal/>
    </border>
    <border>
      <left style="thin">
        <color indexed="64"/>
      </left>
      <right/>
      <top style="thin">
        <color indexed="64"/>
      </top>
      <bottom style="thin">
        <color rgb="FF44B3E1"/>
      </bottom>
      <diagonal/>
    </border>
    <border>
      <left style="thin">
        <color rgb="FF44B3E1"/>
      </left>
      <right/>
      <top/>
      <bottom style="thin">
        <color indexed="64"/>
      </bottom>
      <diagonal/>
    </border>
    <border>
      <left style="thin">
        <color rgb="FF44B3E1"/>
      </left>
      <right style="thin">
        <color indexed="64"/>
      </right>
      <top style="thin">
        <color indexed="64"/>
      </top>
      <bottom/>
      <diagonal/>
    </border>
    <border>
      <left style="thin">
        <color rgb="FF44B3E1"/>
      </left>
      <right style="thin">
        <color indexed="64"/>
      </right>
      <top/>
      <bottom style="thin">
        <color indexed="64"/>
      </bottom>
      <diagonal/>
    </border>
    <border>
      <left style="thin">
        <color rgb="FF44B3E1"/>
      </left>
      <right style="thin">
        <color rgb="FF44B3E1"/>
      </right>
      <top style="thin">
        <color rgb="FF44B3E1"/>
      </top>
      <bottom/>
      <diagonal/>
    </border>
    <border>
      <left style="thin">
        <color rgb="FF44B3E1"/>
      </left>
      <right/>
      <top/>
      <bottom style="thin">
        <color rgb="FF44B3E1"/>
      </bottom>
      <diagonal/>
    </border>
    <border>
      <left style="thin">
        <color rgb="FF44B3E1"/>
      </left>
      <right style="thin">
        <color rgb="FF44B3E1"/>
      </right>
      <top/>
      <bottom style="thin">
        <color rgb="FF44B3E1"/>
      </bottom>
      <diagonal/>
    </border>
    <border>
      <left style="thin">
        <color indexed="64"/>
      </left>
      <right style="thin">
        <color indexed="64"/>
      </right>
      <top style="thin">
        <color rgb="FF44B3E1"/>
      </top>
      <bottom/>
      <diagonal/>
    </border>
    <border>
      <left style="medium">
        <color rgb="FF000000"/>
      </left>
      <right/>
      <top/>
      <bottom style="dashed">
        <color rgb="FF000000"/>
      </bottom>
      <diagonal/>
    </border>
    <border>
      <left/>
      <right/>
      <top/>
      <bottom style="dashed">
        <color rgb="FF000000"/>
      </bottom>
      <diagonal/>
    </border>
    <border>
      <left style="medium">
        <color rgb="FF000000"/>
      </left>
      <right style="medium">
        <color rgb="FF000000"/>
      </right>
      <top/>
      <bottom style="dashed">
        <color rgb="FF000000"/>
      </bottom>
      <diagonal/>
    </border>
    <border>
      <left/>
      <right style="medium">
        <color rgb="FF000000"/>
      </right>
      <top/>
      <bottom style="dashed">
        <color rgb="FF000000"/>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dashed">
        <color theme="0" tint="-0.249977111117893"/>
      </left>
      <right/>
      <top style="dashed">
        <color theme="0" tint="-0.249977111117893"/>
      </top>
      <bottom style="thin">
        <color rgb="FF000000"/>
      </bottom>
      <diagonal/>
    </border>
    <border>
      <left/>
      <right/>
      <top style="dashed">
        <color theme="0" tint="-0.249977111117893"/>
      </top>
      <bottom style="thin">
        <color rgb="FF000000"/>
      </bottom>
      <diagonal/>
    </border>
    <border>
      <left style="dashed">
        <color theme="0" tint="-0.249977111117893"/>
      </left>
      <right/>
      <top/>
      <bottom style="dashed">
        <color theme="0" tint="-0.249977111117893"/>
      </bottom>
      <diagonal/>
    </border>
    <border>
      <left/>
      <right/>
      <top/>
      <bottom style="dashed">
        <color theme="0" tint="-0.249977111117893"/>
      </bottom>
      <diagonal/>
    </border>
    <border>
      <left style="medium">
        <color rgb="FF000000"/>
      </left>
      <right/>
      <top/>
      <bottom style="dashed">
        <color theme="0" tint="-0.249977111117893"/>
      </bottom>
      <diagonal/>
    </border>
    <border>
      <left/>
      <right style="medium">
        <color rgb="FF000000"/>
      </right>
      <top/>
      <bottom style="dashed">
        <color theme="0" tint="-0.249977111117893"/>
      </bottom>
      <diagonal/>
    </border>
    <border>
      <left style="dashed">
        <color theme="0" tint="-0.249977111117893"/>
      </left>
      <right/>
      <top/>
      <bottom/>
      <diagonal/>
    </border>
    <border>
      <left style="dashed">
        <color theme="0" tint="-0.249977111117893"/>
      </left>
      <right/>
      <top style="medium">
        <color rgb="FF000000"/>
      </top>
      <bottom style="dashed">
        <color theme="0" tint="-0.249977111117893"/>
      </bottom>
      <diagonal/>
    </border>
    <border>
      <left/>
      <right/>
      <top style="medium">
        <color rgb="FF000000"/>
      </top>
      <bottom style="dashed">
        <color theme="0" tint="-0.249977111117893"/>
      </bottom>
      <diagonal/>
    </border>
    <border>
      <left/>
      <right style="medium">
        <color rgb="FF000000"/>
      </right>
      <top style="medium">
        <color rgb="FF000000"/>
      </top>
      <bottom style="dashed">
        <color theme="0" tint="-0.249977111117893"/>
      </bottom>
      <diagonal/>
    </border>
    <border>
      <left/>
      <right style="medium">
        <color rgb="FF000000"/>
      </right>
      <top style="dashed">
        <color theme="0" tint="-0.249977111117893"/>
      </top>
      <bottom style="thin">
        <color rgb="FF000000"/>
      </bottom>
      <diagonal/>
    </border>
    <border>
      <left style="medium">
        <color rgb="FF000000"/>
      </left>
      <right/>
      <top style="dashed">
        <color rgb="FF000000"/>
      </top>
      <bottom/>
      <diagonal/>
    </border>
    <border>
      <left/>
      <right/>
      <top style="dashed">
        <color rgb="FF000000"/>
      </top>
      <bottom/>
      <diagonal/>
    </border>
    <border>
      <left/>
      <right style="medium">
        <color rgb="FF000000"/>
      </right>
      <top style="dashed">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diagonal/>
    </border>
    <border>
      <left style="thin">
        <color rgb="FF000000"/>
      </left>
      <right/>
      <top style="medium">
        <color rgb="FF000000"/>
      </top>
      <bottom/>
      <diagonal/>
    </border>
    <border>
      <left style="thin">
        <color rgb="FF000000"/>
      </left>
      <right/>
      <top/>
      <bottom style="medium">
        <color rgb="FF000000"/>
      </bottom>
      <diagonal/>
    </border>
  </borders>
  <cellStyleXfs count="3">
    <xf numFmtId="0" fontId="0" fillId="0" borderId="0"/>
    <xf numFmtId="0" fontId="39" fillId="0" borderId="0" applyNumberFormat="0" applyFill="0" applyBorder="0" applyAlignment="0" applyProtection="0"/>
    <xf numFmtId="9" fontId="65" fillId="0" borderId="0" applyFont="0" applyFill="0" applyBorder="0" applyAlignment="0" applyProtection="0"/>
  </cellStyleXfs>
  <cellXfs count="1479">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5" fillId="0" borderId="10" xfId="0" applyFont="1" applyBorder="1" applyAlignment="1">
      <alignment horizontal="center"/>
    </xf>
    <xf numFmtId="0" fontId="5" fillId="0" borderId="9" xfId="0" applyFont="1" applyBorder="1"/>
    <xf numFmtId="0" fontId="7" fillId="3" borderId="9" xfId="0" applyFont="1" applyFill="1" applyBorder="1"/>
    <xf numFmtId="0" fontId="5" fillId="0" borderId="0" xfId="0" applyFont="1" applyAlignment="1">
      <alignment horizontal="center"/>
    </xf>
    <xf numFmtId="0" fontId="9" fillId="2" borderId="0" xfId="0" applyFont="1" applyFill="1"/>
    <xf numFmtId="0" fontId="5" fillId="0" borderId="15" xfId="0" applyFont="1" applyBorder="1" applyAlignment="1">
      <alignment horizontal="center"/>
    </xf>
    <xf numFmtId="0" fontId="6" fillId="2" borderId="15" xfId="0" applyFont="1" applyFill="1" applyBorder="1" applyAlignment="1">
      <alignment horizontal="center"/>
    </xf>
    <xf numFmtId="0" fontId="9" fillId="2" borderId="10" xfId="0" applyFont="1" applyFill="1" applyBorder="1"/>
    <xf numFmtId="0" fontId="0" fillId="3" borderId="15" xfId="0" applyFill="1" applyBorder="1" applyAlignment="1">
      <alignment horizont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9" xfId="0" applyFont="1" applyBorder="1" applyAlignment="1">
      <alignment horizontal="center"/>
    </xf>
    <xf numFmtId="0" fontId="5" fillId="0" borderId="0" xfId="0" applyFont="1"/>
    <xf numFmtId="0" fontId="0" fillId="0" borderId="0" xfId="0" applyAlignment="1">
      <alignment horizontal="center" vertical="center"/>
    </xf>
    <xf numFmtId="0" fontId="5" fillId="0" borderId="9" xfId="0" applyFont="1" applyBorder="1" applyAlignment="1">
      <alignment horizontal="left" vertical="center"/>
    </xf>
    <xf numFmtId="2" fontId="5" fillId="0" borderId="0" xfId="0" applyNumberFormat="1" applyFont="1" applyAlignment="1">
      <alignment horizontal="center"/>
    </xf>
    <xf numFmtId="0" fontId="9" fillId="2" borderId="9" xfId="0" applyFont="1" applyFill="1" applyBorder="1"/>
    <xf numFmtId="165" fontId="0" fillId="0" borderId="0" xfId="0" applyNumberFormat="1"/>
    <xf numFmtId="0" fontId="5" fillId="0" borderId="9" xfId="0" applyFont="1" applyBorder="1" applyAlignment="1">
      <alignment horizontal="left"/>
    </xf>
    <xf numFmtId="0" fontId="12" fillId="0" borderId="24" xfId="0" applyFont="1" applyBorder="1"/>
    <xf numFmtId="0" fontId="11" fillId="5" borderId="21"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14" fillId="0" borderId="9" xfId="0" applyFont="1" applyBorder="1" applyAlignment="1">
      <alignment horizontal="left"/>
    </xf>
    <xf numFmtId="9" fontId="0" fillId="0" borderId="0" xfId="0" applyNumberFormat="1"/>
    <xf numFmtId="1" fontId="12" fillId="0" borderId="24" xfId="0" applyNumberFormat="1" applyFont="1" applyBorder="1"/>
    <xf numFmtId="14" fontId="12" fillId="0" borderId="23" xfId="0" applyNumberFormat="1" applyFont="1" applyBorder="1" applyAlignment="1">
      <alignment horizontal="center" vertical="center"/>
    </xf>
    <xf numFmtId="0" fontId="12" fillId="0" borderId="24" xfId="0" applyFont="1" applyBorder="1" applyAlignment="1">
      <alignment horizontal="center" vertical="center"/>
    </xf>
    <xf numFmtId="0" fontId="12" fillId="0" borderId="24" xfId="0" applyFont="1" applyBorder="1" applyAlignment="1">
      <alignment vertical="center"/>
    </xf>
    <xf numFmtId="0" fontId="12" fillId="0" borderId="24" xfId="0" applyFont="1" applyBorder="1" applyAlignment="1">
      <alignment vertical="center" wrapText="1"/>
    </xf>
    <xf numFmtId="0" fontId="5"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5" fillId="0" borderId="13" xfId="0" applyFont="1" applyBorder="1" applyAlignment="1">
      <alignment horizontal="left"/>
    </xf>
    <xf numFmtId="0" fontId="5" fillId="0" borderId="8" xfId="0" applyFont="1" applyBorder="1" applyAlignment="1">
      <alignment horizontal="center"/>
    </xf>
    <xf numFmtId="14" fontId="0" fillId="0" borderId="0" xfId="0" applyNumberFormat="1"/>
    <xf numFmtId="0" fontId="15" fillId="0" borderId="0" xfId="0" applyFont="1" applyAlignment="1">
      <alignment horizontal="center" vertical="center"/>
    </xf>
    <xf numFmtId="0" fontId="5" fillId="0" borderId="10" xfId="0" applyFont="1" applyBorder="1"/>
    <xf numFmtId="0" fontId="5" fillId="0" borderId="11" xfId="0" applyFont="1" applyBorder="1"/>
    <xf numFmtId="0" fontId="5" fillId="0" borderId="12" xfId="0" applyFont="1" applyBorder="1"/>
    <xf numFmtId="0" fontId="17" fillId="0" borderId="24" xfId="0" applyFont="1" applyBorder="1" applyAlignment="1">
      <alignment vertical="center"/>
    </xf>
    <xf numFmtId="16" fontId="12" fillId="0" borderId="24" xfId="0" applyNumberFormat="1" applyFont="1" applyBorder="1" applyAlignment="1">
      <alignment horizontal="center"/>
    </xf>
    <xf numFmtId="0" fontId="12" fillId="0" borderId="30" xfId="0" applyFont="1" applyBorder="1" applyAlignment="1">
      <alignment vertical="center"/>
    </xf>
    <xf numFmtId="0" fontId="0" fillId="0" borderId="0" xfId="0" applyAlignment="1">
      <alignment wrapText="1"/>
    </xf>
    <xf numFmtId="0" fontId="18" fillId="0" borderId="23" xfId="0" applyFont="1" applyBorder="1"/>
    <xf numFmtId="0" fontId="18" fillId="0" borderId="24" xfId="0" applyFont="1" applyBorder="1"/>
    <xf numFmtId="2" fontId="0" fillId="0" borderId="0" xfId="0" applyNumberFormat="1"/>
    <xf numFmtId="1" fontId="0" fillId="0" borderId="0" xfId="0" applyNumberFormat="1"/>
    <xf numFmtId="1" fontId="11" fillId="5" borderId="22" xfId="0" applyNumberFormat="1" applyFont="1" applyFill="1" applyBorder="1" applyAlignment="1">
      <alignment horizontal="center" vertical="center" wrapText="1"/>
    </xf>
    <xf numFmtId="2" fontId="18" fillId="0" borderId="24" xfId="0" applyNumberFormat="1" applyFont="1" applyBorder="1"/>
    <xf numFmtId="0" fontId="11" fillId="5" borderId="32" xfId="0" applyFont="1" applyFill="1" applyBorder="1" applyAlignment="1">
      <alignment horizontal="center" vertical="center" wrapText="1"/>
    </xf>
    <xf numFmtId="0" fontId="12" fillId="0" borderId="30" xfId="0" applyFont="1" applyBorder="1" applyAlignment="1">
      <alignment horizontal="center" vertical="center"/>
    </xf>
    <xf numFmtId="0" fontId="12" fillId="0" borderId="0" xfId="0" applyFont="1" applyAlignment="1">
      <alignment horizontal="center" vertical="center"/>
    </xf>
    <xf numFmtId="14" fontId="20" fillId="4" borderId="21" xfId="0" applyNumberFormat="1" applyFont="1" applyFill="1" applyBorder="1"/>
    <xf numFmtId="0" fontId="20" fillId="4" borderId="22" xfId="0" applyFont="1" applyFill="1" applyBorder="1"/>
    <xf numFmtId="14" fontId="20" fillId="4" borderId="23" xfId="0" applyNumberFormat="1" applyFont="1" applyFill="1" applyBorder="1"/>
    <xf numFmtId="0" fontId="20" fillId="4" borderId="24" xfId="0" applyFont="1" applyFill="1" applyBorder="1"/>
    <xf numFmtId="0" fontId="19" fillId="0" borderId="35" xfId="0" applyFont="1" applyBorder="1" applyAlignment="1">
      <alignment vertical="center"/>
    </xf>
    <xf numFmtId="0" fontId="11" fillId="5" borderId="22" xfId="0" applyFont="1" applyFill="1" applyBorder="1" applyAlignment="1">
      <alignment horizontal="center" vertical="center"/>
    </xf>
    <xf numFmtId="0" fontId="16" fillId="0" borderId="19" xfId="0" applyFont="1" applyBorder="1"/>
    <xf numFmtId="14" fontId="21" fillId="4" borderId="0" xfId="0" applyNumberFormat="1" applyFont="1" applyFill="1" applyAlignment="1">
      <alignment wrapText="1"/>
    </xf>
    <xf numFmtId="0" fontId="21" fillId="4" borderId="0" xfId="0" applyFont="1" applyFill="1" applyAlignment="1">
      <alignment wrapText="1"/>
    </xf>
    <xf numFmtId="0" fontId="22" fillId="4" borderId="0" xfId="0" applyFont="1" applyFill="1" applyAlignment="1">
      <alignment wrapText="1"/>
    </xf>
    <xf numFmtId="0" fontId="0" fillId="0" borderId="0" xfId="0" applyAlignment="1">
      <alignment horizontal="center" vertical="center" wrapText="1"/>
    </xf>
    <xf numFmtId="14" fontId="0" fillId="0" borderId="0" xfId="0" applyNumberFormat="1" applyAlignment="1">
      <alignment horizontal="center"/>
    </xf>
    <xf numFmtId="0" fontId="0" fillId="0" borderId="0" xfId="0" pivotButton="1" applyAlignment="1">
      <alignment horizontal="center"/>
    </xf>
    <xf numFmtId="0" fontId="23" fillId="0" borderId="0" xfId="0" applyFont="1"/>
    <xf numFmtId="0" fontId="23" fillId="0" borderId="0" xfId="0" applyFont="1" applyAlignment="1">
      <alignment wrapText="1"/>
    </xf>
    <xf numFmtId="0" fontId="24" fillId="0" borderId="0" xfId="0" applyFont="1"/>
    <xf numFmtId="0" fontId="12" fillId="0" borderId="24" xfId="0" applyFont="1" applyBorder="1" applyAlignment="1">
      <alignment wrapText="1"/>
    </xf>
    <xf numFmtId="0" fontId="0" fillId="0" borderId="0" xfId="0" pivotButton="1"/>
    <xf numFmtId="167" fontId="0" fillId="0" borderId="0" xfId="0" applyNumberFormat="1" applyAlignment="1">
      <alignment horizontal="center"/>
    </xf>
    <xf numFmtId="167" fontId="0" fillId="0" borderId="0" xfId="0" applyNumberFormat="1"/>
    <xf numFmtId="0" fontId="0" fillId="0" borderId="0" xfId="0" pivotButton="1" applyAlignment="1">
      <alignment horizontal="left"/>
    </xf>
    <xf numFmtId="0" fontId="0" fillId="0" borderId="0" xfId="0" applyAlignment="1">
      <alignment horizontal="left"/>
    </xf>
    <xf numFmtId="49" fontId="12" fillId="0" borderId="31" xfId="0" applyNumberFormat="1" applyFont="1" applyBorder="1" applyAlignment="1">
      <alignment horizontal="center"/>
    </xf>
    <xf numFmtId="16" fontId="12" fillId="0" borderId="33" xfId="0" applyNumberFormat="1" applyFont="1" applyBorder="1" applyAlignment="1">
      <alignment horizontal="center"/>
    </xf>
    <xf numFmtId="9" fontId="0" fillId="0" borderId="0" xfId="0" applyNumberFormat="1" applyAlignment="1">
      <alignment horizontal="center"/>
    </xf>
    <xf numFmtId="0" fontId="25" fillId="2" borderId="0" xfId="0" applyFont="1" applyFill="1" applyAlignment="1">
      <alignment horizontal="center" vertical="center" wrapText="1"/>
    </xf>
    <xf numFmtId="0" fontId="26" fillId="0" borderId="0" xfId="0" applyFont="1"/>
    <xf numFmtId="0" fontId="16" fillId="0" borderId="36" xfId="0" applyFont="1" applyBorder="1"/>
    <xf numFmtId="16" fontId="12" fillId="0" borderId="24" xfId="0" applyNumberFormat="1" applyFont="1" applyBorder="1"/>
    <xf numFmtId="0" fontId="12" fillId="0" borderId="28" xfId="0" applyFont="1" applyBorder="1" applyAlignment="1">
      <alignment vertical="center"/>
    </xf>
    <xf numFmtId="0" fontId="19" fillId="0" borderId="39" xfId="0" applyFont="1" applyBorder="1" applyAlignment="1">
      <alignment vertical="center"/>
    </xf>
    <xf numFmtId="0" fontId="0" fillId="4" borderId="0" xfId="0" applyFill="1"/>
    <xf numFmtId="0" fontId="12" fillId="0" borderId="0" xfId="0" applyFont="1"/>
    <xf numFmtId="10" fontId="5" fillId="0" borderId="0" xfId="0" applyNumberFormat="1" applyFont="1" applyAlignment="1">
      <alignment horizontal="center"/>
    </xf>
    <xf numFmtId="10" fontId="5" fillId="0" borderId="10" xfId="0" applyNumberFormat="1" applyFont="1" applyBorder="1" applyAlignment="1">
      <alignment horizontal="center"/>
    </xf>
    <xf numFmtId="10" fontId="5" fillId="4" borderId="10" xfId="0" applyNumberFormat="1" applyFont="1" applyFill="1" applyBorder="1" applyAlignment="1">
      <alignment horizontal="center"/>
    </xf>
    <xf numFmtId="0" fontId="28" fillId="0" borderId="0" xfId="0" applyFont="1"/>
    <xf numFmtId="0" fontId="27" fillId="0" borderId="0" xfId="0" applyFont="1"/>
    <xf numFmtId="0" fontId="27" fillId="0" borderId="41" xfId="0" applyFont="1" applyBorder="1"/>
    <xf numFmtId="0" fontId="29" fillId="0" borderId="0" xfId="0" applyFont="1"/>
    <xf numFmtId="0" fontId="29" fillId="0" borderId="0" xfId="0" applyFont="1" applyAlignment="1">
      <alignment horizontal="center"/>
    </xf>
    <xf numFmtId="0" fontId="29" fillId="0" borderId="0" xfId="0" applyFont="1" applyAlignment="1">
      <alignment horizontal="center" vertical="center"/>
    </xf>
    <xf numFmtId="0" fontId="30" fillId="2" borderId="0" xfId="0" applyFont="1" applyFill="1"/>
    <xf numFmtId="0" fontId="30" fillId="2" borderId="0" xfId="0" applyFont="1" applyFill="1" applyAlignment="1">
      <alignment horizontal="center"/>
    </xf>
    <xf numFmtId="0" fontId="34" fillId="2" borderId="0" xfId="0" applyFont="1" applyFill="1"/>
    <xf numFmtId="0" fontId="34" fillId="2" borderId="41" xfId="0" applyFont="1" applyFill="1" applyBorder="1"/>
    <xf numFmtId="0" fontId="31" fillId="13" borderId="42" xfId="0" applyFont="1" applyFill="1" applyBorder="1" applyAlignment="1">
      <alignment horizontal="center"/>
    </xf>
    <xf numFmtId="0" fontId="32" fillId="0" borderId="42" xfId="0" applyFont="1" applyBorder="1" applyAlignment="1">
      <alignment horizontal="center"/>
    </xf>
    <xf numFmtId="9" fontId="33" fillId="0" borderId="42" xfId="0" applyNumberFormat="1" applyFont="1" applyBorder="1" applyAlignment="1">
      <alignment horizontal="center"/>
    </xf>
    <xf numFmtId="2" fontId="33" fillId="0" borderId="42" xfId="0" applyNumberFormat="1" applyFont="1" applyBorder="1" applyAlignment="1">
      <alignment horizontal="center"/>
    </xf>
    <xf numFmtId="0" fontId="35" fillId="0" borderId="42" xfId="0" applyFont="1" applyBorder="1" applyAlignment="1">
      <alignment horizontal="center"/>
    </xf>
    <xf numFmtId="0" fontId="30" fillId="2" borderId="43" xfId="0" applyFont="1" applyFill="1" applyBorder="1"/>
    <xf numFmtId="0" fontId="30" fillId="2" borderId="43" xfId="0" applyFont="1" applyFill="1" applyBorder="1" applyAlignment="1">
      <alignment horizontal="center"/>
    </xf>
    <xf numFmtId="0" fontId="34" fillId="2" borderId="43" xfId="0" applyFont="1" applyFill="1" applyBorder="1"/>
    <xf numFmtId="0" fontId="35" fillId="0" borderId="44" xfId="0" applyFont="1" applyBorder="1" applyAlignment="1">
      <alignment horizontal="center"/>
    </xf>
    <xf numFmtId="2" fontId="33" fillId="13" borderId="44" xfId="0" applyNumberFormat="1" applyFont="1" applyFill="1" applyBorder="1" applyAlignment="1">
      <alignment horizontal="center"/>
    </xf>
    <xf numFmtId="9" fontId="37" fillId="13" borderId="46" xfId="0" applyNumberFormat="1" applyFont="1" applyFill="1" applyBorder="1" applyAlignment="1">
      <alignment horizontal="center"/>
    </xf>
    <xf numFmtId="0" fontId="31" fillId="13" borderId="47" xfId="0" applyFont="1" applyFill="1" applyBorder="1" applyAlignment="1">
      <alignment horizontal="center"/>
    </xf>
    <xf numFmtId="0" fontId="32" fillId="0" borderId="47" xfId="0" applyFont="1" applyBorder="1" applyAlignment="1">
      <alignment horizontal="center"/>
    </xf>
    <xf numFmtId="9" fontId="33" fillId="0" borderId="47" xfId="0" applyNumberFormat="1" applyFont="1" applyBorder="1" applyAlignment="1">
      <alignment horizontal="center"/>
    </xf>
    <xf numFmtId="2" fontId="33" fillId="0" borderId="47" xfId="0" applyNumberFormat="1" applyFont="1" applyBorder="1" applyAlignment="1">
      <alignment horizontal="center"/>
    </xf>
    <xf numFmtId="2" fontId="33" fillId="13" borderId="48" xfId="0" applyNumberFormat="1" applyFont="1" applyFill="1" applyBorder="1" applyAlignment="1">
      <alignment horizontal="center"/>
    </xf>
    <xf numFmtId="9" fontId="37" fillId="13" borderId="49" xfId="0" applyNumberFormat="1" applyFont="1" applyFill="1" applyBorder="1" applyAlignment="1">
      <alignment horizontal="center"/>
    </xf>
    <xf numFmtId="0" fontId="35" fillId="0" borderId="48" xfId="0" applyFont="1" applyBorder="1" applyAlignment="1">
      <alignment horizontal="center"/>
    </xf>
    <xf numFmtId="17" fontId="30" fillId="5" borderId="6" xfId="0" applyNumberFormat="1" applyFont="1" applyFill="1" applyBorder="1" applyAlignment="1">
      <alignment horizontal="center" vertical="center"/>
    </xf>
    <xf numFmtId="17" fontId="30" fillId="5" borderId="7" xfId="0" applyNumberFormat="1" applyFont="1" applyFill="1" applyBorder="1" applyAlignment="1">
      <alignment horizontal="center" vertical="center"/>
    </xf>
    <xf numFmtId="17" fontId="30" fillId="5" borderId="8" xfId="0" applyNumberFormat="1" applyFont="1" applyFill="1" applyBorder="1" applyAlignment="1">
      <alignment horizontal="center" vertical="center"/>
    </xf>
    <xf numFmtId="0" fontId="31" fillId="13" borderId="51" xfId="0" applyFont="1" applyFill="1" applyBorder="1" applyAlignment="1">
      <alignment horizontal="center"/>
    </xf>
    <xf numFmtId="0" fontId="31" fillId="13" borderId="52" xfId="0" applyFont="1" applyFill="1" applyBorder="1" applyAlignment="1">
      <alignment horizontal="center"/>
    </xf>
    <xf numFmtId="0" fontId="32" fillId="0" borderId="51" xfId="0" applyFont="1" applyBorder="1" applyAlignment="1">
      <alignment horizontal="center"/>
    </xf>
    <xf numFmtId="0" fontId="32" fillId="0" borderId="52" xfId="0" applyFont="1" applyBorder="1" applyAlignment="1">
      <alignment horizontal="center"/>
    </xf>
    <xf numFmtId="9" fontId="33" fillId="0" borderId="51" xfId="0" applyNumberFormat="1" applyFont="1" applyBorder="1" applyAlignment="1">
      <alignment horizontal="center"/>
    </xf>
    <xf numFmtId="9" fontId="33" fillId="0" borderId="52" xfId="0" applyNumberFormat="1" applyFont="1" applyBorder="1" applyAlignment="1">
      <alignment horizontal="center"/>
    </xf>
    <xf numFmtId="2" fontId="33" fillId="0" borderId="51" xfId="0" applyNumberFormat="1" applyFont="1" applyBorder="1" applyAlignment="1">
      <alignment horizontal="center"/>
    </xf>
    <xf numFmtId="2" fontId="33" fillId="0" borderId="52" xfId="0" applyNumberFormat="1" applyFont="1" applyBorder="1" applyAlignment="1">
      <alignment horizontal="center"/>
    </xf>
    <xf numFmtId="2" fontId="33" fillId="13" borderId="53" xfId="0" applyNumberFormat="1" applyFont="1" applyFill="1" applyBorder="1" applyAlignment="1">
      <alignment horizontal="center"/>
    </xf>
    <xf numFmtId="2" fontId="33" fillId="13" borderId="54" xfId="0" applyNumberFormat="1" applyFont="1" applyFill="1" applyBorder="1" applyAlignment="1">
      <alignment horizontal="center"/>
    </xf>
    <xf numFmtId="9" fontId="37" fillId="13" borderId="55" xfId="0" applyNumberFormat="1" applyFont="1" applyFill="1" applyBorder="1" applyAlignment="1">
      <alignment horizontal="center"/>
    </xf>
    <xf numFmtId="9" fontId="37" fillId="13" borderId="56" xfId="0" applyNumberFormat="1" applyFont="1" applyFill="1" applyBorder="1" applyAlignment="1">
      <alignment horizontal="center"/>
    </xf>
    <xf numFmtId="0" fontId="35" fillId="0" borderId="51" xfId="0" applyFont="1" applyBorder="1" applyAlignment="1">
      <alignment horizontal="center"/>
    </xf>
    <xf numFmtId="0" fontId="35" fillId="0" borderId="52" xfId="0" applyFont="1" applyBorder="1" applyAlignment="1">
      <alignment horizontal="center"/>
    </xf>
    <xf numFmtId="0" fontId="35" fillId="0" borderId="53" xfId="0" applyFont="1" applyBorder="1" applyAlignment="1">
      <alignment horizontal="center"/>
    </xf>
    <xf numFmtId="0" fontId="35" fillId="0" borderId="54" xfId="0" applyFont="1" applyBorder="1" applyAlignment="1">
      <alignment horizontal="center"/>
    </xf>
    <xf numFmtId="9" fontId="35" fillId="0" borderId="51" xfId="0" applyNumberFormat="1" applyFont="1" applyBorder="1" applyAlignment="1">
      <alignment horizontal="center"/>
    </xf>
    <xf numFmtId="0" fontId="35" fillId="0" borderId="59" xfId="0" applyFont="1" applyBorder="1" applyAlignment="1">
      <alignment horizontal="center"/>
    </xf>
    <xf numFmtId="0" fontId="35" fillId="0" borderId="60" xfId="0" applyFont="1" applyBorder="1" applyAlignment="1">
      <alignment horizontal="center"/>
    </xf>
    <xf numFmtId="0" fontId="32" fillId="0" borderId="60" xfId="0" applyFont="1" applyBorder="1" applyAlignment="1">
      <alignment horizontal="center"/>
    </xf>
    <xf numFmtId="0" fontId="32" fillId="0" borderId="61" xfId="0" applyFont="1" applyBorder="1" applyAlignment="1">
      <alignment horizontal="center"/>
    </xf>
    <xf numFmtId="0" fontId="32" fillId="0" borderId="62" xfId="0" applyFont="1" applyBorder="1" applyAlignment="1">
      <alignment horizontal="center"/>
    </xf>
    <xf numFmtId="0" fontId="31" fillId="13" borderId="63" xfId="0" applyFont="1" applyFill="1" applyBorder="1" applyAlignment="1">
      <alignment horizontal="center"/>
    </xf>
    <xf numFmtId="0" fontId="32" fillId="0" borderId="63" xfId="0" applyFont="1" applyBorder="1" applyAlignment="1">
      <alignment horizontal="center"/>
    </xf>
    <xf numFmtId="9" fontId="33" fillId="0" borderId="63" xfId="0" applyNumberFormat="1" applyFont="1" applyBorder="1" applyAlignment="1">
      <alignment horizontal="center"/>
    </xf>
    <xf numFmtId="2" fontId="33" fillId="0" borderId="63" xfId="0" applyNumberFormat="1" applyFont="1" applyBorder="1" applyAlignment="1">
      <alignment horizontal="center"/>
    </xf>
    <xf numFmtId="2" fontId="33" fillId="13" borderId="64" xfId="0" applyNumberFormat="1" applyFont="1" applyFill="1" applyBorder="1" applyAlignment="1">
      <alignment horizontal="center"/>
    </xf>
    <xf numFmtId="9" fontId="37" fillId="13" borderId="65" xfId="0" applyNumberFormat="1" applyFont="1" applyFill="1" applyBorder="1" applyAlignment="1">
      <alignment horizontal="center"/>
    </xf>
    <xf numFmtId="0" fontId="35" fillId="0" borderId="63" xfId="0" applyFont="1" applyBorder="1" applyAlignment="1">
      <alignment horizontal="center"/>
    </xf>
    <xf numFmtId="0" fontId="35" fillId="0" borderId="64" xfId="0" applyFont="1" applyBorder="1" applyAlignment="1">
      <alignment horizontal="center"/>
    </xf>
    <xf numFmtId="0" fontId="35" fillId="0" borderId="67" xfId="0" applyFont="1" applyBorder="1" applyAlignment="1">
      <alignment horizontal="center"/>
    </xf>
    <xf numFmtId="9" fontId="36" fillId="13" borderId="57" xfId="0" applyNumberFormat="1" applyFont="1" applyFill="1" applyBorder="1" applyAlignment="1">
      <alignment horizontal="center"/>
    </xf>
    <xf numFmtId="0" fontId="36" fillId="13" borderId="45" xfId="0" applyFont="1" applyFill="1" applyBorder="1" applyAlignment="1">
      <alignment horizontal="center"/>
    </xf>
    <xf numFmtId="0" fontId="36" fillId="13" borderId="58" xfId="0" applyFont="1" applyFill="1" applyBorder="1" applyAlignment="1">
      <alignment horizontal="center"/>
    </xf>
    <xf numFmtId="0" fontId="36" fillId="13" borderId="50" xfId="0" applyFont="1" applyFill="1" applyBorder="1" applyAlignment="1">
      <alignment horizontal="center"/>
    </xf>
    <xf numFmtId="9" fontId="36" fillId="13" borderId="55" xfId="0" applyNumberFormat="1" applyFont="1" applyFill="1" applyBorder="1" applyAlignment="1">
      <alignment horizontal="center"/>
    </xf>
    <xf numFmtId="0" fontId="36" fillId="13" borderId="46" xfId="0" applyFont="1" applyFill="1" applyBorder="1" applyAlignment="1">
      <alignment horizontal="center"/>
    </xf>
    <xf numFmtId="0" fontId="36" fillId="13" borderId="56" xfId="0" applyFont="1" applyFill="1" applyBorder="1" applyAlignment="1">
      <alignment horizontal="center"/>
    </xf>
    <xf numFmtId="0" fontId="36" fillId="13" borderId="49" xfId="0" applyFont="1" applyFill="1" applyBorder="1" applyAlignment="1">
      <alignment horizontal="center"/>
    </xf>
    <xf numFmtId="0" fontId="36" fillId="13" borderId="65" xfId="0" applyFont="1" applyFill="1" applyBorder="1" applyAlignment="1">
      <alignment horizontal="center"/>
    </xf>
    <xf numFmtId="0" fontId="36" fillId="13" borderId="55" xfId="0" applyFont="1" applyFill="1" applyBorder="1" applyAlignment="1">
      <alignment horizontal="center"/>
    </xf>
    <xf numFmtId="0" fontId="32" fillId="0" borderId="42" xfId="0" quotePrefix="1" applyFont="1" applyBorder="1" applyAlignment="1">
      <alignment horizontal="center"/>
    </xf>
    <xf numFmtId="0" fontId="32" fillId="0" borderId="59" xfId="0" applyFont="1" applyBorder="1" applyAlignment="1">
      <alignment horizontal="center"/>
    </xf>
    <xf numFmtId="0" fontId="32" fillId="0" borderId="51" xfId="0" quotePrefix="1" applyFont="1" applyBorder="1" applyAlignment="1">
      <alignment horizontal="center"/>
    </xf>
    <xf numFmtId="0" fontId="32" fillId="0" borderId="52" xfId="0" quotePrefix="1" applyFont="1" applyBorder="1" applyAlignment="1">
      <alignment horizontal="center"/>
    </xf>
    <xf numFmtId="0" fontId="31" fillId="13" borderId="57" xfId="0" applyFont="1" applyFill="1" applyBorder="1" applyAlignment="1">
      <alignment horizontal="center"/>
    </xf>
    <xf numFmtId="0" fontId="31" fillId="13" borderId="45" xfId="0" applyFont="1" applyFill="1" applyBorder="1" applyAlignment="1">
      <alignment horizontal="center"/>
    </xf>
    <xf numFmtId="0" fontId="31" fillId="13" borderId="58" xfId="0" applyFont="1" applyFill="1" applyBorder="1" applyAlignment="1">
      <alignment horizontal="center"/>
    </xf>
    <xf numFmtId="0" fontId="31" fillId="13" borderId="50" xfId="0" applyFont="1" applyFill="1" applyBorder="1" applyAlignment="1">
      <alignment horizontal="center"/>
    </xf>
    <xf numFmtId="165" fontId="35" fillId="0" borderId="42" xfId="0" applyNumberFormat="1" applyFont="1" applyBorder="1" applyAlignment="1">
      <alignment horizontal="center"/>
    </xf>
    <xf numFmtId="165" fontId="35" fillId="0" borderId="44" xfId="0" applyNumberFormat="1" applyFont="1" applyBorder="1" applyAlignment="1">
      <alignment horizontal="center"/>
    </xf>
    <xf numFmtId="165" fontId="36" fillId="13" borderId="45" xfId="0" applyNumberFormat="1" applyFont="1" applyFill="1" applyBorder="1" applyAlignment="1">
      <alignment horizontal="center"/>
    </xf>
    <xf numFmtId="1" fontId="31" fillId="13" borderId="42" xfId="0" applyNumberFormat="1" applyFont="1" applyFill="1" applyBorder="1" applyAlignment="1">
      <alignment horizontal="center"/>
    </xf>
    <xf numFmtId="10" fontId="37" fillId="13" borderId="45" xfId="0" applyNumberFormat="1" applyFont="1" applyFill="1" applyBorder="1" applyAlignment="1">
      <alignment horizontal="center"/>
    </xf>
    <xf numFmtId="10" fontId="37" fillId="13" borderId="66" xfId="0" applyNumberFormat="1" applyFont="1" applyFill="1" applyBorder="1" applyAlignment="1">
      <alignment horizontal="center"/>
    </xf>
    <xf numFmtId="165" fontId="35" fillId="0" borderId="51" xfId="0" applyNumberFormat="1" applyFont="1" applyBorder="1" applyAlignment="1">
      <alignment horizontal="center"/>
    </xf>
    <xf numFmtId="165" fontId="35" fillId="0" borderId="53" xfId="0" applyNumberFormat="1" applyFont="1" applyBorder="1" applyAlignment="1">
      <alignment horizontal="center"/>
    </xf>
    <xf numFmtId="165" fontId="37" fillId="13" borderId="57" xfId="0" applyNumberFormat="1" applyFont="1" applyFill="1" applyBorder="1" applyAlignment="1">
      <alignment horizontal="center"/>
    </xf>
    <xf numFmtId="165" fontId="37" fillId="13" borderId="45" xfId="0" applyNumberFormat="1" applyFont="1" applyFill="1" applyBorder="1" applyAlignment="1">
      <alignment horizontal="center"/>
    </xf>
    <xf numFmtId="0" fontId="38" fillId="8" borderId="68" xfId="0" applyFont="1" applyFill="1" applyBorder="1"/>
    <xf numFmtId="0" fontId="42" fillId="18" borderId="72" xfId="0" applyFont="1" applyFill="1" applyBorder="1"/>
    <xf numFmtId="0" fontId="42" fillId="18" borderId="0" xfId="0" applyFont="1" applyFill="1"/>
    <xf numFmtId="0" fontId="42" fillId="18" borderId="73" xfId="0" applyFont="1" applyFill="1" applyBorder="1"/>
    <xf numFmtId="0" fontId="42" fillId="0" borderId="0" xfId="0" applyFont="1"/>
    <xf numFmtId="0" fontId="40" fillId="0" borderId="0" xfId="0" applyFont="1"/>
    <xf numFmtId="0" fontId="40" fillId="19" borderId="72" xfId="0" applyFont="1" applyFill="1" applyBorder="1"/>
    <xf numFmtId="0" fontId="40" fillId="19" borderId="0" xfId="0" applyFont="1" applyFill="1"/>
    <xf numFmtId="0" fontId="40" fillId="19" borderId="73" xfId="0" applyFont="1" applyFill="1" applyBorder="1"/>
    <xf numFmtId="0" fontId="12" fillId="0" borderId="72" xfId="0" applyFont="1" applyBorder="1"/>
    <xf numFmtId="0" fontId="12" fillId="16" borderId="0" xfId="0" applyFont="1" applyFill="1"/>
    <xf numFmtId="0" fontId="12" fillId="0" borderId="73" xfId="0" applyFont="1" applyBorder="1"/>
    <xf numFmtId="0" fontId="12" fillId="20" borderId="0" xfId="0" applyFont="1" applyFill="1"/>
    <xf numFmtId="0" fontId="12" fillId="21" borderId="0" xfId="0" applyFont="1" applyFill="1"/>
    <xf numFmtId="0" fontId="12" fillId="15" borderId="73" xfId="0" applyFont="1" applyFill="1" applyBorder="1"/>
    <xf numFmtId="0" fontId="12" fillId="14" borderId="0" xfId="0" applyFont="1" applyFill="1"/>
    <xf numFmtId="0" fontId="12" fillId="21" borderId="73" xfId="0" applyFont="1" applyFill="1" applyBorder="1"/>
    <xf numFmtId="0" fontId="12" fillId="14" borderId="72" xfId="0" applyFont="1" applyFill="1" applyBorder="1"/>
    <xf numFmtId="0" fontId="12" fillId="14" borderId="73" xfId="0" applyFont="1" applyFill="1" applyBorder="1"/>
    <xf numFmtId="0" fontId="12" fillId="19" borderId="0" xfId="0" applyFont="1" applyFill="1"/>
    <xf numFmtId="0" fontId="12" fillId="19" borderId="73" xfId="0" applyFont="1" applyFill="1" applyBorder="1"/>
    <xf numFmtId="0" fontId="12" fillId="19" borderId="72" xfId="0" applyFont="1" applyFill="1" applyBorder="1"/>
    <xf numFmtId="0" fontId="40" fillId="8" borderId="0" xfId="0" applyFont="1" applyFill="1"/>
    <xf numFmtId="0" fontId="12" fillId="8" borderId="74" xfId="0" applyFont="1" applyFill="1" applyBorder="1"/>
    <xf numFmtId="0" fontId="40" fillId="8" borderId="75" xfId="0" applyFont="1" applyFill="1" applyBorder="1"/>
    <xf numFmtId="0" fontId="40" fillId="8" borderId="76" xfId="0" applyFont="1" applyFill="1" applyBorder="1"/>
    <xf numFmtId="0" fontId="40" fillId="8" borderId="74" xfId="0" applyFont="1" applyFill="1" applyBorder="1"/>
    <xf numFmtId="0" fontId="43" fillId="0" borderId="0" xfId="0" applyFont="1"/>
    <xf numFmtId="0" fontId="0" fillId="3" borderId="0" xfId="0" applyFill="1"/>
    <xf numFmtId="0" fontId="12" fillId="22" borderId="0" xfId="0" applyFont="1" applyFill="1"/>
    <xf numFmtId="0" fontId="12" fillId="21" borderId="74" xfId="0" applyFont="1" applyFill="1" applyBorder="1"/>
    <xf numFmtId="1" fontId="12" fillId="0" borderId="73" xfId="0" applyNumberFormat="1" applyFont="1" applyBorder="1"/>
    <xf numFmtId="1" fontId="12" fillId="14" borderId="72" xfId="0" applyNumberFormat="1" applyFont="1" applyFill="1" applyBorder="1"/>
    <xf numFmtId="1" fontId="12" fillId="14" borderId="0" xfId="0" applyNumberFormat="1" applyFont="1" applyFill="1"/>
    <xf numFmtId="1" fontId="12" fillId="0" borderId="0" xfId="0" applyNumberFormat="1" applyFont="1"/>
    <xf numFmtId="1" fontId="12" fillId="21" borderId="73" xfId="0" applyNumberFormat="1" applyFont="1" applyFill="1" applyBorder="1"/>
    <xf numFmtId="1" fontId="12" fillId="0" borderId="72" xfId="0" applyNumberFormat="1" applyFont="1" applyBorder="1"/>
    <xf numFmtId="1" fontId="12" fillId="15" borderId="73" xfId="0" applyNumberFormat="1" applyFont="1" applyFill="1" applyBorder="1"/>
    <xf numFmtId="1" fontId="12" fillId="8" borderId="74" xfId="0" applyNumberFormat="1" applyFont="1" applyFill="1" applyBorder="1"/>
    <xf numFmtId="1" fontId="12" fillId="20" borderId="0" xfId="0" applyNumberFormat="1" applyFont="1" applyFill="1"/>
    <xf numFmtId="1" fontId="12" fillId="21" borderId="0" xfId="0" applyNumberFormat="1" applyFont="1" applyFill="1"/>
    <xf numFmtId="1" fontId="40" fillId="19" borderId="72" xfId="0" applyNumberFormat="1" applyFont="1" applyFill="1" applyBorder="1"/>
    <xf numFmtId="1" fontId="40" fillId="19" borderId="0" xfId="0" applyNumberFormat="1" applyFont="1" applyFill="1"/>
    <xf numFmtId="1" fontId="40" fillId="19" borderId="73" xfId="0" applyNumberFormat="1" applyFont="1" applyFill="1" applyBorder="1"/>
    <xf numFmtId="1" fontId="12" fillId="16" borderId="0" xfId="0" applyNumberFormat="1" applyFont="1" applyFill="1"/>
    <xf numFmtId="1" fontId="12" fillId="14" borderId="73" xfId="0" applyNumberFormat="1" applyFont="1" applyFill="1" applyBorder="1"/>
    <xf numFmtId="1" fontId="12" fillId="24" borderId="73" xfId="0" applyNumberFormat="1" applyFont="1" applyFill="1" applyBorder="1"/>
    <xf numFmtId="0" fontId="45" fillId="0" borderId="0" xfId="0" applyFont="1"/>
    <xf numFmtId="1" fontId="43" fillId="0" borderId="0" xfId="0" applyNumberFormat="1" applyFont="1"/>
    <xf numFmtId="0" fontId="42" fillId="18" borderId="9" xfId="0" applyFont="1" applyFill="1" applyBorder="1"/>
    <xf numFmtId="0" fontId="42" fillId="18" borderId="10" xfId="0" applyFont="1" applyFill="1" applyBorder="1"/>
    <xf numFmtId="0" fontId="40" fillId="19" borderId="9" xfId="0" applyFont="1" applyFill="1" applyBorder="1"/>
    <xf numFmtId="0" fontId="40" fillId="19" borderId="10" xfId="0" applyFont="1" applyFill="1" applyBorder="1"/>
    <xf numFmtId="0" fontId="12" fillId="0" borderId="9" xfId="0" applyFont="1" applyBorder="1"/>
    <xf numFmtId="0" fontId="12" fillId="19" borderId="10" xfId="0" applyFont="1" applyFill="1" applyBorder="1"/>
    <xf numFmtId="0" fontId="40" fillId="8" borderId="12" xfId="0" applyFont="1" applyFill="1" applyBorder="1"/>
    <xf numFmtId="0" fontId="40" fillId="8" borderId="13" xfId="0" applyFont="1" applyFill="1" applyBorder="1"/>
    <xf numFmtId="0" fontId="0" fillId="0" borderId="36" xfId="0" applyBorder="1"/>
    <xf numFmtId="0" fontId="12" fillId="25" borderId="0" xfId="0" applyFont="1" applyFill="1"/>
    <xf numFmtId="0" fontId="12" fillId="25" borderId="10" xfId="0" applyFont="1" applyFill="1" applyBorder="1"/>
    <xf numFmtId="0" fontId="12" fillId="19" borderId="9" xfId="0" applyFont="1" applyFill="1" applyBorder="1"/>
    <xf numFmtId="0" fontId="40" fillId="8" borderId="11" xfId="0" applyFont="1" applyFill="1" applyBorder="1"/>
    <xf numFmtId="0" fontId="12" fillId="25" borderId="73" xfId="0" applyFont="1" applyFill="1" applyBorder="1"/>
    <xf numFmtId="0" fontId="12" fillId="0" borderId="0" xfId="0" applyFont="1" applyAlignment="1">
      <alignment horizontal="center"/>
    </xf>
    <xf numFmtId="0" fontId="12" fillId="27" borderId="72" xfId="0" applyFont="1" applyFill="1" applyBorder="1"/>
    <xf numFmtId="0" fontId="40" fillId="19" borderId="9" xfId="0" applyFont="1" applyFill="1" applyBorder="1" applyAlignment="1">
      <alignment horizontal="center"/>
    </xf>
    <xf numFmtId="0" fontId="40" fillId="19" borderId="0" xfId="0" applyFont="1" applyFill="1" applyAlignment="1">
      <alignment horizontal="center"/>
    </xf>
    <xf numFmtId="0" fontId="40" fillId="19" borderId="10" xfId="0" applyFont="1" applyFill="1" applyBorder="1" applyAlignment="1">
      <alignment horizontal="center"/>
    </xf>
    <xf numFmtId="0" fontId="12" fillId="0" borderId="9" xfId="0" applyFont="1" applyBorder="1" applyAlignment="1">
      <alignment horizontal="center"/>
    </xf>
    <xf numFmtId="0" fontId="12" fillId="21" borderId="10" xfId="0" applyFont="1" applyFill="1" applyBorder="1" applyAlignment="1">
      <alignment horizontal="center"/>
    </xf>
    <xf numFmtId="1" fontId="12" fillId="0" borderId="9" xfId="0" applyNumberFormat="1" applyFont="1" applyBorder="1" applyAlignment="1">
      <alignment horizontal="center"/>
    </xf>
    <xf numFmtId="1" fontId="12" fillId="0" borderId="0" xfId="0" applyNumberFormat="1" applyFont="1" applyAlignment="1">
      <alignment horizontal="center"/>
    </xf>
    <xf numFmtId="1" fontId="39" fillId="21" borderId="0" xfId="1" applyNumberFormat="1" applyFill="1" applyBorder="1" applyAlignment="1">
      <alignment horizontal="center"/>
    </xf>
    <xf numFmtId="0" fontId="12" fillId="14" borderId="9" xfId="0" applyFont="1" applyFill="1" applyBorder="1" applyAlignment="1">
      <alignment horizontal="center"/>
    </xf>
    <xf numFmtId="0" fontId="39" fillId="21" borderId="0" xfId="1" applyFill="1" applyBorder="1" applyAlignment="1">
      <alignment horizontal="center"/>
    </xf>
    <xf numFmtId="0" fontId="12" fillId="14" borderId="0" xfId="0" applyFont="1" applyFill="1" applyAlignment="1">
      <alignment horizontal="center"/>
    </xf>
    <xf numFmtId="0" fontId="12" fillId="25" borderId="0" xfId="0" applyFont="1" applyFill="1" applyAlignment="1">
      <alignment horizontal="center"/>
    </xf>
    <xf numFmtId="0" fontId="12" fillId="25" borderId="10" xfId="0" applyFont="1" applyFill="1" applyBorder="1" applyAlignment="1">
      <alignment horizontal="center"/>
    </xf>
    <xf numFmtId="0" fontId="12" fillId="19" borderId="0" xfId="0" applyFont="1" applyFill="1" applyAlignment="1">
      <alignment horizontal="center"/>
    </xf>
    <xf numFmtId="0" fontId="12" fillId="19" borderId="10" xfId="0" applyFont="1" applyFill="1" applyBorder="1" applyAlignment="1">
      <alignment horizontal="center"/>
    </xf>
    <xf numFmtId="0" fontId="40" fillId="8" borderId="12" xfId="0" applyFont="1" applyFill="1" applyBorder="1" applyAlignment="1">
      <alignment horizontal="center"/>
    </xf>
    <xf numFmtId="0" fontId="40" fillId="8" borderId="13" xfId="0" applyFont="1" applyFill="1" applyBorder="1" applyAlignment="1">
      <alignment horizontal="center"/>
    </xf>
    <xf numFmtId="0" fontId="40" fillId="19" borderId="9" xfId="0" applyFont="1" applyFill="1" applyBorder="1" applyAlignment="1">
      <alignment horizontal="center" indent="1"/>
    </xf>
    <xf numFmtId="0" fontId="40" fillId="19" borderId="10" xfId="0" applyFont="1" applyFill="1" applyBorder="1" applyAlignment="1">
      <alignment horizontal="center" indent="1"/>
    </xf>
    <xf numFmtId="0" fontId="12" fillId="0" borderId="9" xfId="0" applyFont="1" applyBorder="1" applyAlignment="1">
      <alignment horizontal="center" indent="1"/>
    </xf>
    <xf numFmtId="0" fontId="12" fillId="25" borderId="10" xfId="0" applyFont="1" applyFill="1" applyBorder="1" applyAlignment="1">
      <alignment horizontal="center" indent="1"/>
    </xf>
    <xf numFmtId="0" fontId="12" fillId="27" borderId="9" xfId="0" applyFont="1" applyFill="1" applyBorder="1" applyAlignment="1">
      <alignment horizontal="center" indent="1"/>
    </xf>
    <xf numFmtId="0" fontId="12" fillId="0" borderId="10" xfId="0" applyFont="1" applyBorder="1" applyAlignment="1">
      <alignment horizontal="center" indent="1"/>
    </xf>
    <xf numFmtId="0" fontId="12" fillId="19" borderId="9" xfId="0" applyFont="1" applyFill="1" applyBorder="1" applyAlignment="1">
      <alignment horizontal="center" indent="1"/>
    </xf>
    <xf numFmtId="0" fontId="12" fillId="19" borderId="10" xfId="0" applyFont="1" applyFill="1" applyBorder="1" applyAlignment="1">
      <alignment horizontal="center" indent="1"/>
    </xf>
    <xf numFmtId="0" fontId="40" fillId="8" borderId="11" xfId="0" applyFont="1" applyFill="1" applyBorder="1" applyAlignment="1">
      <alignment horizontal="center" indent="1"/>
    </xf>
    <xf numFmtId="0" fontId="40" fillId="8" borderId="12" xfId="0" applyFont="1" applyFill="1" applyBorder="1" applyAlignment="1">
      <alignment horizontal="center" indent="1"/>
    </xf>
    <xf numFmtId="0" fontId="40" fillId="8" borderId="13" xfId="0" applyFont="1" applyFill="1" applyBorder="1" applyAlignment="1">
      <alignment horizontal="center" indent="1"/>
    </xf>
    <xf numFmtId="1" fontId="31" fillId="13" borderId="51" xfId="0" applyNumberFormat="1" applyFont="1" applyFill="1" applyBorder="1" applyAlignment="1">
      <alignment horizontal="center"/>
    </xf>
    <xf numFmtId="1" fontId="32" fillId="0" borderId="51" xfId="0" applyNumberFormat="1" applyFont="1" applyBorder="1" applyAlignment="1">
      <alignment horizontal="center"/>
    </xf>
    <xf numFmtId="1" fontId="32" fillId="0" borderId="42" xfId="0" applyNumberFormat="1" applyFont="1" applyBorder="1" applyAlignment="1">
      <alignment horizontal="center"/>
    </xf>
    <xf numFmtId="168" fontId="33" fillId="0" borderId="42" xfId="0" applyNumberFormat="1" applyFont="1" applyBorder="1" applyAlignment="1">
      <alignment horizontal="center"/>
    </xf>
    <xf numFmtId="1" fontId="12" fillId="0" borderId="11" xfId="0" applyNumberFormat="1" applyFont="1" applyBorder="1" applyAlignment="1">
      <alignment horizontal="center"/>
    </xf>
    <xf numFmtId="10" fontId="35" fillId="0" borderId="44" xfId="0" applyNumberFormat="1" applyFont="1" applyBorder="1" applyAlignment="1">
      <alignment horizontal="center"/>
    </xf>
    <xf numFmtId="165" fontId="36" fillId="13" borderId="58" xfId="0" applyNumberFormat="1" applyFont="1" applyFill="1" applyBorder="1" applyAlignment="1">
      <alignment horizontal="center"/>
    </xf>
    <xf numFmtId="165" fontId="35" fillId="0" borderId="52" xfId="0" applyNumberFormat="1" applyFont="1" applyBorder="1" applyAlignment="1">
      <alignment horizontal="center"/>
    </xf>
    <xf numFmtId="10" fontId="37" fillId="13" borderId="58" xfId="0" applyNumberFormat="1" applyFont="1" applyFill="1" applyBorder="1" applyAlignment="1">
      <alignment horizontal="center"/>
    </xf>
    <xf numFmtId="0" fontId="42" fillId="18" borderId="6" xfId="0" applyFont="1" applyFill="1" applyBorder="1" applyAlignment="1">
      <alignment horizontal="center" indent="1"/>
    </xf>
    <xf numFmtId="0" fontId="42" fillId="18" borderId="7" xfId="0" applyFont="1" applyFill="1" applyBorder="1" applyAlignment="1">
      <alignment horizontal="center" indent="1"/>
    </xf>
    <xf numFmtId="0" fontId="42" fillId="18" borderId="8" xfId="0" applyFont="1" applyFill="1" applyBorder="1" applyAlignment="1">
      <alignment horizontal="center" indent="1"/>
    </xf>
    <xf numFmtId="0" fontId="40" fillId="19" borderId="0" xfId="0" applyFont="1" applyFill="1" applyAlignment="1">
      <alignment horizontal="center" indent="1"/>
    </xf>
    <xf numFmtId="0" fontId="12" fillId="0" borderId="0" xfId="0" applyFont="1" applyAlignment="1">
      <alignment horizontal="center" indent="1"/>
    </xf>
    <xf numFmtId="0" fontId="12" fillId="25" borderId="0" xfId="0" applyFont="1" applyFill="1" applyAlignment="1">
      <alignment horizontal="center" indent="1"/>
    </xf>
    <xf numFmtId="0" fontId="12" fillId="23" borderId="0" xfId="0" applyFont="1" applyFill="1" applyAlignment="1">
      <alignment horizontal="center" indent="1"/>
    </xf>
    <xf numFmtId="0" fontId="12" fillId="19" borderId="0" xfId="0" applyFont="1" applyFill="1" applyAlignment="1">
      <alignment horizontal="center" indent="1"/>
    </xf>
    <xf numFmtId="9" fontId="36" fillId="13" borderId="46" xfId="0" applyNumberFormat="1" applyFont="1" applyFill="1" applyBorder="1" applyAlignment="1">
      <alignment horizontal="center"/>
    </xf>
    <xf numFmtId="9" fontId="36" fillId="13" borderId="56" xfId="0" applyNumberFormat="1" applyFont="1" applyFill="1" applyBorder="1" applyAlignment="1">
      <alignment horizontal="center"/>
    </xf>
    <xf numFmtId="9" fontId="36" fillId="13" borderId="49" xfId="0" applyNumberFormat="1" applyFont="1" applyFill="1" applyBorder="1" applyAlignment="1">
      <alignment horizontal="center"/>
    </xf>
    <xf numFmtId="9" fontId="36" fillId="13" borderId="65" xfId="0" applyNumberFormat="1" applyFont="1" applyFill="1" applyBorder="1" applyAlignment="1">
      <alignment horizontal="center"/>
    </xf>
    <xf numFmtId="9" fontId="35" fillId="0" borderId="42" xfId="0" applyNumberFormat="1" applyFont="1" applyBorder="1" applyAlignment="1">
      <alignment horizontal="center"/>
    </xf>
    <xf numFmtId="9" fontId="35" fillId="0" borderId="52" xfId="0" applyNumberFormat="1" applyFont="1" applyBorder="1" applyAlignment="1">
      <alignment horizontal="center"/>
    </xf>
    <xf numFmtId="9" fontId="35" fillId="0" borderId="47" xfId="0" applyNumberFormat="1" applyFont="1" applyBorder="1" applyAlignment="1">
      <alignment horizontal="center"/>
    </xf>
    <xf numFmtId="9" fontId="35" fillId="0" borderId="63" xfId="0" applyNumberFormat="1" applyFont="1" applyBorder="1" applyAlignment="1">
      <alignment horizontal="center"/>
    </xf>
    <xf numFmtId="0" fontId="34" fillId="0" borderId="43" xfId="0" applyFont="1" applyBorder="1"/>
    <xf numFmtId="0" fontId="30" fillId="0" borderId="43" xfId="0" applyFont="1" applyBorder="1" applyAlignment="1">
      <alignment horizontal="center"/>
    </xf>
    <xf numFmtId="0" fontId="30" fillId="0" borderId="43" xfId="0" applyFont="1" applyBorder="1"/>
    <xf numFmtId="9" fontId="36" fillId="13" borderId="77" xfId="0" applyNumberFormat="1" applyFont="1" applyFill="1" applyBorder="1" applyAlignment="1">
      <alignment horizontal="center"/>
    </xf>
    <xf numFmtId="0" fontId="36" fillId="13" borderId="78" xfId="0" applyFont="1" applyFill="1" applyBorder="1" applyAlignment="1">
      <alignment horizontal="center"/>
    </xf>
    <xf numFmtId="2" fontId="35" fillId="0" borderId="47" xfId="0" applyNumberFormat="1" applyFont="1" applyBorder="1" applyAlignment="1">
      <alignment horizontal="center"/>
    </xf>
    <xf numFmtId="2" fontId="35" fillId="0" borderId="42" xfId="0" applyNumberFormat="1" applyFont="1" applyBorder="1" applyAlignment="1">
      <alignment horizontal="center"/>
    </xf>
    <xf numFmtId="9" fontId="35" fillId="0" borderId="53" xfId="0" applyNumberFormat="1" applyFont="1" applyBorder="1" applyAlignment="1">
      <alignment horizontal="center"/>
    </xf>
    <xf numFmtId="2" fontId="35" fillId="0" borderId="44" xfId="0" applyNumberFormat="1" applyFont="1" applyBorder="1" applyAlignment="1">
      <alignment horizontal="center"/>
    </xf>
    <xf numFmtId="0" fontId="32" fillId="0" borderId="53" xfId="0" applyFont="1" applyBorder="1" applyAlignment="1">
      <alignment horizontal="center"/>
    </xf>
    <xf numFmtId="0" fontId="32" fillId="0" borderId="44" xfId="0" applyFont="1" applyBorder="1" applyAlignment="1">
      <alignment horizontal="center"/>
    </xf>
    <xf numFmtId="0" fontId="32" fillId="0" borderId="54" xfId="0" applyFont="1" applyBorder="1" applyAlignment="1">
      <alignment horizontal="center"/>
    </xf>
    <xf numFmtId="0" fontId="32" fillId="0" borderId="48" xfId="0" applyFont="1" applyBorder="1" applyAlignment="1">
      <alignment horizontal="center"/>
    </xf>
    <xf numFmtId="0" fontId="32" fillId="0" borderId="64" xfId="0" applyFont="1" applyBorder="1" applyAlignment="1">
      <alignment horizontal="center"/>
    </xf>
    <xf numFmtId="1" fontId="32" fillId="0" borderId="44" xfId="0" applyNumberFormat="1" applyFont="1" applyBorder="1" applyAlignment="1">
      <alignment horizontal="center"/>
    </xf>
    <xf numFmtId="0" fontId="31" fillId="13" borderId="66" xfId="0" applyFont="1" applyFill="1" applyBorder="1" applyAlignment="1">
      <alignment horizontal="center"/>
    </xf>
    <xf numFmtId="1" fontId="31" fillId="13" borderId="57" xfId="0" applyNumberFormat="1" applyFont="1" applyFill="1" applyBorder="1" applyAlignment="1">
      <alignment horizontal="center"/>
    </xf>
    <xf numFmtId="1" fontId="31" fillId="13" borderId="45" xfId="0" applyNumberFormat="1" applyFont="1" applyFill="1" applyBorder="1" applyAlignment="1">
      <alignment horizontal="center"/>
    </xf>
    <xf numFmtId="0" fontId="31" fillId="13" borderId="55" xfId="0" applyFont="1" applyFill="1" applyBorder="1" applyAlignment="1">
      <alignment horizontal="center"/>
    </xf>
    <xf numFmtId="0" fontId="31" fillId="13" borderId="46" xfId="0" applyFont="1" applyFill="1" applyBorder="1" applyAlignment="1">
      <alignment horizontal="center"/>
    </xf>
    <xf numFmtId="0" fontId="31" fillId="13" borderId="56" xfId="0" applyFont="1" applyFill="1" applyBorder="1" applyAlignment="1">
      <alignment horizontal="center"/>
    </xf>
    <xf numFmtId="0" fontId="31" fillId="13" borderId="49" xfId="0" applyFont="1" applyFill="1" applyBorder="1" applyAlignment="1">
      <alignment horizontal="center"/>
    </xf>
    <xf numFmtId="0" fontId="31" fillId="13" borderId="65" xfId="0" applyFont="1" applyFill="1" applyBorder="1" applyAlignment="1">
      <alignment horizontal="center"/>
    </xf>
    <xf numFmtId="9" fontId="35" fillId="0" borderId="44" xfId="0" applyNumberFormat="1" applyFont="1" applyBorder="1" applyAlignment="1">
      <alignment horizontal="center"/>
    </xf>
    <xf numFmtId="9" fontId="35" fillId="0" borderId="54" xfId="0" applyNumberFormat="1" applyFont="1" applyBorder="1" applyAlignment="1">
      <alignment horizontal="center"/>
    </xf>
    <xf numFmtId="9" fontId="35" fillId="0" borderId="48" xfId="0" applyNumberFormat="1" applyFont="1" applyBorder="1" applyAlignment="1">
      <alignment horizontal="center"/>
    </xf>
    <xf numFmtId="9" fontId="35" fillId="0" borderId="64" xfId="0" applyNumberFormat="1" applyFont="1" applyBorder="1" applyAlignment="1">
      <alignment horizontal="center"/>
    </xf>
    <xf numFmtId="0" fontId="32" fillId="0" borderId="53" xfId="0" quotePrefix="1" applyFont="1" applyBorder="1" applyAlignment="1">
      <alignment horizontal="center"/>
    </xf>
    <xf numFmtId="0" fontId="32" fillId="0" borderId="44" xfId="0" quotePrefix="1" applyFont="1" applyBorder="1" applyAlignment="1">
      <alignment horizontal="center"/>
    </xf>
    <xf numFmtId="0" fontId="32" fillId="0" borderId="54" xfId="0" quotePrefix="1" applyFont="1" applyBorder="1" applyAlignment="1">
      <alignment horizontal="center"/>
    </xf>
    <xf numFmtId="0" fontId="32" fillId="0" borderId="57" xfId="0" quotePrefix="1" applyFont="1" applyBorder="1" applyAlignment="1">
      <alignment horizontal="center"/>
    </xf>
    <xf numFmtId="0" fontId="32" fillId="0" borderId="45" xfId="0" quotePrefix="1" applyFont="1" applyBorder="1" applyAlignment="1">
      <alignment horizontal="center"/>
    </xf>
    <xf numFmtId="0" fontId="32" fillId="0" borderId="58" xfId="0" quotePrefix="1" applyFont="1" applyBorder="1" applyAlignment="1">
      <alignment horizontal="center"/>
    </xf>
    <xf numFmtId="0" fontId="32" fillId="0" borderId="45" xfId="0" applyFont="1" applyBorder="1" applyAlignment="1">
      <alignment horizontal="center"/>
    </xf>
    <xf numFmtId="0" fontId="37" fillId="0" borderId="43" xfId="0" quotePrefix="1" applyFont="1" applyBorder="1" applyAlignment="1">
      <alignment horizontal="center"/>
    </xf>
    <xf numFmtId="9" fontId="37" fillId="0" borderId="43" xfId="0" applyNumberFormat="1" applyFont="1" applyBorder="1" applyAlignment="1">
      <alignment horizontal="center"/>
    </xf>
    <xf numFmtId="0" fontId="37" fillId="0" borderId="43" xfId="0" applyFont="1" applyBorder="1" applyAlignment="1">
      <alignment horizontal="center"/>
    </xf>
    <xf numFmtId="9" fontId="35" fillId="0" borderId="43" xfId="0" applyNumberFormat="1" applyFont="1" applyBorder="1" applyAlignment="1">
      <alignment horizontal="center"/>
    </xf>
    <xf numFmtId="9" fontId="36" fillId="0" borderId="43" xfId="0" applyNumberFormat="1" applyFont="1" applyBorder="1" applyAlignment="1">
      <alignment horizontal="center"/>
    </xf>
    <xf numFmtId="0" fontId="36" fillId="0" borderId="43" xfId="0" applyFont="1" applyBorder="1" applyAlignment="1">
      <alignment horizontal="center"/>
    </xf>
    <xf numFmtId="0" fontId="32" fillId="0" borderId="43" xfId="0" quotePrefix="1" applyFont="1" applyBorder="1" applyAlignment="1">
      <alignment horizontal="center"/>
    </xf>
    <xf numFmtId="0" fontId="32" fillId="0" borderId="43" xfId="0" applyFont="1" applyBorder="1" applyAlignment="1">
      <alignment horizontal="center"/>
    </xf>
    <xf numFmtId="9" fontId="36" fillId="13" borderId="78" xfId="0" applyNumberFormat="1" applyFont="1" applyFill="1" applyBorder="1" applyAlignment="1">
      <alignment horizontal="center"/>
    </xf>
    <xf numFmtId="9" fontId="36" fillId="13" borderId="79" xfId="0" applyNumberFormat="1" applyFont="1" applyFill="1" applyBorder="1" applyAlignment="1">
      <alignment horizontal="center"/>
    </xf>
    <xf numFmtId="9" fontId="36" fillId="13" borderId="80" xfId="0" applyNumberFormat="1" applyFont="1" applyFill="1" applyBorder="1" applyAlignment="1">
      <alignment horizontal="center"/>
    </xf>
    <xf numFmtId="9" fontId="36" fillId="13" borderId="81" xfId="0" applyNumberFormat="1" applyFont="1" applyFill="1" applyBorder="1" applyAlignment="1">
      <alignment horizontal="center"/>
    </xf>
    <xf numFmtId="3" fontId="5" fillId="0" borderId="10" xfId="0" applyNumberFormat="1" applyFont="1" applyBorder="1" applyAlignment="1">
      <alignment horizontal="center" vertical="center"/>
    </xf>
    <xf numFmtId="3" fontId="5" fillId="0" borderId="9" xfId="0" applyNumberFormat="1" applyFont="1" applyBorder="1" applyAlignment="1">
      <alignment horizontal="center" vertical="center"/>
    </xf>
    <xf numFmtId="2" fontId="33" fillId="0" borderId="82" xfId="0" applyNumberFormat="1" applyFont="1" applyBorder="1" applyAlignment="1">
      <alignment horizontal="center"/>
    </xf>
    <xf numFmtId="2" fontId="33" fillId="0" borderId="83" xfId="0" applyNumberFormat="1" applyFont="1" applyBorder="1" applyAlignment="1">
      <alignment horizontal="center"/>
    </xf>
    <xf numFmtId="2" fontId="33" fillId="0" borderId="84" xfId="0" applyNumberFormat="1" applyFont="1" applyBorder="1" applyAlignment="1">
      <alignment horizontal="center"/>
    </xf>
    <xf numFmtId="2" fontId="33" fillId="0" borderId="85" xfId="0" applyNumberFormat="1" applyFont="1" applyBorder="1" applyAlignment="1">
      <alignment horizontal="center"/>
    </xf>
    <xf numFmtId="2" fontId="33" fillId="0" borderId="86" xfId="0" applyNumberFormat="1" applyFont="1" applyBorder="1" applyAlignment="1">
      <alignment horizontal="center"/>
    </xf>
    <xf numFmtId="168" fontId="33" fillId="0" borderId="83" xfId="0" applyNumberFormat="1" applyFont="1" applyBorder="1" applyAlignment="1">
      <alignment horizontal="center"/>
    </xf>
    <xf numFmtId="2" fontId="0" fillId="0" borderId="0" xfId="0" applyNumberFormat="1" applyAlignment="1">
      <alignment horizontal="center" vertical="center"/>
    </xf>
    <xf numFmtId="1" fontId="43" fillId="12" borderId="0" xfId="0" applyNumberFormat="1" applyFont="1" applyFill="1"/>
    <xf numFmtId="0" fontId="47" fillId="0" borderId="0" xfId="0" applyFont="1"/>
    <xf numFmtId="0" fontId="32" fillId="13" borderId="45" xfId="0" applyFont="1" applyFill="1" applyBorder="1" applyAlignment="1">
      <alignment horizontal="center"/>
    </xf>
    <xf numFmtId="2" fontId="12" fillId="0" borderId="0" xfId="0" applyNumberFormat="1" applyFont="1"/>
    <xf numFmtId="2" fontId="12" fillId="0" borderId="72" xfId="0" applyNumberFormat="1" applyFont="1" applyBorder="1"/>
    <xf numFmtId="2" fontId="12" fillId="23" borderId="0" xfId="0" applyNumberFormat="1" applyFont="1" applyFill="1"/>
    <xf numFmtId="2" fontId="12" fillId="26" borderId="0" xfId="0" applyNumberFormat="1" applyFont="1" applyFill="1"/>
    <xf numFmtId="2" fontId="12" fillId="26" borderId="73" xfId="0" applyNumberFormat="1" applyFont="1" applyFill="1" applyBorder="1"/>
    <xf numFmtId="0" fontId="35" fillId="0" borderId="82" xfId="0" applyFont="1" applyBorder="1" applyAlignment="1">
      <alignment horizontal="center"/>
    </xf>
    <xf numFmtId="0" fontId="35" fillId="0" borderId="83" xfId="0" applyFont="1" applyBorder="1" applyAlignment="1">
      <alignment horizontal="center"/>
    </xf>
    <xf numFmtId="0" fontId="32" fillId="0" borderId="83" xfId="0" applyFont="1" applyBorder="1" applyAlignment="1">
      <alignment horizontal="center"/>
    </xf>
    <xf numFmtId="0" fontId="32" fillId="0" borderId="84" xfId="0" applyFont="1" applyBorder="1" applyAlignment="1">
      <alignment horizontal="center"/>
    </xf>
    <xf numFmtId="0" fontId="32" fillId="0" borderId="85" xfId="0" applyFont="1" applyBorder="1" applyAlignment="1">
      <alignment horizontal="center"/>
    </xf>
    <xf numFmtId="0" fontId="35" fillId="0" borderId="86" xfId="0" applyFont="1" applyBorder="1" applyAlignment="1">
      <alignment horizontal="center"/>
    </xf>
    <xf numFmtId="165" fontId="36" fillId="13" borderId="66" xfId="0" applyNumberFormat="1" applyFont="1" applyFill="1" applyBorder="1" applyAlignment="1">
      <alignment horizontal="center"/>
    </xf>
    <xf numFmtId="165" fontId="36" fillId="13" borderId="57" xfId="0" applyNumberFormat="1" applyFont="1" applyFill="1" applyBorder="1" applyAlignment="1">
      <alignment horizontal="center"/>
    </xf>
    <xf numFmtId="168" fontId="35" fillId="0" borderId="42" xfId="0" applyNumberFormat="1" applyFont="1" applyBorder="1" applyAlignment="1">
      <alignment horizontal="center"/>
    </xf>
    <xf numFmtId="168" fontId="35" fillId="0" borderId="63" xfId="0" applyNumberFormat="1" applyFont="1" applyBorder="1" applyAlignment="1">
      <alignment horizontal="center"/>
    </xf>
    <xf numFmtId="168" fontId="35" fillId="0" borderId="51" xfId="0" applyNumberFormat="1" applyFont="1" applyBorder="1" applyAlignment="1">
      <alignment horizontal="center"/>
    </xf>
    <xf numFmtId="165" fontId="35" fillId="0" borderId="47" xfId="0" applyNumberFormat="1" applyFont="1" applyBorder="1" applyAlignment="1">
      <alignment horizontal="center"/>
    </xf>
    <xf numFmtId="165" fontId="35" fillId="0" borderId="63" xfId="0" applyNumberFormat="1" applyFont="1" applyBorder="1" applyAlignment="1">
      <alignment horizontal="center"/>
    </xf>
    <xf numFmtId="168" fontId="35" fillId="0" borderId="48" xfId="0" applyNumberFormat="1" applyFont="1" applyBorder="1" applyAlignment="1">
      <alignment horizontal="center"/>
    </xf>
    <xf numFmtId="168" fontId="35" fillId="0" borderId="44" xfId="0" applyNumberFormat="1" applyFont="1" applyBorder="1" applyAlignment="1">
      <alignment horizontal="center"/>
    </xf>
    <xf numFmtId="168" fontId="35" fillId="0" borderId="64" xfId="0" applyNumberFormat="1" applyFont="1" applyBorder="1" applyAlignment="1">
      <alignment horizontal="center"/>
    </xf>
    <xf numFmtId="168" fontId="35" fillId="0" borderId="53" xfId="0" applyNumberFormat="1" applyFont="1" applyBorder="1" applyAlignment="1">
      <alignment horizontal="center"/>
    </xf>
    <xf numFmtId="168" fontId="33" fillId="13" borderId="60" xfId="0" applyNumberFormat="1" applyFont="1" applyFill="1" applyBorder="1" applyAlignment="1">
      <alignment horizontal="center"/>
    </xf>
    <xf numFmtId="0" fontId="15" fillId="0" borderId="0" xfId="0" applyFont="1" applyAlignment="1">
      <alignment horizontal="left"/>
    </xf>
    <xf numFmtId="0" fontId="15" fillId="0" borderId="0" xfId="0" applyFont="1"/>
    <xf numFmtId="169" fontId="0" fillId="0" borderId="0" xfId="0" applyNumberFormat="1"/>
    <xf numFmtId="16" fontId="0" fillId="0" borderId="0" xfId="0" applyNumberFormat="1"/>
    <xf numFmtId="2" fontId="12" fillId="0" borderId="73" xfId="0" applyNumberFormat="1" applyFont="1" applyBorder="1"/>
    <xf numFmtId="3" fontId="5" fillId="0" borderId="0" xfId="0" applyNumberFormat="1" applyFont="1" applyAlignment="1">
      <alignment horizontal="center"/>
    </xf>
    <xf numFmtId="3" fontId="5" fillId="0" borderId="10" xfId="0" applyNumberFormat="1" applyFont="1" applyBorder="1" applyAlignment="1">
      <alignment horizontal="center"/>
    </xf>
    <xf numFmtId="3" fontId="5" fillId="0" borderId="9" xfId="0" applyNumberFormat="1" applyFont="1" applyBorder="1" applyAlignment="1">
      <alignment horizontal="center"/>
    </xf>
    <xf numFmtId="2" fontId="5" fillId="0" borderId="10" xfId="0" applyNumberFormat="1" applyFont="1" applyBorder="1" applyAlignment="1">
      <alignment horizontal="center"/>
    </xf>
    <xf numFmtId="0" fontId="49" fillId="0" borderId="0" xfId="0" applyFont="1"/>
    <xf numFmtId="166" fontId="31" fillId="13" borderId="46" xfId="0" applyNumberFormat="1" applyFont="1" applyFill="1" applyBorder="1" applyAlignment="1">
      <alignment horizontal="center"/>
    </xf>
    <xf numFmtId="2" fontId="12" fillId="0" borderId="9" xfId="0" applyNumberFormat="1" applyFont="1" applyBorder="1"/>
    <xf numFmtId="0" fontId="30" fillId="2" borderId="41" xfId="0" applyFont="1" applyFill="1" applyBorder="1" applyAlignment="1">
      <alignment horizontal="center"/>
    </xf>
    <xf numFmtId="167" fontId="32" fillId="0" borderId="53" xfId="0" quotePrefix="1" applyNumberFormat="1" applyFont="1" applyBorder="1"/>
    <xf numFmtId="167" fontId="32" fillId="0" borderId="44" xfId="0" quotePrefix="1" applyNumberFormat="1" applyFont="1" applyBorder="1"/>
    <xf numFmtId="167" fontId="32" fillId="0" borderId="44" xfId="0" applyNumberFormat="1" applyFont="1" applyBorder="1"/>
    <xf numFmtId="167" fontId="32" fillId="0" borderId="51" xfId="0" quotePrefix="1" applyNumberFormat="1" applyFont="1" applyBorder="1"/>
    <xf numFmtId="167" fontId="32" fillId="0" borderId="42" xfId="0" quotePrefix="1" applyNumberFormat="1" applyFont="1" applyBorder="1"/>
    <xf numFmtId="167" fontId="32" fillId="0" borderId="42" xfId="0" applyNumberFormat="1" applyFont="1" applyBorder="1"/>
    <xf numFmtId="0" fontId="34" fillId="2" borderId="9" xfId="0" applyFont="1" applyFill="1" applyBorder="1"/>
    <xf numFmtId="0" fontId="32" fillId="0" borderId="77" xfId="0" quotePrefix="1" applyFont="1" applyBorder="1" applyAlignment="1">
      <alignment horizontal="center"/>
    </xf>
    <xf numFmtId="0" fontId="32" fillId="0" borderId="78" xfId="0" quotePrefix="1" applyFont="1" applyBorder="1" applyAlignment="1">
      <alignment horizontal="center"/>
    </xf>
    <xf numFmtId="0" fontId="32" fillId="0" borderId="79" xfId="0" quotePrefix="1" applyFont="1" applyBorder="1" applyAlignment="1">
      <alignment horizontal="center"/>
    </xf>
    <xf numFmtId="167" fontId="32" fillId="0" borderId="77" xfId="0" quotePrefix="1" applyNumberFormat="1" applyFont="1" applyBorder="1"/>
    <xf numFmtId="167" fontId="32" fillId="0" borderId="78" xfId="0" quotePrefix="1" applyNumberFormat="1" applyFont="1" applyBorder="1"/>
    <xf numFmtId="167" fontId="32" fillId="0" borderId="78" xfId="0" applyNumberFormat="1" applyFont="1" applyBorder="1"/>
    <xf numFmtId="0" fontId="32" fillId="0" borderId="78" xfId="0" applyFont="1" applyBorder="1" applyAlignment="1">
      <alignment horizontal="center"/>
    </xf>
    <xf numFmtId="49" fontId="30" fillId="5" borderId="8" xfId="0" applyNumberFormat="1" applyFont="1" applyFill="1" applyBorder="1" applyAlignment="1">
      <alignment horizontal="center" vertical="center"/>
    </xf>
    <xf numFmtId="1" fontId="31" fillId="13" borderId="63" xfId="0" applyNumberFormat="1" applyFont="1" applyFill="1" applyBorder="1" applyAlignment="1">
      <alignment horizontal="center"/>
    </xf>
    <xf numFmtId="1" fontId="32" fillId="0" borderId="63" xfId="0" applyNumberFormat="1" applyFont="1" applyBorder="1" applyAlignment="1">
      <alignment horizontal="center"/>
    </xf>
    <xf numFmtId="168" fontId="33" fillId="0" borderId="63" xfId="0" applyNumberFormat="1" applyFont="1" applyBorder="1" applyAlignment="1">
      <alignment horizontal="center"/>
    </xf>
    <xf numFmtId="168" fontId="33" fillId="0" borderId="86" xfId="0" applyNumberFormat="1" applyFont="1" applyBorder="1" applyAlignment="1">
      <alignment horizontal="center"/>
    </xf>
    <xf numFmtId="168" fontId="33" fillId="13" borderId="67" xfId="0" applyNumberFormat="1" applyFont="1" applyFill="1" applyBorder="1" applyAlignment="1">
      <alignment horizontal="center"/>
    </xf>
    <xf numFmtId="10" fontId="35" fillId="0" borderId="63" xfId="0" applyNumberFormat="1" applyFont="1" applyBorder="1" applyAlignment="1">
      <alignment horizontal="center"/>
    </xf>
    <xf numFmtId="10" fontId="35" fillId="0" borderId="64" xfId="0" applyNumberFormat="1" applyFont="1" applyBorder="1" applyAlignment="1">
      <alignment horizontal="center"/>
    </xf>
    <xf numFmtId="2" fontId="35" fillId="0" borderId="63" xfId="0" applyNumberFormat="1" applyFont="1" applyBorder="1" applyAlignment="1">
      <alignment horizontal="center"/>
    </xf>
    <xf numFmtId="2" fontId="35" fillId="0" borderId="64" xfId="0" applyNumberFormat="1" applyFont="1" applyBorder="1" applyAlignment="1">
      <alignment horizontal="center"/>
    </xf>
    <xf numFmtId="1" fontId="31" fillId="13" borderId="66" xfId="0" applyNumberFormat="1" applyFont="1" applyFill="1" applyBorder="1" applyAlignment="1">
      <alignment horizontal="center"/>
    </xf>
    <xf numFmtId="166" fontId="31" fillId="13" borderId="65" xfId="0" applyNumberFormat="1" applyFont="1" applyFill="1" applyBorder="1" applyAlignment="1">
      <alignment horizontal="center"/>
    </xf>
    <xf numFmtId="1" fontId="32" fillId="0" borderId="92" xfId="0" applyNumberFormat="1" applyFont="1" applyBorder="1" applyAlignment="1">
      <alignment horizontal="center"/>
    </xf>
    <xf numFmtId="9" fontId="33" fillId="0" borderId="92" xfId="0" applyNumberFormat="1" applyFont="1" applyBorder="1" applyAlignment="1">
      <alignment horizontal="center"/>
    </xf>
    <xf numFmtId="165" fontId="36" fillId="13" borderId="94" xfId="0" applyNumberFormat="1" applyFont="1" applyFill="1" applyBorder="1" applyAlignment="1">
      <alignment horizontal="center"/>
    </xf>
    <xf numFmtId="165" fontId="35" fillId="0" borderId="92" xfId="0" applyNumberFormat="1" applyFont="1" applyBorder="1" applyAlignment="1">
      <alignment horizontal="center"/>
    </xf>
    <xf numFmtId="9" fontId="35" fillId="0" borderId="92" xfId="0" applyNumberFormat="1" applyFont="1" applyBorder="1" applyAlignment="1">
      <alignment horizontal="center"/>
    </xf>
    <xf numFmtId="0" fontId="36" fillId="13" borderId="93" xfId="0" applyFont="1" applyFill="1" applyBorder="1" applyAlignment="1">
      <alignment horizontal="center"/>
    </xf>
    <xf numFmtId="1" fontId="31" fillId="13" borderId="92" xfId="0" applyNumberFormat="1" applyFont="1" applyFill="1" applyBorder="1" applyAlignment="1">
      <alignment horizontal="center"/>
    </xf>
    <xf numFmtId="1" fontId="32" fillId="0" borderId="95" xfId="0" applyNumberFormat="1" applyFont="1" applyBorder="1" applyAlignment="1">
      <alignment horizontal="center"/>
    </xf>
    <xf numFmtId="9" fontId="36" fillId="13" borderId="93" xfId="0" applyNumberFormat="1" applyFont="1" applyFill="1" applyBorder="1" applyAlignment="1">
      <alignment horizontal="center"/>
    </xf>
    <xf numFmtId="9" fontId="35" fillId="0" borderId="95" xfId="0" applyNumberFormat="1" applyFont="1" applyBorder="1" applyAlignment="1">
      <alignment horizontal="center"/>
    </xf>
    <xf numFmtId="9" fontId="36" fillId="13" borderId="10" xfId="0" applyNumberFormat="1" applyFont="1" applyFill="1" applyBorder="1" applyAlignment="1">
      <alignment horizontal="center"/>
    </xf>
    <xf numFmtId="1" fontId="31" fillId="13" borderId="94" xfId="0" applyNumberFormat="1" applyFont="1" applyFill="1" applyBorder="1" applyAlignment="1">
      <alignment horizontal="center"/>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0" borderId="15" xfId="0" applyBorder="1"/>
    <xf numFmtId="0" fontId="0" fillId="0" borderId="15" xfId="0" applyBorder="1" applyAlignment="1">
      <alignment vertical="center"/>
    </xf>
    <xf numFmtId="9" fontId="0" fillId="0" borderId="15" xfId="0" applyNumberFormat="1" applyBorder="1"/>
    <xf numFmtId="0" fontId="28" fillId="0" borderId="15" xfId="0" applyFont="1" applyBorder="1"/>
    <xf numFmtId="0" fontId="27" fillId="0" borderId="15" xfId="0" applyFont="1" applyBorder="1"/>
    <xf numFmtId="166" fontId="31" fillId="13" borderId="93" xfId="0" applyNumberFormat="1" applyFont="1" applyFill="1" applyBorder="1" applyAlignment="1">
      <alignment horizontal="center"/>
    </xf>
    <xf numFmtId="1" fontId="31" fillId="13" borderId="98" xfId="0" applyNumberFormat="1" applyFont="1" applyFill="1" applyBorder="1" applyAlignment="1">
      <alignment horizontal="center"/>
    </xf>
    <xf numFmtId="1" fontId="32" fillId="0" borderId="98" xfId="0" applyNumberFormat="1" applyFont="1" applyBorder="1" applyAlignment="1">
      <alignment horizontal="center"/>
    </xf>
    <xf numFmtId="9" fontId="33" fillId="0" borderId="98" xfId="0" applyNumberFormat="1" applyFont="1" applyBorder="1" applyAlignment="1">
      <alignment horizontal="center"/>
    </xf>
    <xf numFmtId="10" fontId="35" fillId="0" borderId="102" xfId="0" applyNumberFormat="1" applyFont="1" applyBorder="1" applyAlignment="1">
      <alignment horizontal="center"/>
    </xf>
    <xf numFmtId="165" fontId="36" fillId="13" borderId="101" xfId="0" applyNumberFormat="1" applyFont="1" applyFill="1" applyBorder="1" applyAlignment="1">
      <alignment horizontal="center"/>
    </xf>
    <xf numFmtId="165" fontId="35" fillId="0" borderId="98" xfId="0" applyNumberFormat="1" applyFont="1" applyBorder="1" applyAlignment="1">
      <alignment horizontal="center"/>
    </xf>
    <xf numFmtId="9" fontId="35" fillId="0" borderId="98" xfId="0" applyNumberFormat="1" applyFont="1" applyBorder="1" applyAlignment="1">
      <alignment horizontal="center"/>
    </xf>
    <xf numFmtId="2" fontId="35" fillId="0" borderId="102" xfId="0" applyNumberFormat="1" applyFont="1" applyBorder="1" applyAlignment="1">
      <alignment horizontal="center"/>
    </xf>
    <xf numFmtId="0" fontId="35" fillId="0" borderId="98" xfId="0" applyFont="1" applyBorder="1" applyAlignment="1">
      <alignment horizontal="center"/>
    </xf>
    <xf numFmtId="0" fontId="35" fillId="0" borderId="99" xfId="0" applyFont="1" applyBorder="1" applyAlignment="1">
      <alignment horizontal="center"/>
    </xf>
    <xf numFmtId="0" fontId="35" fillId="0" borderId="100" xfId="0" applyFont="1" applyBorder="1" applyAlignment="1">
      <alignment horizontal="center"/>
    </xf>
    <xf numFmtId="1" fontId="32" fillId="0" borderId="102" xfId="0" applyNumberFormat="1" applyFont="1" applyBorder="1" applyAlignment="1">
      <alignment horizontal="center"/>
    </xf>
    <xf numFmtId="1" fontId="31" fillId="13" borderId="101" xfId="0" applyNumberFormat="1" applyFont="1" applyFill="1" applyBorder="1" applyAlignment="1">
      <alignment horizontal="center"/>
    </xf>
    <xf numFmtId="166" fontId="31" fillId="13" borderId="43" xfId="0" applyNumberFormat="1" applyFont="1" applyFill="1" applyBorder="1" applyAlignment="1">
      <alignment horizontal="center"/>
    </xf>
    <xf numFmtId="9" fontId="36" fillId="13" borderId="43" xfId="0" applyNumberFormat="1" applyFont="1" applyFill="1" applyBorder="1" applyAlignment="1">
      <alignment horizontal="center"/>
    </xf>
    <xf numFmtId="9" fontId="35" fillId="0" borderId="102" xfId="0" applyNumberFormat="1" applyFont="1" applyBorder="1" applyAlignment="1">
      <alignment horizontal="center"/>
    </xf>
    <xf numFmtId="9" fontId="36" fillId="13" borderId="0" xfId="0" applyNumberFormat="1" applyFont="1" applyFill="1" applyAlignment="1">
      <alignment horizontal="center"/>
    </xf>
    <xf numFmtId="0" fontId="32" fillId="0" borderId="98" xfId="0" applyFont="1" applyBorder="1" applyAlignment="1">
      <alignment horizontal="center"/>
    </xf>
    <xf numFmtId="0" fontId="32" fillId="0" borderId="102" xfId="0" applyFont="1" applyBorder="1" applyAlignment="1">
      <alignment horizontal="center"/>
    </xf>
    <xf numFmtId="0" fontId="32" fillId="0" borderId="101" xfId="0" applyFont="1" applyBorder="1" applyAlignment="1">
      <alignment horizontal="center"/>
    </xf>
    <xf numFmtId="49" fontId="30" fillId="5" borderId="7" xfId="0" applyNumberFormat="1" applyFont="1" applyFill="1" applyBorder="1" applyAlignment="1">
      <alignment horizontal="center" vertical="center"/>
    </xf>
    <xf numFmtId="49" fontId="30" fillId="5" borderId="91" xfId="0" applyNumberFormat="1" applyFont="1" applyFill="1" applyBorder="1" applyAlignment="1">
      <alignment horizontal="center" vertical="center"/>
    </xf>
    <xf numFmtId="168" fontId="32" fillId="0" borderId="92" xfId="0" applyNumberFormat="1" applyFont="1" applyBorder="1" applyAlignment="1">
      <alignment horizontal="center"/>
    </xf>
    <xf numFmtId="9" fontId="37" fillId="13" borderId="43" xfId="0" applyNumberFormat="1" applyFont="1" applyFill="1" applyBorder="1" applyAlignment="1">
      <alignment horizontal="center"/>
    </xf>
    <xf numFmtId="9" fontId="37" fillId="13" borderId="93" xfId="0" applyNumberFormat="1" applyFont="1" applyFill="1" applyBorder="1" applyAlignment="1">
      <alignment horizontal="center"/>
    </xf>
    <xf numFmtId="165" fontId="37" fillId="13" borderId="101" xfId="0" applyNumberFormat="1" applyFont="1" applyFill="1" applyBorder="1" applyAlignment="1">
      <alignment horizontal="center"/>
    </xf>
    <xf numFmtId="165" fontId="37" fillId="13" borderId="94" xfId="0" applyNumberFormat="1" applyFont="1" applyFill="1" applyBorder="1" applyAlignment="1">
      <alignment horizontal="center"/>
    </xf>
    <xf numFmtId="10" fontId="37" fillId="13" borderId="50" xfId="0" applyNumberFormat="1" applyFont="1" applyFill="1" applyBorder="1" applyAlignment="1">
      <alignment horizontal="center"/>
    </xf>
    <xf numFmtId="10" fontId="37" fillId="13" borderId="57" xfId="0" applyNumberFormat="1" applyFont="1" applyFill="1" applyBorder="1" applyAlignment="1">
      <alignment horizontal="center"/>
    </xf>
    <xf numFmtId="165" fontId="35" fillId="0" borderId="102" xfId="0" applyNumberFormat="1" applyFont="1" applyBorder="1" applyAlignment="1">
      <alignment horizontal="center"/>
    </xf>
    <xf numFmtId="165" fontId="35" fillId="0" borderId="95" xfId="0" applyNumberFormat="1" applyFont="1" applyBorder="1" applyAlignment="1">
      <alignment horizontal="center"/>
    </xf>
    <xf numFmtId="165" fontId="36" fillId="13" borderId="50" xfId="0" applyNumberFormat="1" applyFont="1" applyFill="1" applyBorder="1" applyAlignment="1">
      <alignment horizontal="center"/>
    </xf>
    <xf numFmtId="168" fontId="35" fillId="0" borderId="92" xfId="0" applyNumberFormat="1" applyFont="1" applyBorder="1" applyAlignment="1">
      <alignment horizontal="center"/>
    </xf>
    <xf numFmtId="168" fontId="35" fillId="0" borderId="95" xfId="0" applyNumberFormat="1" applyFont="1" applyBorder="1" applyAlignment="1">
      <alignment horizontal="center"/>
    </xf>
    <xf numFmtId="165" fontId="36" fillId="13" borderId="55" xfId="0" applyNumberFormat="1" applyFont="1" applyFill="1" applyBorder="1" applyAlignment="1">
      <alignment horizontal="center"/>
    </xf>
    <xf numFmtId="165" fontId="36" fillId="13" borderId="46" xfId="0" applyNumberFormat="1" applyFont="1" applyFill="1" applyBorder="1" applyAlignment="1">
      <alignment horizontal="center"/>
    </xf>
    <xf numFmtId="165" fontId="36" fillId="13" borderId="56" xfId="0" applyNumberFormat="1" applyFont="1" applyFill="1" applyBorder="1" applyAlignment="1">
      <alignment horizontal="center"/>
    </xf>
    <xf numFmtId="165" fontId="36" fillId="13" borderId="49" xfId="0" applyNumberFormat="1" applyFont="1" applyFill="1" applyBorder="1" applyAlignment="1">
      <alignment horizontal="center"/>
    </xf>
    <xf numFmtId="165" fontId="36" fillId="13" borderId="65" xfId="0" applyNumberFormat="1" applyFont="1" applyFill="1" applyBorder="1" applyAlignment="1">
      <alignment horizontal="center"/>
    </xf>
    <xf numFmtId="165" fontId="36" fillId="13" borderId="43" xfId="0" applyNumberFormat="1" applyFont="1" applyFill="1" applyBorder="1" applyAlignment="1">
      <alignment horizontal="center"/>
    </xf>
    <xf numFmtId="165" fontId="0" fillId="0" borderId="15" xfId="0" applyNumberFormat="1" applyBorder="1"/>
    <xf numFmtId="1" fontId="35" fillId="0" borderId="42" xfId="0" applyNumberFormat="1" applyFont="1" applyBorder="1" applyAlignment="1">
      <alignment horizontal="center"/>
    </xf>
    <xf numFmtId="1" fontId="35" fillId="0" borderId="92" xfId="0" applyNumberFormat="1" applyFont="1" applyBorder="1" applyAlignment="1">
      <alignment horizontal="center"/>
    </xf>
    <xf numFmtId="1" fontId="35" fillId="0" borderId="83" xfId="0" applyNumberFormat="1" applyFont="1" applyBorder="1" applyAlignment="1">
      <alignment horizontal="center"/>
    </xf>
    <xf numFmtId="1" fontId="35" fillId="0" borderId="96" xfId="0" applyNumberFormat="1" applyFont="1" applyBorder="1" applyAlignment="1">
      <alignment horizontal="center"/>
    </xf>
    <xf numFmtId="1" fontId="35" fillId="0" borderId="60" xfId="0" applyNumberFormat="1" applyFont="1" applyBorder="1" applyAlignment="1">
      <alignment horizontal="center"/>
    </xf>
    <xf numFmtId="1" fontId="35" fillId="0" borderId="97" xfId="0" applyNumberFormat="1" applyFont="1" applyBorder="1" applyAlignment="1">
      <alignment horizontal="center"/>
    </xf>
    <xf numFmtId="3" fontId="31" fillId="13" borderId="42" xfId="0" applyNumberFormat="1" applyFont="1" applyFill="1" applyBorder="1" applyAlignment="1">
      <alignment horizontal="center"/>
    </xf>
    <xf numFmtId="3" fontId="31" fillId="13" borderId="51" xfId="0" applyNumberFormat="1" applyFont="1" applyFill="1" applyBorder="1" applyAlignment="1">
      <alignment horizontal="center"/>
    </xf>
    <xf numFmtId="3" fontId="32" fillId="0" borderId="42" xfId="0" applyNumberFormat="1" applyFont="1" applyBorder="1" applyAlignment="1">
      <alignment horizontal="center"/>
    </xf>
    <xf numFmtId="3" fontId="32" fillId="0" borderId="63" xfId="0" applyNumberFormat="1" applyFont="1" applyBorder="1" applyAlignment="1">
      <alignment horizontal="center"/>
    </xf>
    <xf numFmtId="3" fontId="31" fillId="13" borderId="63" xfId="0" applyNumberFormat="1" applyFont="1" applyFill="1" applyBorder="1" applyAlignment="1">
      <alignment horizontal="center"/>
    </xf>
    <xf numFmtId="3" fontId="31" fillId="13" borderId="52" xfId="0" applyNumberFormat="1" applyFont="1" applyFill="1" applyBorder="1" applyAlignment="1">
      <alignment horizontal="center"/>
    </xf>
    <xf numFmtId="166" fontId="31" fillId="13" borderId="55" xfId="0" applyNumberFormat="1" applyFont="1" applyFill="1" applyBorder="1" applyAlignment="1">
      <alignment horizontal="center"/>
    </xf>
    <xf numFmtId="0" fontId="30" fillId="2" borderId="43" xfId="0" applyFont="1" applyFill="1" applyBorder="1" applyAlignment="1">
      <alignment vertical="center"/>
    </xf>
    <xf numFmtId="0" fontId="30" fillId="2" borderId="43" xfId="0" applyFont="1" applyFill="1" applyBorder="1" applyAlignment="1">
      <alignment horizontal="center" vertical="center"/>
    </xf>
    <xf numFmtId="0" fontId="37" fillId="13" borderId="55" xfId="0" quotePrefix="1" applyFont="1" applyFill="1" applyBorder="1" applyAlignment="1">
      <alignment horizontal="center" vertical="center"/>
    </xf>
    <xf numFmtId="0" fontId="37" fillId="13" borderId="46" xfId="0" quotePrefix="1" applyFont="1" applyFill="1" applyBorder="1" applyAlignment="1">
      <alignment horizontal="center" vertical="center"/>
    </xf>
    <xf numFmtId="9" fontId="37" fillId="13" borderId="46" xfId="0" applyNumberFormat="1" applyFont="1" applyFill="1" applyBorder="1" applyAlignment="1">
      <alignment horizontal="center" vertical="center"/>
    </xf>
    <xf numFmtId="9" fontId="37" fillId="13" borderId="56" xfId="0" applyNumberFormat="1" applyFont="1" applyFill="1" applyBorder="1" applyAlignment="1">
      <alignment horizontal="center" vertical="center"/>
    </xf>
    <xf numFmtId="9" fontId="37" fillId="13" borderId="49" xfId="0" applyNumberFormat="1" applyFont="1" applyFill="1" applyBorder="1" applyAlignment="1">
      <alignment horizontal="center" vertical="center"/>
    </xf>
    <xf numFmtId="9" fontId="37" fillId="13" borderId="65" xfId="0" applyNumberFormat="1" applyFont="1" applyFill="1" applyBorder="1" applyAlignment="1">
      <alignment horizontal="center" vertical="center"/>
    </xf>
    <xf numFmtId="9" fontId="37" fillId="13" borderId="55" xfId="0" applyNumberFormat="1" applyFont="1" applyFill="1" applyBorder="1" applyAlignment="1">
      <alignment horizontal="center" vertical="center"/>
    </xf>
    <xf numFmtId="9" fontId="37" fillId="13" borderId="43" xfId="0" applyNumberFormat="1" applyFont="1" applyFill="1" applyBorder="1" applyAlignment="1">
      <alignment horizontal="center" vertical="center"/>
    </xf>
    <xf numFmtId="9" fontId="37" fillId="13" borderId="93" xfId="0" applyNumberFormat="1" applyFont="1" applyFill="1" applyBorder="1" applyAlignment="1">
      <alignment horizontal="center" vertical="center"/>
    </xf>
    <xf numFmtId="0" fontId="32" fillId="0" borderId="0" xfId="0" applyFont="1" applyAlignment="1">
      <alignment horizontal="center"/>
    </xf>
    <xf numFmtId="0" fontId="32" fillId="0" borderId="81" xfId="0" applyFont="1" applyBorder="1" applyAlignment="1">
      <alignment horizontal="center"/>
    </xf>
    <xf numFmtId="165" fontId="31" fillId="13" borderId="42" xfId="0" applyNumberFormat="1" applyFont="1" applyFill="1" applyBorder="1" applyAlignment="1">
      <alignment horizontal="center"/>
    </xf>
    <xf numFmtId="165" fontId="31" fillId="13" borderId="52" xfId="0" applyNumberFormat="1" applyFont="1" applyFill="1" applyBorder="1" applyAlignment="1">
      <alignment horizontal="center"/>
    </xf>
    <xf numFmtId="165" fontId="31" fillId="13" borderId="47" xfId="0" applyNumberFormat="1" applyFont="1" applyFill="1" applyBorder="1" applyAlignment="1">
      <alignment horizontal="center"/>
    </xf>
    <xf numFmtId="165" fontId="31" fillId="13" borderId="63" xfId="0" applyNumberFormat="1" applyFont="1" applyFill="1" applyBorder="1" applyAlignment="1">
      <alignment horizontal="center"/>
    </xf>
    <xf numFmtId="165" fontId="31" fillId="13" borderId="51" xfId="0" applyNumberFormat="1" applyFont="1" applyFill="1" applyBorder="1" applyAlignment="1">
      <alignment horizontal="center"/>
    </xf>
    <xf numFmtId="0" fontId="41" fillId="0" borderId="0" xfId="0" applyFont="1" applyAlignment="1">
      <alignment vertical="center"/>
    </xf>
    <xf numFmtId="0" fontId="44" fillId="0" borderId="0" xfId="0" applyFont="1" applyAlignment="1">
      <alignment vertical="center" textRotation="255"/>
    </xf>
    <xf numFmtId="14" fontId="12" fillId="0" borderId="24" xfId="0" applyNumberFormat="1" applyFont="1" applyBorder="1" applyAlignment="1">
      <alignment horizontal="center" vertical="center"/>
    </xf>
    <xf numFmtId="165" fontId="31" fillId="13" borderId="98" xfId="0" applyNumberFormat="1" applyFont="1" applyFill="1" applyBorder="1" applyAlignment="1">
      <alignment horizontal="center"/>
    </xf>
    <xf numFmtId="165" fontId="31" fillId="13" borderId="92" xfId="0" applyNumberFormat="1" applyFont="1" applyFill="1" applyBorder="1" applyAlignment="1">
      <alignment horizontal="center"/>
    </xf>
    <xf numFmtId="165" fontId="36" fillId="13" borderId="93" xfId="0" applyNumberFormat="1" applyFont="1" applyFill="1" applyBorder="1" applyAlignment="1">
      <alignment horizontal="center"/>
    </xf>
    <xf numFmtId="1" fontId="32" fillId="0" borderId="100" xfId="0" applyNumberFormat="1" applyFont="1" applyBorder="1" applyAlignment="1">
      <alignment horizontal="center"/>
    </xf>
    <xf numFmtId="1" fontId="32" fillId="0" borderId="60" xfId="0" applyNumberFormat="1" applyFont="1" applyBorder="1" applyAlignment="1">
      <alignment horizontal="center"/>
    </xf>
    <xf numFmtId="1" fontId="32" fillId="0" borderId="97" xfId="0" applyNumberFormat="1" applyFont="1" applyBorder="1" applyAlignment="1">
      <alignment horizontal="center"/>
    </xf>
    <xf numFmtId="167" fontId="32" fillId="0" borderId="43" xfId="0" quotePrefix="1" applyNumberFormat="1" applyFont="1" applyBorder="1"/>
    <xf numFmtId="167" fontId="32" fillId="0" borderId="43" xfId="0" applyNumberFormat="1" applyFont="1" applyBorder="1"/>
    <xf numFmtId="0" fontId="34" fillId="2" borderId="103" xfId="0" applyFont="1" applyFill="1" applyBorder="1"/>
    <xf numFmtId="0" fontId="13" fillId="0" borderId="23" xfId="0" applyFont="1" applyBorder="1"/>
    <xf numFmtId="0" fontId="13" fillId="0" borderId="24" xfId="0" applyFont="1" applyBorder="1"/>
    <xf numFmtId="2" fontId="0" fillId="0" borderId="24" xfId="0" applyNumberFormat="1" applyBorder="1"/>
    <xf numFmtId="165" fontId="32" fillId="0" borderId="42" xfId="0" applyNumberFormat="1" applyFont="1" applyBorder="1" applyAlignment="1">
      <alignment horizontal="center"/>
    </xf>
    <xf numFmtId="170" fontId="0" fillId="0" borderId="0" xfId="0" applyNumberFormat="1"/>
    <xf numFmtId="171" fontId="32" fillId="0" borderId="43" xfId="0" applyNumberFormat="1" applyFont="1" applyBorder="1"/>
    <xf numFmtId="0" fontId="36" fillId="13" borderId="66" xfId="0" applyFont="1" applyFill="1" applyBorder="1" applyAlignment="1">
      <alignment horizontal="center"/>
    </xf>
    <xf numFmtId="167" fontId="31" fillId="13" borderId="51" xfId="0" applyNumberFormat="1" applyFont="1" applyFill="1" applyBorder="1" applyAlignment="1">
      <alignment horizontal="center"/>
    </xf>
    <xf numFmtId="167" fontId="31" fillId="13" borderId="42" xfId="0" applyNumberFormat="1" applyFont="1" applyFill="1" applyBorder="1" applyAlignment="1">
      <alignment horizontal="center"/>
    </xf>
    <xf numFmtId="167" fontId="31" fillId="13" borderId="63" xfId="0" applyNumberFormat="1" applyFont="1" applyFill="1" applyBorder="1" applyAlignment="1">
      <alignment horizontal="center"/>
    </xf>
    <xf numFmtId="167" fontId="32" fillId="0" borderId="51" xfId="0" applyNumberFormat="1" applyFont="1" applyBorder="1" applyAlignment="1">
      <alignment horizontal="center"/>
    </xf>
    <xf numFmtId="167" fontId="32" fillId="0" borderId="42" xfId="0" applyNumberFormat="1" applyFont="1" applyBorder="1" applyAlignment="1">
      <alignment horizontal="center"/>
    </xf>
    <xf numFmtId="167" fontId="32" fillId="0" borderId="63" xfId="0" applyNumberFormat="1" applyFont="1" applyBorder="1" applyAlignment="1">
      <alignment horizontal="center"/>
    </xf>
    <xf numFmtId="167" fontId="32" fillId="0" borderId="53" xfId="0" applyNumberFormat="1" applyFont="1" applyBorder="1" applyAlignment="1">
      <alignment horizontal="center"/>
    </xf>
    <xf numFmtId="167" fontId="32" fillId="0" borderId="44" xfId="0" applyNumberFormat="1" applyFont="1" applyBorder="1" applyAlignment="1">
      <alignment horizontal="center"/>
    </xf>
    <xf numFmtId="167" fontId="32" fillId="0" borderId="64" xfId="0" applyNumberFormat="1" applyFont="1" applyBorder="1" applyAlignment="1">
      <alignment horizontal="center"/>
    </xf>
    <xf numFmtId="172" fontId="31" fillId="13" borderId="51" xfId="0" applyNumberFormat="1" applyFont="1" applyFill="1" applyBorder="1" applyAlignment="1">
      <alignment horizontal="center"/>
    </xf>
    <xf numFmtId="172" fontId="31" fillId="13" borderId="45" xfId="0" applyNumberFormat="1" applyFont="1" applyFill="1" applyBorder="1" applyAlignment="1">
      <alignment horizontal="center"/>
    </xf>
    <xf numFmtId="172" fontId="31" fillId="13" borderId="42" xfId="0" applyNumberFormat="1" applyFont="1" applyFill="1" applyBorder="1" applyAlignment="1">
      <alignment horizontal="center"/>
    </xf>
    <xf numFmtId="172" fontId="31" fillId="13" borderId="63" xfId="0" applyNumberFormat="1" applyFont="1" applyFill="1" applyBorder="1" applyAlignment="1">
      <alignment horizontal="center"/>
    </xf>
    <xf numFmtId="168" fontId="32" fillId="0" borderId="95" xfId="0" applyNumberFormat="1" applyFont="1" applyBorder="1" applyAlignment="1">
      <alignment horizontal="center"/>
    </xf>
    <xf numFmtId="3" fontId="32" fillId="0" borderId="94" xfId="0" applyNumberFormat="1" applyFont="1" applyBorder="1" applyAlignment="1">
      <alignment horizontal="center"/>
    </xf>
    <xf numFmtId="3" fontId="32" fillId="0" borderId="92" xfId="0" applyNumberFormat="1" applyFont="1" applyBorder="1" applyAlignment="1">
      <alignment horizontal="center"/>
    </xf>
    <xf numFmtId="3" fontId="32" fillId="0" borderId="95" xfId="0" applyNumberFormat="1" applyFont="1" applyBorder="1" applyAlignment="1">
      <alignment horizontal="center"/>
    </xf>
    <xf numFmtId="3" fontId="32" fillId="0" borderId="43" xfId="0" applyNumberFormat="1" applyFont="1" applyBorder="1" applyAlignment="1">
      <alignment horizontal="center"/>
    </xf>
    <xf numFmtId="3" fontId="32" fillId="0" borderId="10" xfId="0" applyNumberFormat="1" applyFont="1" applyBorder="1" applyAlignment="1">
      <alignment horizontal="center"/>
    </xf>
    <xf numFmtId="3" fontId="36" fillId="13" borderId="57" xfId="0" applyNumberFormat="1" applyFont="1" applyFill="1" applyBorder="1" applyAlignment="1">
      <alignment horizontal="center"/>
    </xf>
    <xf numFmtId="3" fontId="36" fillId="13" borderId="45" xfId="0" applyNumberFormat="1" applyFont="1" applyFill="1" applyBorder="1" applyAlignment="1">
      <alignment horizontal="center"/>
    </xf>
    <xf numFmtId="3" fontId="36" fillId="13" borderId="66" xfId="0" applyNumberFormat="1" applyFont="1" applyFill="1" applyBorder="1" applyAlignment="1">
      <alignment horizontal="center"/>
    </xf>
    <xf numFmtId="172" fontId="32" fillId="0" borderId="51" xfId="0" quotePrefix="1" applyNumberFormat="1" applyFont="1" applyBorder="1" applyAlignment="1">
      <alignment horizontal="center"/>
    </xf>
    <xf numFmtId="172" fontId="32" fillId="0" borderId="42" xfId="0" quotePrefix="1" applyNumberFormat="1" applyFont="1" applyBorder="1" applyAlignment="1">
      <alignment horizontal="center"/>
    </xf>
    <xf numFmtId="172" fontId="32" fillId="0" borderId="42" xfId="0" applyNumberFormat="1" applyFont="1" applyBorder="1" applyAlignment="1">
      <alignment horizontal="center"/>
    </xf>
    <xf numFmtId="172" fontId="32" fillId="0" borderId="63" xfId="0" applyNumberFormat="1" applyFont="1" applyBorder="1" applyAlignment="1">
      <alignment horizontal="center"/>
    </xf>
    <xf numFmtId="172" fontId="32" fillId="0" borderId="53" xfId="0" quotePrefix="1" applyNumberFormat="1" applyFont="1" applyBorder="1" applyAlignment="1">
      <alignment horizontal="center"/>
    </xf>
    <xf numFmtId="172" fontId="32" fillId="0" borderId="44" xfId="0" quotePrefix="1" applyNumberFormat="1" applyFont="1" applyBorder="1" applyAlignment="1">
      <alignment horizontal="center"/>
    </xf>
    <xf numFmtId="172" fontId="32" fillId="0" borderId="44" xfId="0" applyNumberFormat="1" applyFont="1" applyBorder="1" applyAlignment="1">
      <alignment horizontal="center"/>
    </xf>
    <xf numFmtId="172" fontId="32" fillId="0" borderId="64" xfId="0" applyNumberFormat="1" applyFont="1" applyBorder="1" applyAlignment="1">
      <alignment horizontal="center"/>
    </xf>
    <xf numFmtId="4" fontId="12" fillId="0" borderId="9" xfId="0" applyNumberFormat="1" applyFont="1" applyBorder="1"/>
    <xf numFmtId="4" fontId="12" fillId="0" borderId="0" xfId="0" applyNumberFormat="1" applyFont="1"/>
    <xf numFmtId="4" fontId="12" fillId="0" borderId="73" xfId="0" applyNumberFormat="1" applyFont="1" applyBorder="1"/>
    <xf numFmtId="4" fontId="12" fillId="0" borderId="72" xfId="0" applyNumberFormat="1" applyFont="1" applyBorder="1"/>
    <xf numFmtId="4" fontId="12" fillId="25" borderId="0" xfId="0" applyNumberFormat="1" applyFont="1" applyFill="1"/>
    <xf numFmtId="4" fontId="12" fillId="25" borderId="73" xfId="0" applyNumberFormat="1" applyFont="1" applyFill="1" applyBorder="1"/>
    <xf numFmtId="3" fontId="31" fillId="13" borderId="57" xfId="0" applyNumberFormat="1" applyFont="1" applyFill="1" applyBorder="1" applyAlignment="1">
      <alignment horizontal="center"/>
    </xf>
    <xf numFmtId="164" fontId="36" fillId="13" borderId="46" xfId="0" applyNumberFormat="1" applyFont="1" applyFill="1" applyBorder="1" applyAlignment="1">
      <alignment horizontal="center"/>
    </xf>
    <xf numFmtId="164" fontId="36" fillId="13" borderId="43" xfId="0" applyNumberFormat="1" applyFont="1" applyFill="1" applyBorder="1" applyAlignment="1">
      <alignment horizontal="center"/>
    </xf>
    <xf numFmtId="164" fontId="36" fillId="13" borderId="93" xfId="0" applyNumberFormat="1" applyFont="1" applyFill="1" applyBorder="1" applyAlignment="1">
      <alignment horizontal="center"/>
    </xf>
    <xf numFmtId="0" fontId="50" fillId="0" borderId="23" xfId="0" applyFont="1" applyBorder="1" applyAlignment="1">
      <alignment wrapText="1" readingOrder="1"/>
    </xf>
    <xf numFmtId="0" fontId="50" fillId="0" borderId="24" xfId="0" applyFont="1" applyBorder="1" applyAlignment="1">
      <alignment wrapText="1" readingOrder="1"/>
    </xf>
    <xf numFmtId="0" fontId="11" fillId="30" borderId="21" xfId="0" applyFont="1" applyFill="1" applyBorder="1" applyAlignment="1">
      <alignment horizontal="center" vertical="center"/>
    </xf>
    <xf numFmtId="0" fontId="11" fillId="30" borderId="22" xfId="0" applyFont="1" applyFill="1" applyBorder="1" applyAlignment="1">
      <alignment horizontal="center" vertical="center"/>
    </xf>
    <xf numFmtId="0" fontId="11" fillId="30" borderId="22" xfId="0" applyFont="1" applyFill="1" applyBorder="1" applyAlignment="1">
      <alignment horizontal="center" vertical="center" wrapText="1"/>
    </xf>
    <xf numFmtId="0" fontId="12" fillId="33" borderId="21" xfId="0" applyFont="1" applyFill="1" applyBorder="1"/>
    <xf numFmtId="0" fontId="12" fillId="33" borderId="22" xfId="0" applyFont="1" applyFill="1" applyBorder="1"/>
    <xf numFmtId="0" fontId="12" fillId="0" borderId="22" xfId="0" applyFont="1" applyBorder="1"/>
    <xf numFmtId="0" fontId="12" fillId="0" borderId="108" xfId="0" applyFont="1" applyBorder="1"/>
    <xf numFmtId="0" fontId="12" fillId="33" borderId="108" xfId="0" applyFont="1" applyFill="1" applyBorder="1"/>
    <xf numFmtId="0" fontId="12" fillId="0" borderId="32" xfId="0" applyFont="1" applyBorder="1"/>
    <xf numFmtId="0" fontId="12" fillId="33" borderId="21" xfId="0" applyFont="1" applyFill="1" applyBorder="1" applyAlignment="1">
      <alignment horizontal="center"/>
    </xf>
    <xf numFmtId="0" fontId="12" fillId="33" borderId="25" xfId="0" applyFont="1" applyFill="1" applyBorder="1" applyAlignment="1">
      <alignment horizontal="center"/>
    </xf>
    <xf numFmtId="0" fontId="12" fillId="0" borderId="21" xfId="0" applyFont="1" applyBorder="1" applyAlignment="1">
      <alignment horizontal="center"/>
    </xf>
    <xf numFmtId="0" fontId="12" fillId="0" borderId="107" xfId="0" applyFont="1" applyBorder="1" applyAlignment="1">
      <alignment horizontal="center"/>
    </xf>
    <xf numFmtId="0" fontId="12" fillId="33" borderId="107" xfId="0" applyFont="1" applyFill="1" applyBorder="1" applyAlignment="1">
      <alignment horizontal="center"/>
    </xf>
    <xf numFmtId="0" fontId="12" fillId="0" borderId="25" xfId="0" applyFont="1" applyBorder="1" applyAlignment="1">
      <alignment horizontal="center"/>
    </xf>
    <xf numFmtId="14" fontId="12" fillId="33" borderId="21" xfId="0" applyNumberFormat="1" applyFont="1" applyFill="1" applyBorder="1" applyAlignment="1">
      <alignment horizontal="center"/>
    </xf>
    <xf numFmtId="14" fontId="12" fillId="0" borderId="21" xfId="0" applyNumberFormat="1" applyFont="1" applyBorder="1" applyAlignment="1">
      <alignment horizontal="center"/>
    </xf>
    <xf numFmtId="14" fontId="12" fillId="0" borderId="25" xfId="0" applyNumberFormat="1" applyFont="1" applyBorder="1" applyAlignment="1">
      <alignment horizontal="center"/>
    </xf>
    <xf numFmtId="0" fontId="50" fillId="0" borderId="24" xfId="0" applyFont="1" applyBorder="1" applyAlignment="1">
      <alignment horizontal="center" wrapText="1" readingOrder="1"/>
    </xf>
    <xf numFmtId="0" fontId="51" fillId="0" borderId="24" xfId="0" applyFont="1" applyBorder="1" applyAlignment="1">
      <alignment horizontal="center"/>
    </xf>
    <xf numFmtId="0" fontId="12" fillId="33" borderId="109" xfId="0" applyFont="1" applyFill="1" applyBorder="1" applyAlignment="1">
      <alignment horizontal="center"/>
    </xf>
    <xf numFmtId="4" fontId="12" fillId="0" borderId="10" xfId="0" applyNumberFormat="1" applyFont="1" applyBorder="1"/>
    <xf numFmtId="4" fontId="12" fillId="25" borderId="10" xfId="0" applyNumberFormat="1" applyFont="1" applyFill="1" applyBorder="1"/>
    <xf numFmtId="0" fontId="12" fillId="0" borderId="10" xfId="0" applyFont="1" applyBorder="1"/>
    <xf numFmtId="167" fontId="32" fillId="0" borderId="42" xfId="0" applyNumberFormat="1" applyFont="1" applyBorder="1" applyAlignment="1">
      <alignment horizontal="center" vertical="center"/>
    </xf>
    <xf numFmtId="167" fontId="32" fillId="0" borderId="51" xfId="0" quotePrefix="1" applyNumberFormat="1" applyFont="1" applyBorder="1" applyAlignment="1">
      <alignment horizontal="center" vertical="center"/>
    </xf>
    <xf numFmtId="167" fontId="32" fillId="0" borderId="42" xfId="0" quotePrefix="1" applyNumberFormat="1" applyFont="1" applyBorder="1" applyAlignment="1">
      <alignment horizontal="center" vertical="center"/>
    </xf>
    <xf numFmtId="167" fontId="32" fillId="0" borderId="63" xfId="0" applyNumberFormat="1" applyFont="1" applyBorder="1" applyAlignment="1">
      <alignment horizontal="center" vertical="center"/>
    </xf>
    <xf numFmtId="167" fontId="32" fillId="0" borderId="53" xfId="0" quotePrefix="1" applyNumberFormat="1" applyFont="1" applyBorder="1" applyAlignment="1">
      <alignment horizontal="center" vertical="center"/>
    </xf>
    <xf numFmtId="167" fontId="32" fillId="0" borderId="44" xfId="0" quotePrefix="1" applyNumberFormat="1" applyFont="1" applyBorder="1" applyAlignment="1">
      <alignment horizontal="center" vertical="center"/>
    </xf>
    <xf numFmtId="167" fontId="32" fillId="0" borderId="44" xfId="0" applyNumberFormat="1" applyFont="1" applyBorder="1" applyAlignment="1">
      <alignment horizontal="center" vertical="center"/>
    </xf>
    <xf numFmtId="173" fontId="32" fillId="0" borderId="44" xfId="0" applyNumberFormat="1" applyFont="1" applyBorder="1" applyAlignment="1">
      <alignment horizontal="center" vertical="center"/>
    </xf>
    <xf numFmtId="167" fontId="32" fillId="0" borderId="64" xfId="0" applyNumberFormat="1" applyFont="1" applyBorder="1" applyAlignment="1">
      <alignment horizontal="center" vertical="center"/>
    </xf>
    <xf numFmtId="0" fontId="5" fillId="4" borderId="9" xfId="0" applyFont="1" applyFill="1" applyBorder="1"/>
    <xf numFmtId="0" fontId="52" fillId="34" borderId="0" xfId="0" applyFont="1" applyFill="1" applyAlignment="1">
      <alignment horizontal="center" vertical="center"/>
    </xf>
    <xf numFmtId="164" fontId="36" fillId="13" borderId="78" xfId="0" applyNumberFormat="1" applyFont="1" applyFill="1" applyBorder="1" applyAlignment="1">
      <alignment horizontal="center"/>
    </xf>
    <xf numFmtId="164" fontId="36" fillId="13" borderId="10" xfId="0" applyNumberFormat="1" applyFont="1" applyFill="1" applyBorder="1" applyAlignment="1">
      <alignment horizontal="center"/>
    </xf>
    <xf numFmtId="164" fontId="36" fillId="13" borderId="0" xfId="0" applyNumberFormat="1" applyFont="1" applyFill="1" applyAlignment="1">
      <alignment horizontal="center"/>
    </xf>
    <xf numFmtId="3" fontId="36" fillId="13" borderId="46" xfId="0" applyNumberFormat="1" applyFont="1" applyFill="1" applyBorder="1" applyAlignment="1">
      <alignment horizontal="center"/>
    </xf>
    <xf numFmtId="3" fontId="36" fillId="13" borderId="55" xfId="0" applyNumberFormat="1" applyFont="1" applyFill="1" applyBorder="1" applyAlignment="1">
      <alignment horizontal="center"/>
    </xf>
    <xf numFmtId="3" fontId="36" fillId="13" borderId="65" xfId="0" applyNumberFormat="1" applyFont="1" applyFill="1" applyBorder="1" applyAlignment="1">
      <alignment horizontal="center"/>
    </xf>
    <xf numFmtId="20" fontId="0" fillId="0" borderId="0" xfId="0" applyNumberFormat="1"/>
    <xf numFmtId="166" fontId="36" fillId="13" borderId="57" xfId="0" applyNumberFormat="1" applyFont="1" applyFill="1" applyBorder="1" applyAlignment="1">
      <alignment horizontal="center"/>
    </xf>
    <xf numFmtId="166" fontId="36" fillId="13" borderId="45" xfId="0" applyNumberFormat="1" applyFont="1" applyFill="1" applyBorder="1" applyAlignment="1">
      <alignment horizontal="center"/>
    </xf>
    <xf numFmtId="166" fontId="36" fillId="13" borderId="66" xfId="0" applyNumberFormat="1" applyFont="1" applyFill="1" applyBorder="1" applyAlignment="1">
      <alignment horizontal="center"/>
    </xf>
    <xf numFmtId="0" fontId="12" fillId="0" borderId="21" xfId="0" applyFont="1" applyBorder="1"/>
    <xf numFmtId="0" fontId="12" fillId="0" borderId="109" xfId="0" applyFont="1" applyBorder="1" applyAlignment="1">
      <alignment horizontal="center"/>
    </xf>
    <xf numFmtId="0" fontId="12" fillId="0" borderId="25" xfId="0" applyFont="1" applyBorder="1"/>
    <xf numFmtId="0" fontId="12" fillId="0" borderId="111" xfId="0" applyFont="1" applyBorder="1" applyAlignment="1">
      <alignment horizontal="center"/>
    </xf>
    <xf numFmtId="10" fontId="0" fillId="0" borderId="0" xfId="0" applyNumberFormat="1"/>
    <xf numFmtId="172" fontId="36" fillId="13" borderId="45" xfId="0" applyNumberFormat="1" applyFont="1" applyFill="1" applyBorder="1" applyAlignment="1">
      <alignment horizontal="center"/>
    </xf>
    <xf numFmtId="9" fontId="32" fillId="0" borderId="45" xfId="0" applyNumberFormat="1" applyFont="1" applyBorder="1" applyAlignment="1">
      <alignment horizontal="center"/>
    </xf>
    <xf numFmtId="9" fontId="32" fillId="0" borderId="66" xfId="0" applyNumberFormat="1" applyFont="1" applyBorder="1" applyAlignment="1">
      <alignment horizontal="center"/>
    </xf>
    <xf numFmtId="9" fontId="32" fillId="0" borderId="57" xfId="0" quotePrefix="1" applyNumberFormat="1" applyFont="1" applyBorder="1" applyAlignment="1">
      <alignment horizontal="center"/>
    </xf>
    <xf numFmtId="9" fontId="32" fillId="0" borderId="45" xfId="0" quotePrefix="1" applyNumberFormat="1" applyFont="1" applyBorder="1" applyAlignment="1">
      <alignment horizontal="center"/>
    </xf>
    <xf numFmtId="0" fontId="42" fillId="18" borderId="9" xfId="0" applyFont="1" applyFill="1" applyBorder="1" applyAlignment="1">
      <alignment horizontal="center"/>
    </xf>
    <xf numFmtId="0" fontId="42" fillId="18" borderId="0" xfId="0" applyFont="1" applyFill="1" applyAlignment="1">
      <alignment horizontal="center"/>
    </xf>
    <xf numFmtId="0" fontId="42" fillId="18" borderId="10" xfId="0" applyFont="1" applyFill="1" applyBorder="1" applyAlignment="1">
      <alignment horizontal="center"/>
    </xf>
    <xf numFmtId="0" fontId="12" fillId="35" borderId="0" xfId="0" applyFont="1" applyFill="1"/>
    <xf numFmtId="9" fontId="32" fillId="0" borderId="94" xfId="0" applyNumberFormat="1" applyFont="1" applyBorder="1" applyAlignment="1">
      <alignment horizontal="center"/>
    </xf>
    <xf numFmtId="0" fontId="32" fillId="0" borderId="86" xfId="0" applyFont="1" applyBorder="1" applyAlignment="1">
      <alignment horizontal="center"/>
    </xf>
    <xf numFmtId="0" fontId="32" fillId="0" borderId="82" xfId="0" applyFont="1" applyBorder="1" applyAlignment="1">
      <alignment horizontal="center"/>
    </xf>
    <xf numFmtId="1" fontId="32" fillId="0" borderId="99" xfId="0" applyNumberFormat="1" applyFont="1" applyBorder="1" applyAlignment="1">
      <alignment horizontal="center"/>
    </xf>
    <xf numFmtId="1" fontId="32" fillId="0" borderId="83" xfId="0" applyNumberFormat="1" applyFont="1" applyBorder="1" applyAlignment="1">
      <alignment horizontal="center"/>
    </xf>
    <xf numFmtId="1" fontId="32" fillId="0" borderId="96" xfId="0" applyNumberFormat="1" applyFont="1" applyBorder="1" applyAlignment="1">
      <alignment horizontal="center"/>
    </xf>
    <xf numFmtId="0" fontId="12" fillId="36" borderId="9" xfId="0" applyFont="1" applyFill="1" applyBorder="1"/>
    <xf numFmtId="0" fontId="0" fillId="0" borderId="40" xfId="0" applyBorder="1" applyAlignment="1">
      <alignment horizontal="center" vertical="center"/>
    </xf>
    <xf numFmtId="0" fontId="0" fillId="0" borderId="9" xfId="0" applyBorder="1"/>
    <xf numFmtId="0" fontId="0" fillId="0" borderId="112" xfId="0" applyBorder="1" applyAlignment="1">
      <alignment horizontal="center" vertical="center"/>
    </xf>
    <xf numFmtId="0" fontId="0" fillId="0" borderId="11" xfId="0" applyBorder="1"/>
    <xf numFmtId="0" fontId="0" fillId="0" borderId="113" xfId="0" applyBorder="1" applyAlignment="1">
      <alignment horizontal="center" vertical="center"/>
    </xf>
    <xf numFmtId="0" fontId="0" fillId="0" borderId="114" xfId="0" applyBorder="1" applyAlignment="1">
      <alignment horizontal="center" vertical="center"/>
    </xf>
    <xf numFmtId="0" fontId="0" fillId="0" borderId="6" xfId="0" applyBorder="1"/>
    <xf numFmtId="0" fontId="0" fillId="0" borderId="11" xfId="0" applyBorder="1" applyAlignment="1">
      <alignment horizontal="center" vertical="center"/>
    </xf>
    <xf numFmtId="0" fontId="0" fillId="0" borderId="113" xfId="0" applyBorder="1" applyAlignment="1">
      <alignment horizontal="center" vertical="center" wrapText="1"/>
    </xf>
    <xf numFmtId="0" fontId="0" fillId="0" borderId="114" xfId="0" applyBorder="1" applyAlignment="1">
      <alignment horizontal="center" vertical="center" wrapText="1"/>
    </xf>
    <xf numFmtId="0" fontId="12" fillId="0" borderId="21" xfId="0" applyFont="1" applyBorder="1" applyAlignment="1">
      <alignment wrapText="1"/>
    </xf>
    <xf numFmtId="0" fontId="12" fillId="0" borderId="22" xfId="0" applyFont="1" applyBorder="1" applyAlignment="1">
      <alignment wrapText="1"/>
    </xf>
    <xf numFmtId="166" fontId="31" fillId="13" borderId="92" xfId="0" applyNumberFormat="1" applyFont="1" applyFill="1" applyBorder="1" applyAlignment="1">
      <alignment horizontal="center"/>
    </xf>
    <xf numFmtId="0" fontId="54" fillId="0" borderId="42" xfId="0" applyFont="1" applyBorder="1" applyAlignment="1">
      <alignment horizontal="center"/>
    </xf>
    <xf numFmtId="0" fontId="54" fillId="0" borderId="44" xfId="0" applyFont="1" applyBorder="1" applyAlignment="1">
      <alignment horizontal="center"/>
    </xf>
    <xf numFmtId="167" fontId="32" fillId="0" borderId="83" xfId="0" applyNumberFormat="1" applyFont="1" applyBorder="1" applyAlignment="1">
      <alignment horizontal="center"/>
    </xf>
    <xf numFmtId="167" fontId="32" fillId="0" borderId="60" xfId="0" applyNumberFormat="1" applyFont="1" applyBorder="1" applyAlignment="1">
      <alignment horizontal="center"/>
    </xf>
    <xf numFmtId="0" fontId="32" fillId="0" borderId="83" xfId="0" quotePrefix="1" applyFont="1" applyBorder="1" applyAlignment="1">
      <alignment horizontal="center"/>
    </xf>
    <xf numFmtId="1" fontId="31" fillId="13" borderId="115" xfId="0" applyNumberFormat="1" applyFont="1" applyFill="1" applyBorder="1" applyAlignment="1">
      <alignment horizontal="center"/>
    </xf>
    <xf numFmtId="1" fontId="31" fillId="13" borderId="116" xfId="0" applyNumberFormat="1" applyFont="1" applyFill="1" applyBorder="1" applyAlignment="1">
      <alignment horizontal="center"/>
    </xf>
    <xf numFmtId="1" fontId="31" fillId="13" borderId="117" xfId="0" applyNumberFormat="1" applyFont="1" applyFill="1" applyBorder="1" applyAlignment="1">
      <alignment horizontal="center"/>
    </xf>
    <xf numFmtId="1" fontId="32" fillId="0" borderId="118" xfId="0" applyNumberFormat="1" applyFont="1" applyBorder="1" applyAlignment="1">
      <alignment horizontal="center"/>
    </xf>
    <xf numFmtId="1" fontId="32" fillId="0" borderId="119" xfId="0" applyNumberFormat="1" applyFont="1" applyBorder="1" applyAlignment="1">
      <alignment horizontal="center"/>
    </xf>
    <xf numFmtId="0" fontId="31" fillId="13" borderId="116" xfId="0" applyFont="1" applyFill="1" applyBorder="1" applyAlignment="1">
      <alignment horizontal="center"/>
    </xf>
    <xf numFmtId="0" fontId="32" fillId="0" borderId="79" xfId="0" applyFont="1" applyBorder="1" applyAlignment="1">
      <alignment horizontal="center"/>
    </xf>
    <xf numFmtId="1" fontId="32" fillId="0" borderId="59" xfId="0" applyNumberFormat="1" applyFont="1" applyBorder="1" applyAlignment="1">
      <alignment horizontal="center"/>
    </xf>
    <xf numFmtId="1" fontId="32" fillId="0" borderId="61" xfId="0" applyNumberFormat="1" applyFont="1" applyBorder="1" applyAlignment="1">
      <alignment horizontal="center"/>
    </xf>
    <xf numFmtId="0" fontId="32" fillId="13" borderId="66" xfId="0" applyFont="1" applyFill="1" applyBorder="1" applyAlignment="1">
      <alignment horizontal="center"/>
    </xf>
    <xf numFmtId="0" fontId="32" fillId="0" borderId="63" xfId="0" quotePrefix="1" applyFont="1" applyBorder="1" applyAlignment="1">
      <alignment horizontal="center"/>
    </xf>
    <xf numFmtId="0" fontId="32" fillId="0" borderId="86" xfId="0" quotePrefix="1" applyFont="1" applyBorder="1" applyAlignment="1">
      <alignment horizontal="center"/>
    </xf>
    <xf numFmtId="1" fontId="32" fillId="0" borderId="64" xfId="0" applyNumberFormat="1" applyFont="1" applyBorder="1" applyAlignment="1">
      <alignment horizontal="center"/>
    </xf>
    <xf numFmtId="0" fontId="32" fillId="13" borderId="120" xfId="0" quotePrefix="1" applyFont="1" applyFill="1" applyBorder="1" applyAlignment="1">
      <alignment horizontal="center"/>
    </xf>
    <xf numFmtId="0" fontId="32" fillId="13" borderId="116" xfId="0" quotePrefix="1" applyFont="1" applyFill="1" applyBorder="1" applyAlignment="1">
      <alignment horizontal="center"/>
    </xf>
    <xf numFmtId="0" fontId="32" fillId="13" borderId="116" xfId="0" applyFont="1" applyFill="1" applyBorder="1" applyAlignment="1">
      <alignment horizontal="center"/>
    </xf>
    <xf numFmtId="0" fontId="32" fillId="13" borderId="121" xfId="0" applyFont="1" applyFill="1" applyBorder="1" applyAlignment="1">
      <alignment horizontal="center"/>
    </xf>
    <xf numFmtId="0" fontId="32" fillId="13" borderId="50" xfId="0" applyFont="1" applyFill="1" applyBorder="1" applyAlignment="1">
      <alignment horizontal="center"/>
    </xf>
    <xf numFmtId="0" fontId="32" fillId="0" borderId="47" xfId="0" quotePrefix="1" applyFont="1" applyBorder="1" applyAlignment="1">
      <alignment horizontal="center"/>
    </xf>
    <xf numFmtId="1" fontId="32" fillId="0" borderId="48" xfId="0" applyNumberFormat="1" applyFont="1" applyBorder="1" applyAlignment="1">
      <alignment horizontal="center"/>
    </xf>
    <xf numFmtId="0" fontId="56" fillId="38" borderId="21" xfId="0" applyFont="1" applyFill="1" applyBorder="1"/>
    <xf numFmtId="0" fontId="56" fillId="0" borderId="21" xfId="0" applyFont="1" applyBorder="1"/>
    <xf numFmtId="0" fontId="56" fillId="38" borderId="124" xfId="0" applyFont="1" applyFill="1" applyBorder="1"/>
    <xf numFmtId="0" fontId="56" fillId="0" borderId="124" xfId="0" applyFont="1" applyBorder="1"/>
    <xf numFmtId="0" fontId="56" fillId="38" borderId="127" xfId="0" applyFont="1" applyFill="1" applyBorder="1"/>
    <xf numFmtId="0" fontId="56" fillId="38" borderId="126" xfId="0" applyFont="1" applyFill="1" applyBorder="1"/>
    <xf numFmtId="0" fontId="56" fillId="0" borderId="125" xfId="0" applyFont="1" applyBorder="1"/>
    <xf numFmtId="0" fontId="56" fillId="0" borderId="128" xfId="0" applyFont="1" applyBorder="1"/>
    <xf numFmtId="0" fontId="56" fillId="38" borderId="129" xfId="0" applyFont="1" applyFill="1" applyBorder="1" applyAlignment="1">
      <alignment wrapText="1"/>
    </xf>
    <xf numFmtId="0" fontId="56" fillId="38" borderId="21" xfId="0" applyFont="1" applyFill="1" applyBorder="1" applyAlignment="1">
      <alignment wrapText="1"/>
    </xf>
    <xf numFmtId="0" fontId="56" fillId="38" borderId="124" xfId="0" applyFont="1" applyFill="1" applyBorder="1" applyAlignment="1">
      <alignment wrapText="1"/>
    </xf>
    <xf numFmtId="0" fontId="56" fillId="38" borderId="125" xfId="0" applyFont="1" applyFill="1" applyBorder="1" applyAlignment="1">
      <alignment wrapText="1"/>
    </xf>
    <xf numFmtId="0" fontId="56" fillId="0" borderId="129" xfId="0" applyFont="1" applyBorder="1" applyAlignment="1">
      <alignment wrapText="1"/>
    </xf>
    <xf numFmtId="0" fontId="56" fillId="0" borderId="124" xfId="0" applyFont="1" applyBorder="1" applyAlignment="1">
      <alignment wrapText="1"/>
    </xf>
    <xf numFmtId="0" fontId="56" fillId="0" borderId="125" xfId="0" applyFont="1" applyBorder="1" applyAlignment="1">
      <alignment wrapText="1"/>
    </xf>
    <xf numFmtId="0" fontId="56" fillId="0" borderId="21" xfId="0" applyFont="1" applyBorder="1" applyAlignment="1">
      <alignment wrapText="1"/>
    </xf>
    <xf numFmtId="0" fontId="56" fillId="0" borderId="0" xfId="0" applyFont="1"/>
    <xf numFmtId="0" fontId="56" fillId="38" borderId="0" xfId="0" applyFont="1" applyFill="1"/>
    <xf numFmtId="0" fontId="56" fillId="0" borderId="22" xfId="0" applyFont="1" applyBorder="1"/>
    <xf numFmtId="0" fontId="56" fillId="39" borderId="21" xfId="0" applyFont="1" applyFill="1" applyBorder="1"/>
    <xf numFmtId="0" fontId="56" fillId="38" borderId="22" xfId="0" applyFont="1" applyFill="1" applyBorder="1"/>
    <xf numFmtId="0" fontId="56" fillId="38" borderId="131" xfId="0" applyFont="1" applyFill="1" applyBorder="1"/>
    <xf numFmtId="0" fontId="56" fillId="0" borderId="131" xfId="0" applyFont="1" applyBorder="1"/>
    <xf numFmtId="0" fontId="56" fillId="38" borderId="132" xfId="0" applyFont="1" applyFill="1" applyBorder="1"/>
    <xf numFmtId="0" fontId="56" fillId="0" borderId="132" xfId="0" applyFont="1" applyBorder="1"/>
    <xf numFmtId="0" fontId="55" fillId="37" borderId="30" xfId="0" applyFont="1" applyFill="1" applyBorder="1"/>
    <xf numFmtId="0" fontId="56" fillId="0" borderId="133" xfId="0" applyFont="1" applyBorder="1"/>
    <xf numFmtId="0" fontId="55" fillId="39" borderId="30" xfId="0" applyFont="1" applyFill="1" applyBorder="1"/>
    <xf numFmtId="0" fontId="56" fillId="38" borderId="134" xfId="0" applyFont="1" applyFill="1" applyBorder="1"/>
    <xf numFmtId="0" fontId="56" fillId="0" borderId="130" xfId="0" applyFont="1" applyBorder="1" applyAlignment="1">
      <alignment wrapText="1"/>
    </xf>
    <xf numFmtId="0" fontId="56" fillId="38" borderId="135" xfId="0" applyFont="1" applyFill="1" applyBorder="1"/>
    <xf numFmtId="0" fontId="56" fillId="0" borderId="135" xfId="0" applyFont="1" applyBorder="1"/>
    <xf numFmtId="0" fontId="55" fillId="39" borderId="24" xfId="0" applyFont="1" applyFill="1" applyBorder="1"/>
    <xf numFmtId="0" fontId="56" fillId="38" borderId="136" xfId="0" applyFont="1" applyFill="1" applyBorder="1"/>
    <xf numFmtId="0" fontId="56" fillId="38" borderId="109" xfId="0" applyFont="1" applyFill="1" applyBorder="1"/>
    <xf numFmtId="0" fontId="56" fillId="0" borderId="109" xfId="0" applyFont="1" applyBorder="1"/>
    <xf numFmtId="0" fontId="56" fillId="38" borderId="137" xfId="0" applyFont="1" applyFill="1" applyBorder="1" applyAlignment="1">
      <alignment wrapText="1"/>
    </xf>
    <xf numFmtId="0" fontId="56" fillId="0" borderId="137" xfId="0" applyFont="1" applyBorder="1"/>
    <xf numFmtId="0" fontId="56" fillId="38" borderId="138" xfId="0" applyFont="1" applyFill="1" applyBorder="1"/>
    <xf numFmtId="0" fontId="56" fillId="0" borderId="138" xfId="0" applyFont="1" applyBorder="1"/>
    <xf numFmtId="0" fontId="55" fillId="37" borderId="110" xfId="0" applyFont="1" applyFill="1" applyBorder="1" applyAlignment="1">
      <alignment wrapText="1"/>
    </xf>
    <xf numFmtId="0" fontId="56" fillId="38" borderId="139" xfId="0" applyFont="1" applyFill="1" applyBorder="1"/>
    <xf numFmtId="0" fontId="56" fillId="38" borderId="131" xfId="0" applyFont="1" applyFill="1" applyBorder="1" applyAlignment="1">
      <alignment wrapText="1"/>
    </xf>
    <xf numFmtId="0" fontId="56" fillId="0" borderId="132" xfId="0" applyFont="1" applyBorder="1" applyAlignment="1">
      <alignment wrapText="1"/>
    </xf>
    <xf numFmtId="0" fontId="56" fillId="0" borderId="140" xfId="0" applyFont="1" applyBorder="1"/>
    <xf numFmtId="0" fontId="55" fillId="37" borderId="30" xfId="0" applyFont="1" applyFill="1" applyBorder="1" applyAlignment="1">
      <alignment wrapText="1"/>
    </xf>
    <xf numFmtId="0" fontId="56" fillId="38" borderId="141" xfId="0" applyFont="1" applyFill="1" applyBorder="1"/>
    <xf numFmtId="0" fontId="55" fillId="39" borderId="30" xfId="0" applyFont="1" applyFill="1" applyBorder="1" applyAlignment="1">
      <alignment wrapText="1"/>
    </xf>
    <xf numFmtId="0" fontId="56" fillId="38" borderId="133" xfId="0" applyFont="1" applyFill="1" applyBorder="1"/>
    <xf numFmtId="0" fontId="56" fillId="38" borderId="132" xfId="0" applyFont="1" applyFill="1" applyBorder="1" applyAlignment="1">
      <alignment wrapText="1"/>
    </xf>
    <xf numFmtId="0" fontId="56" fillId="38" borderId="140" xfId="0" applyFont="1" applyFill="1" applyBorder="1"/>
    <xf numFmtId="0" fontId="56" fillId="0" borderId="141" xfId="0" applyFont="1" applyBorder="1"/>
    <xf numFmtId="0" fontId="56" fillId="38" borderId="142" xfId="0" applyFont="1" applyFill="1" applyBorder="1"/>
    <xf numFmtId="0" fontId="56" fillId="0" borderId="142" xfId="0" applyFont="1" applyBorder="1"/>
    <xf numFmtId="0" fontId="56" fillId="38" borderId="143" xfId="0" applyFont="1" applyFill="1" applyBorder="1"/>
    <xf numFmtId="0" fontId="56" fillId="0" borderId="143" xfId="0" applyFont="1" applyBorder="1"/>
    <xf numFmtId="0" fontId="55" fillId="37" borderId="144" xfId="0" applyFont="1" applyFill="1" applyBorder="1"/>
    <xf numFmtId="0" fontId="56" fillId="0" borderId="111" xfId="0" applyFont="1" applyBorder="1"/>
    <xf numFmtId="0" fontId="55" fillId="37" borderId="23" xfId="0" applyFont="1" applyFill="1" applyBorder="1"/>
    <xf numFmtId="0" fontId="56" fillId="38" borderId="25" xfId="0" applyFont="1" applyFill="1" applyBorder="1" applyAlignment="1">
      <alignment wrapText="1"/>
    </xf>
    <xf numFmtId="0" fontId="56" fillId="0" borderId="25" xfId="0" applyFont="1" applyBorder="1" applyAlignment="1">
      <alignment wrapText="1"/>
    </xf>
    <xf numFmtId="0" fontId="56" fillId="0" borderId="145" xfId="0" applyFont="1" applyBorder="1" applyAlignment="1">
      <alignment wrapText="1"/>
    </xf>
    <xf numFmtId="0" fontId="55" fillId="37" borderId="23" xfId="0" applyFont="1" applyFill="1" applyBorder="1" applyAlignment="1">
      <alignment wrapText="1"/>
    </xf>
    <xf numFmtId="0" fontId="56" fillId="0" borderId="25" xfId="0" applyFont="1" applyBorder="1"/>
    <xf numFmtId="0" fontId="55" fillId="39" borderId="144" xfId="0" applyFont="1" applyFill="1" applyBorder="1" applyAlignment="1">
      <alignment wrapText="1"/>
    </xf>
    <xf numFmtId="0" fontId="56" fillId="0" borderId="139" xfId="0" applyFont="1" applyBorder="1"/>
    <xf numFmtId="0" fontId="55" fillId="39" borderId="146" xfId="0" applyFont="1" applyFill="1" applyBorder="1" applyAlignment="1">
      <alignment wrapText="1"/>
    </xf>
    <xf numFmtId="0" fontId="56" fillId="0" borderId="147" xfId="0" applyFont="1" applyBorder="1"/>
    <xf numFmtId="0" fontId="56" fillId="38" borderId="143" xfId="0" applyFont="1" applyFill="1" applyBorder="1" applyAlignment="1">
      <alignment wrapText="1"/>
    </xf>
    <xf numFmtId="0" fontId="55" fillId="39" borderId="110" xfId="0" applyFont="1" applyFill="1" applyBorder="1" applyAlignment="1">
      <alignment wrapText="1"/>
    </xf>
    <xf numFmtId="0" fontId="55" fillId="37" borderId="148" xfId="0" applyFont="1" applyFill="1" applyBorder="1"/>
    <xf numFmtId="0" fontId="55" fillId="39" borderId="23" xfId="0" applyFont="1" applyFill="1" applyBorder="1" applyAlignment="1">
      <alignment wrapText="1"/>
    </xf>
    <xf numFmtId="0" fontId="56" fillId="0" borderId="131" xfId="0" applyFont="1" applyBorder="1" applyAlignment="1">
      <alignment wrapText="1"/>
    </xf>
    <xf numFmtId="0" fontId="56" fillId="0" borderId="140" xfId="0" applyFont="1" applyBorder="1" applyAlignment="1">
      <alignment wrapText="1"/>
    </xf>
    <xf numFmtId="0" fontId="56" fillId="38" borderId="140" xfId="0" applyFont="1" applyFill="1" applyBorder="1" applyAlignment="1">
      <alignment wrapText="1"/>
    </xf>
    <xf numFmtId="0" fontId="55" fillId="37" borderId="149" xfId="0" applyFont="1" applyFill="1" applyBorder="1"/>
    <xf numFmtId="0" fontId="56" fillId="38" borderId="150" xfId="0" applyFont="1" applyFill="1" applyBorder="1" applyAlignment="1">
      <alignment wrapText="1"/>
    </xf>
    <xf numFmtId="0" fontId="25" fillId="40" borderId="122" xfId="0" applyFont="1" applyFill="1" applyBorder="1"/>
    <xf numFmtId="0" fontId="25" fillId="40" borderId="123" xfId="0" applyFont="1" applyFill="1" applyBorder="1"/>
    <xf numFmtId="0" fontId="16" fillId="0" borderId="0" xfId="0" applyFont="1"/>
    <xf numFmtId="0" fontId="5" fillId="0" borderId="151" xfId="0" applyFont="1" applyBorder="1" applyAlignment="1">
      <alignment horizontal="left" vertical="center"/>
    </xf>
    <xf numFmtId="0" fontId="5" fillId="0" borderId="152" xfId="0" applyFont="1" applyBorder="1" applyAlignment="1">
      <alignment horizontal="center" vertical="center"/>
    </xf>
    <xf numFmtId="0" fontId="5" fillId="0" borderId="153" xfId="0" applyFont="1" applyBorder="1" applyAlignment="1">
      <alignment horizontal="center" vertical="center"/>
    </xf>
    <xf numFmtId="3" fontId="5" fillId="0" borderId="152" xfId="0" applyNumberFormat="1" applyFont="1" applyBorder="1" applyAlignment="1">
      <alignment horizontal="center" vertical="center"/>
    </xf>
    <xf numFmtId="3" fontId="5" fillId="0" borderId="154" xfId="0" applyNumberFormat="1" applyFont="1" applyBorder="1" applyAlignment="1">
      <alignment horizontal="center" vertical="center"/>
    </xf>
    <xf numFmtId="3" fontId="5" fillId="0" borderId="151" xfId="0" applyNumberFormat="1" applyFont="1" applyBorder="1" applyAlignment="1">
      <alignment horizontal="center" vertical="center"/>
    </xf>
    <xf numFmtId="3" fontId="5" fillId="0" borderId="151" xfId="0" applyNumberFormat="1" applyFont="1" applyBorder="1" applyAlignment="1">
      <alignment horizontal="center"/>
    </xf>
    <xf numFmtId="3" fontId="5" fillId="0" borderId="152" xfId="0" applyNumberFormat="1" applyFont="1" applyBorder="1" applyAlignment="1">
      <alignment horizontal="center"/>
    </xf>
    <xf numFmtId="3" fontId="5" fillId="0" borderId="154" xfId="0" applyNumberFormat="1" applyFont="1" applyBorder="1" applyAlignment="1">
      <alignment horizontal="center"/>
    </xf>
    <xf numFmtId="2" fontId="5" fillId="0" borderId="152" xfId="0" applyNumberFormat="1" applyFont="1" applyBorder="1" applyAlignment="1">
      <alignment horizontal="center"/>
    </xf>
    <xf numFmtId="2" fontId="5" fillId="0" borderId="154" xfId="0" applyNumberFormat="1" applyFont="1" applyBorder="1" applyAlignment="1">
      <alignment horizontal="center"/>
    </xf>
    <xf numFmtId="0" fontId="12" fillId="0" borderId="0" xfId="0" applyFont="1" applyAlignment="1">
      <alignment wrapText="1"/>
    </xf>
    <xf numFmtId="0" fontId="12" fillId="41" borderId="0" xfId="0" applyFont="1" applyFill="1"/>
    <xf numFmtId="0" fontId="12" fillId="42" borderId="0" xfId="0" applyFont="1" applyFill="1"/>
    <xf numFmtId="0" fontId="12" fillId="0" borderId="23" xfId="0" applyFont="1" applyBorder="1"/>
    <xf numFmtId="0" fontId="12" fillId="0" borderId="23" xfId="0" applyFont="1" applyBorder="1" applyAlignment="1">
      <alignment wrapText="1"/>
    </xf>
    <xf numFmtId="14" fontId="0" fillId="0" borderId="43" xfId="0" applyNumberFormat="1" applyBorder="1"/>
    <xf numFmtId="20" fontId="0" fillId="0" borderId="43" xfId="0" applyNumberFormat="1" applyBorder="1"/>
    <xf numFmtId="0" fontId="0" fillId="0" borderId="43" xfId="0" applyBorder="1"/>
    <xf numFmtId="0" fontId="40" fillId="43" borderId="155" xfId="0" applyFont="1" applyFill="1" applyBorder="1"/>
    <xf numFmtId="0" fontId="40" fillId="43" borderId="70" xfId="0" applyFont="1" applyFill="1" applyBorder="1"/>
    <xf numFmtId="0" fontId="40" fillId="43" borderId="156" xfId="0" applyFont="1" applyFill="1" applyBorder="1"/>
    <xf numFmtId="0" fontId="40" fillId="43" borderId="70" xfId="0" applyFont="1" applyFill="1" applyBorder="1" applyAlignment="1">
      <alignment wrapText="1"/>
    </xf>
    <xf numFmtId="0" fontId="40" fillId="43" borderId="156" xfId="0" applyFont="1" applyFill="1" applyBorder="1" applyAlignment="1">
      <alignment wrapText="1"/>
    </xf>
    <xf numFmtId="0" fontId="40" fillId="43" borderId="155" xfId="0" applyFont="1" applyFill="1" applyBorder="1" applyAlignment="1">
      <alignment wrapText="1"/>
    </xf>
    <xf numFmtId="0" fontId="40" fillId="43" borderId="157" xfId="0" applyFont="1" applyFill="1" applyBorder="1"/>
    <xf numFmtId="0" fontId="57" fillId="44" borderId="69" xfId="0" applyFont="1" applyFill="1" applyBorder="1" applyAlignment="1">
      <alignment wrapText="1"/>
    </xf>
    <xf numFmtId="0" fontId="12" fillId="44" borderId="72" xfId="0" applyFont="1" applyFill="1" applyBorder="1"/>
    <xf numFmtId="0" fontId="12" fillId="26" borderId="0" xfId="0" applyFont="1" applyFill="1" applyAlignment="1">
      <alignment wrapText="1"/>
    </xf>
    <xf numFmtId="0" fontId="0" fillId="45" borderId="0" xfId="0" applyFill="1"/>
    <xf numFmtId="0" fontId="25" fillId="45" borderId="123" xfId="0" applyFont="1" applyFill="1" applyBorder="1"/>
    <xf numFmtId="0" fontId="14" fillId="0" borderId="151" xfId="0" applyFont="1" applyBorder="1" applyAlignment="1">
      <alignment horizontal="left"/>
    </xf>
    <xf numFmtId="0" fontId="4" fillId="0" borderId="152" xfId="0" applyFont="1" applyBorder="1" applyAlignment="1">
      <alignment horizontal="left"/>
    </xf>
    <xf numFmtId="0" fontId="14" fillId="0" borderId="152" xfId="0" applyFont="1" applyBorder="1" applyAlignment="1">
      <alignment horizontal="center"/>
    </xf>
    <xf numFmtId="0" fontId="5" fillId="0" borderId="151" xfId="0" applyFont="1" applyBorder="1" applyAlignment="1">
      <alignment horizontal="center"/>
    </xf>
    <xf numFmtId="0" fontId="5" fillId="0" borderId="152" xfId="0" applyFont="1" applyBorder="1" applyAlignment="1">
      <alignment horizontal="center"/>
    </xf>
    <xf numFmtId="0" fontId="5" fillId="0" borderId="154" xfId="0" applyFont="1" applyBorder="1" applyAlignment="1">
      <alignment horizontal="center"/>
    </xf>
    <xf numFmtId="0" fontId="5" fillId="0" borderId="152" xfId="0" applyFont="1" applyBorder="1"/>
    <xf numFmtId="0" fontId="5" fillId="0" borderId="154" xfId="0" applyFont="1" applyBorder="1"/>
    <xf numFmtId="0" fontId="5" fillId="0" borderId="151" xfId="0" applyFont="1" applyBorder="1"/>
    <xf numFmtId="0" fontId="0" fillId="3" borderId="6" xfId="0" applyFill="1" applyBorder="1"/>
    <xf numFmtId="0" fontId="0" fillId="13" borderId="11" xfId="0" applyFill="1" applyBorder="1"/>
    <xf numFmtId="0" fontId="0" fillId="0" borderId="12" xfId="0" applyBorder="1"/>
    <xf numFmtId="0" fontId="0" fillId="0" borderId="13" xfId="0" applyBorder="1"/>
    <xf numFmtId="0" fontId="0" fillId="3" borderId="9" xfId="0" applyFill="1" applyBorder="1"/>
    <xf numFmtId="0" fontId="0" fillId="0" borderId="10" xfId="0" applyBorder="1"/>
    <xf numFmtId="0" fontId="0" fillId="13" borderId="18" xfId="0" applyFill="1" applyBorder="1"/>
    <xf numFmtId="0" fontId="0" fillId="0" borderId="19" xfId="0" applyBorder="1"/>
    <xf numFmtId="0" fontId="0" fillId="0" borderId="20" xfId="0" applyBorder="1"/>
    <xf numFmtId="0" fontId="15" fillId="13" borderId="7" xfId="0" applyFont="1" applyFill="1" applyBorder="1"/>
    <xf numFmtId="0" fontId="15" fillId="13" borderId="8" xfId="0" applyFont="1" applyFill="1" applyBorder="1"/>
    <xf numFmtId="0" fontId="0" fillId="0" borderId="158" xfId="0" applyBorder="1"/>
    <xf numFmtId="0" fontId="0" fillId="0" borderId="159" xfId="0" applyBorder="1"/>
    <xf numFmtId="0" fontId="0" fillId="0" borderId="160" xfId="0" applyBorder="1"/>
    <xf numFmtId="0" fontId="0" fillId="0" borderId="161" xfId="0" applyBorder="1"/>
    <xf numFmtId="0" fontId="0" fillId="0" borderId="163" xfId="0" applyBorder="1"/>
    <xf numFmtId="0" fontId="0" fillId="0" borderId="164" xfId="0" applyBorder="1"/>
    <xf numFmtId="0" fontId="0" fillId="0" borderId="165" xfId="0" applyBorder="1"/>
    <xf numFmtId="0" fontId="0" fillId="0" borderId="166" xfId="0" applyBorder="1"/>
    <xf numFmtId="0" fontId="0" fillId="0" borderId="167" xfId="0" applyBorder="1"/>
    <xf numFmtId="0" fontId="0" fillId="0" borderId="168" xfId="0" applyBorder="1"/>
    <xf numFmtId="0" fontId="0" fillId="3" borderId="162" xfId="0" applyFill="1" applyBorder="1"/>
    <xf numFmtId="0" fontId="54" fillId="0" borderId="60" xfId="0" applyFont="1" applyBorder="1" applyAlignment="1">
      <alignment horizontal="center"/>
    </xf>
    <xf numFmtId="165" fontId="36" fillId="13" borderId="78" xfId="0" applyNumberFormat="1" applyFont="1" applyFill="1" applyBorder="1" applyAlignment="1">
      <alignment horizontal="center"/>
    </xf>
    <xf numFmtId="165" fontId="36" fillId="13" borderId="79" xfId="0" applyNumberFormat="1" applyFont="1" applyFill="1" applyBorder="1" applyAlignment="1">
      <alignment horizontal="center"/>
    </xf>
    <xf numFmtId="165" fontId="36" fillId="13" borderId="80" xfId="0" applyNumberFormat="1" applyFont="1" applyFill="1" applyBorder="1" applyAlignment="1">
      <alignment horizontal="center"/>
    </xf>
    <xf numFmtId="165" fontId="36" fillId="13" borderId="81" xfId="0" applyNumberFormat="1" applyFont="1" applyFill="1" applyBorder="1" applyAlignment="1">
      <alignment horizontal="center"/>
    </xf>
    <xf numFmtId="165" fontId="36" fillId="13" borderId="77" xfId="0" applyNumberFormat="1" applyFont="1" applyFill="1" applyBorder="1" applyAlignment="1">
      <alignment horizontal="center"/>
    </xf>
    <xf numFmtId="165" fontId="31" fillId="13" borderId="78" xfId="0" applyNumberFormat="1" applyFont="1" applyFill="1" applyBorder="1" applyAlignment="1">
      <alignment horizontal="center"/>
    </xf>
    <xf numFmtId="0" fontId="0" fillId="0" borderId="31" xfId="0" applyBorder="1"/>
    <xf numFmtId="0" fontId="51" fillId="0" borderId="31" xfId="0" applyFont="1" applyBorder="1" applyAlignment="1">
      <alignment horizontal="center"/>
    </xf>
    <xf numFmtId="0" fontId="50" fillId="0" borderId="26" xfId="0" applyFont="1" applyBorder="1" applyAlignment="1">
      <alignment wrapText="1" readingOrder="1"/>
    </xf>
    <xf numFmtId="0" fontId="50" fillId="0" borderId="1" xfId="0" applyFont="1" applyBorder="1" applyAlignment="1">
      <alignment wrapText="1" readingOrder="1"/>
    </xf>
    <xf numFmtId="0" fontId="50" fillId="0" borderId="1" xfId="0" applyFont="1" applyBorder="1" applyAlignment="1">
      <alignment horizontal="center" wrapText="1" readingOrder="1"/>
    </xf>
    <xf numFmtId="0" fontId="51" fillId="0" borderId="1" xfId="0" applyFont="1" applyBorder="1" applyAlignment="1">
      <alignment horizontal="center"/>
    </xf>
    <xf numFmtId="0" fontId="18" fillId="7" borderId="31" xfId="0" applyFont="1" applyFill="1" applyBorder="1"/>
    <xf numFmtId="0" fontId="18" fillId="0" borderId="31" xfId="0" applyFont="1" applyBorder="1"/>
    <xf numFmtId="0" fontId="13" fillId="0" borderId="31" xfId="0" applyFont="1" applyBorder="1"/>
    <xf numFmtId="2" fontId="0" fillId="0" borderId="31" xfId="0" applyNumberFormat="1" applyBorder="1" applyAlignment="1">
      <alignment horizontal="right"/>
    </xf>
    <xf numFmtId="2" fontId="0" fillId="0" borderId="31" xfId="0" applyNumberFormat="1" applyBorder="1"/>
    <xf numFmtId="0" fontId="0" fillId="0" borderId="90" xfId="0" applyBorder="1"/>
    <xf numFmtId="2" fontId="0" fillId="0" borderId="90" xfId="0" applyNumberFormat="1" applyBorder="1"/>
    <xf numFmtId="20" fontId="0" fillId="13" borderId="0" xfId="0" applyNumberFormat="1" applyFill="1"/>
    <xf numFmtId="0" fontId="0" fillId="13" borderId="0" xfId="0" applyFill="1"/>
    <xf numFmtId="0" fontId="12" fillId="47" borderId="9" xfId="0" applyFont="1" applyFill="1" applyBorder="1"/>
    <xf numFmtId="165" fontId="58" fillId="13" borderId="45" xfId="0" applyNumberFormat="1" applyFont="1" applyFill="1" applyBorder="1" applyAlignment="1">
      <alignment horizontal="center"/>
    </xf>
    <xf numFmtId="165" fontId="59" fillId="0" borderId="42" xfId="0" applyNumberFormat="1" applyFont="1" applyBorder="1" applyAlignment="1">
      <alignment horizontal="center"/>
    </xf>
    <xf numFmtId="167" fontId="59" fillId="0" borderId="42" xfId="0" applyNumberFormat="1" applyFont="1" applyBorder="1" applyAlignment="1">
      <alignment horizontal="center"/>
    </xf>
    <xf numFmtId="167" fontId="59" fillId="0" borderId="44" xfId="0" applyNumberFormat="1" applyFont="1" applyBorder="1" applyAlignment="1">
      <alignment horizontal="center"/>
    </xf>
    <xf numFmtId="0" fontId="32" fillId="11" borderId="51" xfId="0" applyFont="1" applyFill="1" applyBorder="1" applyAlignment="1">
      <alignment horizontal="center"/>
    </xf>
    <xf numFmtId="0" fontId="32" fillId="11" borderId="42" xfId="0" applyFont="1" applyFill="1" applyBorder="1" applyAlignment="1">
      <alignment horizontal="center"/>
    </xf>
    <xf numFmtId="0" fontId="32" fillId="11" borderId="52" xfId="0" applyFont="1" applyFill="1" applyBorder="1" applyAlignment="1">
      <alignment horizontal="center"/>
    </xf>
    <xf numFmtId="0" fontId="32" fillId="11" borderId="47" xfId="0" applyFont="1" applyFill="1" applyBorder="1" applyAlignment="1">
      <alignment horizontal="center"/>
    </xf>
    <xf numFmtId="167" fontId="32" fillId="11" borderId="42" xfId="0" applyNumberFormat="1" applyFont="1" applyFill="1" applyBorder="1" applyAlignment="1">
      <alignment horizontal="center"/>
    </xf>
    <xf numFmtId="0" fontId="32" fillId="11" borderId="63" xfId="0" applyFont="1" applyFill="1" applyBorder="1" applyAlignment="1">
      <alignment horizontal="center"/>
    </xf>
    <xf numFmtId="0" fontId="32" fillId="11" borderId="82" xfId="0" applyFont="1" applyFill="1" applyBorder="1" applyAlignment="1">
      <alignment horizontal="center"/>
    </xf>
    <xf numFmtId="0" fontId="32" fillId="11" borderId="83" xfId="0" applyFont="1" applyFill="1" applyBorder="1" applyAlignment="1">
      <alignment horizontal="center"/>
    </xf>
    <xf numFmtId="0" fontId="32" fillId="11" borderId="84" xfId="0" applyFont="1" applyFill="1" applyBorder="1" applyAlignment="1">
      <alignment horizontal="center"/>
    </xf>
    <xf numFmtId="0" fontId="32" fillId="11" borderId="85" xfId="0" applyFont="1" applyFill="1" applyBorder="1" applyAlignment="1">
      <alignment horizontal="center"/>
    </xf>
    <xf numFmtId="167" fontId="32" fillId="11" borderId="83" xfId="0" applyNumberFormat="1" applyFont="1" applyFill="1" applyBorder="1" applyAlignment="1">
      <alignment horizontal="center"/>
    </xf>
    <xf numFmtId="0" fontId="32" fillId="11" borderId="86" xfId="0" applyFont="1" applyFill="1" applyBorder="1" applyAlignment="1">
      <alignment horizontal="center"/>
    </xf>
    <xf numFmtId="0" fontId="32" fillId="11" borderId="59" xfId="0" applyFont="1" applyFill="1" applyBorder="1" applyAlignment="1">
      <alignment horizontal="center"/>
    </xf>
    <xf numFmtId="0" fontId="32" fillId="11" borderId="60" xfId="0" applyFont="1" applyFill="1" applyBorder="1" applyAlignment="1">
      <alignment horizontal="center"/>
    </xf>
    <xf numFmtId="0" fontId="32" fillId="11" borderId="61" xfId="0" applyFont="1" applyFill="1" applyBorder="1" applyAlignment="1">
      <alignment horizontal="center"/>
    </xf>
    <xf numFmtId="0" fontId="32" fillId="11" borderId="62" xfId="0" applyFont="1" applyFill="1" applyBorder="1" applyAlignment="1">
      <alignment horizontal="center"/>
    </xf>
    <xf numFmtId="0" fontId="32" fillId="11" borderId="67" xfId="0" applyFont="1" applyFill="1" applyBorder="1" applyAlignment="1">
      <alignment horizontal="center"/>
    </xf>
    <xf numFmtId="9" fontId="35" fillId="0" borderId="55" xfId="0" applyNumberFormat="1" applyFont="1" applyBorder="1" applyAlignment="1">
      <alignment horizontal="center"/>
    </xf>
    <xf numFmtId="0" fontId="35" fillId="0" borderId="46" xfId="0" applyFont="1" applyBorder="1" applyAlignment="1">
      <alignment horizontal="center"/>
    </xf>
    <xf numFmtId="0" fontId="35" fillId="0" borderId="56" xfId="0" applyFont="1" applyBorder="1" applyAlignment="1">
      <alignment horizontal="center"/>
    </xf>
    <xf numFmtId="168" fontId="35" fillId="0" borderId="49" xfId="0" applyNumberFormat="1" applyFont="1" applyBorder="1" applyAlignment="1">
      <alignment horizontal="center"/>
    </xf>
    <xf numFmtId="168" fontId="35" fillId="0" borderId="46" xfId="0" applyNumberFormat="1" applyFont="1" applyBorder="1" applyAlignment="1">
      <alignment horizontal="center"/>
    </xf>
    <xf numFmtId="168" fontId="35" fillId="0" borderId="65" xfId="0" applyNumberFormat="1" applyFont="1" applyBorder="1" applyAlignment="1">
      <alignment horizontal="center"/>
    </xf>
    <xf numFmtId="2" fontId="35" fillId="0" borderId="65" xfId="0" applyNumberFormat="1" applyFont="1" applyBorder="1" applyAlignment="1">
      <alignment horizontal="center"/>
    </xf>
    <xf numFmtId="2" fontId="35" fillId="0" borderId="43" xfId="0" applyNumberFormat="1" applyFont="1" applyBorder="1" applyAlignment="1">
      <alignment horizontal="center"/>
    </xf>
    <xf numFmtId="168" fontId="35" fillId="0" borderId="93" xfId="0" applyNumberFormat="1" applyFont="1" applyBorder="1" applyAlignment="1">
      <alignment horizontal="center"/>
    </xf>
    <xf numFmtId="1" fontId="35" fillId="0" borderId="46" xfId="0" applyNumberFormat="1" applyFont="1" applyBorder="1" applyAlignment="1">
      <alignment horizontal="center"/>
    </xf>
    <xf numFmtId="14" fontId="12" fillId="12" borderId="21" xfId="0" applyNumberFormat="1" applyFont="1" applyFill="1" applyBorder="1" applyAlignment="1">
      <alignment horizontal="center"/>
    </xf>
    <xf numFmtId="0" fontId="12" fillId="0" borderId="27" xfId="0" applyFont="1" applyBorder="1" applyAlignment="1">
      <alignment vertical="center"/>
    </xf>
    <xf numFmtId="0" fontId="12" fillId="0" borderId="35" xfId="0" applyFont="1" applyBorder="1" applyAlignment="1">
      <alignment vertical="center"/>
    </xf>
    <xf numFmtId="0" fontId="12" fillId="0" borderId="29" xfId="0" applyFont="1" applyBorder="1" applyAlignment="1">
      <alignment vertical="center"/>
    </xf>
    <xf numFmtId="0" fontId="12" fillId="0" borderId="1" xfId="0" applyFont="1" applyBorder="1" applyAlignment="1">
      <alignment vertical="center"/>
    </xf>
    <xf numFmtId="0" fontId="12" fillId="0" borderId="31" xfId="0" applyFont="1" applyBorder="1" applyAlignment="1">
      <alignment vertical="center"/>
    </xf>
    <xf numFmtId="14" fontId="12" fillId="0" borderId="26" xfId="0" applyNumberFormat="1" applyFont="1" applyBorder="1" applyAlignment="1">
      <alignment horizontal="center" vertical="center"/>
    </xf>
    <xf numFmtId="0" fontId="17" fillId="0" borderId="1" xfId="0" applyFont="1" applyBorder="1" applyAlignment="1">
      <alignment vertical="center"/>
    </xf>
    <xf numFmtId="14" fontId="12" fillId="0" borderId="31" xfId="0" applyNumberFormat="1" applyFont="1" applyBorder="1" applyAlignment="1">
      <alignment horizontal="center" vertical="center"/>
    </xf>
    <xf numFmtId="0" fontId="12" fillId="0" borderId="33" xfId="0" applyFont="1" applyBorder="1" applyAlignment="1">
      <alignment horizontal="center" vertical="center" wrapText="1"/>
    </xf>
    <xf numFmtId="0" fontId="12" fillId="0" borderId="34" xfId="0" applyFont="1" applyBorder="1" applyAlignment="1">
      <alignment vertical="center"/>
    </xf>
    <xf numFmtId="0" fontId="17" fillId="0" borderId="34" xfId="0" applyFont="1" applyBorder="1" applyAlignment="1">
      <alignment vertical="center"/>
    </xf>
    <xf numFmtId="0" fontId="12" fillId="0" borderId="33" xfId="0" applyFont="1" applyBorder="1" applyAlignment="1">
      <alignment horizontal="center" vertical="center"/>
    </xf>
    <xf numFmtId="0" fontId="17" fillId="0" borderId="31" xfId="0" applyFont="1" applyBorder="1" applyAlignment="1">
      <alignment vertical="center"/>
    </xf>
    <xf numFmtId="0" fontId="17" fillId="0" borderId="24" xfId="0" applyFont="1" applyBorder="1" applyAlignment="1">
      <alignment vertical="center" wrapText="1"/>
    </xf>
    <xf numFmtId="0" fontId="17" fillId="4" borderId="0" xfId="0" applyFont="1" applyFill="1" applyAlignment="1">
      <alignment wrapText="1"/>
    </xf>
    <xf numFmtId="0" fontId="12" fillId="0" borderId="24" xfId="0" applyFont="1" applyBorder="1" applyAlignment="1">
      <alignment horizontal="center" vertical="center" wrapText="1"/>
    </xf>
    <xf numFmtId="0" fontId="17" fillId="0" borderId="35" xfId="0" applyFont="1" applyBorder="1" applyAlignment="1">
      <alignment vertical="center"/>
    </xf>
    <xf numFmtId="0" fontId="12" fillId="0" borderId="24" xfId="0" applyFont="1" applyBorder="1" applyAlignment="1">
      <alignment horizontal="left" vertical="center"/>
    </xf>
    <xf numFmtId="0" fontId="12" fillId="0" borderId="24" xfId="0" applyFont="1" applyBorder="1" applyAlignment="1">
      <alignment horizontal="left" vertical="center" wrapText="1"/>
    </xf>
    <xf numFmtId="0" fontId="12" fillId="0" borderId="30" xfId="0" applyFont="1" applyBorder="1" applyAlignment="1">
      <alignment vertical="center" wrapText="1"/>
    </xf>
    <xf numFmtId="0" fontId="17" fillId="0" borderId="28" xfId="0" applyFont="1" applyBorder="1" applyAlignment="1">
      <alignment vertical="center"/>
    </xf>
    <xf numFmtId="14" fontId="17" fillId="0" borderId="23" xfId="0" applyNumberFormat="1" applyFont="1" applyBorder="1" applyAlignment="1">
      <alignment horizontal="center" vertical="center"/>
    </xf>
    <xf numFmtId="0" fontId="17" fillId="0" borderId="24" xfId="0" applyFont="1" applyBorder="1" applyAlignment="1">
      <alignment horizontal="center" vertical="center"/>
    </xf>
    <xf numFmtId="0" fontId="12" fillId="0" borderId="34" xfId="0" applyFont="1" applyBorder="1" applyAlignment="1">
      <alignment horizontal="center" vertical="center"/>
    </xf>
    <xf numFmtId="0" fontId="17" fillId="0" borderId="39" xfId="0" applyFont="1" applyBorder="1" applyAlignment="1">
      <alignment vertical="center"/>
    </xf>
    <xf numFmtId="0" fontId="17" fillId="0" borderId="29" xfId="0" applyFont="1" applyBorder="1" applyAlignment="1">
      <alignment vertical="center"/>
    </xf>
    <xf numFmtId="0" fontId="12" fillId="0" borderId="35" xfId="0" applyFont="1" applyBorder="1" applyAlignment="1">
      <alignment horizontal="center" vertical="center"/>
    </xf>
    <xf numFmtId="0" fontId="12" fillId="0" borderId="39" xfId="0" applyFont="1" applyBorder="1" applyAlignment="1">
      <alignment vertical="center"/>
    </xf>
    <xf numFmtId="0" fontId="12" fillId="4" borderId="24" xfId="0" applyFont="1" applyFill="1" applyBorder="1" applyAlignment="1">
      <alignment vertical="center"/>
    </xf>
    <xf numFmtId="0" fontId="17" fillId="4" borderId="24" xfId="0" applyFont="1" applyFill="1" applyBorder="1" applyAlignment="1">
      <alignment vertical="center"/>
    </xf>
    <xf numFmtId="1" fontId="12" fillId="0" borderId="24" xfId="0" applyNumberFormat="1" applyFont="1" applyBorder="1" applyAlignment="1">
      <alignment wrapText="1"/>
    </xf>
    <xf numFmtId="167" fontId="12" fillId="0" borderId="24" xfId="0" applyNumberFormat="1" applyFont="1" applyBorder="1" applyAlignment="1">
      <alignment wrapText="1"/>
    </xf>
    <xf numFmtId="16" fontId="12" fillId="0" borderId="23" xfId="0" applyNumberFormat="1" applyFont="1" applyBorder="1" applyAlignment="1">
      <alignment horizontal="center"/>
    </xf>
    <xf numFmtId="1" fontId="12" fillId="0" borderId="24" xfId="0" applyNumberFormat="1" applyFont="1" applyBorder="1" applyAlignment="1">
      <alignment vertical="center"/>
    </xf>
    <xf numFmtId="167" fontId="12" fillId="0" borderId="24" xfId="0" applyNumberFormat="1" applyFont="1" applyBorder="1" applyAlignment="1">
      <alignment vertical="center" wrapText="1"/>
    </xf>
    <xf numFmtId="16" fontId="12" fillId="0" borderId="23" xfId="0" applyNumberFormat="1" applyFont="1" applyBorder="1" applyAlignment="1">
      <alignment horizontal="center" vertical="center"/>
    </xf>
    <xf numFmtId="16" fontId="12" fillId="0" borderId="31" xfId="0" applyNumberFormat="1" applyFont="1" applyBorder="1" applyAlignment="1">
      <alignment horizontal="center"/>
    </xf>
    <xf numFmtId="0" fontId="12" fillId="0" borderId="33" xfId="0" applyFont="1" applyBorder="1" applyAlignment="1">
      <alignment horizontal="center"/>
    </xf>
    <xf numFmtId="0" fontId="40" fillId="6" borderId="21" xfId="0" applyFont="1" applyFill="1" applyBorder="1" applyAlignment="1">
      <alignment horizontal="center" vertical="center" wrapText="1"/>
    </xf>
    <xf numFmtId="0" fontId="40" fillId="6" borderId="22" xfId="0" applyFont="1" applyFill="1" applyBorder="1" applyAlignment="1">
      <alignment horizontal="center" vertical="center" wrapText="1"/>
    </xf>
    <xf numFmtId="2" fontId="40" fillId="6" borderId="22" xfId="0" applyNumberFormat="1" applyFont="1" applyFill="1" applyBorder="1" applyAlignment="1">
      <alignment horizontal="center" vertical="center" wrapText="1"/>
    </xf>
    <xf numFmtId="2" fontId="13" fillId="0" borderId="24" xfId="0" applyNumberFormat="1" applyFont="1" applyBorder="1"/>
    <xf numFmtId="0" fontId="12" fillId="13" borderId="0" xfId="0" applyFont="1" applyFill="1"/>
    <xf numFmtId="0" fontId="13" fillId="9" borderId="23" xfId="0" applyFont="1" applyFill="1" applyBorder="1"/>
    <xf numFmtId="2" fontId="13" fillId="9" borderId="24" xfId="0" applyNumberFormat="1" applyFont="1" applyFill="1" applyBorder="1"/>
    <xf numFmtId="0" fontId="12" fillId="46" borderId="0" xfId="0" applyFont="1" applyFill="1"/>
    <xf numFmtId="0" fontId="12" fillId="4" borderId="0" xfId="0" applyFont="1" applyFill="1"/>
    <xf numFmtId="0" fontId="13" fillId="8" borderId="23" xfId="0" applyFont="1" applyFill="1" applyBorder="1"/>
    <xf numFmtId="0" fontId="13" fillId="8" borderId="24" xfId="0" applyFont="1" applyFill="1" applyBorder="1"/>
    <xf numFmtId="2" fontId="13" fillId="8" borderId="24" xfId="0" applyNumberFormat="1" applyFont="1" applyFill="1" applyBorder="1"/>
    <xf numFmtId="0" fontId="13" fillId="4" borderId="23" xfId="0" applyFont="1" applyFill="1" applyBorder="1"/>
    <xf numFmtId="0" fontId="13" fillId="10" borderId="23" xfId="0" applyFont="1" applyFill="1" applyBorder="1"/>
    <xf numFmtId="0" fontId="13" fillId="0" borderId="26" xfId="0" applyFont="1" applyBorder="1"/>
    <xf numFmtId="0" fontId="13" fillId="0" borderId="1" xfId="0" applyFont="1" applyBorder="1"/>
    <xf numFmtId="2" fontId="13" fillId="0" borderId="1" xfId="0" applyNumberFormat="1" applyFont="1" applyBorder="1"/>
    <xf numFmtId="2" fontId="13" fillId="0" borderId="31" xfId="0" applyNumberFormat="1" applyFont="1" applyBorder="1"/>
    <xf numFmtId="0" fontId="13" fillId="0" borderId="90" xfId="0" applyFont="1" applyBorder="1"/>
    <xf numFmtId="2" fontId="13" fillId="0" borderId="90" xfId="0" applyNumberFormat="1" applyFont="1" applyBorder="1"/>
    <xf numFmtId="0" fontId="13" fillId="9" borderId="31" xfId="0" applyFont="1" applyFill="1" applyBorder="1"/>
    <xf numFmtId="2" fontId="13" fillId="9" borderId="31" xfId="0" applyNumberFormat="1" applyFont="1" applyFill="1" applyBorder="1"/>
    <xf numFmtId="0" fontId="13" fillId="7" borderId="31" xfId="0" applyFont="1" applyFill="1" applyBorder="1"/>
    <xf numFmtId="0" fontId="42" fillId="18" borderId="72" xfId="0" applyFont="1" applyFill="1" applyBorder="1" applyAlignment="1">
      <alignment horizontal="center"/>
    </xf>
    <xf numFmtId="0" fontId="42" fillId="18" borderId="73" xfId="0" applyFont="1" applyFill="1" applyBorder="1" applyAlignment="1">
      <alignment horizontal="center"/>
    </xf>
    <xf numFmtId="0" fontId="60" fillId="0" borderId="0" xfId="0" applyFont="1"/>
    <xf numFmtId="0" fontId="60" fillId="25" borderId="73" xfId="0" applyFont="1" applyFill="1" applyBorder="1" applyAlignment="1">
      <alignment horizontal="center"/>
    </xf>
    <xf numFmtId="0" fontId="61" fillId="19" borderId="73" xfId="0" applyFont="1" applyFill="1" applyBorder="1"/>
    <xf numFmtId="0" fontId="12" fillId="4" borderId="10" xfId="0" applyFont="1" applyFill="1" applyBorder="1"/>
    <xf numFmtId="0" fontId="53" fillId="2" borderId="0" xfId="0" applyFont="1" applyFill="1" applyAlignment="1">
      <alignment horizontal="center" vertical="center"/>
    </xf>
    <xf numFmtId="0" fontId="46" fillId="0" borderId="0" xfId="0" applyFont="1" applyAlignment="1">
      <alignment horizontal="center" vertical="center"/>
    </xf>
    <xf numFmtId="0" fontId="46" fillId="0" borderId="0" xfId="0" applyFont="1" applyAlignment="1">
      <alignment vertical="center"/>
    </xf>
    <xf numFmtId="0" fontId="53" fillId="2" borderId="0" xfId="0" applyFont="1" applyFill="1" applyAlignment="1">
      <alignment horizontal="center" vertical="center" wrapText="1"/>
    </xf>
    <xf numFmtId="0" fontId="62" fillId="2" borderId="0" xfId="0" applyFont="1" applyFill="1" applyAlignment="1">
      <alignment horizontal="center" vertical="center" textRotation="90" wrapText="1"/>
    </xf>
    <xf numFmtId="0" fontId="62" fillId="2" borderId="0" xfId="0" applyFont="1" applyFill="1" applyAlignment="1">
      <alignment horizontal="center" vertical="center" textRotation="90"/>
    </xf>
    <xf numFmtId="0" fontId="15" fillId="0" borderId="0" xfId="0" applyFont="1" applyAlignment="1">
      <alignment vertical="center"/>
    </xf>
    <xf numFmtId="0" fontId="63" fillId="0" borderId="0" xfId="0" applyFont="1"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9" fontId="0" fillId="0" borderId="0" xfId="0" applyNumberFormat="1" applyAlignment="1">
      <alignment horizontal="center" vertical="center"/>
    </xf>
    <xf numFmtId="0" fontId="7" fillId="0" borderId="15" xfId="0" applyFont="1" applyBorder="1" applyAlignment="1">
      <alignment horizontal="center"/>
    </xf>
    <xf numFmtId="0" fontId="64" fillId="0" borderId="9" xfId="0" applyFont="1" applyBorder="1"/>
    <xf numFmtId="3" fontId="10" fillId="0" borderId="9" xfId="0" applyNumberFormat="1" applyFont="1" applyBorder="1" applyAlignment="1">
      <alignment horizontal="center"/>
    </xf>
    <xf numFmtId="0" fontId="12" fillId="4" borderId="0" xfId="0" applyFont="1" applyFill="1" applyAlignment="1">
      <alignment horizontal="right"/>
    </xf>
    <xf numFmtId="0" fontId="60" fillId="25" borderId="73" xfId="0" applyFont="1" applyFill="1" applyBorder="1" applyAlignment="1">
      <alignment horizontal="right"/>
    </xf>
    <xf numFmtId="167" fontId="32" fillId="0" borderId="42" xfId="0" quotePrefix="1" applyNumberFormat="1" applyFont="1" applyBorder="1" applyAlignment="1">
      <alignment horizontal="center" vertical="center" wrapText="1"/>
    </xf>
    <xf numFmtId="1" fontId="15" fillId="0" borderId="0" xfId="0" applyNumberFormat="1" applyFont="1" applyAlignment="1">
      <alignment horizontal="center" vertical="center"/>
    </xf>
    <xf numFmtId="14" fontId="16" fillId="0" borderId="0" xfId="0" applyNumberFormat="1" applyFont="1" applyAlignment="1">
      <alignment horizontal="center" vertical="center"/>
    </xf>
    <xf numFmtId="9" fontId="5" fillId="0" borderId="0" xfId="0" applyNumberFormat="1" applyFont="1" applyAlignment="1">
      <alignment horizontal="center"/>
    </xf>
    <xf numFmtId="0" fontId="50" fillId="0" borderId="31" xfId="0" applyFont="1" applyBorder="1" applyAlignment="1">
      <alignment wrapText="1" readingOrder="1"/>
    </xf>
    <xf numFmtId="0" fontId="50" fillId="0" borderId="31" xfId="0" applyFont="1" applyBorder="1" applyAlignment="1">
      <alignment horizontal="center" wrapText="1" readingOrder="1"/>
    </xf>
    <xf numFmtId="172" fontId="54" fillId="0" borderId="42" xfId="0" applyNumberFormat="1" applyFont="1" applyBorder="1" applyAlignment="1">
      <alignment horizontal="center"/>
    </xf>
    <xf numFmtId="0" fontId="12" fillId="0" borderId="31" xfId="0" applyFont="1" applyBorder="1"/>
    <xf numFmtId="9" fontId="12" fillId="27" borderId="31" xfId="0" applyNumberFormat="1" applyFont="1" applyFill="1" applyBorder="1" applyAlignment="1">
      <alignment horizontal="center"/>
    </xf>
    <xf numFmtId="0" fontId="12" fillId="0" borderId="90" xfId="0" applyFont="1" applyBorder="1"/>
    <xf numFmtId="0" fontId="50" fillId="49" borderId="23" xfId="0" applyFont="1" applyFill="1" applyBorder="1" applyAlignment="1">
      <alignment wrapText="1" readingOrder="1"/>
    </xf>
    <xf numFmtId="0" fontId="50" fillId="49" borderId="24" xfId="0" applyFont="1" applyFill="1" applyBorder="1" applyAlignment="1">
      <alignment wrapText="1" readingOrder="1"/>
    </xf>
    <xf numFmtId="0" fontId="50" fillId="49" borderId="24" xfId="0" applyFont="1" applyFill="1" applyBorder="1" applyAlignment="1">
      <alignment horizontal="center" wrapText="1" readingOrder="1"/>
    </xf>
    <xf numFmtId="0" fontId="51" fillId="49" borderId="24" xfId="0" applyFont="1" applyFill="1" applyBorder="1" applyAlignment="1">
      <alignment horizontal="center"/>
    </xf>
    <xf numFmtId="0" fontId="0" fillId="49" borderId="0" xfId="0" applyFill="1"/>
    <xf numFmtId="9" fontId="7" fillId="0" borderId="9" xfId="0" applyNumberFormat="1" applyFont="1" applyBorder="1" applyAlignment="1">
      <alignment horizontal="center"/>
    </xf>
    <xf numFmtId="9" fontId="7" fillId="0" borderId="0" xfId="0" applyNumberFormat="1" applyFont="1" applyAlignment="1">
      <alignment horizontal="center"/>
    </xf>
    <xf numFmtId="9" fontId="7" fillId="0" borderId="10" xfId="0" applyNumberFormat="1" applyFont="1" applyBorder="1" applyAlignment="1">
      <alignment horizontal="center"/>
    </xf>
    <xf numFmtId="10" fontId="7" fillId="0" borderId="0" xfId="0" applyNumberFormat="1" applyFont="1" applyAlignment="1">
      <alignment horizontal="center"/>
    </xf>
    <xf numFmtId="10" fontId="7" fillId="0" borderId="10" xfId="0" applyNumberFormat="1" applyFont="1" applyBorder="1" applyAlignment="1">
      <alignment horizontal="center"/>
    </xf>
    <xf numFmtId="0" fontId="12" fillId="25" borderId="0" xfId="0" applyFont="1" applyFill="1" applyAlignment="1">
      <alignment horizontal="right"/>
    </xf>
    <xf numFmtId="0" fontId="12" fillId="0" borderId="72" xfId="0" applyFont="1" applyBorder="1" applyAlignment="1">
      <alignment horizontal="right"/>
    </xf>
    <xf numFmtId="0" fontId="12" fillId="0" borderId="0" xfId="0" applyFont="1" applyAlignment="1">
      <alignment horizontal="right"/>
    </xf>
    <xf numFmtId="0" fontId="60" fillId="0" borderId="0" xfId="0" applyFont="1" applyAlignment="1">
      <alignment horizontal="right"/>
    </xf>
    <xf numFmtId="0" fontId="40" fillId="19" borderId="72" xfId="0" applyFont="1" applyFill="1" applyBorder="1" applyAlignment="1">
      <alignment horizontal="right"/>
    </xf>
    <xf numFmtId="0" fontId="40" fillId="19" borderId="0" xfId="0" applyFont="1" applyFill="1" applyAlignment="1">
      <alignment horizontal="right"/>
    </xf>
    <xf numFmtId="0" fontId="40" fillId="19" borderId="73" xfId="0" applyFont="1" applyFill="1" applyBorder="1" applyAlignment="1">
      <alignment horizontal="right"/>
    </xf>
    <xf numFmtId="0" fontId="12" fillId="0" borderId="10" xfId="0" applyFont="1" applyBorder="1" applyAlignment="1">
      <alignment horizontal="right"/>
    </xf>
    <xf numFmtId="0" fontId="61" fillId="19" borderId="73" xfId="0" applyFont="1" applyFill="1" applyBorder="1" applyAlignment="1">
      <alignment horizontal="right"/>
    </xf>
    <xf numFmtId="0" fontId="12" fillId="0" borderId="73" xfId="0" applyFont="1" applyBorder="1" applyAlignment="1">
      <alignment horizontal="right"/>
    </xf>
    <xf numFmtId="0" fontId="12" fillId="19" borderId="72" xfId="0" applyFont="1" applyFill="1" applyBorder="1" applyAlignment="1">
      <alignment horizontal="right"/>
    </xf>
    <xf numFmtId="0" fontId="12" fillId="19" borderId="0" xfId="0" applyFont="1" applyFill="1" applyAlignment="1">
      <alignment horizontal="right"/>
    </xf>
    <xf numFmtId="0" fontId="12" fillId="19" borderId="73" xfId="0" applyFont="1" applyFill="1" applyBorder="1" applyAlignment="1">
      <alignment horizontal="right"/>
    </xf>
    <xf numFmtId="0" fontId="40" fillId="8" borderId="74" xfId="0" applyFont="1" applyFill="1" applyBorder="1" applyAlignment="1">
      <alignment horizontal="right"/>
    </xf>
    <xf numFmtId="0" fontId="40" fillId="8" borderId="75" xfId="0" applyFont="1" applyFill="1" applyBorder="1" applyAlignment="1">
      <alignment horizontal="right"/>
    </xf>
    <xf numFmtId="0" fontId="40" fillId="8" borderId="76" xfId="0" applyFont="1" applyFill="1" applyBorder="1" applyAlignment="1">
      <alignment horizontal="right"/>
    </xf>
    <xf numFmtId="3" fontId="12" fillId="0" borderId="9" xfId="0" applyNumberFormat="1" applyFont="1" applyBorder="1"/>
    <xf numFmtId="3" fontId="12" fillId="0" borderId="0" xfId="0" applyNumberFormat="1" applyFont="1"/>
    <xf numFmtId="3" fontId="12" fillId="0" borderId="10" xfId="0" applyNumberFormat="1" applyFont="1" applyBorder="1"/>
    <xf numFmtId="3" fontId="12" fillId="4" borderId="0" xfId="0" applyNumberFormat="1" applyFont="1" applyFill="1"/>
    <xf numFmtId="3" fontId="12" fillId="4" borderId="10" xfId="0" applyNumberFormat="1" applyFont="1" applyFill="1" applyBorder="1"/>
    <xf numFmtId="4" fontId="12" fillId="25" borderId="10" xfId="0" applyNumberFormat="1" applyFont="1" applyFill="1" applyBorder="1" applyAlignment="1">
      <alignment horizontal="center"/>
    </xf>
    <xf numFmtId="3" fontId="60" fillId="0" borderId="9" xfId="0" applyNumberFormat="1" applyFont="1" applyBorder="1"/>
    <xf numFmtId="3" fontId="60" fillId="0" borderId="0" xfId="0" applyNumberFormat="1" applyFont="1"/>
    <xf numFmtId="3" fontId="60" fillId="4" borderId="0" xfId="0" applyNumberFormat="1" applyFont="1" applyFill="1"/>
    <xf numFmtId="3" fontId="60" fillId="4" borderId="10" xfId="0" applyNumberFormat="1" applyFont="1" applyFill="1" applyBorder="1"/>
    <xf numFmtId="3" fontId="60" fillId="0" borderId="10" xfId="0" applyNumberFormat="1" applyFont="1" applyBorder="1"/>
    <xf numFmtId="14" fontId="60" fillId="0" borderId="25" xfId="0" applyNumberFormat="1" applyFont="1" applyBorder="1" applyAlignment="1">
      <alignment horizontal="center"/>
    </xf>
    <xf numFmtId="3" fontId="12" fillId="25" borderId="10" xfId="0" applyNumberFormat="1" applyFont="1" applyFill="1" applyBorder="1"/>
    <xf numFmtId="3" fontId="60" fillId="25" borderId="9" xfId="0" applyNumberFormat="1" applyFont="1" applyFill="1" applyBorder="1" applyAlignment="1">
      <alignment horizontal="center"/>
    </xf>
    <xf numFmtId="3" fontId="12" fillId="27" borderId="0" xfId="0" applyNumberFormat="1" applyFont="1" applyFill="1"/>
    <xf numFmtId="0" fontId="12" fillId="25" borderId="72" xfId="0" applyFont="1" applyFill="1" applyBorder="1"/>
    <xf numFmtId="0" fontId="12" fillId="27" borderId="0" xfId="0" applyFont="1" applyFill="1"/>
    <xf numFmtId="0" fontId="12" fillId="27" borderId="0" xfId="0" applyFont="1" applyFill="1" applyAlignment="1">
      <alignment horizontal="right"/>
    </xf>
    <xf numFmtId="0" fontId="0" fillId="0" borderId="23" xfId="0" applyBorder="1"/>
    <xf numFmtId="0" fontId="13" fillId="8" borderId="31" xfId="0" applyFont="1" applyFill="1" applyBorder="1"/>
    <xf numFmtId="0" fontId="0" fillId="0" borderId="24" xfId="0" applyBorder="1"/>
    <xf numFmtId="168" fontId="12" fillId="0" borderId="31" xfId="0" applyNumberFormat="1" applyFont="1" applyBorder="1"/>
    <xf numFmtId="168" fontId="0" fillId="0" borderId="31" xfId="0" applyNumberFormat="1" applyBorder="1"/>
    <xf numFmtId="168" fontId="12" fillId="0" borderId="90" xfId="0" applyNumberFormat="1" applyFont="1" applyBorder="1"/>
    <xf numFmtId="172" fontId="0" fillId="0" borderId="31" xfId="0" applyNumberFormat="1" applyBorder="1"/>
    <xf numFmtId="0" fontId="40" fillId="48" borderId="90" xfId="0" applyFont="1" applyFill="1" applyBorder="1" applyAlignment="1">
      <alignment horizontal="center" vertical="top"/>
    </xf>
    <xf numFmtId="0" fontId="11" fillId="31" borderId="24" xfId="0" applyFont="1" applyFill="1" applyBorder="1" applyAlignment="1">
      <alignment horizontal="center" vertical="top" wrapText="1"/>
    </xf>
    <xf numFmtId="0" fontId="11" fillId="31" borderId="23" xfId="0" applyFont="1" applyFill="1" applyBorder="1" applyAlignment="1">
      <alignment horizontal="center" vertical="top" wrapText="1"/>
    </xf>
    <xf numFmtId="0" fontId="11" fillId="32" borderId="23" xfId="0" applyFont="1" applyFill="1" applyBorder="1" applyAlignment="1">
      <alignment horizontal="center" vertical="top" wrapText="1"/>
    </xf>
    <xf numFmtId="0" fontId="11" fillId="32" borderId="110" xfId="0" applyFont="1" applyFill="1" applyBorder="1" applyAlignment="1">
      <alignment horizontal="center" vertical="top" wrapText="1"/>
    </xf>
    <xf numFmtId="14" fontId="60" fillId="0" borderId="21" xfId="0" applyNumberFormat="1" applyFont="1" applyBorder="1" applyAlignment="1">
      <alignment horizontal="center"/>
    </xf>
    <xf numFmtId="9" fontId="60" fillId="27" borderId="31" xfId="0" applyNumberFormat="1" applyFont="1" applyFill="1" applyBorder="1" applyAlignment="1">
      <alignment horizontal="center"/>
    </xf>
    <xf numFmtId="0" fontId="60" fillId="25" borderId="0" xfId="0" applyFont="1" applyFill="1" applyAlignment="1">
      <alignment horizontal="right"/>
    </xf>
    <xf numFmtId="0" fontId="12" fillId="23" borderId="21" xfId="0" applyFont="1" applyFill="1" applyBorder="1" applyAlignment="1">
      <alignment horizontal="center"/>
    </xf>
    <xf numFmtId="0" fontId="36" fillId="0" borderId="0" xfId="0" applyFont="1" applyAlignment="1">
      <alignment horizontal="center"/>
    </xf>
    <xf numFmtId="9" fontId="32" fillId="0" borderId="57" xfId="0" applyNumberFormat="1" applyFont="1" applyBorder="1" applyAlignment="1">
      <alignment horizontal="center"/>
    </xf>
    <xf numFmtId="172" fontId="32" fillId="0" borderId="51" xfId="0" applyNumberFormat="1" applyFont="1" applyBorder="1" applyAlignment="1">
      <alignment horizontal="center"/>
    </xf>
    <xf numFmtId="172" fontId="32" fillId="0" borderId="53" xfId="0" applyNumberFormat="1" applyFont="1" applyBorder="1" applyAlignment="1">
      <alignment horizontal="center"/>
    </xf>
    <xf numFmtId="167" fontId="32" fillId="0" borderId="51" xfId="0" applyNumberFormat="1" applyFont="1" applyBorder="1" applyAlignment="1">
      <alignment horizontal="center" vertical="center"/>
    </xf>
    <xf numFmtId="167" fontId="32" fillId="0" borderId="42" xfId="0" applyNumberFormat="1" applyFont="1" applyBorder="1" applyAlignment="1">
      <alignment horizontal="center" vertical="center" wrapText="1"/>
    </xf>
    <xf numFmtId="167" fontId="32" fillId="0" borderId="53" xfId="0" applyNumberFormat="1" applyFont="1" applyBorder="1" applyAlignment="1">
      <alignment horizontal="center" vertical="center"/>
    </xf>
    <xf numFmtId="167" fontId="32" fillId="0" borderId="77" xfId="0" applyNumberFormat="1" applyFont="1" applyBorder="1"/>
    <xf numFmtId="167" fontId="32" fillId="0" borderId="51" xfId="0" applyNumberFormat="1" applyFont="1" applyBorder="1"/>
    <xf numFmtId="167" fontId="32" fillId="0" borderId="53" xfId="0" applyNumberFormat="1" applyFont="1" applyBorder="1"/>
    <xf numFmtId="0" fontId="32" fillId="0" borderId="67" xfId="0" applyFont="1" applyBorder="1" applyAlignment="1">
      <alignment horizontal="center"/>
    </xf>
    <xf numFmtId="1" fontId="35" fillId="0" borderId="51" xfId="0" applyNumberFormat="1" applyFont="1" applyBorder="1" applyAlignment="1">
      <alignment horizontal="center"/>
    </xf>
    <xf numFmtId="0" fontId="35" fillId="0" borderId="45" xfId="0" applyFont="1" applyBorder="1" applyAlignment="1">
      <alignment horizontal="center"/>
    </xf>
    <xf numFmtId="0" fontId="35" fillId="0" borderId="58" xfId="0" applyFont="1" applyBorder="1" applyAlignment="1">
      <alignment horizontal="center"/>
    </xf>
    <xf numFmtId="165" fontId="35" fillId="0" borderId="50" xfId="0" applyNumberFormat="1" applyFont="1" applyBorder="1" applyAlignment="1">
      <alignment horizontal="center"/>
    </xf>
    <xf numFmtId="165" fontId="35" fillId="0" borderId="45" xfId="0" applyNumberFormat="1" applyFont="1" applyBorder="1" applyAlignment="1">
      <alignment horizontal="center"/>
    </xf>
    <xf numFmtId="165" fontId="35" fillId="0" borderId="66" xfId="0" applyNumberFormat="1" applyFont="1" applyBorder="1" applyAlignment="1">
      <alignment horizontal="center"/>
    </xf>
    <xf numFmtId="1" fontId="35" fillId="0" borderId="57" xfId="0" applyNumberFormat="1" applyFont="1" applyBorder="1" applyAlignment="1">
      <alignment horizontal="center"/>
    </xf>
    <xf numFmtId="1" fontId="35" fillId="0" borderId="45" xfId="0" applyNumberFormat="1" applyFont="1" applyBorder="1" applyAlignment="1">
      <alignment horizontal="center"/>
    </xf>
    <xf numFmtId="1" fontId="35" fillId="0" borderId="55" xfId="0" applyNumberFormat="1" applyFont="1" applyBorder="1" applyAlignment="1">
      <alignment horizontal="center"/>
    </xf>
    <xf numFmtId="168" fontId="33" fillId="13" borderId="44" xfId="0" applyNumberFormat="1" applyFont="1" applyFill="1" applyBorder="1" applyAlignment="1">
      <alignment horizontal="center"/>
    </xf>
    <xf numFmtId="168" fontId="33" fillId="13" borderId="64" xfId="0" applyNumberFormat="1" applyFont="1" applyFill="1" applyBorder="1" applyAlignment="1">
      <alignment horizontal="center"/>
    </xf>
    <xf numFmtId="168" fontId="33" fillId="13" borderId="102" xfId="0" applyNumberFormat="1" applyFont="1" applyFill="1" applyBorder="1" applyAlignment="1">
      <alignment horizontal="center"/>
    </xf>
    <xf numFmtId="168" fontId="33" fillId="13" borderId="95" xfId="0" applyNumberFormat="1" applyFont="1" applyFill="1" applyBorder="1" applyAlignment="1">
      <alignment horizontal="center"/>
    </xf>
    <xf numFmtId="0" fontId="66" fillId="0" borderId="31" xfId="0" applyFont="1" applyBorder="1"/>
    <xf numFmtId="2" fontId="66" fillId="0" borderId="31" xfId="0" applyNumberFormat="1" applyFont="1" applyBorder="1"/>
    <xf numFmtId="0" fontId="12" fillId="27" borderId="72" xfId="0" applyFont="1" applyFill="1" applyBorder="1" applyAlignment="1">
      <alignment horizontal="center"/>
    </xf>
    <xf numFmtId="0" fontId="60" fillId="25" borderId="0" xfId="0" applyFont="1" applyFill="1" applyAlignment="1">
      <alignment horizontal="center"/>
    </xf>
    <xf numFmtId="0" fontId="12" fillId="8" borderId="75" xfId="0" applyFont="1" applyFill="1" applyBorder="1"/>
    <xf numFmtId="0" fontId="0" fillId="0" borderId="31" xfId="0" applyBorder="1" applyAlignment="1">
      <alignment horizontal="center"/>
    </xf>
    <xf numFmtId="0" fontId="50" fillId="0" borderId="2" xfId="0" applyFont="1" applyBorder="1" applyAlignment="1">
      <alignment wrapText="1" readingOrder="1"/>
    </xf>
    <xf numFmtId="0" fontId="50" fillId="0" borderId="90" xfId="0" applyFont="1" applyBorder="1" applyAlignment="1">
      <alignment wrapText="1" readingOrder="1"/>
    </xf>
    <xf numFmtId="0" fontId="50" fillId="0" borderId="90" xfId="0" applyFont="1" applyBorder="1" applyAlignment="1">
      <alignment horizontal="center" wrapText="1" readingOrder="1"/>
    </xf>
    <xf numFmtId="0" fontId="51" fillId="0" borderId="90" xfId="0" applyFont="1" applyBorder="1" applyAlignment="1">
      <alignment horizontal="center"/>
    </xf>
    <xf numFmtId="0" fontId="50" fillId="0" borderId="172" xfId="0" applyFont="1" applyBorder="1" applyAlignment="1">
      <alignment wrapText="1" readingOrder="1"/>
    </xf>
    <xf numFmtId="0" fontId="50" fillId="0" borderId="172" xfId="0" applyFont="1" applyBorder="1" applyAlignment="1">
      <alignment horizontal="center" wrapText="1" readingOrder="1"/>
    </xf>
    <xf numFmtId="0" fontId="51" fillId="0" borderId="172" xfId="0" applyFont="1" applyBorder="1" applyAlignment="1">
      <alignment horizontal="center"/>
    </xf>
    <xf numFmtId="0" fontId="43" fillId="0" borderId="0" xfId="0" applyFont="1" applyAlignment="1">
      <alignment horizontal="left"/>
    </xf>
    <xf numFmtId="3" fontId="60" fillId="25" borderId="0" xfId="0" applyNumberFormat="1" applyFont="1" applyFill="1"/>
    <xf numFmtId="14" fontId="12" fillId="0" borderId="22" xfId="0" applyNumberFormat="1" applyFont="1" applyBorder="1" applyAlignment="1">
      <alignment horizontal="center"/>
    </xf>
    <xf numFmtId="0" fontId="67" fillId="0" borderId="0" xfId="0" applyFont="1"/>
    <xf numFmtId="0" fontId="67" fillId="0" borderId="31" xfId="0" applyFont="1" applyBorder="1" applyAlignment="1">
      <alignment horizontal="center" vertical="center"/>
    </xf>
    <xf numFmtId="0" fontId="68" fillId="0" borderId="31" xfId="0" applyFont="1" applyBorder="1"/>
    <xf numFmtId="0" fontId="15" fillId="13" borderId="0" xfId="0" applyFont="1" applyFill="1" applyAlignment="1">
      <alignment vertical="center"/>
    </xf>
    <xf numFmtId="0" fontId="15" fillId="13" borderId="0" xfId="0" applyFont="1" applyFill="1" applyAlignment="1">
      <alignment horizontal="center" vertical="center"/>
    </xf>
    <xf numFmtId="0" fontId="0" fillId="13" borderId="0" xfId="0" applyFill="1" applyAlignment="1">
      <alignment vertical="center"/>
    </xf>
    <xf numFmtId="0" fontId="63" fillId="13" borderId="0" xfId="0" applyFont="1" applyFill="1" applyAlignment="1">
      <alignment horizontal="center" vertical="center"/>
    </xf>
    <xf numFmtId="14" fontId="0" fillId="13" borderId="0" xfId="0" applyNumberFormat="1" applyFill="1" applyAlignment="1">
      <alignment horizontal="center" vertical="center"/>
    </xf>
    <xf numFmtId="1" fontId="15" fillId="13" borderId="0" xfId="0" applyNumberFormat="1" applyFont="1" applyFill="1" applyAlignment="1">
      <alignment horizontal="center" vertical="center"/>
    </xf>
    <xf numFmtId="1" fontId="0" fillId="13" borderId="0" xfId="0" applyNumberFormat="1" applyFill="1" applyAlignment="1">
      <alignment horizontal="center" vertical="center"/>
    </xf>
    <xf numFmtId="9" fontId="0" fillId="13" borderId="0" xfId="0" applyNumberFormat="1" applyFill="1" applyAlignment="1">
      <alignment horizontal="center" vertical="center"/>
    </xf>
    <xf numFmtId="0" fontId="0" fillId="13" borderId="0" xfId="0" applyFill="1" applyAlignment="1">
      <alignment horizontal="center" vertical="center"/>
    </xf>
    <xf numFmtId="0" fontId="15" fillId="13" borderId="43" xfId="0" applyFont="1" applyFill="1" applyBorder="1" applyAlignment="1">
      <alignment vertical="center"/>
    </xf>
    <xf numFmtId="0" fontId="15" fillId="13" borderId="43" xfId="0" applyFont="1" applyFill="1" applyBorder="1" applyAlignment="1">
      <alignment horizontal="center" vertical="center"/>
    </xf>
    <xf numFmtId="0" fontId="0" fillId="13" borderId="43" xfId="0" applyFill="1" applyBorder="1" applyAlignment="1">
      <alignment vertical="center"/>
    </xf>
    <xf numFmtId="0" fontId="63" fillId="13" borderId="43" xfId="0" applyFont="1" applyFill="1" applyBorder="1" applyAlignment="1">
      <alignment horizontal="center" vertical="center"/>
    </xf>
    <xf numFmtId="14" fontId="0" fillId="13" borderId="43" xfId="0" applyNumberFormat="1" applyFill="1" applyBorder="1" applyAlignment="1">
      <alignment horizontal="center" vertical="center"/>
    </xf>
    <xf numFmtId="1" fontId="0" fillId="13" borderId="43" xfId="0" applyNumberFormat="1" applyFill="1" applyBorder="1" applyAlignment="1">
      <alignment horizontal="center" vertical="center"/>
    </xf>
    <xf numFmtId="9" fontId="0" fillId="13" borderId="43" xfId="0" applyNumberFormat="1" applyFill="1" applyBorder="1" applyAlignment="1">
      <alignment horizontal="center" vertical="center"/>
    </xf>
    <xf numFmtId="0" fontId="0" fillId="13" borderId="43" xfId="0" applyFill="1" applyBorder="1" applyAlignment="1">
      <alignment horizontal="center" vertical="center"/>
    </xf>
    <xf numFmtId="1" fontId="15" fillId="13" borderId="43" xfId="0" applyNumberFormat="1" applyFont="1" applyFill="1" applyBorder="1" applyAlignment="1">
      <alignment horizontal="center" vertical="center"/>
    </xf>
    <xf numFmtId="165" fontId="32" fillId="0" borderId="63" xfId="0" applyNumberFormat="1" applyFont="1" applyBorder="1" applyAlignment="1">
      <alignment horizontal="center"/>
    </xf>
    <xf numFmtId="165" fontId="31" fillId="13" borderId="66" xfId="0" applyNumberFormat="1" applyFont="1" applyFill="1" applyBorder="1" applyAlignment="1">
      <alignment horizontal="center"/>
    </xf>
    <xf numFmtId="165" fontId="32" fillId="0" borderId="64" xfId="0" applyNumberFormat="1" applyFont="1" applyBorder="1" applyAlignment="1">
      <alignment horizontal="center"/>
    </xf>
    <xf numFmtId="165" fontId="37" fillId="13" borderId="66" xfId="0" applyNumberFormat="1" applyFont="1" applyFill="1" applyBorder="1" applyAlignment="1">
      <alignment horizontal="center"/>
    </xf>
    <xf numFmtId="164" fontId="5" fillId="0" borderId="9" xfId="0" applyNumberFormat="1" applyFont="1" applyBorder="1" applyAlignment="1">
      <alignment horizontal="center"/>
    </xf>
    <xf numFmtId="164" fontId="5" fillId="0" borderId="10" xfId="0" applyNumberFormat="1" applyFont="1" applyBorder="1" applyAlignment="1">
      <alignment horizontal="center"/>
    </xf>
    <xf numFmtId="164" fontId="5" fillId="28" borderId="10" xfId="0" applyNumberFormat="1" applyFont="1" applyFill="1" applyBorder="1" applyAlignment="1">
      <alignment horizontal="center"/>
    </xf>
    <xf numFmtId="164" fontId="10" fillId="28" borderId="10" xfId="0" applyNumberFormat="1" applyFont="1" applyFill="1" applyBorder="1" applyAlignment="1">
      <alignment horizontal="center"/>
    </xf>
    <xf numFmtId="0" fontId="66" fillId="0" borderId="90" xfId="0" applyFont="1" applyBorder="1"/>
    <xf numFmtId="2" fontId="66" fillId="0" borderId="90" xfId="0" applyNumberFormat="1" applyFont="1" applyBorder="1"/>
    <xf numFmtId="0" fontId="60" fillId="0" borderId="73" xfId="0" applyFont="1" applyBorder="1"/>
    <xf numFmtId="0" fontId="60" fillId="0" borderId="10" xfId="0" applyFont="1" applyBorder="1"/>
    <xf numFmtId="2" fontId="35" fillId="0" borderId="51" xfId="0" applyNumberFormat="1" applyFont="1" applyBorder="1" applyAlignment="1">
      <alignment horizontal="center"/>
    </xf>
    <xf numFmtId="2" fontId="35" fillId="0" borderId="53" xfId="0" applyNumberFormat="1" applyFont="1" applyBorder="1" applyAlignment="1">
      <alignment horizontal="center"/>
    </xf>
    <xf numFmtId="3" fontId="60" fillId="27" borderId="9" xfId="0" applyNumberFormat="1" applyFont="1" applyFill="1" applyBorder="1"/>
    <xf numFmtId="3" fontId="60" fillId="27" borderId="0" xfId="0" applyNumberFormat="1" applyFont="1" applyFill="1"/>
    <xf numFmtId="3" fontId="60" fillId="25" borderId="0" xfId="0" applyNumberFormat="1" applyFont="1" applyFill="1" applyAlignment="1">
      <alignment horizontal="center"/>
    </xf>
    <xf numFmtId="3" fontId="12" fillId="25" borderId="10" xfId="0" applyNumberFormat="1" applyFont="1" applyFill="1" applyBorder="1" applyAlignment="1">
      <alignment horizontal="right"/>
    </xf>
    <xf numFmtId="0" fontId="12" fillId="8" borderId="11" xfId="0" applyFont="1" applyFill="1" applyBorder="1"/>
    <xf numFmtId="0" fontId="12" fillId="8" borderId="12" xfId="0" applyFont="1" applyFill="1" applyBorder="1"/>
    <xf numFmtId="3" fontId="60" fillId="0" borderId="9" xfId="0" applyNumberFormat="1" applyFont="1" applyBorder="1" applyAlignment="1">
      <alignment horizontal="right"/>
    </xf>
    <xf numFmtId="168" fontId="33" fillId="0" borderId="82" xfId="0" applyNumberFormat="1" applyFont="1" applyBorder="1" applyAlignment="1">
      <alignment horizontal="center"/>
    </xf>
    <xf numFmtId="165" fontId="37" fillId="13" borderId="55" xfId="0" applyNumberFormat="1" applyFont="1" applyFill="1" applyBorder="1" applyAlignment="1">
      <alignment horizontal="center"/>
    </xf>
    <xf numFmtId="165" fontId="37" fillId="13" borderId="46" xfId="0" applyNumberFormat="1" applyFont="1" applyFill="1" applyBorder="1" applyAlignment="1">
      <alignment horizontal="center"/>
    </xf>
    <xf numFmtId="165" fontId="37" fillId="13" borderId="65" xfId="0" applyNumberFormat="1" applyFont="1" applyFill="1" applyBorder="1" applyAlignment="1">
      <alignment horizontal="center"/>
    </xf>
    <xf numFmtId="178" fontId="35" fillId="0" borderId="45" xfId="0" applyNumberFormat="1" applyFont="1" applyBorder="1" applyAlignment="1">
      <alignment horizontal="center"/>
    </xf>
    <xf numFmtId="178" fontId="35" fillId="0" borderId="58" xfId="0" applyNumberFormat="1" applyFont="1" applyBorder="1" applyAlignment="1">
      <alignment horizontal="center"/>
    </xf>
    <xf numFmtId="178" fontId="35" fillId="0" borderId="50" xfId="0" applyNumberFormat="1" applyFont="1" applyBorder="1" applyAlignment="1">
      <alignment horizontal="center"/>
    </xf>
    <xf numFmtId="178" fontId="35" fillId="0" borderId="42" xfId="0" applyNumberFormat="1" applyFont="1" applyBorder="1" applyAlignment="1">
      <alignment horizontal="center"/>
    </xf>
    <xf numFmtId="178" fontId="35" fillId="0" borderId="52" xfId="0" applyNumberFormat="1" applyFont="1" applyBorder="1" applyAlignment="1">
      <alignment horizontal="center"/>
    </xf>
    <xf numFmtId="178" fontId="35" fillId="0" borderId="47" xfId="0" applyNumberFormat="1" applyFont="1" applyBorder="1" applyAlignment="1">
      <alignment horizontal="center"/>
    </xf>
    <xf numFmtId="178" fontId="35" fillId="0" borderId="46" xfId="0" applyNumberFormat="1" applyFont="1" applyBorder="1" applyAlignment="1">
      <alignment horizontal="center"/>
    </xf>
    <xf numFmtId="178" fontId="35" fillId="0" borderId="56" xfId="0" applyNumberFormat="1" applyFont="1" applyBorder="1" applyAlignment="1">
      <alignment horizontal="center"/>
    </xf>
    <xf numFmtId="178" fontId="35" fillId="0" borderId="49" xfId="0" applyNumberFormat="1" applyFont="1" applyBorder="1" applyAlignment="1">
      <alignment horizontal="center"/>
    </xf>
    <xf numFmtId="0" fontId="31" fillId="13" borderId="120" xfId="0" applyFont="1" applyFill="1" applyBorder="1" applyAlignment="1">
      <alignment horizontal="right"/>
    </xf>
    <xf numFmtId="0" fontId="31" fillId="13" borderId="116" xfId="0" applyFont="1" applyFill="1" applyBorder="1" applyAlignment="1">
      <alignment horizontal="right"/>
    </xf>
    <xf numFmtId="0" fontId="31" fillId="13" borderId="121" xfId="0" applyFont="1" applyFill="1" applyBorder="1" applyAlignment="1">
      <alignment horizontal="right"/>
    </xf>
    <xf numFmtId="167" fontId="32" fillId="0" borderId="51" xfId="0" applyNumberFormat="1" applyFont="1" applyBorder="1" applyAlignment="1">
      <alignment horizontal="right"/>
    </xf>
    <xf numFmtId="167" fontId="32" fillId="0" borderId="42" xfId="0" applyNumberFormat="1" applyFont="1" applyBorder="1" applyAlignment="1">
      <alignment horizontal="right"/>
    </xf>
    <xf numFmtId="0" fontId="32" fillId="0" borderId="42" xfId="0" applyFont="1" applyBorder="1" applyAlignment="1">
      <alignment horizontal="right"/>
    </xf>
    <xf numFmtId="0" fontId="32" fillId="0" borderId="52" xfId="0" applyFont="1" applyBorder="1" applyAlignment="1">
      <alignment horizontal="right"/>
    </xf>
    <xf numFmtId="167" fontId="32" fillId="0" borderId="47" xfId="0" applyNumberFormat="1" applyFont="1" applyBorder="1" applyAlignment="1">
      <alignment horizontal="right"/>
    </xf>
    <xf numFmtId="167" fontId="32" fillId="11" borderId="51" xfId="0" applyNumberFormat="1" applyFont="1" applyFill="1" applyBorder="1" applyAlignment="1">
      <alignment horizontal="right"/>
    </xf>
    <xf numFmtId="167" fontId="32" fillId="11" borderId="42" xfId="0" applyNumberFormat="1" applyFont="1" applyFill="1" applyBorder="1" applyAlignment="1">
      <alignment horizontal="right"/>
    </xf>
    <xf numFmtId="0" fontId="32" fillId="11" borderId="42" xfId="0" applyFont="1" applyFill="1" applyBorder="1" applyAlignment="1">
      <alignment horizontal="right"/>
    </xf>
    <xf numFmtId="0" fontId="32" fillId="11" borderId="52" xfId="0" applyFont="1" applyFill="1" applyBorder="1" applyAlignment="1">
      <alignment horizontal="right"/>
    </xf>
    <xf numFmtId="167" fontId="32" fillId="11" borderId="47" xfId="0" applyNumberFormat="1" applyFont="1" applyFill="1" applyBorder="1" applyAlignment="1">
      <alignment horizontal="right"/>
    </xf>
    <xf numFmtId="167" fontId="32" fillId="11" borderId="83" xfId="0" applyNumberFormat="1" applyFont="1" applyFill="1" applyBorder="1" applyAlignment="1">
      <alignment horizontal="right"/>
    </xf>
    <xf numFmtId="0" fontId="32" fillId="11" borderId="83" xfId="0" applyFont="1" applyFill="1" applyBorder="1" applyAlignment="1">
      <alignment horizontal="right"/>
    </xf>
    <xf numFmtId="167" fontId="32" fillId="0" borderId="82" xfId="0" applyNumberFormat="1" applyFont="1" applyBorder="1" applyAlignment="1">
      <alignment horizontal="right"/>
    </xf>
    <xf numFmtId="167" fontId="32" fillId="0" borderId="83" xfId="0" applyNumberFormat="1" applyFont="1" applyBorder="1" applyAlignment="1">
      <alignment horizontal="right"/>
    </xf>
    <xf numFmtId="0" fontId="32" fillId="0" borderId="83" xfId="0" applyFont="1" applyBorder="1" applyAlignment="1">
      <alignment horizontal="right"/>
    </xf>
    <xf numFmtId="0" fontId="32" fillId="0" borderId="84" xfId="0" applyFont="1" applyBorder="1" applyAlignment="1">
      <alignment horizontal="right"/>
    </xf>
    <xf numFmtId="0" fontId="31" fillId="13" borderId="50" xfId="0" applyFont="1" applyFill="1" applyBorder="1" applyAlignment="1">
      <alignment horizontal="right"/>
    </xf>
    <xf numFmtId="167" fontId="32" fillId="0" borderId="85" xfId="0" applyNumberFormat="1" applyFont="1" applyBorder="1" applyAlignment="1">
      <alignment horizontal="right"/>
    </xf>
    <xf numFmtId="167" fontId="32" fillId="0" borderId="62" xfId="0" applyNumberFormat="1" applyFont="1" applyBorder="1" applyAlignment="1">
      <alignment horizontal="right"/>
    </xf>
    <xf numFmtId="167" fontId="32" fillId="0" borderId="52" xfId="0" applyNumberFormat="1" applyFont="1" applyBorder="1" applyAlignment="1">
      <alignment horizontal="right"/>
    </xf>
    <xf numFmtId="167" fontId="32" fillId="11" borderId="52" xfId="0" applyNumberFormat="1" applyFont="1" applyFill="1" applyBorder="1" applyAlignment="1">
      <alignment horizontal="right"/>
    </xf>
    <xf numFmtId="167" fontId="32" fillId="0" borderId="84" xfId="0" applyNumberFormat="1" applyFont="1" applyBorder="1" applyAlignment="1">
      <alignment horizontal="right"/>
    </xf>
    <xf numFmtId="167" fontId="32" fillId="11" borderId="82" xfId="0" applyNumberFormat="1" applyFont="1" applyFill="1" applyBorder="1" applyAlignment="1">
      <alignment horizontal="right"/>
    </xf>
    <xf numFmtId="167" fontId="32" fillId="11" borderId="84" xfId="0" applyNumberFormat="1" applyFont="1" applyFill="1" applyBorder="1" applyAlignment="1">
      <alignment horizontal="right"/>
    </xf>
    <xf numFmtId="167" fontId="32" fillId="11" borderId="85" xfId="0" applyNumberFormat="1" applyFont="1" applyFill="1" applyBorder="1" applyAlignment="1">
      <alignment horizontal="right"/>
    </xf>
    <xf numFmtId="167" fontId="32" fillId="11" borderId="59" xfId="0" applyNumberFormat="1" applyFont="1" applyFill="1" applyBorder="1" applyAlignment="1">
      <alignment horizontal="right"/>
    </xf>
    <xf numFmtId="167" fontId="32" fillId="11" borderId="60" xfId="0" applyNumberFormat="1" applyFont="1" applyFill="1" applyBorder="1" applyAlignment="1">
      <alignment horizontal="right"/>
    </xf>
    <xf numFmtId="167" fontId="32" fillId="11" borderId="61" xfId="0" applyNumberFormat="1" applyFont="1" applyFill="1" applyBorder="1" applyAlignment="1">
      <alignment horizontal="right"/>
    </xf>
    <xf numFmtId="167" fontId="32" fillId="11" borderId="62" xfId="0" applyNumberFormat="1" applyFont="1" applyFill="1" applyBorder="1" applyAlignment="1">
      <alignment horizontal="right"/>
    </xf>
    <xf numFmtId="167" fontId="31" fillId="13" borderId="57" xfId="0" applyNumberFormat="1" applyFont="1" applyFill="1" applyBorder="1" applyAlignment="1">
      <alignment horizontal="right"/>
    </xf>
    <xf numFmtId="167" fontId="31" fillId="13" borderId="45" xfId="0" applyNumberFormat="1" applyFont="1" applyFill="1" applyBorder="1" applyAlignment="1">
      <alignment horizontal="right"/>
    </xf>
    <xf numFmtId="167" fontId="31" fillId="13" borderId="58" xfId="0" applyNumberFormat="1" applyFont="1" applyFill="1" applyBorder="1" applyAlignment="1">
      <alignment horizontal="right"/>
    </xf>
    <xf numFmtId="167" fontId="31" fillId="13" borderId="50" xfId="0" applyNumberFormat="1" applyFont="1" applyFill="1" applyBorder="1" applyAlignment="1">
      <alignment horizontal="right"/>
    </xf>
    <xf numFmtId="167" fontId="31" fillId="13" borderId="120" xfId="0" applyNumberFormat="1" applyFont="1" applyFill="1" applyBorder="1" applyAlignment="1">
      <alignment horizontal="right"/>
    </xf>
    <xf numFmtId="167" fontId="31" fillId="13" borderId="116" xfId="0" applyNumberFormat="1" applyFont="1" applyFill="1" applyBorder="1" applyAlignment="1">
      <alignment horizontal="right"/>
    </xf>
    <xf numFmtId="167" fontId="31" fillId="13" borderId="121" xfId="0" applyNumberFormat="1" applyFont="1" applyFill="1" applyBorder="1" applyAlignment="1">
      <alignment horizontal="right"/>
    </xf>
    <xf numFmtId="167" fontId="32" fillId="0" borderId="59" xfId="0" applyNumberFormat="1" applyFont="1" applyBorder="1" applyAlignment="1">
      <alignment horizontal="right"/>
    </xf>
    <xf numFmtId="167" fontId="32" fillId="0" borderId="60" xfId="0" applyNumberFormat="1" applyFont="1" applyBorder="1" applyAlignment="1">
      <alignment horizontal="right"/>
    </xf>
    <xf numFmtId="167" fontId="32" fillId="0" borderId="61" xfId="0" applyNumberFormat="1" applyFont="1" applyBorder="1" applyAlignment="1">
      <alignment horizontal="right"/>
    </xf>
    <xf numFmtId="167" fontId="32" fillId="0" borderId="51" xfId="0" quotePrefix="1" applyNumberFormat="1" applyFont="1" applyBorder="1" applyAlignment="1">
      <alignment horizontal="right"/>
    </xf>
    <xf numFmtId="167" fontId="32" fillId="0" borderId="42" xfId="0" quotePrefix="1" applyNumberFormat="1" applyFont="1" applyBorder="1" applyAlignment="1">
      <alignment horizontal="right"/>
    </xf>
    <xf numFmtId="167" fontId="32" fillId="0" borderId="63" xfId="0" applyNumberFormat="1" applyFont="1" applyBorder="1" applyAlignment="1">
      <alignment horizontal="right"/>
    </xf>
    <xf numFmtId="167" fontId="32" fillId="0" borderId="86" xfId="0" applyNumberFormat="1" applyFont="1" applyBorder="1" applyAlignment="1">
      <alignment horizontal="right"/>
    </xf>
    <xf numFmtId="167" fontId="32" fillId="0" borderId="79" xfId="0" applyNumberFormat="1" applyFont="1" applyBorder="1" applyAlignment="1">
      <alignment horizontal="right"/>
    </xf>
    <xf numFmtId="168" fontId="12" fillId="0" borderId="0" xfId="0" applyNumberFormat="1" applyFont="1"/>
    <xf numFmtId="0" fontId="51" fillId="0" borderId="34" xfId="0" applyFont="1" applyBorder="1" applyAlignment="1">
      <alignment horizontal="center"/>
    </xf>
    <xf numFmtId="0" fontId="50" fillId="0" borderId="40" xfId="0" applyFont="1" applyBorder="1" applyAlignment="1">
      <alignment wrapText="1" readingOrder="1"/>
    </xf>
    <xf numFmtId="0" fontId="60" fillId="0" borderId="73" xfId="0" applyFont="1" applyBorder="1" applyAlignment="1">
      <alignment horizontal="center"/>
    </xf>
    <xf numFmtId="0" fontId="15" fillId="36" borderId="0" xfId="0" applyFont="1" applyFill="1" applyAlignment="1">
      <alignment horizontal="center" vertical="center"/>
    </xf>
    <xf numFmtId="14" fontId="16" fillId="13" borderId="0" xfId="0" applyNumberFormat="1" applyFont="1" applyFill="1" applyAlignment="1">
      <alignment horizontal="center" vertical="center"/>
    </xf>
    <xf numFmtId="0" fontId="15" fillId="36" borderId="0" xfId="0" applyFont="1" applyFill="1" applyAlignment="1">
      <alignment vertical="center"/>
    </xf>
    <xf numFmtId="0" fontId="0" fillId="36" borderId="0" xfId="0" applyFill="1" applyAlignment="1">
      <alignment vertical="center"/>
    </xf>
    <xf numFmtId="0" fontId="63" fillId="36" borderId="0" xfId="0" applyFont="1" applyFill="1" applyAlignment="1">
      <alignment horizontal="center" vertical="center"/>
    </xf>
    <xf numFmtId="14" fontId="0" fillId="36" borderId="0" xfId="0" applyNumberFormat="1" applyFill="1" applyAlignment="1">
      <alignment horizontal="center" vertical="center"/>
    </xf>
    <xf numFmtId="1" fontId="0" fillId="36" borderId="0" xfId="0" applyNumberFormat="1" applyFill="1" applyAlignment="1">
      <alignment horizontal="center" vertical="center"/>
    </xf>
    <xf numFmtId="9" fontId="0" fillId="36" borderId="0" xfId="0" applyNumberFormat="1" applyFill="1" applyAlignment="1">
      <alignment horizontal="center" vertical="center"/>
    </xf>
    <xf numFmtId="0" fontId="0" fillId="36" borderId="0" xfId="0" applyFill="1" applyAlignment="1">
      <alignment horizontal="center" vertical="center"/>
    </xf>
    <xf numFmtId="14" fontId="16" fillId="36" borderId="0" xfId="0" applyNumberFormat="1" applyFont="1" applyFill="1" applyAlignment="1">
      <alignment horizontal="center" vertical="center"/>
    </xf>
    <xf numFmtId="0" fontId="12" fillId="27" borderId="0" xfId="0" applyFont="1" applyFill="1" applyAlignment="1">
      <alignment horizontal="center"/>
    </xf>
    <xf numFmtId="0" fontId="5" fillId="0" borderId="13" xfId="0" applyFont="1" applyBorder="1" applyAlignment="1">
      <alignment horizontal="center"/>
    </xf>
    <xf numFmtId="0" fontId="5" fillId="0" borderId="12" xfId="0" applyFont="1" applyBorder="1" applyAlignment="1">
      <alignment horizontal="center"/>
    </xf>
    <xf numFmtId="0" fontId="14" fillId="0" borderId="0" xfId="0" applyFont="1" applyAlignment="1">
      <alignment horizontal="center"/>
    </xf>
    <xf numFmtId="0" fontId="5" fillId="0" borderId="19" xfId="0" applyFont="1" applyBorder="1"/>
    <xf numFmtId="0" fontId="5" fillId="0" borderId="174" xfId="0" applyFont="1" applyBorder="1" applyAlignment="1">
      <alignment horizontal="center"/>
    </xf>
    <xf numFmtId="0" fontId="7" fillId="50" borderId="9" xfId="0" applyFont="1" applyFill="1" applyBorder="1"/>
    <xf numFmtId="0" fontId="7" fillId="50" borderId="15" xfId="0" applyFont="1" applyFill="1" applyBorder="1" applyAlignment="1">
      <alignment horizontal="center"/>
    </xf>
    <xf numFmtId="10" fontId="7" fillId="50" borderId="10" xfId="0" applyNumberFormat="1" applyFont="1" applyFill="1" applyBorder="1" applyAlignment="1">
      <alignment horizontal="center"/>
    </xf>
    <xf numFmtId="0" fontId="5" fillId="0" borderId="16" xfId="0" applyFont="1" applyBorder="1" applyAlignment="1">
      <alignment horizontal="center"/>
    </xf>
    <xf numFmtId="3" fontId="5" fillId="0" borderId="12" xfId="0" applyNumberFormat="1" applyFont="1" applyBorder="1" applyAlignment="1">
      <alignment horizontal="center"/>
    </xf>
    <xf numFmtId="3" fontId="5" fillId="0" borderId="13" xfId="0" applyNumberFormat="1" applyFont="1" applyBorder="1" applyAlignment="1">
      <alignment horizontal="center"/>
    </xf>
    <xf numFmtId="3" fontId="5" fillId="0" borderId="11" xfId="0" applyNumberFormat="1" applyFont="1" applyBorder="1" applyAlignment="1">
      <alignment horizontal="center"/>
    </xf>
    <xf numFmtId="0" fontId="7" fillId="3" borderId="0" xfId="0" applyFont="1" applyFill="1"/>
    <xf numFmtId="0" fontId="5" fillId="0" borderId="0" xfId="0" applyFont="1" applyAlignment="1">
      <alignment horizontal="left"/>
    </xf>
    <xf numFmtId="0" fontId="4" fillId="0" borderId="0" xfId="0" applyFont="1" applyAlignment="1">
      <alignment horizontal="left"/>
    </xf>
    <xf numFmtId="0" fontId="7" fillId="0" borderId="0" xfId="0" applyFont="1"/>
    <xf numFmtId="164" fontId="5" fillId="0" borderId="0" xfId="0" applyNumberFormat="1" applyFont="1" applyAlignment="1">
      <alignment horizontal="center"/>
    </xf>
    <xf numFmtId="0" fontId="5" fillId="0" borderId="0" xfId="0" applyFont="1" applyAlignment="1">
      <alignment horizontal="center" vertical="center"/>
    </xf>
    <xf numFmtId="10" fontId="7" fillId="4" borderId="0" xfId="0" applyNumberFormat="1" applyFont="1" applyFill="1" applyAlignment="1">
      <alignment horizontal="center"/>
    </xf>
    <xf numFmtId="10" fontId="7" fillId="4" borderId="10" xfId="0" applyNumberFormat="1" applyFont="1" applyFill="1" applyBorder="1" applyAlignment="1">
      <alignment horizontal="center"/>
    </xf>
    <xf numFmtId="9" fontId="7" fillId="12" borderId="0" xfId="0" applyNumberFormat="1" applyFont="1" applyFill="1" applyAlignment="1">
      <alignment horizontal="center"/>
    </xf>
    <xf numFmtId="9" fontId="7" fillId="12" borderId="10" xfId="0" applyNumberFormat="1" applyFont="1" applyFill="1" applyBorder="1" applyAlignment="1">
      <alignment horizontal="center"/>
    </xf>
    <xf numFmtId="1" fontId="5" fillId="0" borderId="0" xfId="0" applyNumberFormat="1" applyFont="1" applyAlignment="1">
      <alignment horizontal="center"/>
    </xf>
    <xf numFmtId="0" fontId="7" fillId="50" borderId="0" xfId="0" applyFont="1" applyFill="1"/>
    <xf numFmtId="10" fontId="7" fillId="50" borderId="0" xfId="0" applyNumberFormat="1" applyFont="1" applyFill="1" applyAlignment="1">
      <alignment horizontal="center"/>
    </xf>
    <xf numFmtId="10" fontId="5" fillId="4" borderId="0" xfId="0" applyNumberFormat="1" applyFont="1" applyFill="1" applyAlignment="1">
      <alignment horizontal="center"/>
    </xf>
    <xf numFmtId="0" fontId="64" fillId="0" borderId="18" xfId="0" applyFont="1" applyBorder="1"/>
    <xf numFmtId="10" fontId="5" fillId="0" borderId="19" xfId="0" applyNumberFormat="1" applyFont="1" applyBorder="1" applyAlignment="1">
      <alignment horizontal="center"/>
    </xf>
    <xf numFmtId="10" fontId="5" fillId="0" borderId="20" xfId="0" applyNumberFormat="1" applyFont="1" applyBorder="1" applyAlignment="1">
      <alignment horizontal="center"/>
    </xf>
    <xf numFmtId="10" fontId="5" fillId="4" borderId="19" xfId="0" applyNumberFormat="1" applyFont="1" applyFill="1" applyBorder="1" applyAlignment="1">
      <alignment horizontal="center"/>
    </xf>
    <xf numFmtId="10" fontId="5" fillId="4" borderId="20" xfId="0" applyNumberFormat="1" applyFont="1" applyFill="1" applyBorder="1" applyAlignment="1">
      <alignment horizontal="center"/>
    </xf>
    <xf numFmtId="164" fontId="5" fillId="28" borderId="0" xfId="0" applyNumberFormat="1" applyFont="1" applyFill="1" applyAlignment="1">
      <alignment horizontal="center"/>
    </xf>
    <xf numFmtId="164" fontId="10" fillId="28" borderId="0" xfId="0" applyNumberFormat="1" applyFont="1" applyFill="1" applyAlignment="1">
      <alignment horizontal="center"/>
    </xf>
    <xf numFmtId="0" fontId="7" fillId="50" borderId="89" xfId="0" applyFont="1" applyFill="1" applyBorder="1"/>
    <xf numFmtId="0" fontId="7" fillId="50" borderId="37" xfId="0" applyFont="1" applyFill="1" applyBorder="1"/>
    <xf numFmtId="0" fontId="7" fillId="50" borderId="173" xfId="0" applyFont="1" applyFill="1" applyBorder="1" applyAlignment="1">
      <alignment horizontal="center"/>
    </xf>
    <xf numFmtId="0" fontId="7" fillId="45" borderId="9" xfId="0" applyFont="1" applyFill="1" applyBorder="1"/>
    <xf numFmtId="0" fontId="7" fillId="45" borderId="0" xfId="0" applyFont="1" applyFill="1"/>
    <xf numFmtId="0" fontId="7" fillId="45" borderId="15" xfId="0" applyFont="1" applyFill="1" applyBorder="1" applyAlignment="1">
      <alignment horizontal="center"/>
    </xf>
    <xf numFmtId="0" fontId="7" fillId="45" borderId="0" xfId="0" applyFont="1" applyFill="1" applyAlignment="1">
      <alignment horizontal="center"/>
    </xf>
    <xf numFmtId="0" fontId="7" fillId="45" borderId="10" xfId="0" applyFont="1" applyFill="1" applyBorder="1" applyAlignment="1">
      <alignment horizontal="center"/>
    </xf>
    <xf numFmtId="10" fontId="7" fillId="45" borderId="0" xfId="0" applyNumberFormat="1" applyFont="1" applyFill="1" applyAlignment="1">
      <alignment horizontal="center"/>
    </xf>
    <xf numFmtId="10" fontId="7" fillId="45" borderId="10" xfId="0" applyNumberFormat="1" applyFont="1" applyFill="1" applyBorder="1" applyAlignment="1">
      <alignment horizontal="center"/>
    </xf>
    <xf numFmtId="10" fontId="7" fillId="45" borderId="9" xfId="0" applyNumberFormat="1" applyFont="1" applyFill="1" applyBorder="1" applyAlignment="1">
      <alignment horizontal="center"/>
    </xf>
    <xf numFmtId="9" fontId="7" fillId="45" borderId="0" xfId="0" applyNumberFormat="1" applyFont="1" applyFill="1" applyAlignment="1">
      <alignment horizontal="center"/>
    </xf>
    <xf numFmtId="9" fontId="7" fillId="45" borderId="10" xfId="0" applyNumberFormat="1" applyFont="1" applyFill="1" applyBorder="1" applyAlignment="1">
      <alignment horizontal="center"/>
    </xf>
    <xf numFmtId="9" fontId="7" fillId="45" borderId="9" xfId="0" applyNumberFormat="1" applyFont="1" applyFill="1" applyBorder="1" applyAlignment="1">
      <alignment horizontal="center"/>
    </xf>
    <xf numFmtId="165" fontId="7" fillId="45" borderId="9" xfId="0" applyNumberFormat="1" applyFont="1" applyFill="1" applyBorder="1" applyAlignment="1">
      <alignment horizontal="center" vertical="center"/>
    </xf>
    <xf numFmtId="165" fontId="7" fillId="45" borderId="0" xfId="0" applyNumberFormat="1" applyFont="1" applyFill="1" applyAlignment="1">
      <alignment horizontal="center" vertical="center"/>
    </xf>
    <xf numFmtId="165" fontId="7" fillId="45" borderId="10" xfId="0" applyNumberFormat="1" applyFont="1" applyFill="1" applyBorder="1" applyAlignment="1">
      <alignment horizontal="center" vertical="center"/>
    </xf>
    <xf numFmtId="164" fontId="5" fillId="45" borderId="0" xfId="0" applyNumberFormat="1" applyFont="1" applyFill="1" applyAlignment="1">
      <alignment horizontal="center"/>
    </xf>
    <xf numFmtId="164" fontId="5" fillId="45" borderId="10" xfId="0" applyNumberFormat="1" applyFont="1" applyFill="1" applyBorder="1" applyAlignment="1">
      <alignment horizontal="center"/>
    </xf>
    <xf numFmtId="0" fontId="5" fillId="45" borderId="0" xfId="0" applyFont="1" applyFill="1" applyAlignment="1">
      <alignment horizontal="center"/>
    </xf>
    <xf numFmtId="0" fontId="5" fillId="45" borderId="10" xfId="0" applyFont="1" applyFill="1" applyBorder="1" applyAlignment="1">
      <alignment horizontal="center"/>
    </xf>
    <xf numFmtId="164" fontId="10" fillId="45" borderId="0" xfId="0" applyNumberFormat="1" applyFont="1" applyFill="1" applyAlignment="1">
      <alignment horizontal="center"/>
    </xf>
    <xf numFmtId="164" fontId="10" fillId="45" borderId="10" xfId="0" applyNumberFormat="1" applyFont="1" applyFill="1" applyBorder="1" applyAlignment="1">
      <alignment horizontal="center"/>
    </xf>
    <xf numFmtId="164" fontId="5" fillId="45" borderId="9" xfId="0" applyNumberFormat="1" applyFont="1" applyFill="1" applyBorder="1" applyAlignment="1">
      <alignment horizontal="center"/>
    </xf>
    <xf numFmtId="0" fontId="7" fillId="45" borderId="11" xfId="0" applyFont="1" applyFill="1" applyBorder="1"/>
    <xf numFmtId="0" fontId="7" fillId="45" borderId="12" xfId="0" applyFont="1" applyFill="1" applyBorder="1"/>
    <xf numFmtId="0" fontId="7" fillId="45" borderId="16" xfId="0" applyFont="1" applyFill="1" applyBorder="1" applyAlignment="1">
      <alignment horizontal="center"/>
    </xf>
    <xf numFmtId="0" fontId="7" fillId="45" borderId="12" xfId="0" applyFont="1" applyFill="1" applyBorder="1" applyAlignment="1">
      <alignment horizontal="center"/>
    </xf>
    <xf numFmtId="0" fontId="7" fillId="45" borderId="13" xfId="0" applyFont="1" applyFill="1" applyBorder="1" applyAlignment="1">
      <alignment horizontal="center"/>
    </xf>
    <xf numFmtId="0" fontId="7" fillId="45" borderId="11" xfId="0" applyFont="1" applyFill="1" applyBorder="1" applyAlignment="1">
      <alignment horizontal="center"/>
    </xf>
    <xf numFmtId="0" fontId="7" fillId="51" borderId="9" xfId="0" applyFont="1" applyFill="1" applyBorder="1"/>
    <xf numFmtId="0" fontId="7" fillId="51" borderId="0" xfId="0" applyFont="1" applyFill="1"/>
    <xf numFmtId="0" fontId="7" fillId="51" borderId="9" xfId="0" applyFont="1" applyFill="1" applyBorder="1" applyAlignment="1">
      <alignment horizontal="center"/>
    </xf>
    <xf numFmtId="0" fontId="7" fillId="51" borderId="0" xfId="0" applyFont="1" applyFill="1" applyAlignment="1">
      <alignment horizontal="center"/>
    </xf>
    <xf numFmtId="0" fontId="5" fillId="4" borderId="6" xfId="0" applyFont="1" applyFill="1" applyBorder="1"/>
    <xf numFmtId="0" fontId="5" fillId="4" borderId="7" xfId="0" applyFont="1" applyFill="1" applyBorder="1"/>
    <xf numFmtId="0" fontId="5" fillId="0" borderId="7" xfId="0" applyFont="1" applyBorder="1"/>
    <xf numFmtId="0" fontId="5" fillId="0" borderId="175" xfId="0" applyFont="1" applyBorder="1" applyAlignment="1">
      <alignment horizontal="center"/>
    </xf>
    <xf numFmtId="0" fontId="5" fillId="4" borderId="11" xfId="0" applyFont="1" applyFill="1" applyBorder="1"/>
    <xf numFmtId="0" fontId="5" fillId="4" borderId="12" xfId="0" applyFont="1" applyFill="1" applyBorder="1"/>
    <xf numFmtId="164" fontId="5" fillId="0" borderId="12" xfId="0" applyNumberFormat="1" applyFont="1" applyBorder="1" applyAlignment="1">
      <alignment horizontal="center"/>
    </xf>
    <xf numFmtId="164" fontId="5" fillId="0" borderId="13" xfId="0" applyNumberFormat="1" applyFont="1" applyBorder="1" applyAlignment="1">
      <alignment horizontal="center"/>
    </xf>
    <xf numFmtId="164" fontId="5" fillId="28" borderId="12" xfId="0" applyNumberFormat="1" applyFont="1" applyFill="1" applyBorder="1" applyAlignment="1">
      <alignment horizontal="center"/>
    </xf>
    <xf numFmtId="164" fontId="5" fillId="28" borderId="13" xfId="0" applyNumberFormat="1" applyFont="1" applyFill="1" applyBorder="1" applyAlignment="1">
      <alignment horizontal="center"/>
    </xf>
    <xf numFmtId="164" fontId="10" fillId="28" borderId="12" xfId="0" applyNumberFormat="1" applyFont="1" applyFill="1" applyBorder="1" applyAlignment="1">
      <alignment horizontal="center"/>
    </xf>
    <xf numFmtId="164" fontId="10" fillId="28" borderId="13" xfId="0" applyNumberFormat="1" applyFont="1" applyFill="1" applyBorder="1" applyAlignment="1">
      <alignment horizontal="center"/>
    </xf>
    <xf numFmtId="164" fontId="5" fillId="0" borderId="11" xfId="0" applyNumberFormat="1" applyFont="1" applyBorder="1" applyAlignment="1">
      <alignment horizontal="center"/>
    </xf>
    <xf numFmtId="164" fontId="5" fillId="0" borderId="177" xfId="0" applyNumberFormat="1" applyFont="1" applyBorder="1" applyAlignment="1">
      <alignment horizontal="center"/>
    </xf>
    <xf numFmtId="9" fontId="7" fillId="12" borderId="9" xfId="0" applyNumberFormat="1" applyFont="1" applyFill="1" applyBorder="1" applyAlignment="1">
      <alignment horizontal="center"/>
    </xf>
    <xf numFmtId="3" fontId="5" fillId="0" borderId="0" xfId="0" applyNumberFormat="1" applyFont="1" applyAlignment="1">
      <alignment horizontal="center" vertical="center"/>
    </xf>
    <xf numFmtId="0" fontId="5" fillId="0" borderId="11" xfId="0" applyFont="1" applyBorder="1" applyAlignment="1">
      <alignment horizontal="left" vertical="center"/>
    </xf>
    <xf numFmtId="0" fontId="5" fillId="0" borderId="12" xfId="0" applyFont="1" applyBorder="1" applyAlignment="1">
      <alignment horizontal="center" vertical="center"/>
    </xf>
    <xf numFmtId="3" fontId="5" fillId="0" borderId="12" xfId="0" applyNumberFormat="1" applyFont="1" applyBorder="1" applyAlignment="1">
      <alignment horizontal="center" vertical="center"/>
    </xf>
    <xf numFmtId="3" fontId="5" fillId="0" borderId="13" xfId="0" applyNumberFormat="1" applyFont="1" applyBorder="1" applyAlignment="1">
      <alignment horizontal="center" vertical="center"/>
    </xf>
    <xf numFmtId="3" fontId="10" fillId="0" borderId="0" xfId="0" applyNumberFormat="1" applyFont="1" applyAlignment="1">
      <alignment horizontal="center"/>
    </xf>
    <xf numFmtId="2" fontId="5" fillId="0" borderId="12" xfId="0" applyNumberFormat="1" applyFont="1" applyBorder="1" applyAlignment="1">
      <alignment horizontal="center"/>
    </xf>
    <xf numFmtId="2" fontId="5" fillId="0" borderId="13" xfId="0" applyNumberFormat="1" applyFont="1" applyBorder="1" applyAlignment="1">
      <alignment horizontal="center"/>
    </xf>
    <xf numFmtId="164" fontId="5" fillId="0" borderId="9" xfId="0" applyNumberFormat="1" applyFont="1" applyBorder="1" applyAlignment="1">
      <alignment horizontal="center"/>
    </xf>
    <xf numFmtId="164" fontId="5" fillId="0" borderId="0" xfId="0" applyNumberFormat="1" applyFont="1" applyAlignment="1">
      <alignment horizontal="center"/>
    </xf>
    <xf numFmtId="164" fontId="5" fillId="0" borderId="10" xfId="0" applyNumberFormat="1" applyFont="1" applyBorder="1" applyAlignment="1">
      <alignment horizontal="center"/>
    </xf>
    <xf numFmtId="1" fontId="7" fillId="51" borderId="9" xfId="0" applyNumberFormat="1" applyFont="1" applyFill="1" applyBorder="1" applyAlignment="1">
      <alignment horizontal="center"/>
    </xf>
    <xf numFmtId="0" fontId="7" fillId="51" borderId="0" xfId="0" applyFont="1" applyFill="1" applyAlignment="1">
      <alignment horizontal="center"/>
    </xf>
    <xf numFmtId="9" fontId="5" fillId="0" borderId="9" xfId="0" applyNumberFormat="1" applyFont="1" applyBorder="1" applyAlignment="1">
      <alignment horizontal="center"/>
    </xf>
    <xf numFmtId="9" fontId="5" fillId="0" borderId="0" xfId="0" applyNumberFormat="1" applyFont="1" applyAlignment="1">
      <alignment horizontal="center"/>
    </xf>
    <xf numFmtId="9" fontId="5" fillId="0" borderId="10" xfId="0" applyNumberFormat="1" applyFont="1" applyBorder="1" applyAlignment="1">
      <alignment horizontal="center"/>
    </xf>
    <xf numFmtId="1" fontId="7" fillId="45" borderId="9" xfId="0" applyNumberFormat="1" applyFont="1" applyFill="1" applyBorder="1" applyAlignment="1">
      <alignment horizontal="center" vertical="center"/>
    </xf>
    <xf numFmtId="1" fontId="7" fillId="45" borderId="0" xfId="0" applyNumberFormat="1" applyFont="1" applyFill="1" applyAlignment="1">
      <alignment horizontal="center" vertical="center"/>
    </xf>
    <xf numFmtId="1" fontId="7" fillId="45" borderId="10" xfId="0" applyNumberFormat="1" applyFont="1" applyFill="1" applyBorder="1" applyAlignment="1">
      <alignment horizontal="center" vertical="center"/>
    </xf>
    <xf numFmtId="0" fontId="5" fillId="0" borderId="0" xfId="0" applyFont="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9" fillId="3" borderId="0" xfId="0" applyFont="1" applyFill="1" applyAlignment="1">
      <alignment horizontal="center"/>
    </xf>
    <xf numFmtId="0" fontId="9" fillId="3" borderId="10" xfId="0" applyFont="1" applyFill="1" applyBorder="1" applyAlignment="1">
      <alignment horizontal="center"/>
    </xf>
    <xf numFmtId="0" fontId="9" fillId="3" borderId="9" xfId="0" applyFont="1" applyFill="1" applyBorder="1" applyAlignment="1">
      <alignment horizontal="center"/>
    </xf>
    <xf numFmtId="1" fontId="5" fillId="0" borderId="9" xfId="0" applyNumberFormat="1" applyFont="1" applyBorder="1" applyAlignment="1">
      <alignment horizontal="center"/>
    </xf>
    <xf numFmtId="1" fontId="5" fillId="0" borderId="0" xfId="0" applyNumberFormat="1" applyFont="1" applyAlignment="1">
      <alignment horizontal="center"/>
    </xf>
    <xf numFmtId="1" fontId="5" fillId="0" borderId="10" xfId="0" applyNumberFormat="1" applyFont="1" applyBorder="1" applyAlignment="1">
      <alignment horizontal="center"/>
    </xf>
    <xf numFmtId="0" fontId="7" fillId="45" borderId="12" xfId="0" applyFont="1" applyFill="1" applyBorder="1" applyAlignment="1">
      <alignment horizontal="center"/>
    </xf>
    <xf numFmtId="0" fontId="7" fillId="45" borderId="13" xfId="0" applyFont="1" applyFill="1" applyBorder="1" applyAlignment="1">
      <alignment horizontal="center"/>
    </xf>
    <xf numFmtId="0" fontId="5" fillId="0" borderId="151" xfId="0" applyFont="1" applyBorder="1" applyAlignment="1">
      <alignment horizontal="center"/>
    </xf>
    <xf numFmtId="0" fontId="5" fillId="0" borderId="152"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168" fontId="14" fillId="0" borderId="11" xfId="0" applyNumberFormat="1" applyFont="1" applyBorder="1" applyAlignment="1">
      <alignment horizontal="center" vertical="center"/>
    </xf>
    <xf numFmtId="168" fontId="14" fillId="0" borderId="12" xfId="0" applyNumberFormat="1" applyFont="1" applyBorder="1" applyAlignment="1">
      <alignment horizontal="center" vertical="center"/>
    </xf>
    <xf numFmtId="168" fontId="14" fillId="0" borderId="13" xfId="0" applyNumberFormat="1" applyFont="1" applyBorder="1" applyAlignment="1">
      <alignment horizontal="center" vertical="center"/>
    </xf>
    <xf numFmtId="3" fontId="5" fillId="0" borderId="0" xfId="0" applyNumberFormat="1" applyFont="1" applyAlignment="1">
      <alignment horizontal="center" vertical="center"/>
    </xf>
    <xf numFmtId="3" fontId="5" fillId="0" borderId="9" xfId="0" applyNumberFormat="1" applyFont="1" applyBorder="1" applyAlignment="1">
      <alignment horizontal="center"/>
    </xf>
    <xf numFmtId="3" fontId="5" fillId="0" borderId="0" xfId="0" applyNumberFormat="1" applyFont="1" applyAlignment="1">
      <alignment horizontal="center"/>
    </xf>
    <xf numFmtId="3" fontId="5" fillId="0" borderId="11" xfId="0" applyNumberFormat="1" applyFont="1" applyBorder="1" applyAlignment="1">
      <alignment horizontal="center"/>
    </xf>
    <xf numFmtId="3" fontId="5" fillId="0" borderId="12" xfId="0" applyNumberFormat="1" applyFont="1" applyBorder="1" applyAlignment="1">
      <alignment horizontal="center"/>
    </xf>
    <xf numFmtId="2" fontId="5" fillId="0" borderId="0" xfId="0" applyNumberFormat="1" applyFont="1" applyAlignment="1">
      <alignment horizontal="center"/>
    </xf>
    <xf numFmtId="3" fontId="5" fillId="0" borderId="151" xfId="0" applyNumberFormat="1" applyFont="1" applyBorder="1" applyAlignment="1">
      <alignment horizontal="center"/>
    </xf>
    <xf numFmtId="2" fontId="5" fillId="0" borderId="152" xfId="0" applyNumberFormat="1" applyFont="1" applyBorder="1" applyAlignment="1">
      <alignment horizontal="center"/>
    </xf>
    <xf numFmtId="3" fontId="5" fillId="0" borderId="169" xfId="0" applyNumberFormat="1" applyFont="1" applyBorder="1" applyAlignment="1">
      <alignment horizontal="center"/>
    </xf>
    <xf numFmtId="3" fontId="5" fillId="0" borderId="170" xfId="0" applyNumberFormat="1" applyFont="1" applyBorder="1" applyAlignment="1">
      <alignment horizontal="center"/>
    </xf>
    <xf numFmtId="9" fontId="7" fillId="50" borderId="9" xfId="0" applyNumberFormat="1" applyFont="1" applyFill="1" applyBorder="1" applyAlignment="1">
      <alignment horizontal="center"/>
    </xf>
    <xf numFmtId="9" fontId="7" fillId="50" borderId="0" xfId="0" applyNumberFormat="1" applyFont="1" applyFill="1" applyAlignment="1">
      <alignment horizontal="center"/>
    </xf>
    <xf numFmtId="164" fontId="5" fillId="0" borderId="6" xfId="0" applyNumberFormat="1" applyFont="1" applyBorder="1" applyAlignment="1">
      <alignment horizontal="center"/>
    </xf>
    <xf numFmtId="164" fontId="5" fillId="0" borderId="7" xfId="0" applyNumberFormat="1" applyFont="1" applyBorder="1" applyAlignment="1">
      <alignment horizontal="center"/>
    </xf>
    <xf numFmtId="9" fontId="5" fillId="50" borderId="89" xfId="0" applyNumberFormat="1" applyFont="1" applyFill="1" applyBorder="1" applyAlignment="1">
      <alignment horizontal="center"/>
    </xf>
    <xf numFmtId="9" fontId="5" fillId="50" borderId="37" xfId="0" applyNumberFormat="1" applyFont="1" applyFill="1" applyBorder="1" applyAlignment="1">
      <alignment horizontal="center"/>
    </xf>
    <xf numFmtId="9" fontId="5" fillId="0" borderId="18" xfId="0" applyNumberFormat="1" applyFont="1" applyBorder="1" applyAlignment="1">
      <alignment horizontal="center"/>
    </xf>
    <xf numFmtId="9" fontId="5" fillId="0" borderId="19" xfId="0" applyNumberFormat="1" applyFont="1" applyBorder="1" applyAlignment="1">
      <alignment horizontal="center"/>
    </xf>
    <xf numFmtId="0" fontId="5" fillId="0" borderId="7" xfId="0" applyFont="1" applyBorder="1" applyAlignment="1">
      <alignment horizontal="center"/>
    </xf>
    <xf numFmtId="165" fontId="5" fillId="0" borderId="0" xfId="0" applyNumberFormat="1" applyFont="1" applyAlignment="1">
      <alignment horizontal="center"/>
    </xf>
    <xf numFmtId="165" fontId="5" fillId="0" borderId="10" xfId="0" applyNumberFormat="1" applyFont="1" applyBorder="1" applyAlignment="1">
      <alignment horizontal="center"/>
    </xf>
    <xf numFmtId="165" fontId="5" fillId="0" borderId="12" xfId="0" applyNumberFormat="1" applyFont="1" applyBorder="1" applyAlignment="1">
      <alignment horizontal="center"/>
    </xf>
    <xf numFmtId="165" fontId="5" fillId="0" borderId="13" xfId="0" applyNumberFormat="1"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14" fontId="3" fillId="3" borderId="5" xfId="0" applyNumberFormat="1" applyFont="1" applyFill="1" applyBorder="1" applyAlignment="1">
      <alignment horizontal="center" vertical="center"/>
    </xf>
    <xf numFmtId="0" fontId="3" fillId="3" borderId="5" xfId="0" applyFont="1" applyFill="1" applyBorder="1" applyAlignment="1">
      <alignment horizontal="center" vertical="center"/>
    </xf>
    <xf numFmtId="0" fontId="48" fillId="2" borderId="87" xfId="0" applyFont="1" applyFill="1" applyBorder="1" applyAlignment="1">
      <alignment horizontal="center"/>
    </xf>
    <xf numFmtId="0" fontId="48" fillId="2" borderId="12" xfId="0" applyFont="1" applyFill="1" applyBorder="1" applyAlignment="1">
      <alignment horizontal="center"/>
    </xf>
    <xf numFmtId="0" fontId="48" fillId="2" borderId="88" xfId="0" applyFont="1" applyFill="1" applyBorder="1" applyAlignment="1">
      <alignment horizontal="center"/>
    </xf>
    <xf numFmtId="3" fontId="7" fillId="0" borderId="7" xfId="0" applyNumberFormat="1" applyFont="1" applyBorder="1" applyAlignment="1">
      <alignment horizontal="center"/>
    </xf>
    <xf numFmtId="3" fontId="7" fillId="0" borderId="8" xfId="0" applyNumberFormat="1" applyFont="1" applyBorder="1" applyAlignment="1">
      <alignment horizontal="center"/>
    </xf>
    <xf numFmtId="3" fontId="5" fillId="0" borderId="10" xfId="0" applyNumberFormat="1" applyFont="1" applyBorder="1" applyAlignment="1">
      <alignment horizontal="center"/>
    </xf>
    <xf numFmtId="0" fontId="5" fillId="0" borderId="13" xfId="0" applyFont="1" applyBorder="1" applyAlignment="1">
      <alignment horizontal="center"/>
    </xf>
    <xf numFmtId="168" fontId="14" fillId="0" borderId="104" xfId="0" applyNumberFormat="1" applyFont="1" applyBorder="1" applyAlignment="1">
      <alignment horizontal="center" vertical="center"/>
    </xf>
    <xf numFmtId="168" fontId="14" fillId="0" borderId="105" xfId="0" applyNumberFormat="1" applyFont="1" applyBorder="1" applyAlignment="1">
      <alignment horizontal="center" vertical="center"/>
    </xf>
    <xf numFmtId="168" fontId="14" fillId="0" borderId="106" xfId="0" applyNumberFormat="1" applyFont="1" applyBorder="1" applyAlignment="1">
      <alignment horizontal="center" vertical="center"/>
    </xf>
    <xf numFmtId="3" fontId="5" fillId="0" borderId="13" xfId="0" applyNumberFormat="1" applyFont="1" applyBorder="1" applyAlignment="1">
      <alignment horizontal="center"/>
    </xf>
    <xf numFmtId="20" fontId="5" fillId="0" borderId="6" xfId="0" applyNumberFormat="1" applyFont="1" applyBorder="1" applyAlignment="1">
      <alignment horizontal="center"/>
    </xf>
    <xf numFmtId="0" fontId="5" fillId="24" borderId="0" xfId="0" applyFont="1" applyFill="1" applyAlignment="1">
      <alignment horizontal="center"/>
    </xf>
    <xf numFmtId="0" fontId="5" fillId="24" borderId="10" xfId="0" applyFont="1" applyFill="1" applyBorder="1" applyAlignment="1">
      <alignment horizontal="center"/>
    </xf>
    <xf numFmtId="165" fontId="5" fillId="0" borderId="9" xfId="0" applyNumberFormat="1" applyFont="1" applyBorder="1" applyAlignment="1">
      <alignment horizontal="center"/>
    </xf>
    <xf numFmtId="0" fontId="48" fillId="2" borderId="4" xfId="0" applyFont="1" applyFill="1" applyBorder="1" applyAlignment="1">
      <alignment horizontal="center"/>
    </xf>
    <xf numFmtId="0" fontId="48" fillId="2" borderId="0" xfId="0" applyFont="1" applyFill="1" applyAlignment="1">
      <alignment horizontal="center"/>
    </xf>
    <xf numFmtId="0" fontId="48" fillId="2" borderId="3" xfId="0" applyFont="1" applyFill="1" applyBorder="1" applyAlignment="1">
      <alignment horizontal="center"/>
    </xf>
    <xf numFmtId="0" fontId="5" fillId="0" borderId="154" xfId="0" applyFont="1" applyBorder="1" applyAlignment="1">
      <alignment horizontal="center"/>
    </xf>
    <xf numFmtId="165" fontId="5" fillId="0" borderId="11" xfId="0" applyNumberFormat="1" applyFont="1" applyBorder="1" applyAlignment="1">
      <alignment horizontal="center"/>
    </xf>
    <xf numFmtId="0" fontId="5" fillId="0" borderId="8" xfId="0" applyFont="1" applyBorder="1" applyAlignment="1">
      <alignment horizontal="center"/>
    </xf>
    <xf numFmtId="3" fontId="5" fillId="0" borderId="10" xfId="0" applyNumberFormat="1" applyFont="1" applyBorder="1" applyAlignment="1">
      <alignment horizontal="center" vertical="center"/>
    </xf>
    <xf numFmtId="2" fontId="5" fillId="0" borderId="10" xfId="0" applyNumberFormat="1" applyFont="1" applyBorder="1" applyAlignment="1">
      <alignment horizontal="center"/>
    </xf>
    <xf numFmtId="2" fontId="5" fillId="0" borderId="154" xfId="0" applyNumberFormat="1" applyFont="1" applyBorder="1" applyAlignment="1">
      <alignment horizontal="center"/>
    </xf>
    <xf numFmtId="3" fontId="5" fillId="0" borderId="171" xfId="0" applyNumberFormat="1" applyFont="1" applyBorder="1" applyAlignment="1">
      <alignment horizontal="center"/>
    </xf>
    <xf numFmtId="9" fontId="5" fillId="0" borderId="9" xfId="2" applyFont="1" applyFill="1" applyBorder="1" applyAlignment="1">
      <alignment horizontal="center"/>
    </xf>
    <xf numFmtId="9" fontId="5" fillId="0" borderId="0" xfId="2" applyFont="1" applyFill="1" applyBorder="1" applyAlignment="1">
      <alignment horizontal="center"/>
    </xf>
    <xf numFmtId="9" fontId="7" fillId="50" borderId="10" xfId="0" applyNumberFormat="1" applyFont="1" applyFill="1" applyBorder="1" applyAlignment="1">
      <alignment horizontal="center"/>
    </xf>
    <xf numFmtId="164" fontId="5" fillId="0" borderId="8" xfId="0" applyNumberFormat="1" applyFont="1" applyBorder="1" applyAlignment="1">
      <alignment horizontal="center"/>
    </xf>
    <xf numFmtId="164" fontId="5" fillId="0" borderId="11" xfId="0" applyNumberFormat="1" applyFont="1" applyBorder="1" applyAlignment="1">
      <alignment horizontal="center"/>
    </xf>
    <xf numFmtId="164" fontId="5" fillId="0" borderId="12" xfId="0" applyNumberFormat="1" applyFont="1" applyBorder="1" applyAlignment="1">
      <alignment horizontal="center"/>
    </xf>
    <xf numFmtId="164" fontId="5" fillId="0" borderId="13" xfId="0" applyNumberFormat="1" applyFont="1" applyBorder="1" applyAlignment="1">
      <alignment horizontal="center"/>
    </xf>
    <xf numFmtId="9" fontId="5" fillId="50" borderId="38" xfId="0" applyNumberFormat="1" applyFont="1" applyFill="1" applyBorder="1" applyAlignment="1">
      <alignment horizontal="center"/>
    </xf>
    <xf numFmtId="9" fontId="5" fillId="0" borderId="20" xfId="0" applyNumberFormat="1" applyFont="1" applyBorder="1" applyAlignment="1">
      <alignment horizontal="center"/>
    </xf>
    <xf numFmtId="3" fontId="5" fillId="0" borderId="152" xfId="0" applyNumberFormat="1" applyFont="1" applyBorder="1" applyAlignment="1">
      <alignment horizontal="center"/>
    </xf>
    <xf numFmtId="0" fontId="5" fillId="0" borderId="89" xfId="0" applyFont="1" applyBorder="1" applyAlignment="1">
      <alignment horizontal="center"/>
    </xf>
    <xf numFmtId="0" fontId="5" fillId="0" borderId="37" xfId="0" applyFont="1" applyBorder="1" applyAlignment="1">
      <alignment horizontal="center"/>
    </xf>
    <xf numFmtId="0" fontId="5" fillId="0" borderId="38" xfId="0" applyFont="1" applyBorder="1" applyAlignment="1">
      <alignment horizontal="center"/>
    </xf>
    <xf numFmtId="0" fontId="7" fillId="0" borderId="6" xfId="0" applyFont="1" applyBorder="1" applyAlignment="1">
      <alignment horizontal="center"/>
    </xf>
    <xf numFmtId="0" fontId="7" fillId="45" borderId="11" xfId="0" applyFont="1" applyFill="1" applyBorder="1" applyAlignment="1">
      <alignment horizontal="center"/>
    </xf>
    <xf numFmtId="0" fontId="48" fillId="2" borderId="11" xfId="0" applyFont="1" applyFill="1" applyBorder="1" applyAlignment="1">
      <alignment horizontal="center"/>
    </xf>
    <xf numFmtId="3" fontId="7" fillId="0" borderId="6" xfId="0" applyNumberFormat="1" applyFont="1" applyBorder="1" applyAlignment="1">
      <alignment horizontal="center"/>
    </xf>
    <xf numFmtId="10" fontId="7" fillId="50" borderId="9" xfId="0" applyNumberFormat="1" applyFont="1" applyFill="1" applyBorder="1" applyAlignment="1">
      <alignment horizontal="center"/>
    </xf>
    <xf numFmtId="10" fontId="7" fillId="50" borderId="0" xfId="0" applyNumberFormat="1" applyFont="1" applyFill="1" applyAlignment="1">
      <alignment horizontal="center"/>
    </xf>
    <xf numFmtId="10" fontId="7" fillId="50" borderId="10" xfId="0" applyNumberFormat="1" applyFont="1" applyFill="1" applyBorder="1" applyAlignment="1">
      <alignment horizontal="center"/>
    </xf>
    <xf numFmtId="10" fontId="7" fillId="50" borderId="37" xfId="0" applyNumberFormat="1" applyFont="1" applyFill="1" applyBorder="1" applyAlignment="1">
      <alignment horizontal="center"/>
    </xf>
    <xf numFmtId="10" fontId="7" fillId="50" borderId="38" xfId="0" applyNumberFormat="1" applyFont="1" applyFill="1" applyBorder="1" applyAlignment="1">
      <alignment horizontal="center"/>
    </xf>
    <xf numFmtId="9" fontId="7" fillId="50" borderId="37" xfId="0" applyNumberFormat="1" applyFont="1" applyFill="1" applyBorder="1" applyAlignment="1">
      <alignment horizontal="center"/>
    </xf>
    <xf numFmtId="9" fontId="7" fillId="50" borderId="38" xfId="0" applyNumberFormat="1" applyFont="1" applyFill="1" applyBorder="1" applyAlignment="1">
      <alignment horizontal="center"/>
    </xf>
    <xf numFmtId="0" fontId="14" fillId="0" borderId="104" xfId="0" applyFont="1" applyBorder="1" applyAlignment="1">
      <alignment horizontal="center" vertical="center"/>
    </xf>
    <xf numFmtId="0" fontId="14" fillId="0" borderId="105" xfId="0" applyFont="1" applyBorder="1" applyAlignment="1">
      <alignment horizontal="center" vertical="center"/>
    </xf>
    <xf numFmtId="0" fontId="14" fillId="0" borderId="106" xfId="0" applyFont="1" applyBorder="1" applyAlignment="1">
      <alignment horizontal="center" vertical="center"/>
    </xf>
    <xf numFmtId="3" fontId="5" fillId="0" borderId="7" xfId="0" applyNumberFormat="1" applyFont="1" applyBorder="1" applyAlignment="1">
      <alignment horizontal="center"/>
    </xf>
    <xf numFmtId="3" fontId="5" fillId="0" borderId="8" xfId="0" applyNumberFormat="1" applyFont="1" applyBorder="1" applyAlignment="1">
      <alignment horizontal="center"/>
    </xf>
    <xf numFmtId="0" fontId="5" fillId="12" borderId="151" xfId="0" applyFont="1" applyFill="1" applyBorder="1" applyAlignment="1">
      <alignment horizontal="center"/>
    </xf>
    <xf numFmtId="0" fontId="5" fillId="12" borderId="152" xfId="0" applyFont="1" applyFill="1" applyBorder="1" applyAlignment="1">
      <alignment horizontal="center"/>
    </xf>
    <xf numFmtId="0" fontId="5" fillId="12" borderId="154" xfId="0" applyFont="1" applyFill="1" applyBorder="1" applyAlignment="1">
      <alignment horizontal="center"/>
    </xf>
    <xf numFmtId="0" fontId="5" fillId="0" borderId="9" xfId="0" applyFont="1" applyBorder="1" applyAlignment="1">
      <alignment horizontal="center" vertical="center"/>
    </xf>
    <xf numFmtId="0" fontId="5" fillId="0" borderId="0" xfId="0" applyFont="1" applyAlignment="1">
      <alignment horizontal="center" vertical="center"/>
    </xf>
    <xf numFmtId="0" fontId="5" fillId="0" borderId="10" xfId="0" applyFont="1" applyBorder="1" applyAlignment="1">
      <alignment horizontal="center" vertical="center"/>
    </xf>
    <xf numFmtId="0" fontId="14" fillId="0" borderId="0" xfId="0" applyFont="1" applyAlignment="1">
      <alignment horizontal="center"/>
    </xf>
    <xf numFmtId="0" fontId="14" fillId="0" borderId="10" xfId="0" applyFont="1" applyBorder="1" applyAlignment="1">
      <alignment horizontal="center"/>
    </xf>
    <xf numFmtId="0" fontId="5" fillId="0" borderId="11" xfId="0" applyFont="1" applyBorder="1" applyAlignment="1">
      <alignment horizontal="left"/>
    </xf>
    <xf numFmtId="0" fontId="5" fillId="0" borderId="12" xfId="0" applyFont="1" applyBorder="1" applyAlignment="1">
      <alignment horizontal="left"/>
    </xf>
    <xf numFmtId="0" fontId="5" fillId="0" borderId="13" xfId="0" applyFont="1" applyBorder="1" applyAlignment="1">
      <alignment horizontal="left"/>
    </xf>
    <xf numFmtId="0" fontId="5" fillId="29" borderId="151" xfId="0" applyFont="1" applyFill="1" applyBorder="1" applyAlignment="1">
      <alignment horizontal="center"/>
    </xf>
    <xf numFmtId="0" fontId="5" fillId="29" borderId="152" xfId="0" applyFont="1" applyFill="1" applyBorder="1" applyAlignment="1">
      <alignment horizontal="center"/>
    </xf>
    <xf numFmtId="0" fontId="5" fillId="29" borderId="154" xfId="0" applyFont="1" applyFill="1" applyBorder="1" applyAlignment="1">
      <alignment horizontal="center"/>
    </xf>
    <xf numFmtId="0" fontId="5" fillId="29" borderId="9" xfId="0" applyFont="1" applyFill="1" applyBorder="1" applyAlignment="1">
      <alignment horizontal="center"/>
    </xf>
    <xf numFmtId="0" fontId="5" fillId="29" borderId="0" xfId="0" applyFont="1" applyFill="1" applyAlignment="1">
      <alignment horizontal="center"/>
    </xf>
    <xf numFmtId="0" fontId="5" fillId="29" borderId="10" xfId="0" applyFont="1" applyFill="1" applyBorder="1" applyAlignment="1">
      <alignment horizontal="center"/>
    </xf>
    <xf numFmtId="165" fontId="5" fillId="4" borderId="0" xfId="0" applyNumberFormat="1" applyFont="1" applyFill="1" applyAlignment="1">
      <alignment horizontal="center"/>
    </xf>
    <xf numFmtId="165" fontId="5" fillId="4" borderId="10" xfId="0" applyNumberFormat="1" applyFont="1" applyFill="1" applyBorder="1" applyAlignment="1">
      <alignment horizontal="center"/>
    </xf>
    <xf numFmtId="165" fontId="5" fillId="4" borderId="12" xfId="0" applyNumberFormat="1" applyFont="1" applyFill="1" applyBorder="1" applyAlignment="1">
      <alignment horizontal="center"/>
    </xf>
    <xf numFmtId="165" fontId="5" fillId="4" borderId="13" xfId="0" applyNumberFormat="1" applyFont="1" applyFill="1" applyBorder="1" applyAlignment="1">
      <alignment horizontal="center"/>
    </xf>
    <xf numFmtId="164" fontId="5" fillId="28" borderId="7" xfId="0" applyNumberFormat="1" applyFont="1" applyFill="1" applyBorder="1" applyAlignment="1">
      <alignment horizontal="center"/>
    </xf>
    <xf numFmtId="164" fontId="5" fillId="28" borderId="8" xfId="0" applyNumberFormat="1" applyFont="1" applyFill="1" applyBorder="1" applyAlignment="1">
      <alignment horizontal="center"/>
    </xf>
    <xf numFmtId="0" fontId="7" fillId="50" borderId="0" xfId="0" applyFont="1" applyFill="1" applyAlignment="1">
      <alignment horizontal="center"/>
    </xf>
    <xf numFmtId="0" fontId="7" fillId="50" borderId="10" xfId="0" applyFont="1" applyFill="1" applyBorder="1" applyAlignment="1">
      <alignment horizontal="center"/>
    </xf>
    <xf numFmtId="10" fontId="5" fillId="0" borderId="19" xfId="0" applyNumberFormat="1" applyFont="1" applyBorder="1" applyAlignment="1">
      <alignment horizontal="center"/>
    </xf>
    <xf numFmtId="10" fontId="5" fillId="0" borderId="20" xfId="0" applyNumberFormat="1" applyFont="1" applyBorder="1" applyAlignment="1">
      <alignment horizontal="center"/>
    </xf>
    <xf numFmtId="10" fontId="5" fillId="0" borderId="0" xfId="0" applyNumberFormat="1" applyFont="1" applyAlignment="1">
      <alignment horizontal="center"/>
    </xf>
    <xf numFmtId="10" fontId="5" fillId="0" borderId="10" xfId="0" applyNumberFormat="1" applyFont="1" applyBorder="1" applyAlignment="1">
      <alignment horizontal="center"/>
    </xf>
    <xf numFmtId="10" fontId="7" fillId="50" borderId="89" xfId="0" applyNumberFormat="1" applyFont="1" applyFill="1" applyBorder="1" applyAlignment="1">
      <alignment horizontal="center"/>
    </xf>
    <xf numFmtId="0" fontId="4" fillId="2" borderId="9" xfId="0" applyFont="1" applyFill="1" applyBorder="1" applyAlignment="1">
      <alignment horizontal="left"/>
    </xf>
    <xf numFmtId="0" fontId="4" fillId="2" borderId="0" xfId="0" applyFont="1" applyFill="1" applyAlignment="1">
      <alignment horizontal="left"/>
    </xf>
    <xf numFmtId="0" fontId="4" fillId="2" borderId="10" xfId="0" applyFont="1" applyFill="1" applyBorder="1" applyAlignment="1">
      <alignment horizontal="left"/>
    </xf>
    <xf numFmtId="0" fontId="2" fillId="2" borderId="0" xfId="0" applyFont="1" applyFill="1" applyAlignment="1">
      <alignment horizontal="center" vertical="center"/>
    </xf>
    <xf numFmtId="0" fontId="2" fillId="2" borderId="14" xfId="0" applyFont="1" applyFill="1" applyBorder="1" applyAlignment="1">
      <alignment horizontal="center" vertical="center"/>
    </xf>
    <xf numFmtId="0" fontId="5" fillId="0" borderId="9" xfId="0" applyFont="1" applyBorder="1" applyAlignment="1">
      <alignment horizontal="left"/>
    </xf>
    <xf numFmtId="0" fontId="5" fillId="0" borderId="0" xfId="0" applyFont="1" applyAlignment="1">
      <alignment horizontal="left"/>
    </xf>
    <xf numFmtId="0" fontId="5" fillId="0" borderId="10" xfId="0" applyFont="1" applyBorder="1" applyAlignment="1">
      <alignment horizontal="left"/>
    </xf>
    <xf numFmtId="0" fontId="5" fillId="0" borderId="6" xfId="0" applyFont="1" applyBorder="1" applyAlignment="1">
      <alignment horizontal="left"/>
    </xf>
    <xf numFmtId="0" fontId="5" fillId="0" borderId="7" xfId="0" applyFont="1" applyBorder="1" applyAlignment="1">
      <alignment horizontal="left"/>
    </xf>
    <xf numFmtId="0" fontId="5" fillId="0" borderId="8" xfId="0" applyFont="1" applyBorder="1" applyAlignment="1">
      <alignment horizontal="left"/>
    </xf>
    <xf numFmtId="0" fontId="4" fillId="2" borderId="4" xfId="0" applyFont="1" applyFill="1" applyBorder="1" applyAlignment="1">
      <alignment horizontal="left"/>
    </xf>
    <xf numFmtId="0" fontId="8" fillId="2" borderId="0" xfId="0" applyFont="1" applyFill="1" applyAlignment="1">
      <alignment horizontal="center"/>
    </xf>
    <xf numFmtId="0" fontId="8" fillId="2" borderId="3" xfId="0" applyFont="1" applyFill="1" applyBorder="1" applyAlignment="1">
      <alignment horizontal="center"/>
    </xf>
    <xf numFmtId="0" fontId="7" fillId="50" borderId="9" xfId="0" applyFont="1" applyFill="1" applyBorder="1" applyAlignment="1">
      <alignment horizontal="center"/>
    </xf>
    <xf numFmtId="164" fontId="10" fillId="28" borderId="7" xfId="0" applyNumberFormat="1" applyFont="1" applyFill="1" applyBorder="1" applyAlignment="1">
      <alignment horizontal="center"/>
    </xf>
    <xf numFmtId="164" fontId="10" fillId="28" borderId="8" xfId="0" applyNumberFormat="1" applyFont="1" applyFill="1" applyBorder="1" applyAlignment="1">
      <alignment horizontal="center"/>
    </xf>
    <xf numFmtId="10" fontId="5" fillId="0" borderId="12" xfId="0" applyNumberFormat="1" applyFont="1" applyBorder="1" applyAlignment="1">
      <alignment horizontal="center"/>
    </xf>
    <xf numFmtId="10" fontId="5" fillId="0" borderId="13" xfId="0" applyNumberFormat="1" applyFont="1" applyBorder="1" applyAlignment="1">
      <alignment horizontal="center"/>
    </xf>
    <xf numFmtId="2" fontId="5" fillId="0" borderId="12" xfId="0" applyNumberFormat="1" applyFont="1" applyBorder="1" applyAlignment="1">
      <alignment horizontal="center"/>
    </xf>
    <xf numFmtId="2" fontId="5" fillId="0" borderId="13" xfId="0" applyNumberFormat="1" applyFont="1" applyBorder="1" applyAlignment="1">
      <alignment horizontal="center"/>
    </xf>
    <xf numFmtId="9" fontId="7" fillId="50" borderId="89" xfId="0" applyNumberFormat="1" applyFont="1" applyFill="1" applyBorder="1" applyAlignment="1">
      <alignment horizontal="center"/>
    </xf>
    <xf numFmtId="165" fontId="7" fillId="50" borderId="9" xfId="0" applyNumberFormat="1" applyFont="1" applyFill="1" applyBorder="1" applyAlignment="1">
      <alignment horizontal="center" vertical="center"/>
    </xf>
    <xf numFmtId="165" fontId="7" fillId="50" borderId="0" xfId="0" applyNumberFormat="1" applyFont="1" applyFill="1" applyAlignment="1">
      <alignment horizontal="center" vertical="center"/>
    </xf>
    <xf numFmtId="165" fontId="7" fillId="50" borderId="10" xfId="0" applyNumberFormat="1" applyFont="1" applyFill="1" applyBorder="1" applyAlignment="1">
      <alignment horizontal="center" vertical="center"/>
    </xf>
    <xf numFmtId="3" fontId="10" fillId="0" borderId="169" xfId="0" applyNumberFormat="1" applyFont="1" applyBorder="1" applyAlignment="1">
      <alignment horizontal="center"/>
    </xf>
    <xf numFmtId="3" fontId="10" fillId="0" borderId="170" xfId="0" applyNumberFormat="1" applyFont="1" applyBorder="1" applyAlignment="1">
      <alignment horizontal="center"/>
    </xf>
    <xf numFmtId="3" fontId="10" fillId="0" borderId="9" xfId="0" applyNumberFormat="1" applyFont="1" applyBorder="1" applyAlignment="1">
      <alignment horizontal="center"/>
    </xf>
    <xf numFmtId="3" fontId="10" fillId="0" borderId="0" xfId="0" applyNumberFormat="1" applyFont="1" applyAlignment="1">
      <alignment horizontal="center"/>
    </xf>
    <xf numFmtId="3" fontId="10" fillId="0" borderId="11" xfId="0" applyNumberFormat="1" applyFont="1" applyBorder="1" applyAlignment="1">
      <alignment horizontal="center"/>
    </xf>
    <xf numFmtId="3" fontId="10" fillId="0" borderId="12" xfId="0" applyNumberFormat="1" applyFont="1" applyBorder="1" applyAlignment="1">
      <alignment horizontal="center"/>
    </xf>
    <xf numFmtId="164" fontId="5" fillId="0" borderId="176" xfId="0" applyNumberFormat="1" applyFont="1" applyBorder="1" applyAlignment="1">
      <alignment horizontal="center"/>
    </xf>
    <xf numFmtId="9" fontId="5" fillId="0" borderId="10" xfId="2" applyFont="1" applyFill="1" applyBorder="1" applyAlignment="1">
      <alignment horizontal="center"/>
    </xf>
    <xf numFmtId="0" fontId="12" fillId="0" borderId="25" xfId="0" applyFont="1" applyBorder="1" applyAlignment="1">
      <alignment horizontal="center" vertical="center" wrapText="1" indent="2"/>
    </xf>
    <xf numFmtId="0" fontId="12" fillId="0" borderId="26" xfId="0" applyFont="1" applyBorder="1" applyAlignment="1">
      <alignment horizontal="center" vertical="center" wrapText="1" indent="2"/>
    </xf>
    <xf numFmtId="0" fontId="12" fillId="0" borderId="23" xfId="0" applyFont="1" applyBorder="1" applyAlignment="1">
      <alignment horizontal="center" vertical="center" wrapText="1" indent="2"/>
    </xf>
    <xf numFmtId="17" fontId="41" fillId="5" borderId="69" xfId="0" applyNumberFormat="1" applyFont="1" applyFill="1" applyBorder="1" applyAlignment="1">
      <alignment horizontal="center" vertical="center"/>
    </xf>
    <xf numFmtId="0" fontId="41" fillId="5" borderId="70" xfId="0" applyFont="1" applyFill="1" applyBorder="1" applyAlignment="1">
      <alignment horizontal="center" vertical="center"/>
    </xf>
    <xf numFmtId="0" fontId="41" fillId="5" borderId="71" xfId="0" applyFont="1" applyFill="1" applyBorder="1" applyAlignment="1">
      <alignment horizontal="center" vertical="center"/>
    </xf>
    <xf numFmtId="17" fontId="41" fillId="5" borderId="6" xfId="0" applyNumberFormat="1" applyFont="1" applyFill="1" applyBorder="1" applyAlignment="1">
      <alignment horizontal="center" vertical="center"/>
    </xf>
    <xf numFmtId="0" fontId="41" fillId="5" borderId="7" xfId="0" applyFont="1" applyFill="1" applyBorder="1" applyAlignment="1">
      <alignment horizontal="center" vertical="center"/>
    </xf>
    <xf numFmtId="0" fontId="41" fillId="5" borderId="8" xfId="0" applyFont="1" applyFill="1" applyBorder="1" applyAlignment="1">
      <alignment horizontal="center" vertical="center"/>
    </xf>
    <xf numFmtId="0" fontId="40" fillId="14" borderId="0" xfId="0" applyFont="1" applyFill="1"/>
    <xf numFmtId="0" fontId="40" fillId="15" borderId="0" xfId="0" applyFont="1" applyFill="1"/>
    <xf numFmtId="0" fontId="40" fillId="16" borderId="0" xfId="0" applyFont="1" applyFill="1"/>
    <xf numFmtId="0" fontId="40" fillId="17" borderId="0" xfId="0" applyFont="1" applyFill="1"/>
    <xf numFmtId="0" fontId="43" fillId="0" borderId="0" xfId="0" applyFont="1" applyAlignment="1">
      <alignment horizontal="left"/>
    </xf>
    <xf numFmtId="0" fontId="12" fillId="0" borderId="0" xfId="0" applyFont="1" applyAlignment="1">
      <alignment horizontal="left" wrapText="1"/>
    </xf>
    <xf numFmtId="0" fontId="0" fillId="0" borderId="0" xfId="0" applyAlignment="1">
      <alignment horizontal="center"/>
    </xf>
    <xf numFmtId="0" fontId="15" fillId="0" borderId="0" xfId="0" applyFont="1" applyAlignment="1">
      <alignment horizontal="left"/>
    </xf>
    <xf numFmtId="0" fontId="46" fillId="0" borderId="0" xfId="0" applyFont="1" applyAlignment="1">
      <alignment horizontal="center"/>
    </xf>
    <xf numFmtId="0" fontId="15" fillId="0" borderId="0" xfId="0" applyFont="1" applyAlignment="1">
      <alignment horizontal="center"/>
    </xf>
    <xf numFmtId="0" fontId="0" fillId="0" borderId="0" xfId="0" applyAlignment="1">
      <alignment horizontal="left" wrapText="1"/>
    </xf>
    <xf numFmtId="0" fontId="15" fillId="0" borderId="0" xfId="0" applyFont="1" applyAlignment="1">
      <alignment horizontal="left" wrapText="1"/>
    </xf>
    <xf numFmtId="0" fontId="44" fillId="2" borderId="0" xfId="0" applyFont="1" applyFill="1" applyAlignment="1">
      <alignment vertical="center" textRotation="255"/>
    </xf>
    <xf numFmtId="0" fontId="12" fillId="0" borderId="0" xfId="0" applyFont="1" applyAlignment="1">
      <alignment horizontal="center"/>
    </xf>
    <xf numFmtId="0" fontId="0" fillId="0" borderId="0" xfId="0" applyAlignment="1">
      <alignment horizontal="left"/>
    </xf>
    <xf numFmtId="0" fontId="0" fillId="0" borderId="17" xfId="0" applyBorder="1" applyAlignment="1">
      <alignment horizontal="center"/>
    </xf>
    <xf numFmtId="0" fontId="0" fillId="13" borderId="7" xfId="0" applyFill="1" applyBorder="1" applyAlignment="1">
      <alignment horizontal="center"/>
    </xf>
    <xf numFmtId="0" fontId="0" fillId="3" borderId="7" xfId="0" applyFill="1" applyBorder="1" applyAlignment="1">
      <alignment horizontal="center" vertical="center"/>
    </xf>
    <xf numFmtId="0" fontId="0" fillId="13" borderId="7" xfId="0" applyFill="1" applyBorder="1" applyAlignment="1">
      <alignment horizontal="center" vertical="center"/>
    </xf>
    <xf numFmtId="0" fontId="0" fillId="13" borderId="8" xfId="0" applyFill="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3">
    <cellStyle name="Hyperlink" xfId="1" xr:uid="{00000000-000B-0000-0000-000008000000}"/>
    <cellStyle name="Normal" xfId="0" builtinId="0"/>
    <cellStyle name="Porcentaje" xfId="2" builtinId="5"/>
  </cellStyles>
  <dxfs count="761">
    <dxf>
      <font>
        <color theme="0" tint="-0.249977111117893"/>
      </font>
      <fill>
        <patternFill patternType="solid">
          <bgColor theme="0" tint="-4.9989318521683403E-2"/>
        </patternFill>
      </fill>
    </dxf>
    <dxf>
      <font>
        <color theme="0" tint="-0.249977111117893"/>
      </font>
      <fill>
        <patternFill patternType="solid">
          <bgColor theme="0" tint="-4.9989318521683403E-2"/>
        </patternFill>
      </fill>
    </dxf>
    <dxf>
      <font>
        <color theme="0" tint="-0.249977111117893"/>
      </font>
      <fill>
        <patternFill patternType="solid">
          <bgColor theme="0" tint="-4.9989318521683403E-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77111117893"/>
      </font>
      <fill>
        <patternFill patternType="solid">
          <bgColor theme="9" tint="0.79998168889431442"/>
        </patternFill>
      </fill>
    </dxf>
    <dxf>
      <font>
        <color rgb="FF9C0006"/>
      </font>
      <fill>
        <patternFill patternType="solid">
          <bgColor theme="5" tint="0.399975585192419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9" tint="-0.249977111117893"/>
      </font>
      <fill>
        <patternFill patternType="solid">
          <bgColor theme="9" tint="0.79998168889431442"/>
        </patternFill>
      </fill>
    </dxf>
    <dxf>
      <fill>
        <patternFill>
          <bgColor rgb="FFFFC7CE"/>
        </patternFill>
      </fill>
    </dxf>
    <dxf>
      <fill>
        <patternFill>
          <bgColor rgb="FFFFC7CE"/>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bgColor rgb="FFFFC7CE"/>
        </patternFill>
      </fill>
    </dxf>
    <dxf>
      <fill>
        <patternFill>
          <bgColor rgb="FFFFC7CE"/>
        </patternFill>
      </fill>
    </dxf>
    <dxf>
      <fill>
        <patternFill patternType="solid">
          <bgColor rgb="FFFFEB9C"/>
        </patternFill>
      </fill>
    </dxf>
    <dxf>
      <fill>
        <patternFill>
          <bgColor rgb="FFFFC7CE"/>
        </patternFill>
      </fill>
    </dxf>
    <dxf>
      <fill>
        <patternFill>
          <bgColor rgb="FFFFC7CE"/>
        </patternFill>
      </fill>
    </dxf>
    <dxf>
      <fill>
        <patternFill>
          <bgColor rgb="FFFFC7CE"/>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ont>
        <color rgb="FF9C0006"/>
      </font>
      <fill>
        <patternFill>
          <bgColor rgb="FFFFC7CE"/>
        </patternFill>
      </fill>
    </dxf>
    <dxf>
      <font>
        <color theme="1"/>
      </font>
      <fill>
        <patternFill patternType="solid">
          <bgColor theme="0"/>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ont>
        <color rgb="FF9C0006"/>
      </font>
      <fill>
        <patternFill>
          <bgColor rgb="FFFFC7CE"/>
        </patternFill>
      </fill>
    </dxf>
    <dxf>
      <font>
        <color theme="1"/>
      </font>
      <fill>
        <patternFill patternType="solid">
          <bgColor theme="0"/>
        </patternFill>
      </fill>
    </dxf>
    <dxf>
      <font>
        <color rgb="FF9C5700"/>
      </font>
      <fill>
        <patternFill>
          <bgColor rgb="FFFFEB9C"/>
        </patternFill>
      </fill>
    </dxf>
    <dxf>
      <fill>
        <patternFill>
          <bgColor rgb="FFFFC7CE"/>
        </patternFill>
      </fill>
    </dxf>
    <dxf>
      <font>
        <color theme="1"/>
      </font>
      <fill>
        <patternFill patternType="solid">
          <bgColor rgb="FFC6EFCE"/>
        </patternFill>
      </fill>
    </dxf>
    <dxf>
      <fill>
        <patternFill patternType="solid">
          <bgColor rgb="FFFFEB9C"/>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ill>
        <patternFill>
          <bgColor rgb="FFFFC7CE"/>
        </patternFill>
      </fill>
    </dxf>
    <dxf>
      <font>
        <color theme="1"/>
      </font>
      <fill>
        <patternFill patternType="solid">
          <bgColor rgb="FFC6EFCE"/>
        </patternFill>
      </fill>
    </dxf>
    <dxf>
      <font>
        <color rgb="FF9C0006"/>
      </font>
      <fill>
        <patternFill>
          <bgColor rgb="FFFFC7CE"/>
        </patternFill>
      </fill>
    </dxf>
    <dxf>
      <font>
        <color theme="1"/>
      </font>
      <fill>
        <patternFill patternType="solid">
          <bgColor theme="0"/>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ill>
        <patternFill>
          <bgColor rgb="FFFFC7CE"/>
        </patternFill>
      </fill>
    </dxf>
    <dxf>
      <font>
        <color theme="1"/>
      </font>
      <fill>
        <patternFill patternType="solid">
          <bgColor rgb="FFC6EFCE"/>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rgb="FF9C0006"/>
      </font>
      <fill>
        <patternFill>
          <bgColor rgb="FFFFC7CE"/>
        </patternFill>
      </fill>
    </dxf>
    <dxf>
      <font>
        <color rgb="FF9C0006"/>
      </font>
      <fill>
        <patternFill>
          <bgColor rgb="FFFFC7CE"/>
        </patternFill>
      </fill>
    </dxf>
    <dxf>
      <font>
        <color theme="1"/>
      </font>
      <fill>
        <patternFill patternType="solid">
          <bgColor theme="0"/>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rgb="FF9C0006"/>
      </font>
      <fill>
        <patternFill>
          <bgColor rgb="FFFFC7CE"/>
        </patternFill>
      </fill>
    </dxf>
    <dxf>
      <font>
        <color theme="1"/>
      </font>
      <fill>
        <patternFill patternType="solid">
          <bgColor theme="0"/>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ill>
        <patternFill patternType="solid">
          <bgColor rgb="FFFFEB9C"/>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rgb="FF9C0006"/>
      </font>
      <fill>
        <patternFill>
          <bgColor rgb="FFFFC7CE"/>
        </patternFill>
      </fill>
    </dxf>
    <dxf>
      <font>
        <color theme="1"/>
      </font>
      <fill>
        <patternFill patternType="solid">
          <bgColor theme="0"/>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bgColor rgb="FFFFC7CE"/>
        </patternFill>
      </fill>
    </dxf>
    <dxf>
      <font>
        <color rgb="FF9C0006"/>
      </font>
      <fill>
        <patternFill>
          <bgColor rgb="FFFFC7CE"/>
        </patternFill>
      </fill>
    </dxf>
    <dxf>
      <fill>
        <patternFill>
          <bgColor rgb="FFFFC7CE"/>
        </patternFill>
      </fill>
    </dxf>
    <dxf>
      <fill>
        <patternFill patternType="solid">
          <bgColor rgb="FFC6EFCE"/>
        </patternFill>
      </fill>
    </dxf>
    <dxf>
      <fill>
        <patternFill>
          <bgColor rgb="FFFFC7CE"/>
        </patternFill>
      </fill>
    </dxf>
    <dxf>
      <fill>
        <patternFill>
          <bgColor rgb="FFFFC7CE"/>
        </patternFill>
      </fill>
    </dxf>
    <dxf>
      <fill>
        <patternFill patternType="solid">
          <bgColor rgb="FFC6EFCE"/>
        </patternFill>
      </fill>
    </dxf>
    <dxf>
      <fill>
        <patternFill>
          <bgColor rgb="FFFFC7CE"/>
        </patternFill>
      </fill>
    </dxf>
    <dxf>
      <fill>
        <patternFill patternType="solid">
          <bgColor rgb="FFC6EFCE"/>
        </patternFill>
      </fill>
    </dxf>
    <dxf>
      <fill>
        <patternFill patternType="solid">
          <bgColor rgb="FFC6EFCE"/>
        </patternFill>
      </fill>
    </dxf>
    <dxf>
      <fill>
        <patternFill>
          <bgColor rgb="FFFFC7CE"/>
        </patternFill>
      </fill>
    </dxf>
    <dxf>
      <fill>
        <patternFill>
          <bgColor rgb="FFFFC7CE"/>
        </patternFill>
      </fill>
    </dxf>
    <dxf>
      <fill>
        <patternFill patternType="solid">
          <bgColor rgb="FFC6EFCE"/>
        </patternFill>
      </fill>
    </dxf>
    <dxf>
      <fill>
        <patternFill>
          <bgColor rgb="FFFFC7CE"/>
        </patternFill>
      </fill>
    </dxf>
    <dxf>
      <fill>
        <patternFill patternType="solid">
          <bgColor rgb="FFC6EFCE"/>
        </patternFill>
      </fill>
    </dxf>
    <dxf>
      <fill>
        <patternFill>
          <bgColor rgb="FFFFC7CE"/>
        </patternFill>
      </fill>
    </dxf>
    <dxf>
      <font>
        <color theme="1"/>
      </font>
      <fill>
        <patternFill patternType="solid">
          <bgColor rgb="FFC6EFCE"/>
        </patternFill>
      </fill>
    </dxf>
    <dxf>
      <font>
        <color theme="1"/>
      </font>
      <fill>
        <patternFill patternType="solid">
          <bgColor rgb="FFC6EFCE"/>
        </patternFill>
      </fill>
    </dxf>
    <dxf>
      <fill>
        <patternFill patternType="solid">
          <bgColor rgb="FFFFEB9C"/>
        </patternFill>
      </fill>
    </dxf>
    <dxf>
      <fill>
        <patternFill patternType="solid">
          <bgColor rgb="FFFFC7CE"/>
        </patternFill>
      </fill>
    </dxf>
    <dxf>
      <fill>
        <patternFill>
          <bgColor rgb="FFFFC7CE"/>
        </patternFill>
      </fill>
    </dxf>
    <dxf>
      <font>
        <color rgb="FF002060"/>
      </font>
      <fill>
        <patternFill patternType="solid">
          <bgColor rgb="FF3CB0C2"/>
        </patternFill>
      </fill>
    </dxf>
    <dxf>
      <fill>
        <patternFill>
          <bgColor rgb="FFFFEB9C"/>
        </patternFill>
      </fill>
    </dxf>
    <dxf>
      <fill>
        <patternFill>
          <bgColor rgb="FFFFC7CE"/>
        </patternFill>
      </fill>
    </dxf>
    <dxf>
      <fill>
        <patternFill patternType="solid">
          <bgColor rgb="FFFFEB9C"/>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EB9C"/>
        </patternFill>
      </fill>
    </dxf>
    <dxf>
      <fill>
        <patternFill>
          <bgColor rgb="FFFFC7CE"/>
        </patternFill>
      </fill>
    </dxf>
    <dxf>
      <font>
        <color theme="1"/>
      </font>
      <fill>
        <patternFill patternType="solid">
          <bgColor rgb="FFC6EF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theme="1"/>
      </font>
      <fill>
        <patternFill patternType="solid">
          <bgColor theme="0"/>
        </patternFill>
      </fill>
    </dxf>
    <dxf>
      <font>
        <color rgb="FF9C5700"/>
      </font>
      <fill>
        <patternFill>
          <bgColor rgb="FFFFEB9C"/>
        </patternFill>
      </fill>
    </dxf>
    <dxf>
      <font>
        <color rgb="FF9C0006"/>
      </font>
      <fill>
        <patternFill>
          <bgColor rgb="FFFFC7CE"/>
        </patternFill>
      </fill>
    </dxf>
    <dxf>
      <fill>
        <patternFill>
          <bgColor rgb="FFFFC7CE"/>
        </patternFill>
      </fill>
    </dxf>
    <dxf>
      <font>
        <color theme="1"/>
      </font>
      <fill>
        <patternFill patternType="solid">
          <bgColor rgb="FFC6EFCE"/>
        </patternFill>
      </fill>
    </dxf>
    <dxf>
      <font>
        <color rgb="FF9C0006"/>
      </font>
      <fill>
        <patternFill>
          <bgColor rgb="FFFFC7CE"/>
        </patternFill>
      </fill>
    </dxf>
    <dxf>
      <font>
        <color theme="1"/>
      </font>
      <fill>
        <patternFill patternType="solid">
          <bgColor theme="0"/>
        </patternFill>
      </fill>
    </dxf>
    <dxf>
      <font>
        <color theme="1"/>
      </font>
      <fill>
        <patternFill patternType="solid">
          <bgColor rgb="FFC6EFCE"/>
        </patternFill>
      </fill>
    </dxf>
    <dxf>
      <fill>
        <patternFill patternType="solid">
          <bgColor rgb="FFC6EFCE"/>
        </patternFill>
      </fill>
    </dxf>
    <dxf>
      <fill>
        <patternFill>
          <bgColor rgb="FFFFC7CE"/>
        </patternFill>
      </fill>
    </dxf>
    <dxf>
      <fill>
        <patternFill>
          <bgColor rgb="FFFFC7CE"/>
        </patternFill>
      </fill>
    </dxf>
    <dxf>
      <fill>
        <patternFill patternType="solid">
          <bgColor rgb="FFC6EFCE"/>
        </patternFill>
      </fill>
    </dxf>
    <dxf>
      <fill>
        <patternFill>
          <bgColor rgb="FFFFC7CE"/>
        </patternFill>
      </fill>
    </dxf>
    <dxf>
      <fill>
        <patternFill patternType="solid">
          <bgColor rgb="FFC6EFCE"/>
        </patternFill>
      </fill>
    </dxf>
    <dxf>
      <fill>
        <patternFill patternType="solid">
          <bgColor rgb="FFC6EFCE"/>
        </patternFill>
      </fill>
    </dxf>
    <dxf>
      <fill>
        <patternFill>
          <bgColor rgb="FFFFC7CE"/>
        </patternFill>
      </fill>
    </dxf>
    <dxf>
      <fill>
        <patternFill>
          <bgColor rgb="FFFFC7CE"/>
        </patternFill>
      </fill>
    </dxf>
    <dxf>
      <fill>
        <patternFill patternType="solid">
          <bgColor rgb="FFC6EFCE"/>
        </patternFill>
      </fill>
    </dxf>
    <dxf>
      <fill>
        <patternFill>
          <bgColor rgb="FFFFC7CE"/>
        </patternFill>
      </fill>
    </dxf>
    <dxf>
      <fill>
        <patternFill patternType="solid">
          <bgColor rgb="FFC6EFCE"/>
        </patternFill>
      </fill>
    </dxf>
    <dxf>
      <font>
        <b/>
        <i val="0"/>
        <color theme="0"/>
      </font>
      <fill>
        <patternFill patternType="solid">
          <bgColor rgb="FFFF0000"/>
        </patternFill>
      </fill>
    </dxf>
    <dxf>
      <font>
        <b/>
        <i val="0"/>
        <color theme="1"/>
      </font>
      <fill>
        <patternFill patternType="solid">
          <bgColor rgb="FFFFFF00"/>
        </patternFill>
      </fill>
    </dxf>
    <dxf>
      <font>
        <b/>
        <i val="0"/>
        <color theme="0"/>
      </font>
      <fill>
        <patternFill patternType="solid">
          <bgColor theme="9"/>
        </patternFill>
      </fill>
    </dxf>
    <dxf>
      <font>
        <color theme="1"/>
      </font>
      <fill>
        <patternFill patternType="solid">
          <bgColor theme="0"/>
        </patternFill>
      </fill>
    </dxf>
    <dxf>
      <font>
        <color rgb="FFFF0000"/>
      </font>
      <fill>
        <patternFill patternType="solid">
          <bgColor theme="0"/>
        </patternFill>
      </fill>
    </dxf>
    <dxf>
      <font>
        <color theme="7" tint="-0.249977111117893"/>
      </font>
      <fill>
        <patternFill patternType="solid">
          <bgColor theme="0"/>
        </patternFill>
      </fill>
    </dxf>
    <dxf>
      <font>
        <color theme="1"/>
      </font>
      <fill>
        <patternFill patternType="solid">
          <bgColor theme="0"/>
        </patternFill>
      </fill>
    </dxf>
    <dxf>
      <font>
        <color theme="1"/>
      </font>
      <fill>
        <patternFill patternType="solid">
          <bgColor theme="2" tint="-9.9978637043366805E-2"/>
        </patternFill>
      </fill>
    </dxf>
    <dxf>
      <font>
        <color theme="0"/>
      </font>
      <fill>
        <patternFill patternType="solid">
          <bgColor theme="1" tint="0.499984740745262"/>
        </patternFill>
      </fill>
    </dxf>
    <dxf>
      <font>
        <color theme="0"/>
      </font>
      <fill>
        <patternFill patternType="solid">
          <bgColor rgb="FF532E59"/>
        </patternFill>
      </fill>
    </dxf>
    <dxf>
      <font>
        <color theme="0"/>
      </font>
      <fill>
        <patternFill patternType="solid">
          <bgColor rgb="FF8D6094"/>
        </patternFill>
      </fill>
    </dxf>
    <dxf>
      <font>
        <color theme="1"/>
      </font>
      <fill>
        <patternFill patternType="solid">
          <bgColor rgb="FFECD5F0"/>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border outline="0">
        <top style="thin">
          <color rgb="FF44B3E1"/>
        </top>
        <bottom style="thin">
          <color rgb="FF44B3E1"/>
        </bottom>
      </border>
    </dxf>
    <dxf>
      <border outline="0">
        <bottom style="thin">
          <color rgb="FF44B3E1"/>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rgb="FF44B3E1"/>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rgb="FF44B3E1"/>
        </bottom>
        <vertical/>
        <horizontal/>
      </border>
    </dxf>
    <dxf>
      <border outline="0">
        <top style="thin">
          <color indexed="64"/>
        </top>
      </border>
    </dxf>
    <dxf>
      <border outline="0">
        <right style="thin">
          <color indexed="64"/>
        </right>
        <top style="thin">
          <color rgb="FF44B3E1"/>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rgb="FF44B3E1"/>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rgb="FF44B3E1"/>
        </bottom>
        <vertical/>
        <horizontal/>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rgb="FF44B3E1"/>
        </bottom>
        <vertical/>
        <horizontal/>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rgb="FF44B3E1"/>
        </bottom>
        <vertical/>
        <horizontal/>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rgb="FF44B3E1"/>
        </bottom>
        <vertical/>
        <horizontal/>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rgb="FF44B3E1"/>
        </bottom>
        <vertical/>
        <horizontal/>
      </border>
    </dxf>
    <dxf>
      <border outline="0">
        <top style="thin">
          <color indexed="64"/>
        </top>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0" indent="0" justifyLastLine="0" shrinkToFit="0" readingOrder="0"/>
      <border diagonalUp="0" diagonalDown="0">
        <left/>
        <right style="thin">
          <color rgb="FF44B3E1"/>
        </right>
        <top style="thin">
          <color indexed="64"/>
        </top>
        <bottom style="thin">
          <color rgb="FF44B3E1"/>
        </bottom>
        <vertical/>
        <horizontal/>
      </border>
    </dxf>
    <dxf>
      <border outline="0">
        <top style="thin">
          <color indexed="64"/>
        </top>
      </border>
    </dxf>
    <dxf>
      <border outline="0">
        <left style="thin">
          <color rgb="FF44B3E1"/>
        </lef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solid">
          <fgColor rgb="FFC0E6F5"/>
          <bgColor rgb="FFC0E6F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000000"/>
          <bgColor rgb="FFB5E6A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indexed="64"/>
        </top>
        <bottom style="thin">
          <color rgb="FF44B3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numFmt numFmtId="179" formatCode="h:mm"/>
    </dxf>
    <dxf>
      <numFmt numFmtId="179" formatCode="h:mm"/>
    </dxf>
    <dxf>
      <numFmt numFmtId="180" formatCode="dd/mm/yyyy"/>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CE6F1"/>
          <bgColor rgb="FFDCE6F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80" formatCode="dd/mm/yyyy"/>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Calibri"/>
        <family val="2"/>
        <scheme val="none"/>
      </font>
      <fill>
        <patternFill patternType="solid">
          <fgColor rgb="FF000000"/>
          <bgColor rgb="FF4F6228"/>
        </patternFill>
      </fill>
      <alignment horizontal="center" vertical="top" textRotation="0" wrapText="1" indent="0" justifyLastLine="0" shrinkToFit="0" readingOrder="0"/>
      <border diagonalUp="0" diagonalDown="0">
        <left style="thin">
          <color indexed="64"/>
        </left>
        <right style="thin">
          <color indexed="64"/>
        </right>
        <top/>
        <bottom/>
      </border>
    </dxf>
    <dxf>
      <alignment horizontal="center"/>
    </dxf>
    <dxf>
      <alignment horizontal="center"/>
    </dxf>
    <dxf>
      <alignment horizontal="center"/>
    </dxf>
    <dxf>
      <alignment horizontal="center"/>
    </dxf>
    <dxf>
      <alignment horizontal="center"/>
    </dxf>
    <dxf>
      <numFmt numFmtId="13" formatCode="0%"/>
    </dxf>
    <dxf>
      <alignment horizontal="center"/>
    </dxf>
    <dxf>
      <alignment horizontal="center"/>
    </dxf>
    <dxf>
      <alignment horizontal="center"/>
    </dxf>
    <dxf>
      <numFmt numFmtId="167" formatCode="_-* #,##0_-;\-* #,##0_-;_-*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7" formatCode="_-* #,##0_-;\-* #,##0_-;_-* &quot;-&quot;??_-;_-@_-"/>
    </dxf>
    <dxf>
      <numFmt numFmtId="167" formatCode="_-* #,##0_-;\-* #,##0_-;_-* &quot;-&quot;??_-;_-@_-"/>
    </dxf>
    <dxf>
      <alignment horizontal="center"/>
    </dxf>
    <dxf>
      <alignment horizontal="center"/>
    </dxf>
    <dxf>
      <alignment horizontal="center"/>
    </dxf>
  </dxfs>
  <tableStyles count="0" defaultTableStyle="TableStyleMedium2" defaultPivotStyle="PivotStyleLight16"/>
  <colors>
    <mruColors>
      <color rgb="FFECD5F0"/>
      <color rgb="FF8D6094"/>
      <color rgb="FF532E59"/>
      <color rgb="FFB34D4D"/>
      <color rgb="FFE69E9E"/>
      <color rgb="FFD97979"/>
      <color rgb="FFFAE0A2"/>
      <color rgb="FFA6A4A4"/>
      <color rgb="FFFCDC90"/>
      <color rgb="FFC772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documenttasks/documenttask1.xml><?xml version="1.0" encoding="utf-8"?>
<Tasks xmlns="http://schemas.microsoft.com/office/tasks/2019/documenttasks">
  <Task id="{91A5D60B-E133-43AC-BB45-BE9B19A3106D}">
    <Anchor>
      <Comment id="{20EA24D9-A18E-4470-B7F5-4EE0900A3758}"/>
    </Anchor>
    <History>
      <Event time="2025-02-08T21:58:57.24" id="{50984206-434D-4B99-B940-B25EB7C2FCF6}">
        <Attribution userId="S::romina.dipietro@grupocpc.com.ar::3d388ab8-5a22-40c7-8d77-97663adcb847" userName="Romina Di Pietro" userProvider="AD"/>
        <Anchor>
          <Comment id="{FDA1BE4A-E835-49E1-93BF-45C5AD89F5DF}"/>
        </Anchor>
        <Create/>
      </Event>
      <Event time="2025-02-08T21:58:57.24" id="{F502F9A3-7D57-467D-B50A-A31D942174D7}">
        <Attribution userId="S::romina.dipietro@grupocpc.com.ar::3d388ab8-5a22-40c7-8d77-97663adcb847" userName="Romina Di Pietro" userProvider="AD"/>
        <Anchor>
          <Comment id="{FDA1BE4A-E835-49E1-93BF-45C5AD89F5DF}"/>
        </Anchor>
        <Assign userId="S::rodrigo.viana@grupocpc.com.ar::88859fdd-c231-4204-a1c8-17d6f97c53d8" userName="Rodrigo Viana" userProvider="AD"/>
      </Event>
      <Event time="2025-02-08T21:58:57.24" id="{A15B9ACB-B5F2-4924-952C-379BEA9F4340}">
        <Attribution userId="S::romina.dipietro@grupocpc.com.ar::3d388ab8-5a22-40c7-8d77-97663adcb847" userName="Romina Di Pietro" userProvider="AD"/>
        <Anchor>
          <Comment id="{FDA1BE4A-E835-49E1-93BF-45C5AD89F5DF}"/>
        </Anchor>
        <SetTitle title="@Rodrigo Viana lo viste con Facu? qué te dijo al respecto?"/>
      </Event>
    </History>
  </Task>
  <Task id="{7CAACD4B-5CFD-45CE-B3AA-C13BADA259DF}">
    <Anchor>
      <Comment id="{707B67DE-C1F8-4B62-8692-FDA35DE43CE7}"/>
    </Anchor>
    <History>
      <Event time="2026-02-09T18:34:50.60" id="{85D80537-56A0-4168-9D82-4A76E6CBF39B}">
        <Attribution userId="S::justina.genes@grupocpc.com.ar::ed0faa22-0c4a-496d-9f11-46be917bf509" userName="Justina Genes" userProvider="AD"/>
        <Anchor>
          <Comment id="{707B67DE-C1F8-4B62-8692-FDA35DE43CE7}"/>
        </Anchor>
        <Create/>
      </Event>
      <Event time="2026-02-09T18:34:50.60" id="{B592CFDC-D542-4D59-BA8F-2542B9C2D6DA}">
        <Attribution userId="S::justina.genes@grupocpc.com.ar::ed0faa22-0c4a-496d-9f11-46be917bf509" userName="Justina Genes" userProvider="AD"/>
        <Anchor>
          <Comment id="{707B67DE-C1F8-4B62-8692-FDA35DE43CE7}"/>
        </Anchor>
        <Assign userId="S::henny.bermudez@grupocpc.com.ar::08e595b0-8181-4d8c-bf88-81e6db9f8b0b" userName="Henny Bermudez" userProvider="AD"/>
      </Event>
      <Event time="2026-02-09T18:34:50.60" id="{7892F8FC-ED0E-4CDF-838D-51D087C80DBA}">
        <Attribution userId="S::justina.genes@grupocpc.com.ar::ed0faa22-0c4a-496d-9f11-46be917bf509" userName="Justina Genes" userProvider="AD"/>
        <Anchor>
          <Comment id="{707B67DE-C1F8-4B62-8692-FDA35DE43CE7}"/>
        </Anchor>
        <SetTitle title="@Henny Bermudez es correcto este valor?"/>
      </Event>
    </History>
  </Task>
  <Task id="{6C8C6C9E-6DFA-4AED-B62E-F6F70A2D31E3}">
    <Anchor>
      <Comment id="{3BE138DF-3299-4C36-9DBB-3F68EB5650A7}"/>
    </Anchor>
    <History>
      <Event time="2025-02-08T21:59:52.94" id="{7914AAE7-DC53-4C47-B55F-705CABE420BC}">
        <Attribution userId="S::romina.dipietro@grupocpc.com.ar::3d388ab8-5a22-40c7-8d77-97663adcb847" userName="Romina Di Pietro" userProvider="AD"/>
        <Anchor>
          <Comment id="{473FACEF-C4B7-43CF-80A9-9561248C90C4}"/>
        </Anchor>
        <Create/>
      </Event>
      <Event time="2025-02-08T21:59:52.94" id="{2A573712-0A32-4385-9616-2FF246D547A2}">
        <Attribution userId="S::romina.dipietro@grupocpc.com.ar::3d388ab8-5a22-40c7-8d77-97663adcb847" userName="Romina Di Pietro" userProvider="AD"/>
        <Anchor>
          <Comment id="{473FACEF-C4B7-43CF-80A9-9561248C90C4}"/>
        </Anchor>
        <Assign userId="S::rodrigo.viana@grupocpc.com.ar::88859fdd-c231-4204-a1c8-17d6f97c53d8" userName="Rodrigo Viana" userProvider="AD"/>
      </Event>
      <Event time="2025-02-08T21:59:52.94" id="{689E087C-7E26-49B4-8670-F7FCB74A3759}">
        <Attribution userId="S::romina.dipietro@grupocpc.com.ar::3d388ab8-5a22-40c7-8d77-97663adcb847" userName="Romina Di Pietro" userProvider="AD"/>
        <Anchor>
          <Comment id="{473FACEF-C4B7-43CF-80A9-9561248C90C4}"/>
        </Anchor>
        <SetTitle title="@Rodrigo Viana lo viste con @Julio Caminos o @Hernan Czarniecki ?"/>
      </Event>
    </History>
  </Task>
</Tasks>
</file>

<file path=xl/documenttasks/documenttask3.xml><?xml version="1.0" encoding="utf-8"?>
<Tasks xmlns="http://schemas.microsoft.com/office/tasks/2019/documenttasks">
  <Task id="{A393B525-E4CC-4FD1-BC76-D9750BCBA800}">
    <Anchor>
      <Comment id="{F3947A38-7656-4AAC-9388-E07CD63289B8}"/>
    </Anchor>
    <History>
      <Event time="2025-09-22T14:11:17.78" id="{B48B738A-86A1-47BC-9D53-AB20E52E81C7}">
        <Attribution userId="S::justina.genes@grupocpc.com.ar::ed0faa22-0c4a-496d-9f11-46be917bf509" userName="Justina Genes" userProvider="AD"/>
        <Anchor>
          <Comment id="{67CD9362-40D3-4345-86F8-36C006A9E28F}"/>
        </Anchor>
        <Create/>
      </Event>
      <Event time="2025-09-22T14:11:17.78" id="{2708604C-CAB8-4F4D-8C4B-3AF2EA9F42AD}">
        <Attribution userId="S::justina.genes@grupocpc.com.ar::ed0faa22-0c4a-496d-9f11-46be917bf509" userName="Justina Genes" userProvider="AD"/>
        <Anchor>
          <Comment id="{67CD9362-40D3-4345-86F8-36C006A9E28F}"/>
        </Anchor>
        <Assign userId="S::martin.arganaraz@grupocpc.com.ar::24eb6277-c9be-4371-ab82-e298daa465c4" userName="Martin Argañaraz" userProvider="AD"/>
      </Event>
      <Event time="2025-09-22T14:11:17.78" id="{10B5D350-EBEA-4396-80D9-46C4928A1D5B}">
        <Attribution userId="S::justina.genes@grupocpc.com.ar::ed0faa22-0c4a-496d-9f11-46be917bf509" userName="Justina Genes" userProvider="AD"/>
        <Anchor>
          <Comment id="{67CD9362-40D3-4345-86F8-36C006A9E28F}"/>
        </Anchor>
        <SetTitle title="@Martin Argañaraz Podrás brindárselos? Graciaas!"/>
      </Event>
    </History>
  </Task>
  <Task id="{2DAC683F-DC8D-421F-A633-7E77FD1FA67F}">
    <Anchor>
      <Comment id="{4EBAD8AD-1C18-4D5E-BE10-68B60C490902}"/>
    </Anchor>
    <History>
      <Event time="2025-11-06T19:40:59.85" id="{3CE9F4F7-0A04-4C85-9A1E-63067F2771F7}">
        <Attribution userId="S::justina.genes@grupocpc.com.ar::ed0faa22-0c4a-496d-9f11-46be917bf509" userName="Justina Genes" userProvider="AD"/>
        <Anchor>
          <Comment id="{4EBAD8AD-1C18-4D5E-BE10-68B60C490902}"/>
        </Anchor>
        <Create/>
      </Event>
      <Event time="2025-11-06T19:40:59.85" id="{8F09A1C8-34DC-44CB-9FB3-6E6CFF9C89A9}">
        <Attribution userId="S::justina.genes@grupocpc.com.ar::ed0faa22-0c4a-496d-9f11-46be917bf509" userName="Justina Genes" userProvider="AD"/>
        <Anchor>
          <Comment id="{4EBAD8AD-1C18-4D5E-BE10-68B60C490902}"/>
        </Anchor>
        <Assign userId="S::rodrigo.viana@grupocpc.com.ar::88859fdd-c231-4204-a1c8-17d6f97c53d8" userName="Rodrigo Viana" userProvider="AD"/>
      </Event>
      <Event time="2025-11-06T19:40:59.85" id="{F8E97C94-5759-4DE4-BF64-5250E8B5042B}">
        <Attribution userId="S::justina.genes@grupocpc.com.ar::ed0faa22-0c4a-496d-9f11-46be917bf509" userName="Justina Genes" userProvider="AD"/>
        <Anchor>
          <Comment id="{4EBAD8AD-1C18-4D5E-BE10-68B60C490902}"/>
        </Anchor>
        <SetTitle title="@Rodrigo Viana recordar que todo tiene que estar en 2 cuando termine la semana!"/>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361950</xdr:colOff>
      <xdr:row>2</xdr:row>
      <xdr:rowOff>66675</xdr:rowOff>
    </xdr:from>
    <xdr:to>
      <xdr:col>120</xdr:col>
      <xdr:colOff>542925</xdr:colOff>
      <xdr:row>20</xdr:row>
      <xdr:rowOff>76200</xdr:rowOff>
    </xdr:to>
    <xdr:pic>
      <xdr:nvPicPr>
        <xdr:cNvPr id="2" name="Imagen 1">
          <a:extLst>
            <a:ext uri="{FF2B5EF4-FFF2-40B4-BE49-F238E27FC236}">
              <a16:creationId xmlns:a16="http://schemas.microsoft.com/office/drawing/2014/main" id="{DBC290BB-9F33-9F8B-28A5-C43856EECDBA}"/>
            </a:ext>
          </a:extLst>
        </xdr:cNvPr>
        <xdr:cNvPicPr>
          <a:picLocks noChangeAspect="1"/>
        </xdr:cNvPicPr>
      </xdr:nvPicPr>
      <xdr:blipFill>
        <a:blip xmlns:r="http://schemas.openxmlformats.org/officeDocument/2006/relationships" r:embed="rId1"/>
        <a:stretch>
          <a:fillRect/>
        </a:stretch>
      </xdr:blipFill>
      <xdr:spPr>
        <a:xfrm>
          <a:off x="21240750" y="428625"/>
          <a:ext cx="3838575" cy="3571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581025</xdr:colOff>
      <xdr:row>19</xdr:row>
      <xdr:rowOff>0</xdr:rowOff>
    </xdr:from>
    <xdr:to>
      <xdr:col>34</xdr:col>
      <xdr:colOff>293370</xdr:colOff>
      <xdr:row>25</xdr:row>
      <xdr:rowOff>66675</xdr:rowOff>
    </xdr:to>
    <mc:AlternateContent xmlns:mc="http://schemas.openxmlformats.org/markup-compatibility/2006" xmlns:tsle="http://schemas.microsoft.com/office/drawing/2012/timeslicer">
      <mc:Choice Requires="tsle">
        <xdr:graphicFrame macro="">
          <xdr:nvGraphicFramePr>
            <xdr:cNvPr id="3" name="FECHA">
              <a:extLst>
                <a:ext uri="{FF2B5EF4-FFF2-40B4-BE49-F238E27FC236}">
                  <a16:creationId xmlns:a16="http://schemas.microsoft.com/office/drawing/2014/main" id="{B03C8509-6FDB-5C6A-D84B-093472F77FF0}"/>
                </a:ext>
              </a:extLst>
            </xdr:cNvPr>
            <xdr:cNvGraphicFramePr/>
          </xdr:nvGraphicFramePr>
          <xdr:xfrm>
            <a:off x="0" y="0"/>
            <a:ext cx="0" cy="0"/>
          </xdr:xfrm>
          <a:graphic>
            <a:graphicData uri="http://schemas.microsoft.com/office/drawing/2012/timeslicer">
              <tsle:timeslicer name="FECHA"/>
            </a:graphicData>
          </a:graphic>
        </xdr:graphicFrame>
      </mc:Choice>
      <mc:Fallback xmlns="">
        <xdr:sp macro="" textlink="">
          <xdr:nvSpPr>
            <xdr:cNvPr id="0" name=""/>
            <xdr:cNvSpPr>
              <a:spLocks noTextEdit="1"/>
            </xdr:cNvSpPr>
          </xdr:nvSpPr>
          <xdr:spPr>
            <a:xfrm>
              <a:off x="10563225" y="0"/>
              <a:ext cx="3333750" cy="1371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David Varela" id="{CD27ABBB-73CE-4267-8FB1-5275884085FE}" userId="david.varela@grupocpc.com.ar" providerId="PeoplePicker"/>
  <person displayName="Carlos Colman" id="{58948534-CDF2-4964-BFD3-837FD8B00EB4}" userId="carlos.colman@grupocpc.com.ar" providerId="PeoplePicker"/>
  <person displayName="Julio Caminos" id="{DCC32CC7-2669-4CCB-AA9C-01D4BF01C84B}" userId="julio.caminos@grupocpc.com.ar" providerId="PeoplePicker"/>
  <person displayName="Justina Genes" id="{8683BE3F-2C05-404B-8AC0-7DE1E4AD2C62}" userId="justina.genes@grupocpc.com.ar" providerId="PeoplePicker"/>
  <person displayName="Rodrigo Viana" id="{84FA3A41-1FA2-46DF-A781-8DA66B44DB31}" userId="rodrigo.viana@grupocpc.com.ar" providerId="PeoplePicker"/>
  <person displayName="Henny Bermudez" id="{E656936D-3FEB-480D-90FD-8F05572A99B2}" userId="henny.bermudez@grupocpc.com.ar" providerId="PeoplePicker"/>
  <person displayName="Miguel Solessio" id="{6A8FDD1F-C196-4DEB-ABEB-C55DA20C641F}" userId="miguel.solessio@grupocpc.com.ar" providerId="PeoplePicker"/>
  <person displayName="Romina Di Pietro" id="{602D786D-6875-43D5-A882-808C569593C1}" userId="romina.dipietro@grupocpc.com.ar" providerId="PeoplePicker"/>
  <person displayName="Hernan Martirena" id="{B180E0C1-F283-420F-90B9-44212D40DF50}" userId="hernan.martirena@grupocpc.com.ar" providerId="PeoplePicker"/>
  <person displayName="Martin Argañaraz" id="{82A29950-36CC-4BBC-BDA5-79A06BC6FA41}" userId="martin.arganaraz@grupocpc.com.ar" providerId="PeoplePicker"/>
  <person displayName="Hernan Czarniecki" id="{1283C00E-856F-499B-9C49-EC2C78E9514D}" userId="hernan.czarniecki@grupocpc.com.ar" providerId="PeoplePicker"/>
  <person displayName="Valentin  Mazzucco" id="{FF684D6E-12CC-4FB7-8D01-6E305B390E75}" userId="valentin.mazzucco@grupocpc.com.ar" providerId="PeoplePicker"/>
  <person displayName="Ariel Leal" id="{20DF8AF6-9A0E-4F9C-87DE-CBC9D113DA08}" userId="S::ariel.leal@grupocpc.com.ar::04a86fbd-541f-468e-a9a9-4648624b8e4c" providerId="AD"/>
  <person displayName="Maria de los Angeles Casco" id="{BAE1EA9A-A59D-4973-B198-AC7340E8D5B0}" userId="S::maria.casco@grupocpc.com.ar::727740cc-0a03-4484-aeb7-3abe6ffb7846" providerId="AD"/>
  <person displayName="David Varela" id="{06FD1DE2-7A62-4C87-933D-FB4DD791F022}" userId="S::david.varela@grupocpc.com.ar::8055f2c4-1ef8-449f-af27-923e9b646deb" providerId="AD"/>
  <person displayName="Carlos Colman" id="{1AC6D319-1EEB-479A-A819-7ACAD5A69D4F}" userId="S::carlos.colman@grupocpc.com.ar::f2ad1ef6-6252-4e01-84ca-11483f295136" providerId="AD"/>
  <person displayName="Facundo Luque" id="{6B1F252F-B46A-4AF6-A9E5-E87FADFB85FD}" userId="S::facundo.luque@grupocpc.com.ar::241c5c32-8286-4919-ac30-a675a12fb83a" providerId="AD"/>
  <person displayName="Julio Caminos" id="{F782486C-9BA9-4075-A377-73A7B08E7C3E}" userId="S::julio.caminos@grupocpc.com.ar::fb48d36b-9e34-4aac-9278-6a18e9214bd3" providerId="AD"/>
  <person displayName="Justina Genes" id="{43B434BF-79E3-466D-B3A3-88E19A430C27}" userId="S::justina.genes@grupocpc.com.ar::ed0faa22-0c4a-496d-9f11-46be917bf509" providerId="AD"/>
  <person displayName="Rodrigo Viana" id="{50988EDD-6B47-41AF-ACDF-E7CDA77122B0}" userId="S::rodrigo.viana@grupocpc.com.ar::88859fdd-c231-4204-a1c8-17d6f97c53d8" providerId="AD"/>
  <person displayName="Henny Bermudez" id="{37AF5AEE-CD07-4EB0-9297-B2BE037F2A46}" userId="S::henny.bermudez@grupocpc.com.ar::08e595b0-8181-4d8c-bf88-81e6db9f8b0b" providerId="AD"/>
  <person displayName="Lorena Demaria" id="{598ED824-4EF6-479C-8DE9-6C3570B05010}" userId="S::lorena.demaria@grupocpc.com.ar::8f932f53-649b-41c5-a53d-2605f3c9bc58" providerId="AD"/>
  <person displayName="Mauro Rodriguez" id="{E9451608-B4AD-4371-BAAB-18323A60B473}" userId="S::mauro.rodriguez@grupocpc.com.ar::e13d00e3-3bb7-4537-bd45-b2b03592f85d" providerId="AD"/>
  <person displayName="Miguel Solessio" id="{FBC0E431-D45A-4C03-B688-63503D55D15C}" userId="S::miguel.solessio@grupocpc.com.ar::8977740f-b118-4417-b7a9-b9af3513852a" providerId="AD"/>
  <person displayName="Romina Di Pietro" id="{E5CF185B-0DC3-48FD-81EC-930FD97014B1}" userId="S::romina.dipietro@grupocpc.com.ar::3d388ab8-5a22-40c7-8d77-97663adcb847" providerId="AD"/>
  <person displayName="Hernan Martirena" id="{A24ACDF2-3D72-4731-9026-B5A9FF337649}" userId="S::hernan.martirena@grupocpc.com.ar::0ba1ffbf-c53a-486e-a60d-a2e703bfe4fa" providerId="AD"/>
  <person displayName="Martin Argañaraz" id="{7289C7CC-35A7-45D1-AED1-71A11659A488}" userId="S::martin.arganaraz@grupocpc.com.ar::24eb6277-c9be-4371-ab82-e298daa465c4" providerId="AD"/>
  <person displayName="Hernan Czarniecki" id="{AF3B570A-E32B-43B1-A40F-6557439CBCF2}" userId="S::hernan.czarniecki@grupocpc.com.ar::6aa23dd5-5b95-4198-86f4-c6c4e4c5e7fe" providerId="AD"/>
  <person displayName="Valentin  Mazzucco" id="{B5351F09-D51D-4CF3-A116-0E3C1DC2E626}" userId="S::valentin.mazzucco@grupocpc.com.ar::cbddfcec-c3cd-46ad-a301-6d5f1438109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578233680557" createdVersion="8" refreshedVersion="8" minRefreshableVersion="3" recordCount="334" xr:uid="{D7802392-1919-43D9-A209-60AC5397BBBB}">
  <cacheSource type="worksheet">
    <worksheetSource ref="A1:H1048576" sheet="RECORRIDAS"/>
  </cacheSource>
  <cacheFields count="8">
    <cacheField name="SEMANA" numFmtId="0">
      <sharedItems containsBlank="1" containsMixedTypes="1" containsNumber="1" containsInteger="1" minValue="37" maxValue="46" count="12">
        <n v="37"/>
        <n v="38"/>
        <n v="39"/>
        <n v="40"/>
        <n v="41"/>
        <n v="42"/>
        <n v="43"/>
        <n v="44"/>
        <n v="45"/>
        <n v="46"/>
        <s v="FD"/>
        <m/>
      </sharedItems>
    </cacheField>
    <cacheField name="TURNO" numFmtId="0">
      <sharedItems containsBlank="1" count="4">
        <s v="TM"/>
        <s v="TT"/>
        <s v="FD"/>
        <m/>
      </sharedItems>
    </cacheField>
    <cacheField name="RECORRIDA" numFmtId="0">
      <sharedItems containsString="0" containsBlank="1" containsNumber="1" containsInteger="1" minValue="0" maxValue="1"/>
    </cacheField>
    <cacheField name="BAÑO" numFmtId="0">
      <sharedItems containsBlank="1"/>
    </cacheField>
    <cacheField name="FECHA" numFmtId="0">
      <sharedItems containsNonDate="0" containsDate="1" containsString="0" containsBlank="1" minDate="2025-09-08T00:00:00" maxDate="2025-11-12T00:00:00"/>
    </cacheField>
    <cacheField name="Hora" numFmtId="0">
      <sharedItems containsNonDate="0" containsDate="1" containsString="0" containsBlank="1" minDate="1899-12-30T00:00:00" maxDate="1899-12-30T23:00:00"/>
    </cacheField>
    <cacheField name="Piso" numFmtId="0">
      <sharedItems containsBlank="1" count="6">
        <s v="PRIMER PISO"/>
        <s v="PLANTA BAJA"/>
        <s v="SEGUNDO PISO"/>
        <s v="ENTRE PISO"/>
        <s v="FD"/>
        <m/>
      </sharedItems>
    </cacheField>
    <cacheField name="Sect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578233680557" createdVersion="8" refreshedVersion="8" minRefreshableVersion="3" recordCount="120" xr:uid="{1F88DFCC-348A-474F-BAC7-86C639FFBA9F}">
  <cacheSource type="worksheet">
    <worksheetSource name="Tabla4"/>
  </cacheSource>
  <cacheFields count="6">
    <cacheField name="FECHA" numFmtId="14">
      <sharedItems containsSemiMixedTypes="0" containsNonDate="0" containsDate="1" containsString="0" minDate="2025-09-08T00:00:00" maxDate="2025-10-23T00:00:00" count="23">
        <d v="2025-09-08T00:00:00"/>
        <d v="2025-09-10T00:00:00"/>
        <d v="2025-09-11T00:00:00"/>
        <d v="2025-09-16T00:00:00"/>
        <d v="2025-09-17T00:00:00"/>
        <d v="2025-09-18T00:00:00"/>
        <d v="2025-09-22T00:00:00"/>
        <d v="2025-09-24T00:00:00"/>
        <d v="2025-09-25T00:00:00"/>
        <d v="2025-09-26T00:00:00"/>
        <d v="2025-09-29T00:00:00"/>
        <d v="2025-09-30T00:00:00"/>
        <d v="2025-10-01T00:00:00"/>
        <d v="2025-10-02T00:00:00"/>
        <d v="2025-10-03T00:00:00"/>
        <d v="2025-10-06T00:00:00"/>
        <d v="2025-10-07T00:00:00"/>
        <d v="2025-10-08T00:00:00"/>
        <d v="2025-10-14T00:00:00"/>
        <d v="2025-10-15T00:00:00"/>
        <d v="2025-10-20T00:00:00"/>
        <d v="2025-10-21T00:00:00"/>
        <d v="2025-10-22T00:00:00"/>
      </sharedItems>
    </cacheField>
    <cacheField name="Hora" numFmtId="20">
      <sharedItems containsSemiMixedTypes="0" containsNonDate="0" containsDate="1" containsString="0" minDate="1899-12-30T00:00:00" maxDate="1899-12-30T23:00:00"/>
    </cacheField>
    <cacheField name="Piso" numFmtId="20">
      <sharedItems/>
    </cacheField>
    <cacheField name="Sector" numFmtId="0">
      <sharedItems count="62">
        <s v="CAM 1.5"/>
        <s v="Sala de Elab."/>
        <s v="Sala de Bobinas"/>
        <s v="CAM 0.4"/>
        <s v="CAM 0.5"/>
        <s v="Dock de carga"/>
        <s v="VESTUARIO H (PP)"/>
        <s v="CAM 1.2"/>
        <s v="CAM 1.4"/>
        <s v="CAM 0.3"/>
        <s v="Palletizado"/>
        <s v="Picadora"/>
        <s v="Sala de Aditivos"/>
        <s v="Estuchadora"/>
        <s v="VESTUARIO H (PB)"/>
        <s v="VESTUARIO H (SP)"/>
        <s v="Comedor"/>
        <s v="Taller de Mant."/>
        <s v="Deposito de Insumos E.P"/>
        <s v="Depósito varios"/>
        <s v="Antecamara Pb"/>
        <s v="Planta baja"/>
        <s v="Filtro N1"/>
        <s v="Filtro N5"/>
        <s v="BAÑO H (PB)"/>
        <s v="BAÑO H (PP)"/>
        <s v="Empaque secundario"/>
        <s v="Antecamra PP"/>
        <s v="CAM 1.3"/>
        <s v="Camara 1,2"/>
        <s v="Depositos Varios PB"/>
        <s v="Escalera hacia la azotea"/>
        <s v="Camara decomiso"/>
        <s v="SALA DE PICADORA"/>
        <s v="SALA DE ESTUCHADORA "/>
        <s v="CAMARA 1,5"/>
        <s v="ENTRE PISO"/>
        <s v="PASILLO"/>
        <s v="Antecamara PP"/>
        <s v="Camaras 04/05"/>
        <s v="Sala de produccion"/>
        <s v="Dep. de Cartones"/>
        <s v="Montacargas de Peron" u="1"/>
        <s v="Cámara 1.5" u="1"/>
        <s v="Sala de elaboración" u="1"/>
        <s v="Cuarto de Bobinas" u="1"/>
        <s v="Cámara 0.4" u="1"/>
        <s v="Cámara 0.5" u="1"/>
        <s v="Cámara 1.2" u="1"/>
        <s v="Cámara 1.4" u="1"/>
        <s v="Cámara 0.3" u="1"/>
        <s v="Sala de estuchadora" u="1"/>
        <s v="Camaras 1,2" u="1"/>
        <s v="Camaras 1,4" u="1"/>
        <s v="Vestaurio H (SP)" u="1"/>
        <s v="Antecámaras" u="1"/>
        <s v="Filtro N°1" u="1"/>
        <s v="Filtro N°5" u="1"/>
        <s v="Estuchadora " u="1"/>
        <s v="Camaras 1,5" u="1"/>
        <s v="Antecámaras P.Piso" u="1"/>
        <s v="Camara 1,3" u="1"/>
      </sharedItems>
    </cacheField>
    <cacheField name="Hallazgo" numFmtId="0">
      <sharedItems containsBlank="1" count="93">
        <s v="Restos de madera"/>
        <s v="Registros sin retirar"/>
        <s v="Bobinas sin cubrir"/>
        <s v="Producto mal ordenado"/>
        <s v="Indumentaria fuera de lugar"/>
        <s v="Elementos fuera de lugar"/>
        <s v="Pisos sucios"/>
        <s v="Producto dañado"/>
        <s v="Mantenimiento"/>
        <s v="Etiquetas fuera de lugar"/>
        <s v="Descarte de Producto sin retirar"/>
        <s v="Puertas Abiertas"/>
        <s v="Comida"/>
        <s v="Elementos de Higiene"/>
        <s v="Desorden"/>
        <s v="SA"/>
        <s v="Sin producto en lavasuela"/>
        <s v="Estuches sin retirar"/>
        <s v="Cestos de residuos llenos"/>
        <s v="Cajas de Guantes "/>
        <s v="Zocalos sucios "/>
        <s v="Restos de papeles y carton en el piso"/>
        <s v="Cofias "/>
        <s v="Papeles en el Minguitorios "/>
        <s v="Elementos de Mantenimiento"/>
        <s v="Cortinas de Pvc en el piso"/>
        <s v="Guantes de tela y cartones "/>
        <s v="Pallet de madera vacio"/>
        <s v="NUGGET "/>
        <s v="Pallet de cajas de terciario."/>
        <s v="Milanesas "/>
        <s v="Botines con carne "/>
        <s v="Papeles en el piso"/>
        <s v="Pallet vacio en pasillo de Alergenos "/>
        <s v="Hojas de Rutas pegadas en las paredes de la antecámara"/>
        <s v="Indumentaria _x000a_fuera de lugar"/>
        <s v="Productos dañados "/>
        <s v="Descarte de Producto _x000a_sin retirar"/>
        <s v="Residuos sin retirar"/>
        <s v="Cestos de basura sin bolsa " u="1"/>
        <s v="Hojas de Rutas pegadas en las paredes" u="1"/>
        <s v="1 rollo sin cubrir" u="1"/>
        <s v="Cintas sueltas " u="1"/>
        <s v="Programas, dos unidades en el gabinete de balanza" u="1"/>
        <s v="Hamburguesas en bolsas cristal arriba de la mp." u="1"/>
        <s v="Pallet de madera" u="1"/>
        <s v=" Varios Pallet de Maderas " u="1"/>
        <s v="Etiquetas de Mp pegadas en el ingreso al sector de mp" u="1"/>
        <s v="Cajas de carton  de la mp" u="1"/>
        <s v="Debajo de Ulma 3 flow con hamburguesas" u="1"/>
        <s v="Pallet y cajas de residuos sin retirar" u="1"/>
        <s v="Cinta arriba de el caño de desague a la salida de camara 1,5" u="1"/>
        <s v="Bolsas de cristal fuera de lugar" u="1"/>
        <s v="Elementos de Higiene " u="1"/>
        <s v="Restos de Cajas " u="1"/>
        <s v="Bobinas fuera de lugar" u="1"/>
        <s v="Un pallet de terciario" u="1"/>
        <s v="Puerta abierta" u="1"/>
        <s v="Elementos de Higiene Sucios" u="1"/>
        <s v="Residuos" u="1"/>
        <s v="Aditivos" u="1"/>
        <s v="Hamburgesas" u="1"/>
        <s v="Sin producto al accionar el lava suelas" u="1"/>
        <s v="Elementos de Higiene con oxido" u="1"/>
        <s v="Baños sucios" u="1"/>
        <s v="Estuches " u="1"/>
        <s v="Suciedad" u="1"/>
        <s v="Cestos de Basura" u="1"/>
        <s v="Cintas en el piso" u="1"/>
        <s v="Decomiso arriba de la Mp" u="1"/>
        <s v="Cofias" u="1"/>
        <s v="Producto" u="1"/>
        <s v="Escalera" u="1"/>
        <s v="Cinta" u="1"/>
        <s v="Bins" u="1"/>
        <s v="Desorden " u="1"/>
        <s v="Piso sucio" u="1"/>
        <s v="Sin producto al accionar el lava suelas." u="1"/>
        <m u="1"/>
        <s v="Muchas posiciones con reprocesos. Piso sucio" u="1"/>
        <s v="Muchas posiciones con pallets con cajas rotas" u="1"/>
        <s v="Tablero de electricidad suelto, con cables al aire" u="1"/>
        <s v="Soporte para elementos de higiene roto" u="1"/>
        <s v="Etiquetas de Mp y cajas de Guantes " u="1"/>
        <s v="Etiquetas de fraccionado " u="1"/>
        <s v="Impecable" u="1"/>
        <s v="Cofias  " u="1"/>
        <s v="Botellas de Jugo, papeles en el piso y arriba de los loker" u="1"/>
        <s v="Zapatillas de calle en el sector de ropa de trabajo" u="1"/>
        <s v="Tapper cofias y zapatillas arriba de los Loker" u="1"/>
        <s v="Bolsas Completas de Residuos" u="1"/>
        <s v="Bolsas abiertas de Aditivos" u="1"/>
        <s v=" Botines del Leg. 408 y 69 arriba de los loquer de ropa de calle ,Cofias y papeles en el piso" u="1"/>
      </sharedItems>
    </cacheField>
    <cacheField name="Detalle hallazgo" numFmtId="0">
      <sharedItems containsBlank="1" longText="1"/>
    </cacheField>
  </cacheFields>
  <extLst>
    <ext xmlns:x14="http://schemas.microsoft.com/office/spreadsheetml/2009/9/main" uri="{725AE2AE-9491-48be-B2B4-4EB974FC3084}">
      <x14:pivotCacheDefinition pivotCacheId="21649965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578233680557" createdVersion="8" refreshedVersion="8" minRefreshableVersion="3" recordCount="157" xr:uid="{4EA8952D-30DE-4074-804B-E3FDF79E85FC}">
  <cacheSource type="worksheet">
    <worksheetSource ref="B2:K178" sheet="RECORTES"/>
  </cacheSource>
  <cacheFields count="10">
    <cacheField name="FECHA" numFmtId="0">
      <sharedItems containsNonDate="0" containsDate="1" containsString="0" containsBlank="1" minDate="2025-03-18T00:00:00" maxDate="2025-04-29T00:00:00" count="26">
        <d v="2025-03-18T00:00:00"/>
        <d v="2025-03-19T00:00:00"/>
        <d v="2025-03-20T00:00:00"/>
        <d v="2025-03-21T00:00:00"/>
        <d v="2025-03-25T00:00:00"/>
        <d v="2025-03-26T00:00:00"/>
        <d v="2025-03-27T00:00:00"/>
        <d v="2025-03-28T00:00:00"/>
        <d v="2025-03-31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m/>
      </sharedItems>
    </cacheField>
    <cacheField name="MES" numFmtId="0">
      <sharedItems containsString="0" containsBlank="1" containsNumber="1" containsInteger="1" minValue="1" maxValue="4" count="4">
        <n v="3"/>
        <n v="4"/>
        <n v="1"/>
        <m/>
      </sharedItems>
    </cacheField>
    <cacheField name="CÓDIGO DE PRODUCTO" numFmtId="0">
      <sharedItems containsBlank="1"/>
    </cacheField>
    <cacheField name="DESCRIPCIÓN DE PRODUCTO" numFmtId="0">
      <sharedItems containsBlank="1"/>
    </cacheField>
    <cacheField name="CONCATENAR PRODUCTO" numFmtId="0">
      <sharedItems containsBlank="1" count="55">
        <s v="UG0045 - HAMBURGUESA UG 72 x 69 grs "/>
        <s v="MTUK001 - MEDALLON TUKI 18 x 4 X 63 G"/>
        <s v="CH0232 - MEDALLONES CHACRA NUESTRA 10 x12x55grs"/>
        <s v="H110 - MEDALLONES PACHECO FIRST 60 x 83 grs"/>
        <s v="UG0013 - MEDALLONES UG 40 x 110 grs"/>
        <s v="UG0005 - MEDALLONES UG 60 x 83 grs"/>
        <s v="H533 - HAMBURGUESA VICTORIA 72 X 69"/>
        <s v="H018 - MEDALLONES ARO 40 x 110 grs"/>
        <s v="UG0057 - HAMBURGUESAS UNION GANADERA 12 X 8 X 120 G"/>
        <s v="H515 - MEDALLONES VICTORIA 60 x 69 grs"/>
        <s v="H077 - HAMBURGUESA DIA % 18 x 4 x 80 grs"/>
        <s v="HFR001 - HAMBURGUESA RIOPLATENSE 60X83 GRS"/>
        <s v="H046 - HAMBURGUESA UG 60 x 83 grs "/>
        <s v="UG0048 - HAMBURGUESA UG 10 x 12 x 83 grs"/>
        <s v="UG0047 - HAMBURGUESAS UG 18 X 4 X 83 GRS"/>
        <s v="UG0053 - HAMBURGUESA UG 18 x 4 x 69 grs"/>
        <s v="UG0049 - HAMBURGUESA UG 6 x 20 x 83 grs"/>
        <s v="UG0052 - HAMBURGUESA UG 30 x 2 x 83 grs"/>
        <s v="H213 - MEDALLONES CAMPO NUESTRO 40 x 110 grs"/>
        <s v="H990 - ALBONDIGA A GRANEL"/>
        <s v="H115 - MEDALLONES P, FIRST 60 X 69 grs"/>
        <s v="ug0030 - MEDALLONES UG 36 x 83 grs"/>
        <s v="HTUK003 - HAMBURGUESA TUKI 60 x 80 G"/>
        <s v="H078 - HAMBURGUESA DIA % 12 x 12 x 80 grs"/>
        <s v="CLA003 - HAMBURGUESA CLASSIC 6 x 20 x 83 grs"/>
        <s v="H513 - MEDALLONES VICTORIA 40 x 110 grs"/>
        <s v="H413 - MEDALLONES CAMPO CHICO 40 x 110 grs"/>
        <s v="H530 - HAMBURGUESA VICTORIA 60 x 80 grs"/>
        <s v="H015 - MEDALLONES ARO  72 x 69 grs"/>
        <s v="H112 - MEDALLONES P, FIRST 72 x 55 grs"/>
        <s v="H153 - MEDALLONES BONMAR 24 x 4 x 69 grs"/>
        <s v="H154 - MEDALLONES BONMAR 72 x 69 grs"/>
        <s v="UG0750 - ALBONDIGA UG 3 Kgs (PULPETAS)"/>
        <s v="H357 - HAMBURGUESA CUISINE &amp; CO 6 X 20 X 83 grs S/GLUTEN S/TACC"/>
        <s v="H061 - MEDALLONES CHISAP 60 x 83 grs"/>
        <s v="H043 - HAMBURGUESA UG 40 x 110 grs"/>
        <s v="H113 - MEDALLONES P, FIRST 40 x 110 grs"/>
        <s v="H313 - MEDALLONES E, LA HUELLA  40 x 110 grs"/>
        <s v="H023 - MEDALLONES M&amp;K 36 x 2 x 55 grs"/>
        <s v="H073 - MEDALLONES BEST 36 x 2 x 55 grs"/>
        <s v="UG0056 - HAMBURGUESA UG 40 x 110 grs (Impreso)"/>
        <s v="CH0230 - MEDALLONES CHACRA NUESTRA 36x2x55grs"/>
        <s v="H375 - MEDALLONES MAXIMA 36 X 2 X 55 grs S/GLUTEN S/TACC"/>
        <s v="UG0050 - HAMBURGUESA UG 12 x 12 x 83 grs"/>
        <s v="UG0055 - HAMBURGUESA UG 10 x 2 x 140 grs GIGANTES "/>
        <s v="MCDL002 - MED CON SOJA CIUDAD DEL LAGO 12 X 12 X 80G"/>
        <s v="CLA002 - HAMBURGUESA CLASSIC 12 x 12 x 83 grs"/>
        <s v="H087 - MEDALLONES OPI F Pack x 2"/>
        <s v="H024 - MEDALLONES M&amp;K 20 x 2 x 110 grs"/>
        <s v="MA002 - MAROLiO 18x4x80 grs"/>
        <s v="UG0591 - HAMB DE CERDO UG 15 X 2 X 83 GRS "/>
        <s v="CH0231 - MEDALLONES CHACRA NUESTRA 24 x 4 x 55 grs"/>
        <s v="H543 - HAMBURGUESA VICTORIA 40 x 110 grs"/>
        <s v=" -  "/>
        <m/>
      </sharedItems>
    </cacheField>
    <cacheField name="RECORTE_x000a_EN CAJAS" numFmtId="1">
      <sharedItems containsString="0" containsBlank="1" containsNumber="1" containsInteger="1" minValue="0" maxValue="816"/>
    </cacheField>
    <cacheField name="RECORTE_x000a_EN KG" numFmtId="0">
      <sharedItems containsString="0" containsBlank="1" containsNumber="1" minValue="0" maxValue="8962.5"/>
    </cacheField>
    <cacheField name="MOTIVO" numFmtId="0">
      <sharedItems containsBlank="1" count="16">
        <s v="Poca cantidad solicitada (no justifica cambio de placa)"/>
        <s v="Discontinuado"/>
        <s v="Faltante de embalaje (no encontrado o dañado – en CPC)"/>
        <s v="Estaba en el programa pero no se llegó por demoras de producción"/>
        <s v="Entró después de hora"/>
        <s v="Falta carne para este tipo de fórmula"/>
        <s v="No se puede hacer el finde"/>
        <s v="Faltante de embalaje (no pedido a Tigre)"/>
        <s v="Otro"/>
        <s v="No se llega con las TN requeridas, se optó por recortar este código"/>
        <s v="Por producción de pulpetas"/>
        <s v="Se iba a hacer despues de paladini. la MP de paladini no llego a primera hora. con lo cual la prod de paladini comenzo mas tarde "/>
        <m/>
        <s v="Se pidieron más KG de los acordados"/>
        <s v="Faltante de embalaje (sin stock, ni en CPC ni en Tigre)"/>
        <s v="Faltante de embalaje (Sin Stock, ni en Tigre)" u="1"/>
      </sharedItems>
    </cacheField>
    <cacheField name="MOTIVO OTRO" numFmtId="0">
      <sharedItems containsBlank="1" count="16">
        <s v=" "/>
        <s v="Se demoró la descarga de MP de Paladini por el despacho a Exhambar, con lo cual se comenzó esta producción más tarde."/>
        <s v="Producción Paladini (no se puede hacer soja despues del queso)"/>
        <s v="TT trabaja de corrido a las 16.no se puede hacer soja"/>
        <s v="No justifica cambio de rollo el fin de semana"/>
        <s v="No hay FP"/>
        <s v="Ayer no se llego a completar la cantidad. hoy se hace Paladini quesos"/>
        <s v="Anoche no se llegó a producir por reunión sindical"/>
        <s v="No estaba en programa, se hizo igual"/>
        <s v="Se anoto mal el codigo en el programa diario. a las 3.30 se hablo con los encargados para producir este codigo pero no se llego con la cantidad"/>
        <s v="Se produjeron menos cajas de lo pedido."/>
        <s v="Se produjeron menos cajas de lo pedido. es el mismo recorte de ayer. se reprogramo el pedido"/>
        <m/>
        <s v="Muchos kilos pedidos. no daba el tiempo" u="1"/>
        <s v="Se iba a producir, la produccion comenzo 9.10" u="1"/>
        <s v="Anoche no se llego a producir por reunion sindical" u="1"/>
      </sharedItems>
    </cacheField>
    <cacheField name="¿SE REALIZÓ OTRO DÍA?_x000a_FECHA" numFmtId="0">
      <sharedItems containsDate="1" containsBlank="1" containsMixedTypes="1" minDate="2025-03-22T00:00:00" maxDate="2025-04-24T00:00:00" count="12">
        <s v=" "/>
        <d v="2025-03-22T00:00:00"/>
        <d v="2025-03-25T00:00:00"/>
        <d v="2025-03-29T00:00:00"/>
        <d v="2025-03-28T00:00:00"/>
        <d v="2025-03-31T00:00:00"/>
        <d v="2025-04-01T00:00:00"/>
        <d v="2025-04-08T00:00:00"/>
        <d v="2025-04-23T00:00:00"/>
        <d v="2025-04-22T00:00:00"/>
        <m/>
        <s v="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x v="0"/>
    <n v="1"/>
    <s v="NO"/>
    <d v="2025-09-08T00:00:00"/>
    <d v="1899-12-30T16:00:00"/>
    <x v="0"/>
    <s v="CAM_1.5"/>
  </r>
  <r>
    <x v="0"/>
    <x v="0"/>
    <n v="0"/>
    <s v="NO"/>
    <d v="2025-09-08T00:00:00"/>
    <d v="1899-12-30T16:00:00"/>
    <x v="0"/>
    <s v="Sala_de_Elab"/>
  </r>
  <r>
    <x v="0"/>
    <x v="0"/>
    <n v="0"/>
    <s v="NO"/>
    <d v="2025-09-08T00:00:00"/>
    <d v="1899-12-30T16:00:00"/>
    <x v="0"/>
    <s v="Cuarto_de_Bobinas"/>
  </r>
  <r>
    <x v="0"/>
    <x v="1"/>
    <n v="1"/>
    <s v="NO"/>
    <d v="2025-09-10T00:00:00"/>
    <d v="1899-12-30T00:00:00"/>
    <x v="1"/>
    <s v="CAM_0.4"/>
  </r>
  <r>
    <x v="0"/>
    <x v="1"/>
    <n v="0"/>
    <s v="NO"/>
    <d v="2025-09-10T00:00:00"/>
    <d v="1899-12-30T00:00:00"/>
    <x v="1"/>
    <s v="CAM_0.5"/>
  </r>
  <r>
    <x v="0"/>
    <x v="1"/>
    <n v="0"/>
    <s v="NO"/>
    <d v="2025-09-10T00:00:00"/>
    <d v="1899-12-30T00:00:00"/>
    <x v="1"/>
    <s v="DOCK_DE_CARGA"/>
  </r>
  <r>
    <x v="0"/>
    <x v="1"/>
    <n v="1"/>
    <s v="SI"/>
    <d v="2025-09-10T00:00:00"/>
    <d v="1899-12-30T06:00:00"/>
    <x v="0"/>
    <s v="VESTUARIO_H_PP"/>
  </r>
  <r>
    <x v="0"/>
    <x v="1"/>
    <n v="0"/>
    <s v="NO"/>
    <d v="2025-09-10T00:00:00"/>
    <d v="1899-12-30T06:00:00"/>
    <x v="0"/>
    <s v="CAM_1.2"/>
  </r>
  <r>
    <x v="0"/>
    <x v="1"/>
    <n v="0"/>
    <s v="NO"/>
    <d v="2025-09-10T00:00:00"/>
    <d v="1899-12-30T06:00:00"/>
    <x v="0"/>
    <s v="CAM_1.4"/>
  </r>
  <r>
    <x v="0"/>
    <x v="0"/>
    <n v="1"/>
    <s v="NO"/>
    <d v="2025-09-11T00:00:00"/>
    <d v="1899-12-30T12:00:00"/>
    <x v="1"/>
    <s v="CAM_0.4"/>
  </r>
  <r>
    <x v="0"/>
    <x v="0"/>
    <n v="0"/>
    <s v="NO"/>
    <d v="2025-09-11T00:00:00"/>
    <d v="1899-12-30T12:00:00"/>
    <x v="1"/>
    <s v="CAM_0.5"/>
  </r>
  <r>
    <x v="0"/>
    <x v="0"/>
    <n v="0"/>
    <s v="NO"/>
    <d v="2025-09-11T00:00:00"/>
    <d v="1899-12-30T12:00:00"/>
    <x v="1"/>
    <s v="CAM_0.3"/>
  </r>
  <r>
    <x v="0"/>
    <x v="0"/>
    <n v="0"/>
    <s v="NO"/>
    <d v="2025-09-11T00:00:00"/>
    <d v="1899-12-30T12:00:00"/>
    <x v="1"/>
    <s v="PALLETIZADO"/>
  </r>
  <r>
    <x v="1"/>
    <x v="0"/>
    <n v="1"/>
    <s v="NO"/>
    <d v="2025-09-16T00:00:00"/>
    <d v="1899-12-30T16:00:00"/>
    <x v="0"/>
    <s v="Picadora"/>
  </r>
  <r>
    <x v="1"/>
    <x v="0"/>
    <n v="0"/>
    <s v="NO"/>
    <d v="2025-09-16T00:00:00"/>
    <d v="1899-12-30T16:00:00"/>
    <x v="0"/>
    <s v="Sala_de_Aditivos"/>
  </r>
  <r>
    <x v="1"/>
    <x v="0"/>
    <n v="0"/>
    <s v="NO"/>
    <d v="2025-09-16T00:00:00"/>
    <d v="1899-12-30T16:00:00"/>
    <x v="0"/>
    <s v="Estuchadora"/>
  </r>
  <r>
    <x v="1"/>
    <x v="0"/>
    <n v="0"/>
    <s v="NO"/>
    <d v="2025-09-16T00:00:00"/>
    <d v="1899-12-30T16:00:00"/>
    <x v="0"/>
    <s v="CAM_1.2"/>
  </r>
  <r>
    <x v="1"/>
    <x v="0"/>
    <n v="0"/>
    <s v="NO"/>
    <d v="2025-09-16T00:00:00"/>
    <d v="1899-12-30T16:00:00"/>
    <x v="0"/>
    <s v="CAM_1.4"/>
  </r>
  <r>
    <x v="1"/>
    <x v="0"/>
    <n v="0"/>
    <s v="SI"/>
    <d v="2025-09-16T00:00:00"/>
    <d v="1899-12-30T16:00:00"/>
    <x v="0"/>
    <s v="VESTUARIO_H_PP"/>
  </r>
  <r>
    <x v="1"/>
    <x v="1"/>
    <n v="1"/>
    <s v="SI"/>
    <d v="2025-09-16T00:00:00"/>
    <d v="1899-12-30T19:00:00"/>
    <x v="1"/>
    <s v="VESTUARIO_H_PB"/>
  </r>
  <r>
    <x v="1"/>
    <x v="1"/>
    <n v="1"/>
    <s v="SI"/>
    <d v="2025-09-17T00:00:00"/>
    <d v="1899-12-30T03:00:00"/>
    <x v="1"/>
    <s v="VESTUARIO_H_PB"/>
  </r>
  <r>
    <x v="1"/>
    <x v="0"/>
    <n v="1"/>
    <s v="SI"/>
    <d v="2025-09-17T00:00:00"/>
    <d v="1899-12-30T15:00:00"/>
    <x v="2"/>
    <s v="VESTUARIO_H_SP"/>
  </r>
  <r>
    <x v="1"/>
    <x v="0"/>
    <n v="0"/>
    <s v="SI"/>
    <d v="2025-09-17T00:00:00"/>
    <d v="1899-12-30T15:00:00"/>
    <x v="2"/>
    <s v="Comedor"/>
  </r>
  <r>
    <x v="1"/>
    <x v="0"/>
    <n v="0"/>
    <s v="NO"/>
    <d v="2025-09-17T00:00:00"/>
    <d v="1899-12-30T15:00:00"/>
    <x v="2"/>
    <s v="Taller_de_Mant"/>
  </r>
  <r>
    <x v="1"/>
    <x v="0"/>
    <n v="1"/>
    <s v="NO"/>
    <d v="2025-09-17T00:00:00"/>
    <d v="1899-12-30T15:00:00"/>
    <x v="3"/>
    <s v="Depósito_de_Insumos_E.P"/>
  </r>
  <r>
    <x v="1"/>
    <x v="0"/>
    <n v="1"/>
    <s v="SI"/>
    <d v="2025-09-17T00:00:00"/>
    <d v="1899-12-30T16:00:00"/>
    <x v="0"/>
    <s v="VESTUARIO_H_PP"/>
  </r>
  <r>
    <x v="1"/>
    <x v="1"/>
    <n v="1"/>
    <s v="NO"/>
    <d v="2025-09-18T00:00:00"/>
    <d v="1899-12-30T06:00:00"/>
    <x v="0"/>
    <s v="Picadora"/>
  </r>
  <r>
    <x v="1"/>
    <x v="1"/>
    <n v="0"/>
    <s v="NO"/>
    <d v="2025-09-18T00:00:00"/>
    <d v="1899-12-30T06:00:00"/>
    <x v="0"/>
    <s v="Sala_de_Elab"/>
  </r>
  <r>
    <x v="1"/>
    <x v="0"/>
    <n v="1"/>
    <s v="NO"/>
    <d v="2025-09-18T00:00:00"/>
    <d v="1899-12-30T15:00:00"/>
    <x v="1"/>
    <s v="Depósito_varios"/>
  </r>
  <r>
    <x v="1"/>
    <x v="0"/>
    <n v="0"/>
    <s v="NO"/>
    <d v="2025-09-18T00:00:00"/>
    <d v="1899-12-30T15:00:00"/>
    <x v="1"/>
    <s v="ANTECAMARA_PB"/>
  </r>
  <r>
    <x v="1"/>
    <x v="0"/>
    <n v="0"/>
    <s v="NO"/>
    <d v="2025-09-18T00:00:00"/>
    <d v="1899-12-30T15:00:00"/>
    <x v="1"/>
    <s v="CAM_0.4"/>
  </r>
  <r>
    <x v="1"/>
    <x v="0"/>
    <n v="0"/>
    <s v="NO"/>
    <d v="2025-09-18T00:00:00"/>
    <d v="1899-12-30T15:00:00"/>
    <x v="1"/>
    <s v="Otro"/>
  </r>
  <r>
    <x v="2"/>
    <x v="1"/>
    <n v="1"/>
    <s v="SI"/>
    <d v="2025-09-22T00:00:00"/>
    <d v="1899-12-30T20:30:00"/>
    <x v="1"/>
    <s v="VESTUARIO_H_PB"/>
  </r>
  <r>
    <x v="2"/>
    <x v="1"/>
    <n v="1"/>
    <s v="NO"/>
    <d v="2025-09-22T00:00:00"/>
    <d v="1899-12-30T21:00:00"/>
    <x v="3"/>
    <s v="Depósito_de_Insumos_E.P"/>
  </r>
  <r>
    <x v="2"/>
    <x v="0"/>
    <n v="1"/>
    <s v="NO"/>
    <d v="2025-09-24T00:00:00"/>
    <d v="1899-12-30T16:00:00"/>
    <x v="0"/>
    <s v="Filtro_N1"/>
  </r>
  <r>
    <x v="2"/>
    <x v="1"/>
    <n v="1"/>
    <s v="SI"/>
    <d v="2025-09-25T00:00:00"/>
    <d v="1899-12-30T05:00:00"/>
    <x v="0"/>
    <s v="VESTUARIO_H_PP"/>
  </r>
  <r>
    <x v="2"/>
    <x v="0"/>
    <n v="1"/>
    <s v="NO"/>
    <d v="2025-09-25T00:00:00"/>
    <d v="1899-12-30T15:20:00"/>
    <x v="0"/>
    <s v="Picadora"/>
  </r>
  <r>
    <x v="2"/>
    <x v="0"/>
    <n v="0"/>
    <s v="NO"/>
    <d v="2025-09-25T00:00:00"/>
    <d v="1899-12-30T15:20:00"/>
    <x v="0"/>
    <s v="Picadora"/>
  </r>
  <r>
    <x v="2"/>
    <x v="0"/>
    <n v="1"/>
    <s v="NO"/>
    <d v="2025-09-25T00:00:00"/>
    <d v="1899-12-30T15:20:00"/>
    <x v="3"/>
    <s v="Filtro_N5"/>
  </r>
  <r>
    <x v="2"/>
    <x v="0"/>
    <n v="1"/>
    <s v="NO"/>
    <d v="2025-09-25T00:00:00"/>
    <d v="1899-12-30T15:30:00"/>
    <x v="1"/>
    <s v="Otro"/>
  </r>
  <r>
    <x v="2"/>
    <x v="0"/>
    <n v="0"/>
    <s v="SI"/>
    <d v="2025-09-25T00:00:00"/>
    <d v="1899-12-30T15:30:00"/>
    <x v="1"/>
    <s v="BAÑO_H_PB"/>
  </r>
  <r>
    <x v="2"/>
    <x v="1"/>
    <n v="1"/>
    <s v="NO"/>
    <d v="2025-09-26T00:00:00"/>
    <d v="1899-12-30T04:00:00"/>
    <x v="0"/>
    <s v="Estuchadora"/>
  </r>
  <r>
    <x v="2"/>
    <x v="1"/>
    <n v="0"/>
    <s v="NO"/>
    <d v="2025-09-26T00:00:00"/>
    <d v="1899-12-30T04:00:00"/>
    <x v="0"/>
    <s v="CAM_1.5"/>
  </r>
  <r>
    <x v="2"/>
    <x v="1"/>
    <n v="0"/>
    <s v="NO"/>
    <d v="2025-09-26T00:00:00"/>
    <d v="1899-12-30T04:00:00"/>
    <x v="0"/>
    <s v="CAM_1.2"/>
  </r>
  <r>
    <x v="2"/>
    <x v="1"/>
    <n v="0"/>
    <s v="SI"/>
    <d v="2025-09-26T00:00:00"/>
    <d v="1899-12-30T04:00:00"/>
    <x v="0"/>
    <s v="BAÑO_H_PP"/>
  </r>
  <r>
    <x v="3"/>
    <x v="0"/>
    <n v="1"/>
    <s v="NO"/>
    <d v="2025-09-29T00:00:00"/>
    <d v="1899-12-30T16:00:00"/>
    <x v="0"/>
    <s v="Estuchadora"/>
  </r>
  <r>
    <x v="3"/>
    <x v="0"/>
    <n v="0"/>
    <s v="NO"/>
    <d v="2025-09-29T00:00:00"/>
    <d v="1899-12-30T16:00:00"/>
    <x v="0"/>
    <s v="Empaque_secundario"/>
  </r>
  <r>
    <x v="3"/>
    <x v="0"/>
    <n v="0"/>
    <s v="NO"/>
    <d v="2025-09-29T00:00:00"/>
    <d v="1899-12-30T16:00:00"/>
    <x v="0"/>
    <s v="CAM_1.2"/>
  </r>
  <r>
    <x v="3"/>
    <x v="0"/>
    <n v="1"/>
    <s v="SI"/>
    <d v="2025-09-29T00:00:00"/>
    <d v="1899-12-30T16:00:00"/>
    <x v="1"/>
    <s v="VESTUARIO_H_PB"/>
  </r>
  <r>
    <x v="3"/>
    <x v="1"/>
    <n v="1"/>
    <s v="NO"/>
    <d v="2025-09-30T00:00:00"/>
    <d v="1899-12-30T04:00:00"/>
    <x v="0"/>
    <s v="Estuchadora"/>
  </r>
  <r>
    <x v="3"/>
    <x v="1"/>
    <n v="0"/>
    <s v="NO"/>
    <d v="2025-09-30T00:00:00"/>
    <d v="1899-12-30T04:00:00"/>
    <x v="0"/>
    <s v="Estuchadora"/>
  </r>
  <r>
    <x v="3"/>
    <x v="1"/>
    <n v="0"/>
    <s v="NO"/>
    <d v="2025-09-30T00:00:00"/>
    <d v="1899-12-30T04:00:00"/>
    <x v="0"/>
    <s v="Cuarto_de_Bobinas"/>
  </r>
  <r>
    <x v="3"/>
    <x v="1"/>
    <n v="0"/>
    <s v="NO"/>
    <d v="2025-09-30T00:00:00"/>
    <d v="1899-12-30T04:00:00"/>
    <x v="0"/>
    <s v="ANTECAMARA_PP"/>
  </r>
  <r>
    <x v="3"/>
    <x v="1"/>
    <n v="0"/>
    <s v="NO"/>
    <d v="2025-09-30T00:00:00"/>
    <d v="1899-12-30T04:00:00"/>
    <x v="0"/>
    <s v="CAM_1.5"/>
  </r>
  <r>
    <x v="3"/>
    <x v="1"/>
    <n v="0"/>
    <s v="NO"/>
    <d v="2025-09-30T00:00:00"/>
    <d v="1899-12-30T04:00:00"/>
    <x v="0"/>
    <s v="CAM_1.5"/>
  </r>
  <r>
    <x v="3"/>
    <x v="1"/>
    <n v="0"/>
    <s v="NO"/>
    <d v="2025-09-30T00:00:00"/>
    <d v="1899-12-30T04:00:00"/>
    <x v="0"/>
    <s v="CAM_1.3"/>
  </r>
  <r>
    <x v="3"/>
    <x v="1"/>
    <n v="0"/>
    <s v="NO"/>
    <d v="2025-09-30T00:00:00"/>
    <d v="1899-12-30T06:00:00"/>
    <x v="0"/>
    <s v="Estuchadora"/>
  </r>
  <r>
    <x v="3"/>
    <x v="1"/>
    <n v="1"/>
    <s v="SI"/>
    <d v="2025-09-30T00:00:00"/>
    <d v="1899-12-30T21:30:00"/>
    <x v="1"/>
    <s v="VESTUARIO_H_PB"/>
  </r>
  <r>
    <x v="3"/>
    <x v="1"/>
    <n v="1"/>
    <s v="NO"/>
    <d v="2025-10-01T00:00:00"/>
    <d v="1899-12-30T04:30:00"/>
    <x v="0"/>
    <s v="CAM_1.3"/>
  </r>
  <r>
    <x v="3"/>
    <x v="1"/>
    <n v="0"/>
    <s v="NO"/>
    <d v="2025-10-01T00:00:00"/>
    <d v="1899-12-30T04:30:00"/>
    <x v="0"/>
    <s v="Sala_de_Elab"/>
  </r>
  <r>
    <x v="3"/>
    <x v="1"/>
    <n v="0"/>
    <s v="NO"/>
    <d v="2025-10-01T00:00:00"/>
    <d v="1899-12-30T04:30:00"/>
    <x v="0"/>
    <s v="Estuchadora"/>
  </r>
  <r>
    <x v="3"/>
    <x v="1"/>
    <n v="0"/>
    <s v="NO"/>
    <d v="2025-10-01T00:00:00"/>
    <d v="1899-12-30T04:30:00"/>
    <x v="0"/>
    <s v="Empaque_secundario"/>
  </r>
  <r>
    <x v="3"/>
    <x v="0"/>
    <n v="1"/>
    <s v="NO"/>
    <d v="2025-10-01T00:00:00"/>
    <d v="1899-12-30T10:00:00"/>
    <x v="3"/>
    <s v="Depósito_de_Insumos_E.P"/>
  </r>
  <r>
    <x v="3"/>
    <x v="0"/>
    <n v="0"/>
    <s v="NO"/>
    <d v="2025-10-01T00:00:00"/>
    <d v="1899-12-30T10:00:00"/>
    <x v="3"/>
    <s v="Depósito_de_Insumos_E.P"/>
  </r>
  <r>
    <x v="3"/>
    <x v="0"/>
    <n v="1"/>
    <s v="SI"/>
    <d v="2025-10-01T00:00:00"/>
    <d v="1899-12-30T10:00:00"/>
    <x v="2"/>
    <s v="Comedor"/>
  </r>
  <r>
    <x v="3"/>
    <x v="0"/>
    <n v="0"/>
    <s v="SI"/>
    <d v="2025-10-01T00:00:00"/>
    <d v="1899-12-30T10:00:00"/>
    <x v="2"/>
    <s v="Comedor"/>
  </r>
  <r>
    <x v="3"/>
    <x v="0"/>
    <n v="0"/>
    <s v="SI"/>
    <d v="2025-10-01T00:00:00"/>
    <d v="1899-12-30T10:00:00"/>
    <x v="2"/>
    <s v="Comedor"/>
  </r>
  <r>
    <x v="3"/>
    <x v="0"/>
    <n v="1"/>
    <s v="SI"/>
    <d v="2025-10-01T00:00:00"/>
    <d v="1899-12-30T16:00:00"/>
    <x v="0"/>
    <s v="VESTUARIO_H_PP"/>
  </r>
  <r>
    <x v="3"/>
    <x v="0"/>
    <n v="1"/>
    <s v="NO"/>
    <d v="2025-10-01T00:00:00"/>
    <d v="1899-12-30T16:00:00"/>
    <x v="1"/>
    <s v="Otro"/>
  </r>
  <r>
    <x v="3"/>
    <x v="0"/>
    <n v="0"/>
    <s v="NO"/>
    <d v="2025-10-01T00:00:00"/>
    <d v="1899-12-30T16:00:00"/>
    <x v="1"/>
    <s v="Otro"/>
  </r>
  <r>
    <x v="3"/>
    <x v="1"/>
    <n v="0"/>
    <s v="NO"/>
    <d v="2025-10-02T00:00:00"/>
    <d v="1899-12-30T22:00:00"/>
    <x v="0"/>
    <s v="Estuchadora"/>
  </r>
  <r>
    <x v="3"/>
    <x v="1"/>
    <n v="1"/>
    <s v="NO"/>
    <d v="2025-10-03T00:00:00"/>
    <d v="1899-12-30T06:00:00"/>
    <x v="0"/>
    <s v="Empaque_secundario"/>
  </r>
  <r>
    <x v="3"/>
    <x v="1"/>
    <n v="1"/>
    <s v="SI"/>
    <d v="2025-10-02T00:00:00"/>
    <d v="1899-12-30T23:00:00"/>
    <x v="1"/>
    <s v="VESTUARIO_H_PB"/>
  </r>
  <r>
    <x v="3"/>
    <x v="0"/>
    <n v="1"/>
    <s v="NO"/>
    <d v="2025-10-03T00:00:00"/>
    <d v="1899-12-30T16:00:00"/>
    <x v="0"/>
    <s v="CAM_1.5"/>
  </r>
  <r>
    <x v="3"/>
    <x v="1"/>
    <n v="1"/>
    <s v="SI"/>
    <d v="2025-10-03T00:00:00"/>
    <d v="1899-12-30T21:00:00"/>
    <x v="1"/>
    <s v="VESTUARIO_H_PB"/>
  </r>
  <r>
    <x v="3"/>
    <x v="1"/>
    <n v="0"/>
    <s v="SI"/>
    <d v="2025-10-03T00:00:00"/>
    <d v="1899-12-30T21:00:00"/>
    <x v="1"/>
    <s v="VESTUARIO_H_PB"/>
  </r>
  <r>
    <x v="3"/>
    <x v="1"/>
    <n v="0"/>
    <s v="NO"/>
    <d v="2025-10-03T00:00:00"/>
    <d v="1899-12-30T21:00:00"/>
    <x v="1"/>
    <s v="ANTECAMARA_PB"/>
  </r>
  <r>
    <x v="4"/>
    <x v="0"/>
    <n v="1"/>
    <s v="SI"/>
    <d v="2025-10-06T00:00:00"/>
    <d v="1899-12-30T16:00:00"/>
    <x v="1"/>
    <s v="VESTUARIO_H_PB"/>
  </r>
  <r>
    <x v="4"/>
    <x v="1"/>
    <n v="1"/>
    <s v="NO"/>
    <d v="2025-10-07T00:00:00"/>
    <d v="1899-12-30T04:30:00"/>
    <x v="0"/>
    <s v="ANTECAMARA_PP"/>
  </r>
  <r>
    <x v="4"/>
    <x v="1"/>
    <n v="0"/>
    <s v="NO"/>
    <d v="2025-10-07T00:00:00"/>
    <d v="1899-12-30T04:30:00"/>
    <x v="0"/>
    <s v="CAM_1.2"/>
  </r>
  <r>
    <x v="4"/>
    <x v="1"/>
    <n v="0"/>
    <s v="NO"/>
    <d v="2025-10-07T00:00:00"/>
    <d v="1899-12-30T04:30:00"/>
    <x v="0"/>
    <s v="Estuchadora"/>
  </r>
  <r>
    <x v="4"/>
    <x v="0"/>
    <n v="1"/>
    <s v="SI"/>
    <d v="2025-10-07T00:00:00"/>
    <d v="1899-12-30T16:00:00"/>
    <x v="0"/>
    <s v="VESTUARIO_H_PP"/>
  </r>
  <r>
    <x v="4"/>
    <x v="0"/>
    <n v="0"/>
    <s v="SI"/>
    <d v="2025-10-07T00:00:00"/>
    <d v="1899-12-30T16:00:00"/>
    <x v="0"/>
    <s v="BAÑO_H_PP"/>
  </r>
  <r>
    <x v="4"/>
    <x v="1"/>
    <n v="1"/>
    <s v="SI"/>
    <d v="2025-10-07T00:00:00"/>
    <d v="1899-12-30T21:30:00"/>
    <x v="1"/>
    <s v="VESTUARIO_H_PB"/>
  </r>
  <r>
    <x v="4"/>
    <x v="1"/>
    <n v="0"/>
    <s v="NO"/>
    <d v="2025-10-07T00:00:00"/>
    <d v="1899-12-30T21:30:00"/>
    <x v="1"/>
    <s v="Depósito_varios"/>
  </r>
  <r>
    <x v="4"/>
    <x v="0"/>
    <n v="1"/>
    <s v="NO"/>
    <d v="2025-10-08T00:00:00"/>
    <d v="1899-12-30T10:00:00"/>
    <x v="1"/>
    <s v="Otro"/>
  </r>
  <r>
    <x v="4"/>
    <x v="0"/>
    <n v="0"/>
    <s v="NO"/>
    <d v="2025-10-08T00:00:00"/>
    <d v="1899-12-30T10:00:00"/>
    <x v="1"/>
    <s v="Depósito_varios"/>
  </r>
  <r>
    <x v="4"/>
    <x v="0"/>
    <n v="0"/>
    <s v="NO"/>
    <d v="2025-10-08T00:00:00"/>
    <d v="1899-12-30T10:00:00"/>
    <x v="1"/>
    <s v="CAM_0.6"/>
  </r>
  <r>
    <x v="4"/>
    <x v="1"/>
    <n v="1"/>
    <s v="NO"/>
    <d v="2025-10-08T00:00:00"/>
    <d v="1899-12-30T04:30:00"/>
    <x v="0"/>
    <s v="CAM_1.5"/>
  </r>
  <r>
    <x v="4"/>
    <x v="1"/>
    <n v="0"/>
    <s v="SI"/>
    <d v="2025-10-08T00:00:00"/>
    <d v="1899-12-30T04:30:00"/>
    <x v="0"/>
    <s v="VESTUARIO_H_PP"/>
  </r>
  <r>
    <x v="5"/>
    <x v="1"/>
    <n v="1"/>
    <s v="NO"/>
    <d v="2025-10-14T00:00:00"/>
    <d v="1899-12-30T05:00:00"/>
    <x v="0"/>
    <s v="Cuarto_de_Bobinas"/>
  </r>
  <r>
    <x v="5"/>
    <x v="0"/>
    <n v="1"/>
    <s v="NO"/>
    <d v="2025-10-14T00:00:00"/>
    <d v="1899-12-30T16:00:00"/>
    <x v="0"/>
    <s v="Picadora"/>
  </r>
  <r>
    <x v="5"/>
    <x v="0"/>
    <n v="0"/>
    <s v="NO"/>
    <d v="2025-10-14T00:00:00"/>
    <d v="1899-12-30T16:00:00"/>
    <x v="0"/>
    <s v="Estuchadora"/>
  </r>
  <r>
    <x v="5"/>
    <x v="0"/>
    <n v="0"/>
    <s v="NO"/>
    <d v="2025-10-14T00:00:00"/>
    <d v="1899-12-30T16:00:00"/>
    <x v="0"/>
    <s v="CAM_1.5"/>
  </r>
  <r>
    <x v="5"/>
    <x v="0"/>
    <n v="0"/>
    <s v="SI"/>
    <d v="2025-10-14T00:00:00"/>
    <d v="1899-12-30T16:00:00"/>
    <x v="0"/>
    <s v="VESTUARIO_H_PP"/>
  </r>
  <r>
    <x v="5"/>
    <x v="1"/>
    <n v="1"/>
    <s v="SI"/>
    <d v="2025-10-14T00:00:00"/>
    <d v="1899-12-30T20:30:00"/>
    <x v="1"/>
    <s v="VESTUARIO_H_PB"/>
  </r>
  <r>
    <x v="5"/>
    <x v="1"/>
    <n v="1"/>
    <s v="SI"/>
    <d v="2025-10-14T00:00:00"/>
    <d v="1899-12-30T20:30:00"/>
    <x v="0"/>
    <s v="BAÑO_H_PP"/>
  </r>
  <r>
    <x v="5"/>
    <x v="0"/>
    <n v="1"/>
    <s v="NO"/>
    <d v="2025-10-15T00:00:00"/>
    <d v="1899-12-30T10:20:00"/>
    <x v="3"/>
    <s v="Depósito_de_Soja"/>
  </r>
  <r>
    <x v="6"/>
    <x v="0"/>
    <n v="1"/>
    <s v="NO"/>
    <d v="2025-10-20T00:00:00"/>
    <d v="1899-12-30T15:00:00"/>
    <x v="1"/>
    <s v="ANTECAMARA_PB"/>
  </r>
  <r>
    <x v="6"/>
    <x v="0"/>
    <n v="1"/>
    <s v="NO"/>
    <d v="2025-10-20T00:00:00"/>
    <d v="1899-12-30T16:00:00"/>
    <x v="0"/>
    <s v="Cuarto_de_Bobinas"/>
  </r>
  <r>
    <x v="6"/>
    <x v="0"/>
    <n v="0"/>
    <s v="NO"/>
    <d v="2025-10-20T00:00:00"/>
    <d v="1899-12-30T16:00:00"/>
    <x v="0"/>
    <s v="Empaque_secundario"/>
  </r>
  <r>
    <x v="6"/>
    <x v="0"/>
    <n v="0"/>
    <s v="NO"/>
    <d v="2025-10-20T00:00:00"/>
    <d v="1899-12-30T16:00:00"/>
    <x v="0"/>
    <s v="Empaque_secundario"/>
  </r>
  <r>
    <x v="6"/>
    <x v="0"/>
    <n v="0"/>
    <s v="NO"/>
    <d v="2025-10-20T00:00:00"/>
    <d v="1899-12-30T16:00:00"/>
    <x v="0"/>
    <s v="CAM_1.5"/>
  </r>
  <r>
    <x v="6"/>
    <x v="0"/>
    <n v="0"/>
    <s v="SI"/>
    <d v="2025-10-20T00:00:00"/>
    <d v="1899-12-30T16:00:00"/>
    <x v="0"/>
    <s v="VESTUARIO_H_PP"/>
  </r>
  <r>
    <x v="6"/>
    <x v="0"/>
    <n v="1"/>
    <s v="NO"/>
    <d v="2025-10-21T00:00:00"/>
    <d v="1899-12-30T16:00:00"/>
    <x v="0"/>
    <s v="Empaque_secundario"/>
  </r>
  <r>
    <x v="6"/>
    <x v="0"/>
    <n v="0"/>
    <s v="NO"/>
    <d v="2025-10-21T00:00:00"/>
    <d v="1899-12-30T16:00:00"/>
    <x v="0"/>
    <s v="Picadora"/>
  </r>
  <r>
    <x v="6"/>
    <x v="0"/>
    <n v="0"/>
    <s v="NO"/>
    <d v="2025-10-21T00:00:00"/>
    <d v="1899-12-30T16:00:00"/>
    <x v="0"/>
    <s v="ANTECAMARA_PP"/>
  </r>
  <r>
    <x v="6"/>
    <x v="0"/>
    <n v="0"/>
    <s v="NO"/>
    <d v="2025-10-21T00:00:00"/>
    <d v="1899-12-30T16:00:00"/>
    <x v="0"/>
    <s v="Picadora"/>
  </r>
  <r>
    <x v="6"/>
    <x v="0"/>
    <n v="0"/>
    <s v="NO"/>
    <d v="2025-10-21T00:00:00"/>
    <d v="1899-12-30T16:00:00"/>
    <x v="0"/>
    <s v="Picadora"/>
  </r>
  <r>
    <x v="6"/>
    <x v="1"/>
    <n v="1"/>
    <s v="SI"/>
    <d v="2025-10-22T00:00:00"/>
    <d v="1899-12-30T00:00:00"/>
    <x v="1"/>
    <s v="VESTUARIO_H_PB"/>
  </r>
  <r>
    <x v="6"/>
    <x v="1"/>
    <n v="0"/>
    <s v="NO"/>
    <d v="2025-10-22T00:00:00"/>
    <d v="1899-12-30T00:00:00"/>
    <x v="1"/>
    <s v="CAM_0.4"/>
  </r>
  <r>
    <x v="6"/>
    <x v="1"/>
    <n v="0"/>
    <s v="NO"/>
    <d v="2025-10-22T00:00:00"/>
    <d v="1899-12-30T00:00:00"/>
    <x v="1"/>
    <s v="CAM_0.5"/>
  </r>
  <r>
    <x v="6"/>
    <x v="1"/>
    <n v="1"/>
    <s v="SI"/>
    <d v="2025-10-22T00:00:00"/>
    <d v="1899-12-30T06:00:00"/>
    <x v="0"/>
    <s v="VESTUARIO_H_PP"/>
  </r>
  <r>
    <x v="6"/>
    <x v="1"/>
    <n v="0"/>
    <s v="NO"/>
    <d v="2025-10-22T00:00:00"/>
    <d v="1899-12-30T06:00:00"/>
    <x v="0"/>
    <s v="Sala_de_Elab"/>
  </r>
  <r>
    <x v="6"/>
    <x v="1"/>
    <n v="0"/>
    <s v="NO"/>
    <d v="2025-10-22T00:00:00"/>
    <d v="1899-12-30T06:00:00"/>
    <x v="0"/>
    <s v="Estuchadora"/>
  </r>
  <r>
    <x v="6"/>
    <x v="1"/>
    <n v="0"/>
    <s v="NO"/>
    <d v="2025-10-22T00:00:00"/>
    <d v="1899-12-30T06:00:00"/>
    <x v="0"/>
    <s v="Estuchadora"/>
  </r>
  <r>
    <x v="6"/>
    <x v="1"/>
    <n v="0"/>
    <s v="NO"/>
    <d v="2025-10-22T00:00:00"/>
    <d v="1899-12-30T06:00:00"/>
    <x v="0"/>
    <s v="ANTECAMARA_PP"/>
  </r>
  <r>
    <x v="6"/>
    <x v="1"/>
    <n v="0"/>
    <s v="NO"/>
    <d v="2025-10-22T00:00:00"/>
    <d v="1899-12-30T06:00:00"/>
    <x v="0"/>
    <s v="ANTECAMARA_PP"/>
  </r>
  <r>
    <x v="6"/>
    <x v="1"/>
    <n v="0"/>
    <s v="SI"/>
    <d v="2025-10-22T00:00:00"/>
    <d v="1899-12-30T06:00:00"/>
    <x v="0"/>
    <s v="BAÑO_H_PP"/>
  </r>
  <r>
    <x v="6"/>
    <x v="1"/>
    <n v="0"/>
    <s v="NO"/>
    <d v="2025-10-22T00:00:00"/>
    <d v="1899-12-30T06:00:00"/>
    <x v="0"/>
    <s v="Empaque_secundario"/>
  </r>
  <r>
    <x v="6"/>
    <x v="1"/>
    <n v="0"/>
    <s v="NO"/>
    <d v="2025-10-22T00:00:00"/>
    <d v="1899-12-30T06:00:00"/>
    <x v="0"/>
    <s v="Cuarto_de_Bobinas"/>
  </r>
  <r>
    <x v="6"/>
    <x v="1"/>
    <n v="1"/>
    <s v="SI"/>
    <d v="2025-10-23T00:00:00"/>
    <d v="1899-12-30T06:00:00"/>
    <x v="0"/>
    <s v="VESTUARIO_H_PP"/>
  </r>
  <r>
    <x v="6"/>
    <x v="1"/>
    <n v="0"/>
    <s v="SI"/>
    <d v="2025-10-23T00:00:00"/>
    <d v="1899-12-30T06:00:00"/>
    <x v="0"/>
    <s v="VESTUARIO_H_PP"/>
  </r>
  <r>
    <x v="6"/>
    <x v="0"/>
    <n v="1"/>
    <s v="NO"/>
    <d v="2025-10-23T00:00:00"/>
    <d v="1899-12-30T15:30:00"/>
    <x v="1"/>
    <s v="CAM_0.5"/>
  </r>
  <r>
    <x v="6"/>
    <x v="0"/>
    <n v="0"/>
    <s v="NO"/>
    <d v="2025-10-23T00:00:00"/>
    <d v="1899-12-30T15:30:00"/>
    <x v="1"/>
    <s v="CAM_0.4"/>
  </r>
  <r>
    <x v="6"/>
    <x v="0"/>
    <n v="0"/>
    <s v="NO"/>
    <d v="2025-10-23T00:00:00"/>
    <d v="1899-12-30T15:30:00"/>
    <x v="1"/>
    <s v="CAM_0.2"/>
  </r>
  <r>
    <x v="6"/>
    <x v="0"/>
    <n v="0"/>
    <s v="NO"/>
    <d v="2025-10-23T00:00:00"/>
    <d v="1899-12-30T15:30:00"/>
    <x v="1"/>
    <s v="Depósito_varios"/>
  </r>
  <r>
    <x v="6"/>
    <x v="0"/>
    <n v="0"/>
    <s v="NO"/>
    <d v="2025-10-23T00:00:00"/>
    <d v="1899-12-30T15:30:00"/>
    <x v="1"/>
    <s v="Depósito_varios"/>
  </r>
  <r>
    <x v="6"/>
    <x v="0"/>
    <n v="0"/>
    <s v="SI"/>
    <d v="2025-10-23T00:00:00"/>
    <d v="1899-12-30T15:30:00"/>
    <x v="1"/>
    <s v="VESTUARIO_H_PB"/>
  </r>
  <r>
    <x v="6"/>
    <x v="0"/>
    <n v="1"/>
    <s v="NO"/>
    <d v="2025-10-24T00:00:00"/>
    <d v="1899-12-30T12:30:00"/>
    <x v="3"/>
    <s v="Depósito_de_Prod_Qcos_E.P"/>
  </r>
  <r>
    <x v="6"/>
    <x v="0"/>
    <n v="0"/>
    <s v="NO"/>
    <d v="2025-10-24T00:00:00"/>
    <d v="1899-12-30T12:30:00"/>
    <x v="3"/>
    <s v="Depósito_de_Prod_Qcos_E.P"/>
  </r>
  <r>
    <x v="6"/>
    <x v="0"/>
    <n v="0"/>
    <s v="NO"/>
    <d v="2025-10-24T00:00:00"/>
    <d v="1899-12-30T12:30:00"/>
    <x v="3"/>
    <s v="Depósito_de_Prod_Qcos_E.P"/>
  </r>
  <r>
    <x v="6"/>
    <x v="0"/>
    <n v="0"/>
    <s v="NO"/>
    <d v="2025-10-24T00:00:00"/>
    <d v="1899-12-30T12:30:00"/>
    <x v="3"/>
    <s v="Otro"/>
  </r>
  <r>
    <x v="6"/>
    <x v="0"/>
    <n v="0"/>
    <s v="NO"/>
    <d v="2025-10-24T00:00:00"/>
    <d v="1899-12-30T12:30:00"/>
    <x v="3"/>
    <s v="Depósito_de_Soja"/>
  </r>
  <r>
    <x v="6"/>
    <x v="0"/>
    <n v="0"/>
    <s v="NO"/>
    <d v="2025-10-24T00:00:00"/>
    <d v="1899-12-30T12:30:00"/>
    <x v="3"/>
    <s v="Otro"/>
  </r>
  <r>
    <x v="6"/>
    <x v="0"/>
    <n v="0"/>
    <s v="NO"/>
    <d v="2025-10-24T00:00:00"/>
    <d v="1899-12-30T12:30:00"/>
    <x v="3"/>
    <s v="Otro"/>
  </r>
  <r>
    <x v="6"/>
    <x v="0"/>
    <n v="0"/>
    <s v="NO"/>
    <d v="2025-10-24T00:00:00"/>
    <d v="1899-12-30T12:30:00"/>
    <x v="3"/>
    <s v="Depósito_de_Prod_Qcos_E.P"/>
  </r>
  <r>
    <x v="6"/>
    <x v="0"/>
    <n v="1"/>
    <s v="NO"/>
    <d v="2025-10-24T00:00:00"/>
    <d v="1899-12-30T12:30:00"/>
    <x v="2"/>
    <s v="Sala_de_Clorinado"/>
  </r>
  <r>
    <x v="6"/>
    <x v="0"/>
    <n v="0"/>
    <s v="SI"/>
    <d v="2025-10-24T00:00:00"/>
    <d v="1899-12-30T12:30:00"/>
    <x v="2"/>
    <s v="VESTUARIO_H_SP"/>
  </r>
  <r>
    <x v="6"/>
    <x v="0"/>
    <n v="0"/>
    <s v="SI"/>
    <d v="2025-10-24T00:00:00"/>
    <d v="1899-12-30T12:30:00"/>
    <x v="2"/>
    <s v="VESTUARIO_H_SP"/>
  </r>
  <r>
    <x v="6"/>
    <x v="0"/>
    <n v="0"/>
    <s v="SI"/>
    <d v="2025-10-24T00:00:00"/>
    <d v="1899-12-30T12:30:00"/>
    <x v="2"/>
    <s v="Comedor"/>
  </r>
  <r>
    <x v="6"/>
    <x v="0"/>
    <n v="0"/>
    <s v="SI"/>
    <d v="2025-10-24T00:00:00"/>
    <d v="1899-12-30T12:30:00"/>
    <x v="2"/>
    <s v="Comedor"/>
  </r>
  <r>
    <x v="6"/>
    <x v="0"/>
    <n v="0"/>
    <s v="NO"/>
    <d v="2025-10-24T00:00:00"/>
    <d v="1899-12-30T12:30:00"/>
    <x v="2"/>
    <s v="Taller_de_Mant"/>
  </r>
  <r>
    <x v="6"/>
    <x v="0"/>
    <n v="0"/>
    <s v="SI"/>
    <d v="2025-10-24T00:00:00"/>
    <d v="1899-12-30T12:30:00"/>
    <x v="2"/>
    <s v="Comedor"/>
  </r>
  <r>
    <x v="6"/>
    <x v="0"/>
    <n v="0"/>
    <s v="NO"/>
    <d v="2025-10-24T00:00:00"/>
    <d v="1899-12-30T12:30:00"/>
    <x v="2"/>
    <s v="Depósito_de_Prod_Qcos_S.P"/>
  </r>
  <r>
    <x v="6"/>
    <x v="0"/>
    <n v="0"/>
    <s v="SI"/>
    <d v="2025-10-24T00:00:00"/>
    <d v="1899-12-30T12:30:00"/>
    <x v="2"/>
    <s v="Comedor"/>
  </r>
  <r>
    <x v="7"/>
    <x v="1"/>
    <n v="1"/>
    <s v="SI"/>
    <d v="2025-10-27T00:00:00"/>
    <d v="1899-12-30T20:00:00"/>
    <x v="1"/>
    <s v="VESTUARIO_H_PB"/>
  </r>
  <r>
    <x v="7"/>
    <x v="1"/>
    <n v="0"/>
    <s v="NO"/>
    <d v="2025-10-27T00:00:00"/>
    <d v="1899-12-30T20:00:00"/>
    <x v="1"/>
    <s v="CAM_0.5"/>
  </r>
  <r>
    <x v="7"/>
    <x v="1"/>
    <n v="1"/>
    <s v="NO"/>
    <d v="2025-10-28T00:00:00"/>
    <d v="1899-12-30T06:00:00"/>
    <x v="0"/>
    <s v="ANTECAMARA_PP"/>
  </r>
  <r>
    <x v="7"/>
    <x v="1"/>
    <n v="0"/>
    <s v="NO"/>
    <d v="2025-10-28T00:00:00"/>
    <d v="1899-12-30T06:00:00"/>
    <x v="0"/>
    <s v="Empaque_secundario"/>
  </r>
  <r>
    <x v="7"/>
    <x v="1"/>
    <n v="0"/>
    <s v="SI"/>
    <d v="2025-10-28T00:00:00"/>
    <d v="1899-12-30T06:00:00"/>
    <x v="0"/>
    <s v="VESTUARIO_H_PP"/>
  </r>
  <r>
    <x v="7"/>
    <x v="1"/>
    <n v="0"/>
    <s v="NO"/>
    <d v="2025-10-28T00:00:00"/>
    <d v="1899-12-30T06:00:00"/>
    <x v="0"/>
    <s v="Sala_de_Elab"/>
  </r>
  <r>
    <x v="7"/>
    <x v="1"/>
    <n v="0"/>
    <s v="NO"/>
    <d v="2025-10-28T00:00:00"/>
    <d v="1899-12-30T06:00:00"/>
    <x v="0"/>
    <s v="ANTECAMARA_PP"/>
  </r>
  <r>
    <x v="7"/>
    <x v="1"/>
    <n v="0"/>
    <s v="NO"/>
    <d v="2025-10-28T00:00:00"/>
    <d v="1899-12-30T06:00:00"/>
    <x v="0"/>
    <s v="ANTECAMARA_PP"/>
  </r>
  <r>
    <x v="7"/>
    <x v="1"/>
    <n v="1"/>
    <s v="SI"/>
    <d v="2025-10-28T00:00:00"/>
    <d v="1899-12-30T22:00:00"/>
    <x v="2"/>
    <s v="Comedor"/>
  </r>
  <r>
    <x v="7"/>
    <x v="1"/>
    <n v="0"/>
    <s v="SI"/>
    <d v="2025-10-28T00:00:00"/>
    <d v="1899-12-30T22:00:00"/>
    <x v="2"/>
    <s v="Comedor"/>
  </r>
  <r>
    <x v="7"/>
    <x v="1"/>
    <n v="0"/>
    <s v="SI"/>
    <d v="2025-10-28T00:00:00"/>
    <d v="1899-12-30T22:00:00"/>
    <x v="2"/>
    <s v="Comedor"/>
  </r>
  <r>
    <x v="7"/>
    <x v="1"/>
    <n v="0"/>
    <s v="SI"/>
    <d v="2025-10-28T00:00:00"/>
    <d v="1899-12-30T22:00:00"/>
    <x v="2"/>
    <s v="VESTUARIO_H_SP"/>
  </r>
  <r>
    <x v="7"/>
    <x v="1"/>
    <n v="1"/>
    <s v="NO"/>
    <d v="2025-10-28T00:00:00"/>
    <d v="1899-12-30T22:00:00"/>
    <x v="3"/>
    <s v="Otro"/>
  </r>
  <r>
    <x v="7"/>
    <x v="1"/>
    <n v="0"/>
    <s v="NO"/>
    <d v="2025-10-28T00:00:00"/>
    <d v="1899-12-30T22:00:00"/>
    <x v="3"/>
    <s v="Depósito_de_Insumos_E.P"/>
  </r>
  <r>
    <x v="7"/>
    <x v="1"/>
    <n v="0"/>
    <s v="NO"/>
    <d v="2025-10-28T00:00:00"/>
    <d v="1899-12-30T22:00:00"/>
    <x v="3"/>
    <s v="Depósito_de_Insumos_E.P"/>
  </r>
  <r>
    <x v="7"/>
    <x v="1"/>
    <n v="0"/>
    <s v="NO"/>
    <d v="2025-10-28T00:00:00"/>
    <d v="1899-12-30T22:00:00"/>
    <x v="3"/>
    <s v="Depósito_de_Insumos_E.P"/>
  </r>
  <r>
    <x v="7"/>
    <x v="0"/>
    <n v="1"/>
    <s v="NO"/>
    <d v="2025-10-29T00:00:00"/>
    <d v="1899-12-30T15:30:00"/>
    <x v="1"/>
    <s v="Otro"/>
  </r>
  <r>
    <x v="7"/>
    <x v="0"/>
    <n v="1"/>
    <s v="NO"/>
    <d v="2025-10-29T00:00:00"/>
    <d v="1899-12-30T16:00:00"/>
    <x v="0"/>
    <s v="CAM_1.5"/>
  </r>
  <r>
    <x v="7"/>
    <x v="0"/>
    <n v="0"/>
    <s v="NO"/>
    <d v="2025-10-29T00:00:00"/>
    <d v="1899-12-30T16:00:00"/>
    <x v="0"/>
    <s v="Picadora"/>
  </r>
  <r>
    <x v="7"/>
    <x v="0"/>
    <n v="0"/>
    <s v="SI"/>
    <d v="2025-10-29T00:00:00"/>
    <d v="1899-12-30T16:00:00"/>
    <x v="0"/>
    <s v="VESTUARIO_H_PP"/>
  </r>
  <r>
    <x v="7"/>
    <x v="0"/>
    <n v="0"/>
    <s v="NO"/>
    <d v="2025-10-29T00:00:00"/>
    <d v="1899-12-30T16:00:00"/>
    <x v="0"/>
    <s v="Sala_de_Aditivos"/>
  </r>
  <r>
    <x v="7"/>
    <x v="0"/>
    <n v="0"/>
    <s v="NO"/>
    <d v="2025-10-29T00:00:00"/>
    <d v="1899-12-30T16:00:00"/>
    <x v="0"/>
    <s v="CAM_1.5"/>
  </r>
  <r>
    <x v="7"/>
    <x v="0"/>
    <n v="1"/>
    <s v="NO"/>
    <d v="2025-10-30T00:00:00"/>
    <d v="1899-12-30T10:00:00"/>
    <x v="3"/>
    <s v="Depósito_de_Insumos_E.P"/>
  </r>
  <r>
    <x v="7"/>
    <x v="0"/>
    <n v="0"/>
    <s v="NO"/>
    <d v="2025-10-30T00:00:00"/>
    <d v="1899-12-30T10:00:00"/>
    <x v="3"/>
    <s v="Otro"/>
  </r>
  <r>
    <x v="7"/>
    <x v="0"/>
    <n v="0"/>
    <s v="NO"/>
    <d v="2025-10-30T00:00:00"/>
    <d v="1899-12-30T10:00:00"/>
    <x v="3"/>
    <s v="Depósito_de_Soja"/>
  </r>
  <r>
    <x v="7"/>
    <x v="1"/>
    <n v="1"/>
    <s v="NO"/>
    <d v="2025-10-30T00:00:00"/>
    <d v="1899-12-30T21:30:00"/>
    <x v="1"/>
    <s v="CAM_0.4"/>
  </r>
  <r>
    <x v="7"/>
    <x v="1"/>
    <n v="0"/>
    <s v="NO"/>
    <d v="2025-10-30T00:00:00"/>
    <d v="1899-12-30T21:30:00"/>
    <x v="1"/>
    <s v="CAM_0.4"/>
  </r>
  <r>
    <x v="7"/>
    <x v="1"/>
    <n v="0"/>
    <s v="NO"/>
    <d v="2025-10-30T00:00:00"/>
    <d v="1899-12-30T21:30:00"/>
    <x v="1"/>
    <s v="CAM_0.4"/>
  </r>
  <r>
    <x v="7"/>
    <x v="1"/>
    <n v="0"/>
    <s v="NO"/>
    <d v="2025-10-30T00:00:00"/>
    <d v="1899-12-30T21:30:00"/>
    <x v="1"/>
    <s v="CAM_0.4"/>
  </r>
  <r>
    <x v="7"/>
    <x v="1"/>
    <n v="0"/>
    <s v="NO"/>
    <d v="2025-10-30T00:00:00"/>
    <d v="1899-12-30T21:30:00"/>
    <x v="1"/>
    <s v="CAM_0.5"/>
  </r>
  <r>
    <x v="7"/>
    <x v="1"/>
    <n v="0"/>
    <s v="NO"/>
    <d v="2025-10-30T00:00:00"/>
    <d v="1899-12-30T21:30:00"/>
    <x v="1"/>
    <s v="CAM_0.5"/>
  </r>
  <r>
    <x v="7"/>
    <x v="1"/>
    <n v="0"/>
    <s v="SI"/>
    <d v="2025-10-30T00:00:00"/>
    <d v="1899-12-30T21:30:00"/>
    <x v="1"/>
    <s v="VESTUARIO_H_PB"/>
  </r>
  <r>
    <x v="7"/>
    <x v="1"/>
    <n v="0"/>
    <s v="SI"/>
    <d v="2025-10-30T00:00:00"/>
    <d v="1899-12-30T21:30:00"/>
    <x v="1"/>
    <s v="VESTUARIO_H_PB"/>
  </r>
  <r>
    <x v="7"/>
    <x v="1"/>
    <n v="0"/>
    <s v="NO"/>
    <d v="2025-10-30T00:00:00"/>
    <d v="1899-12-30T21:30:00"/>
    <x v="1"/>
    <s v="Depósito_varios"/>
  </r>
  <r>
    <x v="7"/>
    <x v="1"/>
    <n v="0"/>
    <s v="NO"/>
    <d v="2025-10-30T00:00:00"/>
    <d v="1899-12-30T21:30:00"/>
    <x v="1"/>
    <s v="DOCK_DE_CARGA"/>
  </r>
  <r>
    <x v="7"/>
    <x v="1"/>
    <n v="1"/>
    <s v="NO"/>
    <d v="2025-10-31T00:00:00"/>
    <d v="1899-12-30T01:00:00"/>
    <x v="3"/>
    <s v="Depósito_de_Insumos_E.P"/>
  </r>
  <r>
    <x v="7"/>
    <x v="1"/>
    <n v="0"/>
    <s v="NO"/>
    <d v="2025-10-31T00:00:00"/>
    <d v="1899-12-30T01:00:00"/>
    <x v="3"/>
    <s v="Depósito_de_Prod_Qcos_E.P"/>
  </r>
  <r>
    <x v="7"/>
    <x v="1"/>
    <n v="0"/>
    <s v="NO"/>
    <d v="2025-10-31T00:00:00"/>
    <d v="1899-12-30T01:00:00"/>
    <x v="3"/>
    <s v="Otro"/>
  </r>
  <r>
    <x v="7"/>
    <x v="1"/>
    <n v="0"/>
    <s v="NO"/>
    <d v="2025-10-31T00:00:00"/>
    <d v="1899-12-30T01:00:00"/>
    <x v="3"/>
    <s v="Depósito_de_Prod_Qcos_E.P"/>
  </r>
  <r>
    <x v="7"/>
    <x v="1"/>
    <n v="0"/>
    <s v="NO"/>
    <d v="2025-10-31T00:00:00"/>
    <d v="1899-12-30T01:00:00"/>
    <x v="3"/>
    <s v="Depósito_de_Prod_Qcos_E.P"/>
  </r>
  <r>
    <x v="7"/>
    <x v="1"/>
    <n v="1"/>
    <s v="NO"/>
    <d v="2025-10-31T00:00:00"/>
    <d v="1899-12-30T01:00:00"/>
    <x v="2"/>
    <s v="Sala_de_Máquinas"/>
  </r>
  <r>
    <x v="7"/>
    <x v="1"/>
    <n v="0"/>
    <s v="NO"/>
    <d v="2025-10-31T00:00:00"/>
    <d v="1899-12-30T01:00:00"/>
    <x v="2"/>
    <s v="Sala_de_Máquinas"/>
  </r>
  <r>
    <x v="7"/>
    <x v="1"/>
    <n v="0"/>
    <s v="SI"/>
    <d v="2025-10-31T00:00:00"/>
    <d v="1899-12-30T01:00:00"/>
    <x v="2"/>
    <s v="BAÑO_H_SP"/>
  </r>
  <r>
    <x v="7"/>
    <x v="1"/>
    <n v="0"/>
    <s v="NO"/>
    <d v="2025-10-31T00:00:00"/>
    <d v="1899-12-30T01:00:00"/>
    <x v="2"/>
    <s v="Depósito_de_Prod_Qcos_S.P"/>
  </r>
  <r>
    <x v="7"/>
    <x v="1"/>
    <n v="0"/>
    <s v="NO"/>
    <d v="2025-10-31T00:00:00"/>
    <d v="1899-12-30T01:00:00"/>
    <x v="2"/>
    <s v="Depósito_de_Prod_Qcos_S.P"/>
  </r>
  <r>
    <x v="7"/>
    <x v="1"/>
    <n v="1"/>
    <s v="SI"/>
    <d v="2025-10-31T00:00:00"/>
    <d v="1899-12-30T06:00:00"/>
    <x v="0"/>
    <s v="VESTUARIO_H_PP"/>
  </r>
  <r>
    <x v="7"/>
    <x v="1"/>
    <n v="0"/>
    <s v="SI"/>
    <d v="2025-10-31T00:00:00"/>
    <d v="1899-12-30T06:00:00"/>
    <x v="0"/>
    <s v="VESTUARIO_H_PP"/>
  </r>
  <r>
    <x v="7"/>
    <x v="1"/>
    <n v="0"/>
    <s v="NO"/>
    <d v="2025-10-31T00:00:00"/>
    <d v="1899-12-30T06:00:00"/>
    <x v="0"/>
    <s v="CAM_1.2"/>
  </r>
  <r>
    <x v="7"/>
    <x v="1"/>
    <n v="0"/>
    <s v="NO"/>
    <d v="2025-10-31T00:00:00"/>
    <d v="1899-12-30T06:00:00"/>
    <x v="0"/>
    <s v="Empaque_secundario"/>
  </r>
  <r>
    <x v="7"/>
    <x v="1"/>
    <n v="0"/>
    <s v="NO"/>
    <d v="2025-10-31T00:00:00"/>
    <d v="1899-12-30T06:00:00"/>
    <x v="0"/>
    <s v="Empaque_secundario"/>
  </r>
  <r>
    <x v="7"/>
    <x v="1"/>
    <n v="0"/>
    <s v="NO"/>
    <d v="2025-10-31T00:00:00"/>
    <d v="1899-12-30T06:00:00"/>
    <x v="0"/>
    <s v="Sala_de_Aditivos"/>
  </r>
  <r>
    <x v="7"/>
    <x v="1"/>
    <n v="0"/>
    <s v="NO"/>
    <d v="2025-10-31T00:00:00"/>
    <d v="1899-12-30T06:00:00"/>
    <x v="0"/>
    <s v="Estuchadora"/>
  </r>
  <r>
    <x v="7"/>
    <x v="0"/>
    <n v="1"/>
    <s v="NO"/>
    <d v="2025-10-31T00:00:00"/>
    <d v="1899-12-30T15:30:00"/>
    <x v="1"/>
    <s v="Depósito_varios"/>
  </r>
  <r>
    <x v="7"/>
    <x v="0"/>
    <n v="0"/>
    <s v="NO"/>
    <d v="2025-10-31T00:00:00"/>
    <d v="1899-12-30T15:30:00"/>
    <x v="1"/>
    <s v="ANTECAMARA_PB"/>
  </r>
  <r>
    <x v="7"/>
    <x v="0"/>
    <n v="0"/>
    <s v="NO"/>
    <d v="2025-10-31T00:00:00"/>
    <d v="1899-12-30T15:30:00"/>
    <x v="1"/>
    <s v="ANTECAMARA_PB"/>
  </r>
  <r>
    <x v="7"/>
    <x v="0"/>
    <n v="0"/>
    <s v="NO"/>
    <d v="2025-10-31T00:00:00"/>
    <d v="1899-12-30T15:30:00"/>
    <x v="1"/>
    <s v="DOCK_DE_CARGA"/>
  </r>
  <r>
    <x v="7"/>
    <x v="0"/>
    <n v="1"/>
    <s v="NO"/>
    <d v="2025-10-31T00:00:00"/>
    <d v="1899-12-30T16:00:00"/>
    <x v="0"/>
    <s v="Cuarto_de_Bobinas"/>
  </r>
  <r>
    <x v="7"/>
    <x v="0"/>
    <n v="0"/>
    <s v="NO"/>
    <d v="2025-10-31T00:00:00"/>
    <d v="1899-12-30T16:00:00"/>
    <x v="0"/>
    <s v="Estuchadora"/>
  </r>
  <r>
    <x v="7"/>
    <x v="0"/>
    <n v="0"/>
    <s v="NO"/>
    <d v="2025-10-31T00:00:00"/>
    <d v="1899-12-30T16:00:00"/>
    <x v="0"/>
    <s v="Estuchadora"/>
  </r>
  <r>
    <x v="7"/>
    <x v="0"/>
    <n v="0"/>
    <s v="NO"/>
    <d v="2025-10-31T00:00:00"/>
    <d v="1899-12-30T16:00:00"/>
    <x v="0"/>
    <s v="Empaque_secundario"/>
  </r>
  <r>
    <x v="7"/>
    <x v="0"/>
    <n v="0"/>
    <s v="NO"/>
    <d v="2025-10-31T00:00:00"/>
    <d v="1899-12-30T16:00:00"/>
    <x v="0"/>
    <s v="ANTECAMARA_PP"/>
  </r>
  <r>
    <x v="7"/>
    <x v="0"/>
    <n v="0"/>
    <s v="NO"/>
    <d v="2025-10-31T00:00:00"/>
    <d v="1899-12-30T16:00:00"/>
    <x v="0"/>
    <s v="CAM_1.5"/>
  </r>
  <r>
    <x v="7"/>
    <x v="0"/>
    <n v="0"/>
    <s v="SI"/>
    <d v="2025-10-31T00:00:00"/>
    <d v="1899-12-30T16:00:00"/>
    <x v="0"/>
    <s v="VESTUARIO_H_PP"/>
  </r>
  <r>
    <x v="8"/>
    <x v="1"/>
    <n v="1"/>
    <s v="NO"/>
    <d v="2025-11-03T00:00:00"/>
    <d v="1899-12-30T21:00:00"/>
    <x v="1"/>
    <s v="CAM_0.3"/>
  </r>
  <r>
    <x v="8"/>
    <x v="1"/>
    <n v="0"/>
    <s v="NO"/>
    <d v="2025-11-03T00:00:00"/>
    <d v="1899-12-30T21:00:00"/>
    <x v="1"/>
    <s v="CAM_0.4"/>
  </r>
  <r>
    <x v="8"/>
    <x v="1"/>
    <n v="0"/>
    <s v="NO"/>
    <d v="2025-11-03T00:00:00"/>
    <d v="1899-12-30T21:00:00"/>
    <x v="1"/>
    <s v="CAM_0.4"/>
  </r>
  <r>
    <x v="8"/>
    <x v="1"/>
    <n v="0"/>
    <s v="NO"/>
    <d v="2025-11-03T00:00:00"/>
    <d v="1899-12-30T21:00:00"/>
    <x v="1"/>
    <s v="CAM_0.5"/>
  </r>
  <r>
    <x v="8"/>
    <x v="1"/>
    <n v="0"/>
    <s v="NO"/>
    <d v="2025-11-03T00:00:00"/>
    <d v="1899-12-30T21:00:00"/>
    <x v="1"/>
    <s v="ANTECAMARA_PB"/>
  </r>
  <r>
    <x v="8"/>
    <x v="1"/>
    <n v="0"/>
    <s v="NO"/>
    <d v="2025-11-03T00:00:00"/>
    <d v="1899-12-30T21:00:00"/>
    <x v="1"/>
    <s v="ANTECAMARA_PB"/>
  </r>
  <r>
    <x v="8"/>
    <x v="1"/>
    <n v="0"/>
    <s v="SI"/>
    <d v="2025-11-03T00:00:00"/>
    <d v="1899-12-30T21:00:00"/>
    <x v="1"/>
    <s v="VESTUARIO_H_PB"/>
  </r>
  <r>
    <x v="8"/>
    <x v="1"/>
    <n v="0"/>
    <s v="SI"/>
    <d v="2025-11-03T00:00:00"/>
    <d v="1899-12-30T21:00:00"/>
    <x v="1"/>
    <s v="VESTUARIO_H_PB"/>
  </r>
  <r>
    <x v="8"/>
    <x v="1"/>
    <n v="0"/>
    <s v="NO"/>
    <d v="2025-11-03T00:00:00"/>
    <d v="1899-12-30T21:00:00"/>
    <x v="1"/>
    <s v="CAM_0.5"/>
  </r>
  <r>
    <x v="8"/>
    <x v="1"/>
    <n v="1"/>
    <s v="SI"/>
    <d v="2025-11-04T00:00:00"/>
    <d v="1899-12-30T06:00:00"/>
    <x v="0"/>
    <s v="VESTUARIO_H_PP"/>
  </r>
  <r>
    <x v="8"/>
    <x v="1"/>
    <n v="0"/>
    <s v="NO"/>
    <d v="2025-11-04T00:00:00"/>
    <d v="1899-12-30T06:00:00"/>
    <x v="0"/>
    <s v="ANTECAMARA_PP"/>
  </r>
  <r>
    <x v="8"/>
    <x v="1"/>
    <n v="0"/>
    <s v="NO"/>
    <d v="2025-11-04T00:00:00"/>
    <d v="1899-12-30T06:00:00"/>
    <x v="0"/>
    <s v="Empaque_secundario"/>
  </r>
  <r>
    <x v="8"/>
    <x v="1"/>
    <n v="0"/>
    <s v="NO"/>
    <d v="2025-11-04T00:00:00"/>
    <d v="1899-12-30T06:00:00"/>
    <x v="0"/>
    <s v="Sala_de_Elab"/>
  </r>
  <r>
    <x v="8"/>
    <x v="1"/>
    <n v="0"/>
    <s v="NO"/>
    <d v="2025-11-04T00:00:00"/>
    <d v="1899-12-30T06:00:00"/>
    <x v="0"/>
    <s v="Sala_de_Elab"/>
  </r>
  <r>
    <x v="8"/>
    <x v="1"/>
    <n v="0"/>
    <s v="NO"/>
    <d v="2025-11-04T00:00:00"/>
    <d v="1899-12-30T06:00:00"/>
    <x v="0"/>
    <s v="Sala_de_Elab"/>
  </r>
  <r>
    <x v="8"/>
    <x v="1"/>
    <n v="0"/>
    <s v="NO"/>
    <d v="2025-11-04T00:00:00"/>
    <d v="1899-12-30T06:00:00"/>
    <x v="0"/>
    <s v="ANTECAMARA_PP"/>
  </r>
  <r>
    <x v="8"/>
    <x v="1"/>
    <n v="0"/>
    <s v="SI"/>
    <d v="2025-11-04T00:00:00"/>
    <d v="1899-12-30T06:00:00"/>
    <x v="0"/>
    <s v="BAÑO_H_PP"/>
  </r>
  <r>
    <x v="8"/>
    <x v="0"/>
    <n v="1"/>
    <s v="NO"/>
    <d v="2025-11-04T00:00:00"/>
    <d v="1899-12-30T15:30:00"/>
    <x v="1"/>
    <s v="Depósito_varios"/>
  </r>
  <r>
    <x v="8"/>
    <x v="0"/>
    <n v="0"/>
    <s v="NO"/>
    <d v="2025-11-04T00:00:00"/>
    <d v="1899-12-30T15:30:00"/>
    <x v="1"/>
    <s v="Depósito_varios"/>
  </r>
  <r>
    <x v="8"/>
    <x v="0"/>
    <n v="1"/>
    <s v="NO"/>
    <d v="2025-11-04T00:00:00"/>
    <d v="1899-12-30T16:00:00"/>
    <x v="0"/>
    <s v="Picadora"/>
  </r>
  <r>
    <x v="8"/>
    <x v="0"/>
    <n v="0"/>
    <s v="NO"/>
    <d v="2025-11-04T00:00:00"/>
    <d v="1899-12-30T16:00:00"/>
    <x v="0"/>
    <s v="Picadora"/>
  </r>
  <r>
    <x v="8"/>
    <x v="0"/>
    <n v="0"/>
    <s v="NO"/>
    <d v="2025-11-04T00:00:00"/>
    <d v="1899-12-30T16:00:00"/>
    <x v="0"/>
    <s v="CAM_1.2"/>
  </r>
  <r>
    <x v="8"/>
    <x v="0"/>
    <n v="0"/>
    <s v="NO"/>
    <d v="2025-11-04T00:00:00"/>
    <d v="1899-12-30T16:00:00"/>
    <x v="0"/>
    <s v="ANTECAMARA_PP"/>
  </r>
  <r>
    <x v="8"/>
    <x v="0"/>
    <n v="0"/>
    <s v="NO"/>
    <d v="2025-11-04T00:00:00"/>
    <d v="1899-12-30T16:00:00"/>
    <x v="0"/>
    <s v="Empaque_secundario"/>
  </r>
  <r>
    <x v="8"/>
    <x v="0"/>
    <n v="0"/>
    <s v="NO"/>
    <d v="2025-11-04T00:00:00"/>
    <d v="1899-12-30T16:00:00"/>
    <x v="0"/>
    <s v="Empaque_secundario"/>
  </r>
  <r>
    <x v="8"/>
    <x v="0"/>
    <n v="0"/>
    <s v="NO"/>
    <d v="2025-11-04T00:00:00"/>
    <d v="1899-12-30T16:00:00"/>
    <x v="0"/>
    <s v="Estuchadora"/>
  </r>
  <r>
    <x v="8"/>
    <x v="0"/>
    <n v="0"/>
    <s v="NO"/>
    <d v="2025-11-04T00:00:00"/>
    <d v="1899-12-30T16:00:00"/>
    <x v="0"/>
    <s v="Empaque_secundario"/>
  </r>
  <r>
    <x v="8"/>
    <x v="1"/>
    <n v="1"/>
    <s v="NO"/>
    <d v="2025-11-04T00:00:00"/>
    <d v="1899-12-30T22:30:00"/>
    <x v="3"/>
    <s v="Otro"/>
  </r>
  <r>
    <x v="8"/>
    <x v="1"/>
    <n v="0"/>
    <s v="NO"/>
    <d v="2025-11-04T00:00:00"/>
    <d v="1899-12-30T22:30:00"/>
    <x v="3"/>
    <s v="Depósito_de_Prod_Qcos_E.P"/>
  </r>
  <r>
    <x v="8"/>
    <x v="1"/>
    <n v="0"/>
    <s v="NO"/>
    <d v="2025-11-04T00:00:00"/>
    <d v="1899-12-30T22:30:00"/>
    <x v="3"/>
    <s v="Depósito_de_Prod_Qcos_E.P"/>
  </r>
  <r>
    <x v="8"/>
    <x v="1"/>
    <n v="0"/>
    <s v="NO"/>
    <d v="2025-11-04T00:00:00"/>
    <d v="1899-12-30T22:30:00"/>
    <x v="3"/>
    <s v="Depósito_de_Prod_Qcos_E.P"/>
  </r>
  <r>
    <x v="8"/>
    <x v="1"/>
    <n v="1"/>
    <s v="NO"/>
    <d v="2025-11-04T00:00:00"/>
    <d v="1899-12-30T22:30:00"/>
    <x v="2"/>
    <s v="Sala_de_Máquinas"/>
  </r>
  <r>
    <x v="8"/>
    <x v="1"/>
    <n v="0"/>
    <s v="SI"/>
    <d v="2025-11-04T00:00:00"/>
    <d v="1899-12-30T22:30:00"/>
    <x v="2"/>
    <s v="BAÑO_H_SP"/>
  </r>
  <r>
    <x v="8"/>
    <x v="1"/>
    <n v="0"/>
    <s v="SI"/>
    <d v="2025-11-04T00:00:00"/>
    <d v="1899-12-30T22:30:00"/>
    <x v="2"/>
    <s v="VESTUARIO_H_SP"/>
  </r>
  <r>
    <x v="8"/>
    <x v="0"/>
    <n v="1"/>
    <s v="NO"/>
    <d v="2025-11-05T00:00:00"/>
    <d v="1899-12-30T10:00:00"/>
    <x v="2"/>
    <s v="Otro"/>
  </r>
  <r>
    <x v="8"/>
    <x v="0"/>
    <n v="0"/>
    <s v="SI"/>
    <d v="2025-11-05T00:00:00"/>
    <d v="1899-12-30T10:00:00"/>
    <x v="2"/>
    <s v="Comedor"/>
  </r>
  <r>
    <x v="8"/>
    <x v="0"/>
    <n v="1"/>
    <s v="NO"/>
    <d v="2025-11-05T00:00:00"/>
    <d v="1899-12-30T10:00:00"/>
    <x v="3"/>
    <s v="Depósito_de_Insumos_E.P"/>
  </r>
  <r>
    <x v="8"/>
    <x v="0"/>
    <n v="0"/>
    <s v="NO"/>
    <d v="2025-11-05T00:00:00"/>
    <d v="1899-12-30T10:00:00"/>
    <x v="3"/>
    <s v="Depósito_de_Prod_Qcos_E.P"/>
  </r>
  <r>
    <x v="8"/>
    <x v="0"/>
    <n v="0"/>
    <s v="NO"/>
    <d v="2025-11-05T00:00:00"/>
    <d v="1899-12-30T10:00:00"/>
    <x v="3"/>
    <s v="Depósito_de_Soja"/>
  </r>
  <r>
    <x v="8"/>
    <x v="0"/>
    <n v="0"/>
    <s v="NO"/>
    <d v="2025-11-05T00:00:00"/>
    <d v="1899-12-30T10:00:00"/>
    <x v="3"/>
    <s v="Otro"/>
  </r>
  <r>
    <x v="8"/>
    <x v="0"/>
    <n v="1"/>
    <s v="SI"/>
    <d v="2025-11-06T00:00:00"/>
    <d v="1899-12-30T11:00:00"/>
    <x v="2"/>
    <s v="Comedor"/>
  </r>
  <r>
    <x v="8"/>
    <x v="0"/>
    <n v="1"/>
    <s v="NO"/>
    <d v="2025-11-06T00:00:00"/>
    <d v="1899-12-30T11:00:00"/>
    <x v="3"/>
    <s v="Depósito_de_Insumos_E.P"/>
  </r>
  <r>
    <x v="8"/>
    <x v="0"/>
    <n v="0"/>
    <s v="NO"/>
    <d v="2025-11-06T00:00:00"/>
    <d v="1899-12-30T11:00:00"/>
    <x v="3"/>
    <s v="Depósito_de_Prod_Qcos_E.P"/>
  </r>
  <r>
    <x v="8"/>
    <x v="0"/>
    <n v="0"/>
    <s v="NO"/>
    <d v="2025-11-06T00:00:00"/>
    <d v="1899-12-30T11:00:00"/>
    <x v="2"/>
    <s v="Sala_de_Máquinas"/>
  </r>
  <r>
    <x v="8"/>
    <x v="0"/>
    <n v="0"/>
    <s v="NO"/>
    <d v="2025-11-06T00:00:00"/>
    <d v="1899-12-30T11:00:00"/>
    <x v="3"/>
    <s v="Depósito_de_Soja"/>
  </r>
  <r>
    <x v="8"/>
    <x v="0"/>
    <n v="0"/>
    <s v="SI"/>
    <d v="2025-11-06T00:00:00"/>
    <d v="1899-12-30T11:00:00"/>
    <x v="2"/>
    <s v="Comedor"/>
  </r>
  <r>
    <x v="8"/>
    <x v="0"/>
    <n v="0"/>
    <s v="SI"/>
    <d v="2025-11-06T00:00:00"/>
    <d v="1899-12-30T11:00:00"/>
    <x v="2"/>
    <s v="VESTUARIO_H_SP"/>
  </r>
  <r>
    <x v="8"/>
    <x v="0"/>
    <n v="1"/>
    <s v="NO"/>
    <d v="2025-11-06T00:00:00"/>
    <d v="1899-12-30T14:31:00"/>
    <x v="1"/>
    <s v="CAM_0.5"/>
  </r>
  <r>
    <x v="8"/>
    <x v="0"/>
    <n v="0"/>
    <s v="NO"/>
    <d v="2025-11-06T00:00:00"/>
    <d v="1899-12-30T14:31:00"/>
    <x v="1"/>
    <s v="CAM_0.5"/>
  </r>
  <r>
    <x v="8"/>
    <x v="0"/>
    <n v="0"/>
    <s v="NO"/>
    <d v="2025-11-06T00:00:00"/>
    <d v="1899-12-30T14:31:00"/>
    <x v="1"/>
    <s v="CAM_0.4"/>
  </r>
  <r>
    <x v="8"/>
    <x v="0"/>
    <n v="0"/>
    <s v="NO"/>
    <d v="2025-11-06T00:00:00"/>
    <d v="1899-12-30T14:31:00"/>
    <x v="1"/>
    <s v="DOCK_DE_CARGA"/>
  </r>
  <r>
    <x v="8"/>
    <x v="0"/>
    <n v="1"/>
    <s v="NO"/>
    <d v="2025-11-06T00:00:00"/>
    <d v="1899-12-30T16:00:00"/>
    <x v="0"/>
    <s v="CAM_1.5"/>
  </r>
  <r>
    <x v="8"/>
    <x v="0"/>
    <n v="0"/>
    <s v="SI"/>
    <d v="2025-11-06T00:00:00"/>
    <d v="1899-12-30T16:00:00"/>
    <x v="0"/>
    <s v="VESTUARIO_H_PP"/>
  </r>
  <r>
    <x v="8"/>
    <x v="0"/>
    <n v="0"/>
    <s v="NO"/>
    <d v="2025-11-06T00:00:00"/>
    <d v="1899-12-30T16:00:00"/>
    <x v="0"/>
    <s v="ANTECAMARA_PP"/>
  </r>
  <r>
    <x v="8"/>
    <x v="0"/>
    <n v="0"/>
    <s v="NO"/>
    <d v="2025-11-06T00:00:00"/>
    <d v="1899-12-30T16:00:00"/>
    <x v="0"/>
    <s v="Estuchadora"/>
  </r>
  <r>
    <x v="8"/>
    <x v="0"/>
    <n v="0"/>
    <s v="NO"/>
    <d v="2025-11-06T00:00:00"/>
    <d v="1899-12-30T16:00:00"/>
    <x v="0"/>
    <s v="Sala_de_Aditivos"/>
  </r>
  <r>
    <x v="8"/>
    <x v="1"/>
    <n v="1"/>
    <s v="NO"/>
    <d v="2025-11-06T00:00:00"/>
    <d v="1899-12-30T06:00:00"/>
    <x v="0"/>
    <s v="Picadora"/>
  </r>
  <r>
    <x v="8"/>
    <x v="1"/>
    <n v="0"/>
    <s v="NO"/>
    <d v="2025-11-06T00:00:00"/>
    <d v="1899-12-30T06:00:00"/>
    <x v="0"/>
    <s v="Sala_de_Elab"/>
  </r>
  <r>
    <x v="8"/>
    <x v="1"/>
    <n v="0"/>
    <s v="NO"/>
    <d v="2025-11-06T00:00:00"/>
    <d v="1899-12-30T06:00:00"/>
    <x v="0"/>
    <s v="Estuchadora"/>
  </r>
  <r>
    <x v="8"/>
    <x v="1"/>
    <n v="0"/>
    <s v="NO"/>
    <d v="2025-11-06T00:00:00"/>
    <d v="1899-12-30T06:00:00"/>
    <x v="0"/>
    <s v="ANTECAMARA_PP"/>
  </r>
  <r>
    <x v="8"/>
    <x v="1"/>
    <n v="1"/>
    <s v="NO"/>
    <d v="2025-11-06T00:00:00"/>
    <d v="1899-12-30T20:30:00"/>
    <x v="1"/>
    <s v="CAM_0.4"/>
  </r>
  <r>
    <x v="8"/>
    <x v="1"/>
    <n v="0"/>
    <s v="NO"/>
    <d v="2025-11-06T00:00:00"/>
    <d v="1899-12-30T20:30:00"/>
    <x v="1"/>
    <s v="CAM_0.4"/>
  </r>
  <r>
    <x v="8"/>
    <x v="1"/>
    <n v="0"/>
    <s v="NO"/>
    <d v="2025-11-06T00:00:00"/>
    <d v="1899-12-30T20:30:00"/>
    <x v="1"/>
    <s v="CAM_0.5"/>
  </r>
  <r>
    <x v="8"/>
    <x v="1"/>
    <n v="0"/>
    <s v="SI"/>
    <d v="2025-11-06T00:00:00"/>
    <d v="1899-12-30T20:30:00"/>
    <x v="1"/>
    <s v="VESTUARIO_H_PB"/>
  </r>
  <r>
    <x v="8"/>
    <x v="1"/>
    <n v="0"/>
    <s v="SI"/>
    <d v="2025-11-06T00:00:00"/>
    <d v="1899-12-30T20:30:00"/>
    <x v="1"/>
    <s v="VESTUARIO_H_PB"/>
  </r>
  <r>
    <x v="8"/>
    <x v="1"/>
    <n v="1"/>
    <s v="NO"/>
    <d v="2025-11-06T00:00:00"/>
    <d v="1899-12-30T20:30:00"/>
    <x v="4"/>
    <s v="Otro"/>
  </r>
  <r>
    <x v="8"/>
    <x v="1"/>
    <n v="0"/>
    <s v="NO"/>
    <d v="2025-11-06T00:00:00"/>
    <d v="1899-12-30T20:30:00"/>
    <x v="4"/>
    <s v="Otro"/>
  </r>
  <r>
    <x v="8"/>
    <x v="1"/>
    <n v="1"/>
    <s v="SI"/>
    <d v="2025-11-07T00:00:00"/>
    <d v="1899-12-30T00:00:00"/>
    <x v="2"/>
    <s v="Comedor"/>
  </r>
  <r>
    <x v="8"/>
    <x v="1"/>
    <n v="0"/>
    <s v="SI"/>
    <d v="2025-11-07T00:00:00"/>
    <d v="1899-12-30T00:00:00"/>
    <x v="2"/>
    <s v="Comedor"/>
  </r>
  <r>
    <x v="8"/>
    <x v="1"/>
    <n v="1"/>
    <s v="NO"/>
    <d v="2025-11-07T00:00:00"/>
    <d v="1899-12-30T00:00:00"/>
    <x v="4"/>
    <s v="Otro"/>
  </r>
  <r>
    <x v="8"/>
    <x v="1"/>
    <n v="0"/>
    <s v="NO"/>
    <d v="2025-11-07T00:00:00"/>
    <d v="1899-12-30T00:00:00"/>
    <x v="4"/>
    <s v="Otro"/>
  </r>
  <r>
    <x v="8"/>
    <x v="1"/>
    <n v="0"/>
    <s v="NO"/>
    <d v="2025-11-07T00:00:00"/>
    <d v="1899-12-30T00:00:00"/>
    <x v="4"/>
    <s v="Otro"/>
  </r>
  <r>
    <x v="8"/>
    <x v="1"/>
    <n v="1"/>
    <s v="SI"/>
    <d v="2025-11-07T00:00:00"/>
    <d v="1899-12-30T00:00:00"/>
    <x v="2"/>
    <s v="BAÑO_H_SP"/>
  </r>
  <r>
    <x v="8"/>
    <x v="1"/>
    <n v="0"/>
    <s v="SI"/>
    <d v="2025-11-07T00:00:00"/>
    <d v="1899-12-30T00:00:00"/>
    <x v="2"/>
    <s v="BAÑO_H_SP"/>
  </r>
  <r>
    <x v="8"/>
    <x v="1"/>
    <n v="0"/>
    <s v="NO"/>
    <d v="2025-11-07T00:00:00"/>
    <d v="1899-12-30T00:00:00"/>
    <x v="2"/>
    <s v="Sala_de_Máquinas"/>
  </r>
  <r>
    <x v="8"/>
    <x v="1"/>
    <n v="1"/>
    <s v="NO"/>
    <d v="2025-11-07T00:00:00"/>
    <d v="1899-12-30T00:00:00"/>
    <x v="4"/>
    <s v="Otro"/>
  </r>
  <r>
    <x v="8"/>
    <x v="1"/>
    <n v="0"/>
    <s v="NO"/>
    <d v="2025-11-07T00:00:00"/>
    <d v="1899-12-30T00:00:00"/>
    <x v="4"/>
    <s v="Otro"/>
  </r>
  <r>
    <x v="8"/>
    <x v="1"/>
    <n v="0"/>
    <s v="NO"/>
    <d v="2025-11-07T00:00:00"/>
    <d v="1899-12-30T00:00:00"/>
    <x v="4"/>
    <s v="Otro"/>
  </r>
  <r>
    <x v="9"/>
    <x v="1"/>
    <n v="1"/>
    <s v="NO"/>
    <d v="2025-11-11T00:00:00"/>
    <d v="1899-12-30T06:00:00"/>
    <x v="0"/>
    <s v="Sala_de_Elab"/>
  </r>
  <r>
    <x v="9"/>
    <x v="1"/>
    <n v="0"/>
    <s v="NO"/>
    <d v="2025-11-11T00:00:00"/>
    <d v="1899-12-30T06:00:00"/>
    <x v="0"/>
    <s v="Sala_de_Elab"/>
  </r>
  <r>
    <x v="9"/>
    <x v="1"/>
    <n v="0"/>
    <s v="NO"/>
    <d v="2025-11-11T00:00:00"/>
    <d v="1899-12-30T06:00:00"/>
    <x v="0"/>
    <s v="Cuarto_de_Bobinas"/>
  </r>
  <r>
    <x v="9"/>
    <x v="1"/>
    <n v="0"/>
    <s v="NO"/>
    <d v="2025-11-11T00:00:00"/>
    <d v="1899-12-30T06:00:00"/>
    <x v="0"/>
    <s v="ANTECAMARA_PP"/>
  </r>
  <r>
    <x v="9"/>
    <x v="1"/>
    <n v="1"/>
    <s v="SI"/>
    <d v="2025-11-11T00:00:00"/>
    <d v="1899-12-30T06:00:00"/>
    <x v="4"/>
    <s v="VESTUARIO_M_PP"/>
  </r>
  <r>
    <x v="9"/>
    <x v="0"/>
    <n v="1"/>
    <s v="SI"/>
    <d v="2025-11-11T00:00:00"/>
    <d v="1899-12-30T13:00:00"/>
    <x v="2"/>
    <s v="VESTUARIO_H_SP"/>
  </r>
  <r>
    <x v="9"/>
    <x v="0"/>
    <n v="1"/>
    <s v="NO"/>
    <d v="2025-11-11T00:00:00"/>
    <d v="1899-12-30T13:00:00"/>
    <x v="4"/>
    <s v="Otro"/>
  </r>
  <r>
    <x v="9"/>
    <x v="0"/>
    <n v="1"/>
    <s v="SI"/>
    <d v="2025-11-11T00:00:00"/>
    <d v="1899-12-30T13:00:00"/>
    <x v="2"/>
    <s v="Comedor"/>
  </r>
  <r>
    <x v="9"/>
    <x v="0"/>
    <n v="1"/>
    <s v="NO"/>
    <d v="2025-11-11T00:00:00"/>
    <d v="1899-12-30T15:00:00"/>
    <x v="4"/>
    <s v="Otro"/>
  </r>
  <r>
    <x v="9"/>
    <x v="0"/>
    <n v="0"/>
    <s v="NO"/>
    <d v="2025-11-11T00:00:00"/>
    <d v="1899-12-30T15:00:00"/>
    <x v="4"/>
    <s v="Otro"/>
  </r>
  <r>
    <x v="9"/>
    <x v="0"/>
    <n v="1"/>
    <s v="NO"/>
    <d v="2025-11-11T00:00:00"/>
    <d v="1899-12-30T15:00:00"/>
    <x v="1"/>
    <s v="DOCK_DE_CARGA"/>
  </r>
  <r>
    <x v="9"/>
    <x v="0"/>
    <n v="0"/>
    <s v="NO"/>
    <d v="2025-11-11T00:00:00"/>
    <d v="1899-12-30T15:00:00"/>
    <x v="1"/>
    <s v="ANTECAMARA_PB"/>
  </r>
  <r>
    <x v="9"/>
    <x v="0"/>
    <n v="0"/>
    <s v="NO"/>
    <d v="2025-11-11T00:00:00"/>
    <d v="1899-12-30T15:00:00"/>
    <x v="1"/>
    <s v="CAM_0.5"/>
  </r>
  <r>
    <x v="9"/>
    <x v="0"/>
    <n v="0"/>
    <s v="NO"/>
    <d v="2025-11-11T00:00:00"/>
    <d v="1899-12-30T15:00:00"/>
    <x v="1"/>
    <s v="CAM_0.5"/>
  </r>
  <r>
    <x v="9"/>
    <x v="0"/>
    <n v="0"/>
    <s v="NO"/>
    <d v="2025-11-11T00:00:00"/>
    <d v="1899-12-30T15:00:00"/>
    <x v="1"/>
    <s v="CAM_0.4"/>
  </r>
  <r>
    <x v="9"/>
    <x v="0"/>
    <n v="1"/>
    <s v="NO"/>
    <d v="2025-11-11T00:00:00"/>
    <d v="1899-12-30T16:00:00"/>
    <x v="0"/>
    <s v="Sala_de_Aditivos"/>
  </r>
  <r>
    <x v="9"/>
    <x v="0"/>
    <n v="0"/>
    <s v="NO"/>
    <d v="2025-11-11T00:00:00"/>
    <d v="1899-12-30T16:00:00"/>
    <x v="0"/>
    <s v="Picadora"/>
  </r>
  <r>
    <x v="9"/>
    <x v="0"/>
    <n v="0"/>
    <s v="NO"/>
    <d v="2025-11-11T00:00:00"/>
    <d v="1899-12-30T16:00:00"/>
    <x v="0"/>
    <s v="Picadora"/>
  </r>
  <r>
    <x v="9"/>
    <x v="0"/>
    <n v="0"/>
    <s v="NO"/>
    <d v="2025-11-11T00:00:00"/>
    <d v="1899-12-30T16:00:00"/>
    <x v="0"/>
    <s v="Picadora"/>
  </r>
  <r>
    <x v="9"/>
    <x v="0"/>
    <n v="0"/>
    <s v="NO"/>
    <d v="2025-11-11T00:00:00"/>
    <d v="1899-12-30T16:00:00"/>
    <x v="0"/>
    <s v="Estuchadora"/>
  </r>
  <r>
    <x v="9"/>
    <x v="1"/>
    <n v="1"/>
    <s v="SI"/>
    <d v="2025-11-11T00:00:00"/>
    <d v="1899-12-30T20:30:00"/>
    <x v="1"/>
    <s v="VESTUARIO_H_PB"/>
  </r>
  <r>
    <x v="9"/>
    <x v="1"/>
    <n v="0"/>
    <s v="SI"/>
    <d v="2025-11-11T00:00:00"/>
    <d v="1899-12-30T20:30:00"/>
    <x v="1"/>
    <s v="VESTUARIO_H_PB"/>
  </r>
  <r>
    <x v="9"/>
    <x v="1"/>
    <n v="0"/>
    <s v="SI"/>
    <d v="2025-11-11T00:00:00"/>
    <d v="1899-12-30T20:30:00"/>
    <x v="1"/>
    <s v="BAÑO_H_PB"/>
  </r>
  <r>
    <x v="9"/>
    <x v="1"/>
    <n v="0"/>
    <s v="SI"/>
    <d v="2025-11-11T00:00:00"/>
    <d v="1899-12-30T20:30:00"/>
    <x v="1"/>
    <s v="VESTUARIO_H_PB"/>
  </r>
  <r>
    <x v="9"/>
    <x v="1"/>
    <n v="0"/>
    <s v="NO"/>
    <d v="2025-11-11T00:00:00"/>
    <d v="1899-12-30T20:30:00"/>
    <x v="1"/>
    <s v="CAM_0.4"/>
  </r>
  <r>
    <x v="9"/>
    <x v="1"/>
    <n v="0"/>
    <s v="NO"/>
    <d v="2025-11-11T00:00:00"/>
    <d v="1899-12-30T20:30:00"/>
    <x v="1"/>
    <s v="CAM_0.4"/>
  </r>
  <r>
    <x v="9"/>
    <x v="1"/>
    <n v="0"/>
    <s v="NO"/>
    <d v="2025-11-11T00:00:00"/>
    <d v="1899-12-30T20:30:00"/>
    <x v="1"/>
    <s v="CAM_0.3"/>
  </r>
  <r>
    <x v="9"/>
    <x v="1"/>
    <n v="0"/>
    <s v="NO"/>
    <d v="2025-11-11T00:00:00"/>
    <d v="1899-12-30T20:30:00"/>
    <x v="1"/>
    <s v="CAM_0.5"/>
  </r>
  <r>
    <x v="10"/>
    <x v="2"/>
    <n v="1"/>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0"/>
    <x v="2"/>
    <n v="0"/>
    <s v="NO"/>
    <m/>
    <m/>
    <x v="4"/>
    <m/>
  </r>
  <r>
    <x v="11"/>
    <x v="3"/>
    <m/>
    <m/>
    <m/>
    <m/>
    <x v="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d v="1899-12-30T16:00:00"/>
    <s v="Primer piso"/>
    <x v="0"/>
    <x v="0"/>
    <m/>
  </r>
  <r>
    <x v="0"/>
    <d v="1899-12-30T16:00:00"/>
    <s v="Primer piso"/>
    <x v="1"/>
    <x v="1"/>
    <s v="Esto impacta al turno mañana por la limpieza porque después del TT no hay limpieza"/>
  </r>
  <r>
    <x v="0"/>
    <d v="1899-12-30T16:00:00"/>
    <s v="Primer piso"/>
    <x v="2"/>
    <x v="2"/>
    <m/>
  </r>
  <r>
    <x v="1"/>
    <d v="1899-12-30T00:00:00"/>
    <s v="Primer piso"/>
    <x v="3"/>
    <x v="3"/>
    <m/>
  </r>
  <r>
    <x v="1"/>
    <d v="1899-12-30T00:00:00"/>
    <s v="Primer piso"/>
    <x v="4"/>
    <x v="0"/>
    <m/>
  </r>
  <r>
    <x v="1"/>
    <d v="1899-12-30T00:00:00"/>
    <s v="Primer piso"/>
    <x v="5"/>
    <x v="4"/>
    <s v="Camperas sobre matafuegos"/>
  </r>
  <r>
    <x v="1"/>
    <d v="1899-12-30T06:00:00"/>
    <s v="Primer piso"/>
    <x v="6"/>
    <x v="5"/>
    <s v="Cofias"/>
  </r>
  <r>
    <x v="1"/>
    <d v="1899-12-30T06:00:00"/>
    <s v="Primer piso"/>
    <x v="7"/>
    <x v="6"/>
    <s v="Restos de carne &quot;vieja&quot;"/>
  </r>
  <r>
    <x v="1"/>
    <d v="1899-12-30T06:00:00"/>
    <s v="Primer piso"/>
    <x v="8"/>
    <x v="0"/>
    <m/>
  </r>
  <r>
    <x v="2"/>
    <d v="1899-12-30T12:00:00"/>
    <s v="Primer piso"/>
    <x v="3"/>
    <x v="6"/>
    <s v="Muchas posiciones con reproceso."/>
  </r>
  <r>
    <x v="2"/>
    <d v="1899-12-30T12:00:00"/>
    <s v="Primer piso"/>
    <x v="4"/>
    <x v="7"/>
    <m/>
  </r>
  <r>
    <x v="2"/>
    <d v="1899-12-30T12:00:00"/>
    <s v="Primer piso"/>
    <x v="9"/>
    <x v="8"/>
    <s v="Tablero de electricidad suelto, con cables al aire"/>
  </r>
  <r>
    <x v="2"/>
    <d v="1899-12-30T12:00:00"/>
    <s v="Primer piso"/>
    <x v="10"/>
    <x v="8"/>
    <s v="Tablero de electricidad suelto, con cables al aire"/>
  </r>
  <r>
    <x v="3"/>
    <d v="1899-12-30T16:00:00"/>
    <s v="Primer piso"/>
    <x v="11"/>
    <x v="9"/>
    <s v="Etiquetas de Fraccionado en los cables y soporte de ingreso"/>
  </r>
  <r>
    <x v="3"/>
    <d v="1899-12-30T16:00:00"/>
    <s v="Primer piso"/>
    <x v="12"/>
    <x v="9"/>
    <s v="Etiquetas de Fraccionado en los cables y soporte de ingreso"/>
  </r>
  <r>
    <x v="3"/>
    <d v="1899-12-30T16:00:00"/>
    <s v="Primer piso"/>
    <x v="13"/>
    <x v="10"/>
    <s v="Un pallet de terciario"/>
  </r>
  <r>
    <x v="3"/>
    <d v="1899-12-30T16:00:00"/>
    <s v="Primer piso"/>
    <x v="7"/>
    <x v="11"/>
    <m/>
  </r>
  <r>
    <x v="3"/>
    <d v="1899-12-30T16:00:00"/>
    <s v="Primer piso"/>
    <x v="8"/>
    <x v="11"/>
    <m/>
  </r>
  <r>
    <x v="3"/>
    <d v="1899-12-30T16:00:00"/>
    <s v="Primer piso"/>
    <x v="6"/>
    <x v="5"/>
    <s v="Cofias arriba de los locker y en el piso"/>
  </r>
  <r>
    <x v="3"/>
    <d v="1899-12-30T19:00:00"/>
    <s v="Primer piso"/>
    <x v="14"/>
    <x v="12"/>
    <s v="Botellas de Jugo, papeles en el piso y arriba de los locker"/>
  </r>
  <r>
    <x v="4"/>
    <d v="1899-12-30T03:00:00"/>
    <s v="Primer piso"/>
    <x v="14"/>
    <x v="4"/>
    <s v="Zapatillas de calle en el sector de ropa de trabajo."/>
  </r>
  <r>
    <x v="4"/>
    <d v="1899-12-30T15:00:00"/>
    <s v="Primer piso"/>
    <x v="15"/>
    <x v="4"/>
    <s v="Zapatillas de calle en el sector de ropa de trabajo."/>
  </r>
  <r>
    <x v="4"/>
    <d v="1899-12-30T15:00:00"/>
    <s v="Primer piso"/>
    <x v="16"/>
    <x v="13"/>
    <s v="Sucios"/>
  </r>
  <r>
    <x v="4"/>
    <d v="1899-12-30T15:00:00"/>
    <s v="Primer piso"/>
    <x v="17"/>
    <x v="14"/>
    <s v="Residuos - mucho desorden"/>
  </r>
  <r>
    <x v="4"/>
    <d v="1899-12-30T15:00:00"/>
    <s v="Primer piso"/>
    <x v="18"/>
    <x v="7"/>
    <s v="Bolsas aditivos abiertas"/>
  </r>
  <r>
    <x v="4"/>
    <d v="1899-12-30T16:00:00"/>
    <s v="Primer piso"/>
    <x v="6"/>
    <x v="4"/>
    <s v="Zapatillas de calle en el sector de ropa de trabajo; cofias en el piso"/>
  </r>
  <r>
    <x v="5"/>
    <d v="1899-12-30T06:00:00"/>
    <s v="Primer piso"/>
    <x v="11"/>
    <x v="6"/>
    <s v="Hamburguesas en el piso"/>
  </r>
  <r>
    <x v="5"/>
    <d v="1899-12-30T06:00:00"/>
    <s v="Primer piso"/>
    <x v="1"/>
    <x v="10"/>
    <s v="Apilador N° 3 con restos de Hamburguesas."/>
  </r>
  <r>
    <x v="5"/>
    <d v="1899-12-30T15:00:00"/>
    <s v="Primer piso"/>
    <x v="19"/>
    <x v="0"/>
    <s v="Se habla con camarista del depósito varios para dejar el piso libre de astillas de madera al finalizar su turno."/>
  </r>
  <r>
    <x v="5"/>
    <d v="1899-12-30T15:00:00"/>
    <s v="Primer piso"/>
    <x v="20"/>
    <x v="15"/>
    <s v="Se debe dejar el piso libre de astillas de madera al finalizar el turno a las 16 o 17 hs. Como los chicos de higiene están en producción a esa hora, deberían mantener limpia la entrada entre los camaristas. Y sería justo que reciban su lugar de trabajo en las mismas condiciones al otro día."/>
  </r>
  <r>
    <x v="5"/>
    <d v="1899-12-30T15:00:00"/>
    <s v="Primer piso"/>
    <x v="3"/>
    <x v="8"/>
    <s v="Se encuentra piso roto en la entrada de la cámara 04, lado izquierdo al entrar."/>
  </r>
  <r>
    <x v="5"/>
    <d v="1899-12-30T15:00:00"/>
    <s v="Primer piso"/>
    <x v="21"/>
    <x v="8"/>
    <s v="Casi todos las cajas atrapa roedores no están amuradas y en el día a día se desacomodan. Me gustaría tener un plano de donde deberían ir para poner pedir amurarlas y saber si falta alguna"/>
  </r>
  <r>
    <x v="6"/>
    <d v="1899-12-30T20:30:00"/>
    <s v="Primer piso"/>
    <x v="14"/>
    <x v="5"/>
    <s v="Cofias arriba de los locker, se suma un cesto de basura en el sector de Ropa de calle."/>
  </r>
  <r>
    <x v="6"/>
    <d v="1899-12-30T21:00:00"/>
    <s v="Primer piso"/>
    <x v="18"/>
    <x v="7"/>
    <s v="Vencidos y abiertos"/>
  </r>
  <r>
    <x v="7"/>
    <d v="1899-12-30T16:00:00"/>
    <s v="Primer piso"/>
    <x v="22"/>
    <x v="16"/>
    <m/>
  </r>
  <r>
    <x v="8"/>
    <d v="1899-12-30T05:00:00"/>
    <s v="Primer piso"/>
    <x v="6"/>
    <x v="5"/>
    <s v="Cofias arriba de los locker"/>
  </r>
  <r>
    <x v="8"/>
    <d v="1899-12-30T15:20:00"/>
    <s v="Primer piso"/>
    <x v="11"/>
    <x v="13"/>
    <s v="Con oxido"/>
  </r>
  <r>
    <x v="8"/>
    <d v="1899-12-30T15:20:00"/>
    <s v="Primer piso"/>
    <x v="11"/>
    <x v="6"/>
    <m/>
  </r>
  <r>
    <x v="8"/>
    <d v="1899-12-30T15:20:00"/>
    <s v="Primer piso"/>
    <x v="23"/>
    <x v="16"/>
    <m/>
  </r>
  <r>
    <x v="8"/>
    <d v="1899-12-30T15:30:00"/>
    <s v="Primer piso"/>
    <x v="21"/>
    <x v="6"/>
    <s v="Maderas papeles, tierra"/>
  </r>
  <r>
    <x v="8"/>
    <d v="1899-12-30T15:30:00"/>
    <s v="Primer piso"/>
    <x v="24"/>
    <x v="6"/>
    <s v="Baños sucios"/>
  </r>
  <r>
    <x v="9"/>
    <d v="1899-12-30T04:00:00"/>
    <s v="Primer piso"/>
    <x v="13"/>
    <x v="17"/>
    <s v="Habían estuches sin producto de UG0053, los mismos se ordenaron."/>
  </r>
  <r>
    <x v="9"/>
    <d v="1899-12-30T04:00:00"/>
    <s v="Primer piso"/>
    <x v="0"/>
    <x v="0"/>
    <m/>
  </r>
  <r>
    <x v="9"/>
    <d v="1899-12-30T04:00:00"/>
    <s v="Primer piso"/>
    <x v="7"/>
    <x v="0"/>
    <m/>
  </r>
  <r>
    <x v="9"/>
    <d v="1899-12-30T04:00:00"/>
    <s v="Primer piso"/>
    <x v="25"/>
    <x v="18"/>
    <s v="Tachos de papales llenos y mingitorios con un pedazo de cinta."/>
  </r>
  <r>
    <x v="10"/>
    <d v="1899-12-30T16:00:00"/>
    <s v="Primer piso"/>
    <x v="13"/>
    <x v="14"/>
    <s v="Caja de carton utilizada como cesto"/>
  </r>
  <r>
    <x v="10"/>
    <d v="1899-12-30T16:00:00"/>
    <s v="Primer piso"/>
    <x v="26"/>
    <x v="6"/>
    <s v="Cintas en el piso"/>
  </r>
  <r>
    <x v="10"/>
    <d v="1899-12-30T16:00:00"/>
    <s v="Primer piso"/>
    <x v="7"/>
    <x v="3"/>
    <s v="Decomiso arriba de la Mp"/>
  </r>
  <r>
    <x v="10"/>
    <d v="1899-12-30T16:00:00"/>
    <s v="Primer piso"/>
    <x v="14"/>
    <x v="5"/>
    <s v="Cofias arriba de los locker"/>
  </r>
  <r>
    <x v="11"/>
    <d v="1899-12-30T04:00:00"/>
    <s v="Primer piso"/>
    <x v="13"/>
    <x v="17"/>
    <s v="Estuches de ug0047 sueltos"/>
  </r>
  <r>
    <x v="11"/>
    <d v="1899-12-30T04:00:00"/>
    <s v="Primer piso"/>
    <x v="13"/>
    <x v="10"/>
    <s v="Restos de hamburguesas en estuchadora n°2"/>
  </r>
  <r>
    <x v="11"/>
    <d v="1899-12-30T04:00:00"/>
    <s v="Primer piso"/>
    <x v="13"/>
    <x v="14"/>
    <s v="Bobinas sin cubrir, bolsas sin uso detras del tablero"/>
  </r>
  <r>
    <x v="11"/>
    <d v="1899-12-30T04:00:00"/>
    <s v="Primer piso"/>
    <x v="27"/>
    <x v="14"/>
    <s v="Escalera fuera de lugar"/>
  </r>
  <r>
    <x v="11"/>
    <d v="1899-12-30T04:00:00"/>
    <s v="Primer piso"/>
    <x v="0"/>
    <x v="6"/>
    <s v="Arriba de los caños cinta de embalaje"/>
  </r>
  <r>
    <x v="11"/>
    <d v="1899-12-30T04:00:00"/>
    <s v="Primer piso"/>
    <x v="0"/>
    <x v="3"/>
    <s v="Bins con salchichas y pulpetas"/>
  </r>
  <r>
    <x v="11"/>
    <d v="1899-12-30T04:00:00"/>
    <s v="Primer piso"/>
    <x v="28"/>
    <x v="6"/>
    <s v="Con sangre"/>
  </r>
  <r>
    <x v="11"/>
    <d v="1899-12-30T06:00:00"/>
    <s v="Primer piso"/>
    <x v="13"/>
    <x v="14"/>
    <s v="Cajas de descarte envueltas en cintas, estuches en cajas y en apoya estuches, cestos lleno de residuos,etiquetas ,cajas."/>
  </r>
  <r>
    <x v="11"/>
    <d v="1899-12-30T21:30:00"/>
    <s v="Primer piso"/>
    <x v="14"/>
    <x v="5"/>
    <s v="Cofias y papeles arriba de los loquer y bancos."/>
  </r>
  <r>
    <x v="12"/>
    <d v="1899-12-30T04:30:00"/>
    <s v="Primer piso"/>
    <x v="28"/>
    <x v="6"/>
    <s v="Piso con sangre (se lo notifica a David)"/>
  </r>
  <r>
    <x v="12"/>
    <d v="1899-12-30T04:30:00"/>
    <s v="Primer piso"/>
    <x v="1"/>
    <x v="14"/>
    <s v="Flow en el piso"/>
  </r>
  <r>
    <x v="12"/>
    <d v="1899-12-30T04:30:00"/>
    <s v="Primer piso"/>
    <x v="13"/>
    <x v="14"/>
    <s v="Bolsas acumuladas "/>
  </r>
  <r>
    <x v="12"/>
    <d v="1899-12-30T04:30:00"/>
    <s v="Primer piso"/>
    <x v="26"/>
    <x v="14"/>
    <s v="Flow en el piso"/>
  </r>
  <r>
    <x v="12"/>
    <d v="1899-12-30T10:00:00"/>
    <s v="Primer piso"/>
    <x v="18"/>
    <x v="3"/>
    <s v="Fuera de lugar queso Chedar"/>
  </r>
  <r>
    <x v="12"/>
    <d v="1899-12-30T10:00:00"/>
    <s v="Primer piso"/>
    <x v="18"/>
    <x v="7"/>
    <s v="Canastos de paladini con olor"/>
  </r>
  <r>
    <x v="12"/>
    <d v="1899-12-30T10:00:00"/>
    <s v="Primer piso"/>
    <x v="16"/>
    <x v="12"/>
    <s v="Hamburguesa cocinada y parrilla sucia con resto de grasa carbon y tierra"/>
  </r>
  <r>
    <x v="12"/>
    <d v="1899-12-30T10:00:00"/>
    <s v="Primer piso"/>
    <x v="16"/>
    <x v="13"/>
    <s v="Sucios"/>
  </r>
  <r>
    <x v="12"/>
    <d v="1899-12-30T10:00:00"/>
    <s v="Primer piso"/>
    <x v="16"/>
    <x v="6"/>
    <s v="Detras de los loker con papeles"/>
  </r>
  <r>
    <x v="12"/>
    <d v="1899-12-30T16:00:00"/>
    <s v="Primer piso"/>
    <x v="6"/>
    <x v="5"/>
    <s v="Cofias y papeles arriba de los loquer "/>
  </r>
  <r>
    <x v="12"/>
    <d v="1899-12-30T16:00:00"/>
    <s v="Primer piso"/>
    <x v="21"/>
    <x v="13"/>
    <s v="Elementos sucios "/>
  </r>
  <r>
    <x v="12"/>
    <d v="1899-12-30T16:00:00"/>
    <s v="Primer piso"/>
    <x v="21"/>
    <x v="0"/>
    <s v="Papeles y maderas"/>
  </r>
  <r>
    <x v="13"/>
    <d v="1899-12-30T22:00:00"/>
    <s v="Primer piso"/>
    <x v="13"/>
    <x v="14"/>
    <s v="Estuches con producto en el piso, cajas de descarte etiquetas ,cintas cartones."/>
  </r>
  <r>
    <x v="14"/>
    <d v="1899-12-30T06:00:00"/>
    <s v="Primer piso"/>
    <x v="26"/>
    <x v="14"/>
    <s v="Restos de Carton"/>
  </r>
  <r>
    <x v="13"/>
    <d v="1899-12-30T23:00:00"/>
    <s v="Primer piso"/>
    <x v="14"/>
    <x v="5"/>
    <s v="Cofias arriba de los locker"/>
  </r>
  <r>
    <x v="14"/>
    <d v="1899-12-30T16:00:00"/>
    <s v="Primer piso"/>
    <x v="0"/>
    <x v="6"/>
    <s v="Restos de flow, cintas y maderas."/>
  </r>
  <r>
    <x v="14"/>
    <d v="1899-12-30T21:00:00"/>
    <s v="Primer piso"/>
    <x v="14"/>
    <x v="5"/>
    <s v="Cofias arriba de los locker"/>
  </r>
  <r>
    <x v="14"/>
    <d v="1899-12-30T21:00:00"/>
    <s v="Primer piso"/>
    <x v="14"/>
    <x v="12"/>
    <s v="Envoltorio de Mantecol"/>
  </r>
  <r>
    <x v="14"/>
    <d v="1899-12-30T21:00:00"/>
    <s v="Primer piso"/>
    <x v="20"/>
    <x v="13"/>
    <s v="Mangueras en el piso"/>
  </r>
  <r>
    <x v="15"/>
    <d v="1899-12-30T16:00:00"/>
    <s v="Primer piso"/>
    <x v="14"/>
    <x v="5"/>
    <s v="Cofias arriba de los locker"/>
  </r>
  <r>
    <x v="16"/>
    <d v="1899-12-30T04:30:00"/>
    <s v="Primer piso"/>
    <x v="27"/>
    <x v="19"/>
    <s v="Arriba de un caño de desague"/>
  </r>
  <r>
    <x v="16"/>
    <d v="1899-12-30T04:30:00"/>
    <s v="Primer piso"/>
    <x v="29"/>
    <x v="20"/>
    <m/>
  </r>
  <r>
    <x v="16"/>
    <d v="1899-12-30T04:30:00"/>
    <s v="Primer piso"/>
    <x v="13"/>
    <x v="21"/>
    <m/>
  </r>
  <r>
    <x v="16"/>
    <d v="1899-12-30T16:00:00"/>
    <s v="Primer piso"/>
    <x v="6"/>
    <x v="22"/>
    <s v="Cofias en el piso y arriba de los loquer"/>
  </r>
  <r>
    <x v="16"/>
    <d v="1899-12-30T16:00:00"/>
    <s v="Primer piso"/>
    <x v="25"/>
    <x v="23"/>
    <m/>
  </r>
  <r>
    <x v="16"/>
    <d v="1899-12-30T21:30:00"/>
    <s v="Primer piso"/>
    <x v="14"/>
    <x v="22"/>
    <s v="Cofias y gauntes sucios arriba de los loquer"/>
  </r>
  <r>
    <x v="16"/>
    <d v="1899-12-30T21:30:00"/>
    <s v="Primer piso"/>
    <x v="30"/>
    <x v="24"/>
    <s v="Esalaras fuera de lugar "/>
  </r>
  <r>
    <x v="17"/>
    <d v="1899-12-30T10:00:00"/>
    <s v="Primer piso"/>
    <x v="31"/>
    <x v="25"/>
    <m/>
  </r>
  <r>
    <x v="17"/>
    <d v="1899-12-30T10:00:00"/>
    <s v="Primer piso"/>
    <x v="30"/>
    <x v="26"/>
    <s v="Guantes en el carrito de seguridad"/>
  </r>
  <r>
    <x v="17"/>
    <d v="1899-12-30T10:00:00"/>
    <s v="Primer piso"/>
    <x v="32"/>
    <x v="27"/>
    <m/>
  </r>
  <r>
    <x v="17"/>
    <d v="1899-12-30T04:30:00"/>
    <s v="Primer piso"/>
    <x v="0"/>
    <x v="28"/>
    <m/>
  </r>
  <r>
    <x v="17"/>
    <d v="1899-12-30T04:30:00"/>
    <s v="Primer piso"/>
    <x v="6"/>
    <x v="22"/>
    <s v="Cofias arriba del estante para indumentaria"/>
  </r>
  <r>
    <x v="18"/>
    <d v="1899-12-30T05:00:00"/>
    <s v="Primer piso"/>
    <x v="2"/>
    <x v="2"/>
    <m/>
  </r>
  <r>
    <x v="18"/>
    <d v="1899-12-30T16:00:00"/>
    <s v="Primer piso"/>
    <x v="33"/>
    <x v="27"/>
    <m/>
  </r>
  <r>
    <x v="18"/>
    <d v="1899-12-30T16:00:00"/>
    <s v="Primer piso"/>
    <x v="34"/>
    <x v="29"/>
    <m/>
  </r>
  <r>
    <x v="18"/>
    <d v="1899-12-30T16:00:00"/>
    <s v="Primer piso"/>
    <x v="35"/>
    <x v="30"/>
    <s v="Se detectan 5 cajas de milanesas, las mismas la retiro karina Pitton "/>
  </r>
  <r>
    <x v="18"/>
    <d v="1899-12-30T16:00:00"/>
    <s v="Primer piso"/>
    <x v="6"/>
    <x v="31"/>
    <s v="Se detectan los legajos 15-16-129-142-321- 461 con carne en las suelas."/>
  </r>
  <r>
    <x v="18"/>
    <d v="1899-12-30T20:30:00"/>
    <s v="Primer piso"/>
    <x v="14"/>
    <x v="22"/>
    <s v="En el piso y arriba de los loker"/>
  </r>
  <r>
    <x v="18"/>
    <d v="1899-12-30T20:30:00"/>
    <s v="Primer piso"/>
    <x v="25"/>
    <x v="32"/>
    <m/>
  </r>
  <r>
    <x v="19"/>
    <d v="1899-12-30T10:20:00"/>
    <s v="Primer piso"/>
    <x v="36"/>
    <x v="33"/>
    <m/>
  </r>
  <r>
    <x v="20"/>
    <d v="1899-12-30T15:00:00"/>
    <s v="Planta Baja"/>
    <x v="37"/>
    <x v="34"/>
    <m/>
  </r>
  <r>
    <x v="20"/>
    <d v="1899-12-30T16:00:00"/>
    <s v="Primer piso"/>
    <x v="2"/>
    <x v="2"/>
    <s v="Solucionado en el momento"/>
  </r>
  <r>
    <x v="20"/>
    <d v="1899-12-30T16:00:00"/>
    <s v="Primer piso"/>
    <x v="26"/>
    <x v="5"/>
    <s v="Se detetan cintas adhesivas debajo de las estructuras en los gabinetes"/>
  </r>
  <r>
    <x v="20"/>
    <d v="1899-12-30T16:00:00"/>
    <s v="Primer piso"/>
    <x v="26"/>
    <x v="1"/>
    <s v="Programas, dos unidades en el gabinete de balanza"/>
  </r>
  <r>
    <x v="20"/>
    <d v="1899-12-30T16:00:00"/>
    <s v="Primer piso"/>
    <x v="0"/>
    <x v="3"/>
    <s v="Hamburguesas en bolsas cristal arriba de la mp."/>
  </r>
  <r>
    <x v="20"/>
    <d v="1899-12-30T16:00:00"/>
    <s v="Primer piso"/>
    <x v="6"/>
    <x v="35"/>
    <s v="Cofias en el piso y arriba de los loquer"/>
  </r>
  <r>
    <x v="21"/>
    <d v="1899-12-30T06:00:00"/>
    <s v="Primer piso"/>
    <x v="26"/>
    <x v="5"/>
    <s v="Cintas de embalar arriba de los gabinetes y debajo de estructuras"/>
  </r>
  <r>
    <x v="21"/>
    <d v="1899-12-30T16:00:00"/>
    <s v="Primer piso"/>
    <x v="11"/>
    <x v="5"/>
    <s v="Palet de madera"/>
  </r>
  <r>
    <x v="21"/>
    <d v="1899-12-30T16:00:00"/>
    <s v="Primer piso"/>
    <x v="38"/>
    <x v="5"/>
    <s v=" Varios Pallet de Maderas "/>
  </r>
  <r>
    <x v="21"/>
    <d v="1899-12-30T16:00:00"/>
    <s v="Primer piso"/>
    <x v="11"/>
    <x v="5"/>
    <s v="Etiquetas de Mp pegadas en el ingreso al sector de mp"/>
  </r>
  <r>
    <x v="21"/>
    <d v="1899-12-30T16:00:00"/>
    <s v="Primer piso"/>
    <x v="11"/>
    <x v="5"/>
    <s v="Cajas de carton  de la mp"/>
  </r>
  <r>
    <x v="22"/>
    <d v="1899-12-30T00:00:00"/>
    <s v="Planta Baja"/>
    <x v="14"/>
    <x v="35"/>
    <s v="cofias"/>
  </r>
  <r>
    <x v="22"/>
    <d v="1899-12-30T00:00:00"/>
    <s v="Planta Baja"/>
    <x v="39"/>
    <x v="36"/>
    <s v="Cajas rotas en ambas camaras "/>
  </r>
  <r>
    <x v="22"/>
    <d v="1899-12-30T06:00:00"/>
    <s v="Primer piso"/>
    <x v="6"/>
    <x v="35"/>
    <s v="Cofias y papales arriba de los loker"/>
  </r>
  <r>
    <x v="22"/>
    <d v="1899-12-30T06:00:00"/>
    <s v="Primer piso"/>
    <x v="40"/>
    <x v="37"/>
    <s v="Debajo de Ulma 3 flow con hamburguesas"/>
  </r>
  <r>
    <x v="22"/>
    <d v="1899-12-30T06:00:00"/>
    <s v="Primer piso"/>
    <x v="34"/>
    <x v="17"/>
    <s v="Estuches sin producto cargados en la maquina"/>
  </r>
  <r>
    <x v="22"/>
    <d v="1899-12-30T06:00:00"/>
    <s v="Primer piso"/>
    <x v="41"/>
    <x v="38"/>
    <s v="Pallet y cajas de residuos sin retirar en montacargas de empaque"/>
  </r>
  <r>
    <x v="22"/>
    <d v="1899-12-30T06:00:00"/>
    <s v="Primer piso"/>
    <x v="38"/>
    <x v="5"/>
    <s v="Cinta arriba de el caño de desague a la salida de camara 1,5"/>
  </r>
  <r>
    <x v="22"/>
    <d v="1899-12-30T06:00:00"/>
    <s v="Primer piso"/>
    <x v="38"/>
    <x v="5"/>
    <s v="Bolsas en el caño de equipo de frio"/>
  </r>
  <r>
    <x v="22"/>
    <d v="1899-12-30T06:00:00"/>
    <s v="Primer piso"/>
    <x v="25"/>
    <x v="5"/>
    <s v="Rollo de papel arriba del dispenser"/>
  </r>
  <r>
    <x v="22"/>
    <d v="1899-12-30T06:00:00"/>
    <s v="Primer piso"/>
    <x v="26"/>
    <x v="6"/>
    <s v="Restos de Cajas "/>
  </r>
  <r>
    <x v="22"/>
    <d v="1899-12-30T06:00:00"/>
    <s v="Primer piso"/>
    <x v="2"/>
    <x v="5"/>
    <s v="Bobinas fuera de luga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x v="0"/>
    <s v="UG0045"/>
    <s v="HAMBURGUESA UG 72 x 69 grs "/>
    <x v="0"/>
    <n v="0"/>
    <n v="85"/>
    <x v="0"/>
    <x v="0"/>
    <x v="0"/>
  </r>
  <r>
    <x v="0"/>
    <x v="0"/>
    <s v="MTUK001"/>
    <s v="MEDALLON TUKI 18 x 4 X 63 G"/>
    <x v="1"/>
    <n v="0"/>
    <n v="77.111999999999995"/>
    <x v="0"/>
    <x v="0"/>
    <x v="0"/>
  </r>
  <r>
    <x v="0"/>
    <x v="0"/>
    <s v="CH0232"/>
    <s v="MEDALLONES CHACRA NUESTRA 10 x12x55grs"/>
    <x v="2"/>
    <n v="0"/>
    <n v="6.6"/>
    <x v="1"/>
    <x v="0"/>
    <x v="0"/>
  </r>
  <r>
    <x v="0"/>
    <x v="0"/>
    <s v="H110"/>
    <s v="MEDALLONES PACHECO FIRST 60 x 83 grs"/>
    <x v="3"/>
    <n v="0"/>
    <n v="184.26000000000002"/>
    <x v="0"/>
    <x v="0"/>
    <x v="0"/>
  </r>
  <r>
    <x v="1"/>
    <x v="0"/>
    <s v="UG0013"/>
    <s v="MEDALLONES UG 40 x 110 grs"/>
    <x v="4"/>
    <n v="0"/>
    <n v="211.20000000000002"/>
    <x v="0"/>
    <x v="0"/>
    <x v="0"/>
  </r>
  <r>
    <x v="1"/>
    <x v="0"/>
    <s v="UG0005"/>
    <s v="MEDALLONES UG 60 x 83 grs"/>
    <x v="5"/>
    <n v="0"/>
    <n v="455"/>
    <x v="2"/>
    <x v="0"/>
    <x v="0"/>
  </r>
  <r>
    <x v="1"/>
    <x v="0"/>
    <s v="UG0045"/>
    <s v="HAMBURGUESA UG 72 x 69 grs "/>
    <x v="0"/>
    <n v="0"/>
    <n v="10"/>
    <x v="3"/>
    <x v="0"/>
    <x v="0"/>
  </r>
  <r>
    <x v="1"/>
    <x v="0"/>
    <s v="MTUK001"/>
    <s v="MEDALLON TUKI 18 x 4 X 63 G"/>
    <x v="1"/>
    <n v="0"/>
    <n v="58.968000000000004"/>
    <x v="0"/>
    <x v="0"/>
    <x v="0"/>
  </r>
  <r>
    <x v="1"/>
    <x v="0"/>
    <s v="H533"/>
    <s v="HAMBURGUESA VICTORIA 72 X 69"/>
    <x v="6"/>
    <n v="0"/>
    <n v="150"/>
    <x v="3"/>
    <x v="0"/>
    <x v="0"/>
  </r>
  <r>
    <x v="1"/>
    <x v="0"/>
    <s v="H018"/>
    <s v="MEDALLONES ARO 40 x 110 grs"/>
    <x v="7"/>
    <n v="0"/>
    <n v="264"/>
    <x v="2"/>
    <x v="0"/>
    <x v="1"/>
  </r>
  <r>
    <x v="2"/>
    <x v="0"/>
    <s v="UG0045"/>
    <s v="HAMBURGUESA UG 72 x 69 grs "/>
    <x v="0"/>
    <n v="0"/>
    <n v="170"/>
    <x v="0"/>
    <x v="0"/>
    <x v="1"/>
  </r>
  <r>
    <x v="2"/>
    <x v="0"/>
    <s v="UG0057"/>
    <s v="HAMBURGUESAS UNION GANADERA 12 X 8 X 120 G"/>
    <x v="8"/>
    <n v="0"/>
    <n v="69.12"/>
    <x v="4"/>
    <x v="0"/>
    <x v="0"/>
  </r>
  <r>
    <x v="2"/>
    <x v="0"/>
    <s v="MTUK001"/>
    <s v="MEDALLON TUKI 18 x 4 X 63 G"/>
    <x v="1"/>
    <n v="0"/>
    <n v="140.61599999999999"/>
    <x v="0"/>
    <x v="0"/>
    <x v="0"/>
  </r>
  <r>
    <x v="2"/>
    <x v="0"/>
    <s v="H515"/>
    <s v="MEDALLONES VICTORIA 60 x 69 grs"/>
    <x v="9"/>
    <n v="0"/>
    <n v="20.700000000000003"/>
    <x v="0"/>
    <x v="0"/>
    <x v="1"/>
  </r>
  <r>
    <x v="2"/>
    <x v="0"/>
    <s v="H077"/>
    <s v="HAMBURGUESA DIA % 18 x 4 x 80 grs"/>
    <x v="10"/>
    <n v="0"/>
    <n v="973.43999999999994"/>
    <x v="3"/>
    <x v="0"/>
    <x v="0"/>
  </r>
  <r>
    <x v="2"/>
    <x v="0"/>
    <s v="HFR001"/>
    <s v="HAMBURGUESA RIOPLATENSE 60X83 GRS"/>
    <x v="11"/>
    <n v="0"/>
    <n v="2750"/>
    <x v="5"/>
    <x v="0"/>
    <x v="0"/>
  </r>
  <r>
    <x v="3"/>
    <x v="0"/>
    <s v="H046"/>
    <s v="HAMBURGUESA UG 60 x 83 grs "/>
    <x v="12"/>
    <n v="74"/>
    <n v="368.52000000000004"/>
    <x v="5"/>
    <x v="0"/>
    <x v="0"/>
  </r>
  <r>
    <x v="3"/>
    <x v="0"/>
    <s v="UG0048"/>
    <s v="HAMBURGUESA UG 10 x 12 x 83 grs"/>
    <x v="13"/>
    <n v="0"/>
    <n v="0"/>
    <x v="5"/>
    <x v="0"/>
    <x v="0"/>
  </r>
  <r>
    <x v="3"/>
    <x v="0"/>
    <s v="UG0047"/>
    <s v="HAMBURGUESAS UG 18 X 4 X 83 GRS"/>
    <x v="14"/>
    <n v="119"/>
    <n v="711.62"/>
    <x v="5"/>
    <x v="0"/>
    <x v="0"/>
  </r>
  <r>
    <x v="3"/>
    <x v="0"/>
    <s v="UG0053"/>
    <s v="HAMBURGUESA UG 18 x 4 x 69 grs"/>
    <x v="15"/>
    <n v="161"/>
    <n v="800.17"/>
    <x v="5"/>
    <x v="0"/>
    <x v="0"/>
  </r>
  <r>
    <x v="3"/>
    <x v="0"/>
    <s v="UG0005"/>
    <s v="MEDALLONES UG 60 x 83 grs"/>
    <x v="5"/>
    <n v="98"/>
    <n v="488.04"/>
    <x v="5"/>
    <x v="0"/>
    <x v="0"/>
  </r>
  <r>
    <x v="3"/>
    <x v="0"/>
    <s v="UG0049"/>
    <s v="HAMBURGUESA UG 6 x 20 x 83 grs"/>
    <x v="16"/>
    <n v="261"/>
    <n v="2599.5600000000004"/>
    <x v="5"/>
    <x v="0"/>
    <x v="0"/>
  </r>
  <r>
    <x v="3"/>
    <x v="0"/>
    <s v="UG0052"/>
    <s v="HAMBURGUESA UG 30 x 2 x 83 grs"/>
    <x v="17"/>
    <n v="204"/>
    <n v="1015.9200000000001"/>
    <x v="5"/>
    <x v="0"/>
    <x v="0"/>
  </r>
  <r>
    <x v="3"/>
    <x v="0"/>
    <s v="MTUK001"/>
    <s v="MEDALLON TUKI 18 x 4 X 63 G"/>
    <x v="1"/>
    <n v="22"/>
    <n v="99.88"/>
    <x v="0"/>
    <x v="0"/>
    <x v="0"/>
  </r>
  <r>
    <x v="3"/>
    <x v="0"/>
    <s v="H515"/>
    <s v="MEDALLONES VICTORIA 60 x 69 grs"/>
    <x v="9"/>
    <n v="101"/>
    <n v="418.14"/>
    <x v="3"/>
    <x v="0"/>
    <x v="0"/>
  </r>
  <r>
    <x v="3"/>
    <x v="0"/>
    <s v="H213"/>
    <s v="MEDALLONES CAMPO NUESTRO 40 x 110 grs"/>
    <x v="18"/>
    <n v="96"/>
    <n v="422.40000000000003"/>
    <x v="0"/>
    <x v="0"/>
    <x v="0"/>
  </r>
  <r>
    <x v="3"/>
    <x v="0"/>
    <s v="UG0045"/>
    <s v="HAMBURGUESA UG 72 x 69 grs "/>
    <x v="0"/>
    <n v="10"/>
    <n v="49.699999999999996"/>
    <x v="5"/>
    <x v="0"/>
    <x v="0"/>
  </r>
  <r>
    <x v="3"/>
    <x v="0"/>
    <s v="MTUK001"/>
    <s v="MEDALLON TUKI 18 x 4 X 63 G"/>
    <x v="1"/>
    <n v="20"/>
    <n v="90.8"/>
    <x v="0"/>
    <x v="0"/>
    <x v="0"/>
  </r>
  <r>
    <x v="3"/>
    <x v="0"/>
    <s v="H110"/>
    <s v="MEDALLONES PACHECO FIRST 60 x 83 grs"/>
    <x v="3"/>
    <n v="80"/>
    <n v="398.40000000000003"/>
    <x v="0"/>
    <x v="0"/>
    <x v="2"/>
  </r>
  <r>
    <x v="3"/>
    <x v="0"/>
    <s v="H990"/>
    <s v="ALBONDIGA A GRANEL"/>
    <x v="19"/>
    <n v="250"/>
    <n v="2250"/>
    <x v="6"/>
    <x v="0"/>
    <x v="0"/>
  </r>
  <r>
    <x v="4"/>
    <x v="0"/>
    <s v="MTUK001"/>
    <s v="MEDALLON TUKI 18 x 4 X 63 G"/>
    <x v="1"/>
    <n v="14"/>
    <n v="63.56"/>
    <x v="3"/>
    <x v="0"/>
    <x v="0"/>
  </r>
  <r>
    <x v="4"/>
    <x v="0"/>
    <s v="H515"/>
    <s v="MEDALLONES VICTORIA 60 x 69 grs"/>
    <x v="9"/>
    <n v="80"/>
    <n v="331.2"/>
    <x v="0"/>
    <x v="0"/>
    <x v="0"/>
  </r>
  <r>
    <x v="4"/>
    <x v="0"/>
    <s v="H115"/>
    <s v="MEDALLONES P, FIRST 60 X 69 grs"/>
    <x v="20"/>
    <n v="20"/>
    <n v="82.8"/>
    <x v="1"/>
    <x v="0"/>
    <x v="0"/>
  </r>
  <r>
    <x v="5"/>
    <x v="0"/>
    <s v="ug0030"/>
    <s v="MEDALLONES UG 36 x 83 grs"/>
    <x v="21"/>
    <n v="1"/>
    <n v="2.99"/>
    <x v="7"/>
    <x v="0"/>
    <x v="0"/>
  </r>
  <r>
    <x v="5"/>
    <x v="0"/>
    <s v="HTUK003"/>
    <s v="HAMBURGUESA TUKI 60 x 80 G"/>
    <x v="22"/>
    <n v="75"/>
    <n v="360"/>
    <x v="3"/>
    <x v="0"/>
    <x v="0"/>
  </r>
  <r>
    <x v="5"/>
    <x v="0"/>
    <s v="H515"/>
    <s v="MEDALLONES VICTORIA 60 x 69 grs"/>
    <x v="9"/>
    <n v="54"/>
    <n v="223.55999999999997"/>
    <x v="8"/>
    <x v="1"/>
    <x v="3"/>
  </r>
  <r>
    <x v="5"/>
    <x v="0"/>
    <s v="H078"/>
    <s v="HAMBURGUESA DIA % 12 x 12 x 80 grs"/>
    <x v="23"/>
    <n v="44"/>
    <n v="506.88"/>
    <x v="3"/>
    <x v="0"/>
    <x v="0"/>
  </r>
  <r>
    <x v="5"/>
    <x v="0"/>
    <s v="CLA003"/>
    <s v="HAMBURGUESA CLASSIC 6 x 20 x 83 grs"/>
    <x v="24"/>
    <n v="41"/>
    <n v="408.36"/>
    <x v="3"/>
    <x v="0"/>
    <x v="0"/>
  </r>
  <r>
    <x v="6"/>
    <x v="0"/>
    <s v="H513"/>
    <s v="MEDALLONES VICTORIA 40 x 110 grs"/>
    <x v="25"/>
    <n v="206"/>
    <n v="906.40000000000009"/>
    <x v="9"/>
    <x v="0"/>
    <x v="3"/>
  </r>
  <r>
    <x v="6"/>
    <x v="0"/>
    <s v="H413"/>
    <s v="MEDALLONES CAMPO CHICO 40 x 110 grs"/>
    <x v="26"/>
    <n v="5"/>
    <n v="22"/>
    <x v="9"/>
    <x v="0"/>
    <x v="3"/>
  </r>
  <r>
    <x v="7"/>
    <x v="0"/>
    <s v="H513"/>
    <s v="MEDALLONES VICTORIA 40 x 110 grs"/>
    <x v="25"/>
    <n v="41"/>
    <n v="180.4"/>
    <x v="8"/>
    <x v="2"/>
    <x v="0"/>
  </r>
  <r>
    <x v="7"/>
    <x v="0"/>
    <s v="H530"/>
    <s v="HAMBURGUESA VICTORIA 60 x 80 grs"/>
    <x v="27"/>
    <n v="85"/>
    <n v="408"/>
    <x v="0"/>
    <x v="0"/>
    <x v="4"/>
  </r>
  <r>
    <x v="7"/>
    <x v="0"/>
    <s v="H015"/>
    <s v="MEDALLONES ARO  72 x 69 grs"/>
    <x v="28"/>
    <n v="1"/>
    <n v="4.97"/>
    <x v="0"/>
    <x v="0"/>
    <x v="0"/>
  </r>
  <r>
    <x v="8"/>
    <x v="0"/>
    <s v="HTUK003"/>
    <s v="HAMBURGUESA TUKI 60 x 80 G"/>
    <x v="22"/>
    <n v="50"/>
    <n v="240"/>
    <x v="3"/>
    <x v="0"/>
    <x v="5"/>
  </r>
  <r>
    <x v="8"/>
    <x v="0"/>
    <s v="H112"/>
    <s v="MEDALLONES P, FIRST 72 x 55 grs"/>
    <x v="29"/>
    <n v="14"/>
    <n v="55.44"/>
    <x v="3"/>
    <x v="0"/>
    <x v="6"/>
  </r>
  <r>
    <x v="8"/>
    <x v="0"/>
    <s v="H110"/>
    <s v="MEDALLONES PACHECO FIRST 60 x 83 grs"/>
    <x v="3"/>
    <n v="46"/>
    <n v="229.08"/>
    <x v="3"/>
    <x v="0"/>
    <x v="6"/>
  </r>
  <r>
    <x v="8"/>
    <x v="0"/>
    <s v="H153"/>
    <s v="MEDALLONES BONMAR 24 x 4 x 69 grs"/>
    <x v="30"/>
    <n v="27"/>
    <n v="178.74"/>
    <x v="3"/>
    <x v="0"/>
    <x v="6"/>
  </r>
  <r>
    <x v="8"/>
    <x v="0"/>
    <s v="H154"/>
    <s v="MEDALLONES BONMAR 72 x 69 grs"/>
    <x v="31"/>
    <n v="298"/>
    <n v="1481.06"/>
    <x v="3"/>
    <x v="0"/>
    <x v="0"/>
  </r>
  <r>
    <x v="9"/>
    <x v="1"/>
    <s v="UG0057"/>
    <s v="HAMBURGUESAS UNION GANADERA 12 X 8 X 120 G"/>
    <x v="8"/>
    <n v="1"/>
    <n v="11.52"/>
    <x v="0"/>
    <x v="0"/>
    <x v="0"/>
  </r>
  <r>
    <x v="9"/>
    <x v="1"/>
    <s v="UG0750"/>
    <s v="ALBONDIGA UG 3 Kgs (PULPETAS)"/>
    <x v="32"/>
    <n v="23"/>
    <n v="69"/>
    <x v="8"/>
    <x v="3"/>
    <x v="0"/>
  </r>
  <r>
    <x v="10"/>
    <x v="1"/>
    <s v="H513"/>
    <s v="MEDALLONES VICTORIA 40 x 110 grs"/>
    <x v="25"/>
    <n v="173"/>
    <n v="761.2"/>
    <x v="10"/>
    <x v="0"/>
    <x v="7"/>
  </r>
  <r>
    <x v="11"/>
    <x v="1"/>
    <s v="UG0057"/>
    <s v="HAMBURGUESAS UNION GANADERA 12 X 8 X 120 G"/>
    <x v="8"/>
    <n v="3"/>
    <n v="34.56"/>
    <x v="0"/>
    <x v="0"/>
    <x v="0"/>
  </r>
  <r>
    <x v="11"/>
    <x v="1"/>
    <s v="H530"/>
    <s v="HAMBURGUESA VICTORIA 60 x 80 grs"/>
    <x v="27"/>
    <n v="21"/>
    <n v="100.8"/>
    <x v="0"/>
    <x v="0"/>
    <x v="0"/>
  </r>
  <r>
    <x v="11"/>
    <x v="1"/>
    <s v="H357"/>
    <s v="HAMBURGUESA CUISINE &amp; CO 6 X 20 X 83 grs S/GLUTEN S/TACC"/>
    <x v="33"/>
    <n v="5"/>
    <n v="49.800000000000004"/>
    <x v="0"/>
    <x v="0"/>
    <x v="0"/>
  </r>
  <r>
    <x v="12"/>
    <x v="1"/>
    <s v="H112"/>
    <s v="MEDALLONES P, FIRST 72 x 55 grs"/>
    <x v="29"/>
    <n v="4"/>
    <n v="15.84"/>
    <x v="5"/>
    <x v="0"/>
    <x v="0"/>
  </r>
  <r>
    <x v="12"/>
    <x v="1"/>
    <s v="H061"/>
    <s v="MEDALLONES CHISAP 60 x 83 grs"/>
    <x v="34"/>
    <n v="123"/>
    <n v="612.54000000000008"/>
    <x v="5"/>
    <x v="0"/>
    <x v="0"/>
  </r>
  <r>
    <x v="13"/>
    <x v="1"/>
    <s v="H043"/>
    <s v="HAMBURGUESA UG 40 x 110 grs"/>
    <x v="35"/>
    <n v="17"/>
    <n v="74.800000000000011"/>
    <x v="5"/>
    <x v="0"/>
    <x v="0"/>
  </r>
  <r>
    <x v="13"/>
    <x v="1"/>
    <s v="UG0013"/>
    <s v="MEDALLONES UG 40 x 110 grs"/>
    <x v="4"/>
    <n v="42"/>
    <n v="184.8"/>
    <x v="5"/>
    <x v="0"/>
    <x v="0"/>
  </r>
  <r>
    <x v="13"/>
    <x v="1"/>
    <s v="H113"/>
    <s v="MEDALLONES P, FIRST 40 x 110 grs"/>
    <x v="36"/>
    <n v="8"/>
    <n v="35.200000000000003"/>
    <x v="5"/>
    <x v="0"/>
    <x v="0"/>
  </r>
  <r>
    <x v="13"/>
    <x v="1"/>
    <s v="H110"/>
    <s v="MEDALLONES PACHECO FIRST 60 x 83 grs"/>
    <x v="3"/>
    <n v="19"/>
    <n v="94.62"/>
    <x v="5"/>
    <x v="0"/>
    <x v="0"/>
  </r>
  <r>
    <x v="13"/>
    <x v="1"/>
    <s v="H313"/>
    <s v="MEDALLONES E, LA HUELLA  40 x 110 grs"/>
    <x v="37"/>
    <n v="186"/>
    <n v="818.40000000000009"/>
    <x v="5"/>
    <x v="0"/>
    <x v="0"/>
  </r>
  <r>
    <x v="13"/>
    <x v="1"/>
    <s v="H023"/>
    <s v="MEDALLONES M&amp;K 36 x 2 x 55 grs"/>
    <x v="38"/>
    <n v="56"/>
    <n v="221.76"/>
    <x v="5"/>
    <x v="0"/>
    <x v="0"/>
  </r>
  <r>
    <x v="13"/>
    <x v="1"/>
    <s v="H073"/>
    <s v="MEDALLONES BEST 36 x 2 x 55 grs"/>
    <x v="39"/>
    <n v="104"/>
    <n v="411.84"/>
    <x v="5"/>
    <x v="0"/>
    <x v="0"/>
  </r>
  <r>
    <x v="13"/>
    <x v="1"/>
    <s v="H112"/>
    <s v="MEDALLONES P, FIRST 72 x 55 grs"/>
    <x v="29"/>
    <n v="5"/>
    <n v="19.8"/>
    <x v="5"/>
    <x v="0"/>
    <x v="0"/>
  </r>
  <r>
    <x v="14"/>
    <x v="1"/>
    <s v="H043"/>
    <s v="HAMBURGUESA UG 40 x 110 grs"/>
    <x v="35"/>
    <n v="29"/>
    <n v="127.60000000000001"/>
    <x v="5"/>
    <x v="0"/>
    <x v="0"/>
  </r>
  <r>
    <x v="14"/>
    <x v="1"/>
    <s v="UG0056"/>
    <s v="HAMBURGUESA UG 40 x 110 grs (Impreso)"/>
    <x v="40"/>
    <n v="10"/>
    <n v="44"/>
    <x v="5"/>
    <x v="0"/>
    <x v="0"/>
  </r>
  <r>
    <x v="14"/>
    <x v="1"/>
    <s v="CH0230"/>
    <s v="MEDALLONES CHACRA NUESTRA 36x2x55grs"/>
    <x v="41"/>
    <n v="60"/>
    <n v="237.6"/>
    <x v="11"/>
    <x v="0"/>
    <x v="0"/>
  </r>
  <r>
    <x v="14"/>
    <x v="1"/>
    <s v="H110"/>
    <s v="MEDALLONES PACHECO FIRST 60 x 83 grs"/>
    <x v="3"/>
    <n v="7"/>
    <n v="34.86"/>
    <x v="11"/>
    <x v="0"/>
    <x v="0"/>
  </r>
  <r>
    <x v="14"/>
    <x v="1"/>
    <s v="H313"/>
    <s v="MEDALLONES E, LA HUELLA  40 x 110 grs"/>
    <x v="37"/>
    <n v="182"/>
    <n v="800.80000000000007"/>
    <x v="0"/>
    <x v="0"/>
    <x v="0"/>
  </r>
  <r>
    <x v="14"/>
    <x v="1"/>
    <s v="UG0056"/>
    <s v="HAMBURGUESA UG 40 x 110 grs (Impreso)"/>
    <x v="40"/>
    <n v="35"/>
    <n v="154"/>
    <x v="12"/>
    <x v="4"/>
    <x v="0"/>
  </r>
  <r>
    <x v="14"/>
    <x v="1"/>
    <s v="H375"/>
    <s v="MEDALLONES MAXIMA 36 X 2 X 55 grs S/GLUTEN S/TACC"/>
    <x v="42"/>
    <n v="3"/>
    <n v="11.879999999999999"/>
    <x v="12"/>
    <x v="5"/>
    <x v="0"/>
  </r>
  <r>
    <x v="15"/>
    <x v="1"/>
    <s v="UG0050"/>
    <s v="HAMBURGUESA UG 12 x 12 x 83 grs"/>
    <x v="43"/>
    <n v="750"/>
    <n v="8962.5"/>
    <x v="5"/>
    <x v="0"/>
    <x v="0"/>
  </r>
  <r>
    <x v="15"/>
    <x v="1"/>
    <s v="UG0049"/>
    <s v="HAMBURGUESA UG 6 x 20 x 83 grs"/>
    <x v="16"/>
    <n v="180"/>
    <n v="1792.8000000000002"/>
    <x v="5"/>
    <x v="0"/>
    <x v="0"/>
  </r>
  <r>
    <x v="16"/>
    <x v="1"/>
    <s v="UG0055"/>
    <s v="HAMBURGUESA UG 10 x 2 x 140 grs GIGANTES "/>
    <x v="44"/>
    <n v="6"/>
    <n v="16.799999999999997"/>
    <x v="0"/>
    <x v="0"/>
    <x v="0"/>
  </r>
  <r>
    <x v="17"/>
    <x v="1"/>
    <s v="MCDL002"/>
    <s v="MED CON SOJA CIUDAD DEL LAGO 12 X 12 X 80G"/>
    <x v="45"/>
    <n v="246"/>
    <n v="2833.92"/>
    <x v="12"/>
    <x v="6"/>
    <x v="0"/>
  </r>
  <r>
    <x v="17"/>
    <x v="1"/>
    <s v="H023"/>
    <s v="MEDALLONES M&amp;K 36 x 2 x 55 grs"/>
    <x v="38"/>
    <n v="65"/>
    <n v="257.39999999999998"/>
    <x v="12"/>
    <x v="6"/>
    <x v="0"/>
  </r>
  <r>
    <x v="18"/>
    <x v="1"/>
    <s v="H530"/>
    <s v="HAMBURGUESA VICTORIA 60 x 80 grs"/>
    <x v="27"/>
    <n v="113"/>
    <n v="542.4"/>
    <x v="13"/>
    <x v="0"/>
    <x v="0"/>
  </r>
  <r>
    <x v="18"/>
    <x v="1"/>
    <s v="CLA002"/>
    <s v="HAMBURGUESA CLASSIC 12 x 12 x 83 grs"/>
    <x v="46"/>
    <n v="105"/>
    <n v="1254.75"/>
    <x v="13"/>
    <x v="0"/>
    <x v="0"/>
  </r>
  <r>
    <x v="18"/>
    <x v="1"/>
    <s v="H530"/>
    <s v="HAMBURGUESA VICTORIA 60 x 80 grs"/>
    <x v="27"/>
    <n v="134"/>
    <n v="643.19999999999993"/>
    <x v="13"/>
    <x v="0"/>
    <x v="0"/>
  </r>
  <r>
    <x v="18"/>
    <x v="1"/>
    <s v="H533"/>
    <s v="HAMBURGUESA VICTORIA 72 X 69"/>
    <x v="6"/>
    <n v="49"/>
    <n v="243.53"/>
    <x v="13"/>
    <x v="0"/>
    <x v="0"/>
  </r>
  <r>
    <x v="18"/>
    <x v="1"/>
    <s v="H078"/>
    <s v="HAMBURGUESA DIA % 12 x 12 x 80 grs"/>
    <x v="23"/>
    <n v="150"/>
    <n v="1728"/>
    <x v="13"/>
    <x v="0"/>
    <x v="0"/>
  </r>
  <r>
    <x v="18"/>
    <x v="1"/>
    <s v="H087"/>
    <s v="MEDALLONES OPI F Pack x 2"/>
    <x v="47"/>
    <n v="78"/>
    <n v="319.79999999999995"/>
    <x v="13"/>
    <x v="0"/>
    <x v="0"/>
  </r>
  <r>
    <x v="18"/>
    <x v="1"/>
    <s v="H154"/>
    <s v="MEDALLONES BONMAR 72 x 69 grs"/>
    <x v="31"/>
    <n v="3"/>
    <n v="14.91"/>
    <x v="13"/>
    <x v="0"/>
    <x v="0"/>
  </r>
  <r>
    <x v="19"/>
    <x v="1"/>
    <s v="H513"/>
    <s v="MEDALLONES VICTORIA 40 x 110 grs"/>
    <x v="25"/>
    <n v="129"/>
    <n v="567.6"/>
    <x v="3"/>
    <x v="0"/>
    <x v="0"/>
  </r>
  <r>
    <x v="19"/>
    <x v="1"/>
    <s v="H024"/>
    <s v="MEDALLONES M&amp;K 20 x 2 x 110 grs"/>
    <x v="48"/>
    <n v="241"/>
    <n v="1060.4000000000001"/>
    <x v="3"/>
    <x v="0"/>
    <x v="0"/>
  </r>
  <r>
    <x v="19"/>
    <x v="1"/>
    <s v="H313"/>
    <s v="MEDALLONES E, LA HUELLA  40 x 110 grs"/>
    <x v="37"/>
    <n v="816"/>
    <n v="3590.4"/>
    <x v="3"/>
    <x v="0"/>
    <x v="0"/>
  </r>
  <r>
    <x v="19"/>
    <x v="1"/>
    <s v="UG0750"/>
    <s v="ALBONDIGA UG 3 Kgs (PULPETAS)"/>
    <x v="32"/>
    <n v="11"/>
    <n v="33"/>
    <x v="0"/>
    <x v="0"/>
    <x v="0"/>
  </r>
  <r>
    <x v="19"/>
    <x v="1"/>
    <s v="H533"/>
    <s v="HAMBURGUESA VICTORIA 72 X 69"/>
    <x v="6"/>
    <n v="49"/>
    <n v="243.53"/>
    <x v="3"/>
    <x v="0"/>
    <x v="0"/>
  </r>
  <r>
    <x v="19"/>
    <x v="1"/>
    <s v="MA002"/>
    <s v="MAROLiO 18x4x80 grs"/>
    <x v="49"/>
    <n v="10"/>
    <n v="57.599999999999994"/>
    <x v="0"/>
    <x v="0"/>
    <x v="0"/>
  </r>
  <r>
    <x v="19"/>
    <x v="1"/>
    <s v="H375"/>
    <s v="MEDALLONES MAXIMA 36 X 2 X 55 grs S/GLUTEN S/TACC"/>
    <x v="42"/>
    <n v="1"/>
    <n v="3.96"/>
    <x v="14"/>
    <x v="0"/>
    <x v="0"/>
  </r>
  <r>
    <x v="20"/>
    <x v="1"/>
    <s v="UG0030"/>
    <s v="MEDALLONES UG 36 x 83 grs"/>
    <x v="21"/>
    <n v="3"/>
    <n v="8.9700000000000006"/>
    <x v="9"/>
    <x v="0"/>
    <x v="0"/>
  </r>
  <r>
    <x v="20"/>
    <x v="1"/>
    <s v="UG0591"/>
    <s v="HAMB DE CERDO UG 15 X 2 X 83 GRS "/>
    <x v="50"/>
    <n v="26"/>
    <n v="64.740000000000009"/>
    <x v="9"/>
    <x v="0"/>
    <x v="8"/>
  </r>
  <r>
    <x v="20"/>
    <x v="1"/>
    <s v="CH0231"/>
    <s v="MEDALLONES CHACRA NUESTRA 24 x 4 x 55 grs"/>
    <x v="51"/>
    <n v="70"/>
    <n v="369.6"/>
    <x v="9"/>
    <x v="0"/>
    <x v="0"/>
  </r>
  <r>
    <x v="20"/>
    <x v="1"/>
    <s v="H513"/>
    <s v="MEDALLONES VICTORIA 40 x 110 grs"/>
    <x v="25"/>
    <n v="137"/>
    <n v="602.80000000000007"/>
    <x v="9"/>
    <x v="0"/>
    <x v="8"/>
  </r>
  <r>
    <x v="20"/>
    <x v="1"/>
    <s v="H530"/>
    <s v="HAMBURGUESA VICTORIA 60 x 80 grs"/>
    <x v="27"/>
    <n v="54"/>
    <n v="259.2"/>
    <x v="9"/>
    <x v="0"/>
    <x v="9"/>
  </r>
  <r>
    <x v="20"/>
    <x v="1"/>
    <s v="H533"/>
    <s v="HAMBURGUESA VICTORIA 72 X 69"/>
    <x v="6"/>
    <n v="48"/>
    <n v="238.56"/>
    <x v="9"/>
    <x v="0"/>
    <x v="0"/>
  </r>
  <r>
    <x v="20"/>
    <x v="1"/>
    <s v="H112"/>
    <s v="MEDALLONES P, FIRST 72 x 55 grs"/>
    <x v="29"/>
    <n v="55"/>
    <n v="217.8"/>
    <x v="9"/>
    <x v="0"/>
    <x v="0"/>
  </r>
  <r>
    <x v="20"/>
    <x v="1"/>
    <s v="H113"/>
    <s v="MEDALLONES P, FIRST 40 x 110 grs"/>
    <x v="36"/>
    <n v="5"/>
    <n v="22"/>
    <x v="9"/>
    <x v="0"/>
    <x v="8"/>
  </r>
  <r>
    <x v="20"/>
    <x v="1"/>
    <s v="UG0013"/>
    <s v="MEDALLONES UG 40 x 110 grs"/>
    <x v="4"/>
    <n v="145"/>
    <n v="638"/>
    <x v="8"/>
    <x v="7"/>
    <x v="8"/>
  </r>
  <r>
    <x v="20"/>
    <x v="1"/>
    <s v="H543"/>
    <s v="HAMBURGUESA VICTORIA 40 x 110 grs"/>
    <x v="52"/>
    <n v="50"/>
    <n v="220.00000000000003"/>
    <x v="8"/>
    <x v="7"/>
    <x v="8"/>
  </r>
  <r>
    <x v="20"/>
    <x v="1"/>
    <s v="H375"/>
    <s v="MEDALLONES MAXIMA 36 X 2 X 55 grs S/GLUTEN S/TACC"/>
    <x v="42"/>
    <n v="1"/>
    <n v="3.96"/>
    <x v="14"/>
    <x v="0"/>
    <x v="0"/>
  </r>
  <r>
    <x v="21"/>
    <x v="1"/>
    <s v="UG0030"/>
    <s v="MEDALLONES UG 36 x 83 grs"/>
    <x v="21"/>
    <n v="5"/>
    <n v="14.950000000000001"/>
    <x v="9"/>
    <x v="0"/>
    <x v="0"/>
  </r>
  <r>
    <x v="21"/>
    <x v="1"/>
    <s v="CH0231"/>
    <s v="MEDALLONES CHACRA NUESTRA 24 x 4 x 55 grs"/>
    <x v="51"/>
    <n v="27"/>
    <n v="142.56"/>
    <x v="9"/>
    <x v="0"/>
    <x v="0"/>
  </r>
  <r>
    <x v="21"/>
    <x v="1"/>
    <s v="H533"/>
    <s v="HAMBURGUESA VICTORIA 72 X 69"/>
    <x v="6"/>
    <n v="49"/>
    <n v="243.53"/>
    <x v="0"/>
    <x v="0"/>
    <x v="0"/>
  </r>
  <r>
    <x v="21"/>
    <x v="1"/>
    <s v="H112"/>
    <s v="MEDALLONES P, FIRST 72 x 55 grs"/>
    <x v="29"/>
    <n v="5"/>
    <n v="19.8"/>
    <x v="8"/>
    <x v="8"/>
    <x v="0"/>
  </r>
  <r>
    <x v="21"/>
    <x v="1"/>
    <s v="CLA003"/>
    <s v="HAMBURGUESA CLASSIC 6 x 20 x 83 grs"/>
    <x v="24"/>
    <n v="34"/>
    <n v="338.64000000000004"/>
    <x v="8"/>
    <x v="9"/>
    <x v="0"/>
  </r>
  <r>
    <x v="22"/>
    <x v="1"/>
    <s v="H513"/>
    <s v="MEDALLONES VICTORIA 40 x 110 grs"/>
    <x v="25"/>
    <n v="62"/>
    <n v="272.8"/>
    <x v="13"/>
    <x v="0"/>
    <x v="0"/>
  </r>
  <r>
    <x v="22"/>
    <x v="1"/>
    <s v="H078"/>
    <s v="HAMBURGUESA DIA % 12 x 12 x 80 grs"/>
    <x v="23"/>
    <n v="4"/>
    <n v="46.08"/>
    <x v="3"/>
    <x v="10"/>
    <x v="0"/>
  </r>
  <r>
    <x v="23"/>
    <x v="1"/>
    <s v="H078"/>
    <s v="HAMBURGUESA DIA % 12 x 12 x 80 grs"/>
    <x v="23"/>
    <n v="4"/>
    <n v="46.08"/>
    <x v="3"/>
    <x v="11"/>
    <x v="0"/>
  </r>
  <r>
    <x v="24"/>
    <x v="1"/>
    <s v="H530"/>
    <s v="HAMBURGUESA VICTORIA 60 x 80 grs"/>
    <x v="27"/>
    <n v="25"/>
    <n v="120"/>
    <x v="0"/>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2"/>
    <m/>
    <s v=" "/>
    <x v="53"/>
    <m/>
    <n v="0"/>
    <x v="12"/>
    <x v="0"/>
    <x v="0"/>
  </r>
  <r>
    <x v="25"/>
    <x v="3"/>
    <m/>
    <m/>
    <x v="54"/>
    <m/>
    <m/>
    <x v="12"/>
    <x v="1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D7FF8-2F89-4960-A5A7-996C7C9912B3}" name="TablaDinámica2" cacheId="20" applyNumberFormats="0" applyBorderFormats="0" applyFontFormats="0" applyPatternFormats="0" applyAlignmentFormats="0" applyWidthHeightFormats="1" dataCaption="Valores" missingCaption="" showMissing="0" updatedVersion="8" minRefreshableVersion="3" itemPrintTitles="1" createdVersion="8" indent="0" compact="0" compactData="0" multipleFieldFilters="0">
  <location ref="I2:L19" firstHeaderRow="1" firstDataRow="2" firstDataCol="1"/>
  <pivotFields count="10">
    <pivotField compact="0" outline="0" showAll="0">
      <items count="27">
        <item x="0"/>
        <item x="1"/>
        <item x="2"/>
        <item x="3"/>
        <item x="4"/>
        <item x="5"/>
        <item x="6"/>
        <item x="7"/>
        <item x="8"/>
        <item x="9"/>
        <item x="10"/>
        <item x="11"/>
        <item x="12"/>
        <item x="13"/>
        <item sd="0" x="25"/>
        <item x="14"/>
        <item x="15"/>
        <item x="16"/>
        <item x="17"/>
        <item x="18"/>
        <item x="19"/>
        <item x="20"/>
        <item x="21"/>
        <item x="22"/>
        <item x="23"/>
        <item x="24"/>
        <item t="default"/>
      </items>
    </pivotField>
    <pivotField axis="axisCol" compact="0" outline="0" showAll="0">
      <items count="5">
        <item h="1" x="2"/>
        <item x="0"/>
        <item x="1"/>
        <item h="1" x="3"/>
        <item t="default"/>
      </items>
    </pivotField>
    <pivotField compact="0" outline="0" showAll="0"/>
    <pivotField compact="0" outline="0" showAll="0"/>
    <pivotField compact="0" outline="0" showAll="0" defaultSubtotal="0">
      <items count="55">
        <item x="53"/>
        <item x="2"/>
        <item x="24"/>
        <item x="28"/>
        <item x="7"/>
        <item x="38"/>
        <item x="35"/>
        <item x="12"/>
        <item x="34"/>
        <item x="39"/>
        <item x="10"/>
        <item x="23"/>
        <item x="3"/>
        <item x="29"/>
        <item x="36"/>
        <item x="20"/>
        <item x="30"/>
        <item x="31"/>
        <item x="18"/>
        <item x="37"/>
        <item x="33"/>
        <item x="26"/>
        <item x="25"/>
        <item x="9"/>
        <item x="27"/>
        <item x="6"/>
        <item x="19"/>
        <item x="11"/>
        <item x="22"/>
        <item x="1"/>
        <item x="5"/>
        <item x="4"/>
        <item x="21"/>
        <item x="0"/>
        <item x="14"/>
        <item x="13"/>
        <item x="16"/>
        <item x="17"/>
        <item x="15"/>
        <item x="8"/>
        <item x="32"/>
        <item x="54"/>
        <item x="40"/>
        <item x="41"/>
        <item x="42"/>
        <item x="43"/>
        <item x="44"/>
        <item x="45"/>
        <item x="46"/>
        <item x="47"/>
        <item x="48"/>
        <item x="49"/>
        <item x="50"/>
        <item x="51"/>
        <item x="52"/>
      </items>
    </pivotField>
    <pivotField compact="0" outline="0" showAll="0"/>
    <pivotField dataField="1" compact="0" outline="0" showAll="0"/>
    <pivotField axis="axisRow" compact="0" outline="0" showAll="0" sortType="descending" defaultSubtotal="0">
      <items count="16">
        <item x="1"/>
        <item x="4"/>
        <item x="3"/>
        <item x="5"/>
        <item x="2"/>
        <item x="7"/>
        <item x="9"/>
        <item x="6"/>
        <item x="8"/>
        <item x="0"/>
        <item x="10"/>
        <item x="12"/>
        <item x="11"/>
        <item m="1" x="15"/>
        <item x="14"/>
        <item x="13"/>
      </items>
      <autoSortScope>
        <pivotArea dataOnly="0" outline="0" fieldPosition="0">
          <references count="1">
            <reference field="4294967294" count="1" selected="0">
              <x v="0"/>
            </reference>
          </references>
        </pivotArea>
      </autoSortScope>
    </pivotField>
    <pivotField compact="0" outline="0" showAll="0" defaultSubtotal="0">
      <items count="16">
        <item x="2"/>
        <item x="1"/>
        <item x="3"/>
        <item x="12"/>
        <item x="0"/>
        <item x="4"/>
        <item x="5"/>
        <item x="6"/>
        <item m="1" x="13"/>
        <item m="1" x="14"/>
        <item m="1" x="15"/>
        <item x="7"/>
        <item x="8"/>
        <item x="9"/>
        <item x="10"/>
        <item x="11"/>
      </items>
    </pivotField>
    <pivotField name="¿SE REALIZÓ OTRO DÍA?" compact="0" outline="0" showAll="0">
      <items count="13">
        <item m="1" x="11"/>
        <item x="1"/>
        <item x="2"/>
        <item x="4"/>
        <item x="3"/>
        <item x="5"/>
        <item x="6"/>
        <item x="7"/>
        <item x="10"/>
        <item x="0"/>
        <item x="8"/>
        <item x="9"/>
        <item t="default"/>
      </items>
    </pivotField>
  </pivotFields>
  <rowFields count="1">
    <field x="7"/>
  </rowFields>
  <rowItems count="16">
    <i>
      <x v="3"/>
    </i>
    <i>
      <x v="2"/>
    </i>
    <i>
      <x v="15"/>
    </i>
    <i>
      <x v="9"/>
    </i>
    <i>
      <x v="11"/>
    </i>
    <i>
      <x v="6"/>
    </i>
    <i>
      <x v="7"/>
    </i>
    <i>
      <x v="8"/>
    </i>
    <i>
      <x v="10"/>
    </i>
    <i>
      <x v="4"/>
    </i>
    <i>
      <x v="12"/>
    </i>
    <i>
      <x/>
    </i>
    <i>
      <x v="1"/>
    </i>
    <i>
      <x v="14"/>
    </i>
    <i>
      <x v="5"/>
    </i>
    <i t="grand">
      <x/>
    </i>
  </rowItems>
  <colFields count="1">
    <field x="1"/>
  </colFields>
  <colItems count="3">
    <i>
      <x v="1"/>
    </i>
    <i>
      <x v="2"/>
    </i>
    <i t="grand">
      <x/>
    </i>
  </colItems>
  <dataFields count="1">
    <dataField name="RECORTE EN KG" fld="6" showDataAs="percentOfTotal" baseField="0" baseItem="0" numFmtId="9"/>
  </dataFields>
  <formats count="13">
    <format dxfId="523">
      <pivotArea field="4" type="button" dataOnly="0" labelOnly="1" outline="0"/>
    </format>
    <format dxfId="522">
      <pivotArea field="8" type="button" dataOnly="0" labelOnly="1" outline="0"/>
    </format>
    <format dxfId="521">
      <pivotArea dataOnly="0" labelOnly="1" outline="0" axis="axisValues" fieldPosition="0"/>
    </format>
    <format dxfId="520">
      <pivotArea dataOnly="0" labelOnly="1" outline="0" axis="axisValues" fieldPosition="0"/>
    </format>
    <format dxfId="519">
      <pivotArea field="0" type="button" dataOnly="0" labelOnly="1" outline="0"/>
    </format>
    <format dxfId="518">
      <pivotArea field="9" type="button" dataOnly="0" labelOnly="1" outline="0"/>
    </format>
    <format dxfId="517">
      <pivotArea field="7" type="button" dataOnly="0" labelOnly="1" outline="0" axis="axisRow" fieldPosition="0"/>
    </format>
    <format dxfId="516">
      <pivotArea outline="0" collapsedLevelsAreSubtotals="1" fieldPosition="0"/>
    </format>
    <format dxfId="515">
      <pivotArea outline="0" collapsedLevelsAreSubtotals="1" fieldPosition="0"/>
    </format>
    <format dxfId="514">
      <pivotArea field="1" type="button" dataOnly="0" labelOnly="1" outline="0" axis="axisCol" fieldPosition="0"/>
    </format>
    <format dxfId="513">
      <pivotArea type="topRight" dataOnly="0" labelOnly="1" outline="0" fieldPosition="0"/>
    </format>
    <format dxfId="512">
      <pivotArea dataOnly="0" labelOnly="1" outline="0" fieldPosition="0">
        <references count="1">
          <reference field="1" count="0"/>
        </references>
      </pivotArea>
    </format>
    <format dxfId="511">
      <pivotArea dataOnly="0" labelOnly="1" grandCol="1" outline="0"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E9180-D9CC-4537-A6EC-B60E9DE8E6D0}" name="TablaDinámica1" cacheId="20" applyNumberFormats="0" applyBorderFormats="0" applyFontFormats="0" applyPatternFormats="0" applyAlignmentFormats="0" applyWidthHeightFormats="1" dataCaption="Valores" missingCaption="" showMissing="0" updatedVersion="8" minRefreshableVersion="3" rowGrandTotals="0" itemPrintTitles="1" createdVersion="8" indent="0" compact="0" compactData="0" multipleFieldFilters="0">
  <location ref="B2:G138" firstHeaderRow="1" firstDataRow="1" firstDataCol="5"/>
  <pivotFields count="10">
    <pivotField axis="axisRow" compact="0" outline="0" showAll="0">
      <items count="27">
        <item x="0"/>
        <item x="1"/>
        <item x="2"/>
        <item x="3"/>
        <item x="4"/>
        <item x="5"/>
        <item x="6"/>
        <item x="7"/>
        <item x="8"/>
        <item x="9"/>
        <item x="10"/>
        <item x="11"/>
        <item x="12"/>
        <item x="13"/>
        <item x="25"/>
        <item x="14"/>
        <item x="15"/>
        <item x="16"/>
        <item x="17"/>
        <item x="18"/>
        <item x="19"/>
        <item x="20"/>
        <item x="21"/>
        <item x="22"/>
        <item x="23"/>
        <item x="24"/>
        <item t="default"/>
      </items>
    </pivotField>
    <pivotField compact="0" outline="0" showAll="0"/>
    <pivotField compact="0" outline="0" showAll="0"/>
    <pivotField compact="0" outline="0" showAll="0"/>
    <pivotField axis="axisRow" compact="0" outline="0" showAll="0" defaultSubtotal="0">
      <items count="55">
        <item x="53"/>
        <item x="2"/>
        <item x="24"/>
        <item x="28"/>
        <item x="7"/>
        <item x="38"/>
        <item x="35"/>
        <item x="12"/>
        <item x="34"/>
        <item x="39"/>
        <item x="10"/>
        <item x="23"/>
        <item x="3"/>
        <item x="29"/>
        <item x="36"/>
        <item x="20"/>
        <item x="30"/>
        <item x="31"/>
        <item x="18"/>
        <item x="37"/>
        <item x="33"/>
        <item x="26"/>
        <item x="25"/>
        <item x="9"/>
        <item x="27"/>
        <item x="6"/>
        <item x="19"/>
        <item x="11"/>
        <item x="22"/>
        <item x="1"/>
        <item x="5"/>
        <item x="4"/>
        <item x="21"/>
        <item x="0"/>
        <item x="14"/>
        <item x="13"/>
        <item x="16"/>
        <item x="17"/>
        <item x="15"/>
        <item x="8"/>
        <item x="32"/>
        <item x="54"/>
        <item x="40"/>
        <item x="41"/>
        <item x="42"/>
        <item x="43"/>
        <item x="44"/>
        <item x="45"/>
        <item x="46"/>
        <item x="47"/>
        <item x="48"/>
        <item x="49"/>
        <item x="50"/>
        <item x="51"/>
        <item x="52"/>
      </items>
    </pivotField>
    <pivotField compact="0" outline="0" showAll="0"/>
    <pivotField dataField="1" compact="0" outline="0" showAll="0"/>
    <pivotField axis="axisRow" compact="0" outline="0" showAll="0" defaultSubtotal="0">
      <items count="16">
        <item x="1"/>
        <item x="4"/>
        <item x="3"/>
        <item x="5"/>
        <item x="2"/>
        <item x="7"/>
        <item x="9"/>
        <item x="6"/>
        <item x="8"/>
        <item x="0"/>
        <item x="10"/>
        <item x="12"/>
        <item x="11"/>
        <item m="1" x="15"/>
        <item x="14"/>
        <item x="13"/>
      </items>
    </pivotField>
    <pivotField axis="axisRow" compact="0" outline="0" showAll="0" defaultSubtotal="0">
      <items count="16">
        <item x="2"/>
        <item x="1"/>
        <item x="3"/>
        <item x="12"/>
        <item x="0"/>
        <item x="4"/>
        <item x="5"/>
        <item x="6"/>
        <item m="1" x="13"/>
        <item m="1" x="14"/>
        <item m="1" x="15"/>
        <item x="7"/>
        <item x="8"/>
        <item x="9"/>
        <item x="10"/>
        <item x="11"/>
      </items>
    </pivotField>
    <pivotField name="¿SE REALIZÓ OTRO DÍA?" axis="axisRow" compact="0" outline="0" showAll="0">
      <items count="13">
        <item m="1" x="11"/>
        <item x="1"/>
        <item x="2"/>
        <item x="4"/>
        <item x="3"/>
        <item x="5"/>
        <item x="6"/>
        <item x="7"/>
        <item x="10"/>
        <item x="0"/>
        <item x="8"/>
        <item x="9"/>
        <item t="default"/>
      </items>
    </pivotField>
  </pivotFields>
  <rowFields count="5">
    <field x="0"/>
    <field x="4"/>
    <field x="7"/>
    <field x="8"/>
    <field x="9"/>
  </rowFields>
  <rowItems count="136">
    <i>
      <x/>
      <x v="1"/>
      <x/>
      <x v="4"/>
      <x v="9"/>
    </i>
    <i r="1">
      <x v="12"/>
      <x v="9"/>
      <x v="4"/>
      <x v="9"/>
    </i>
    <i r="1">
      <x v="29"/>
      <x v="9"/>
      <x v="4"/>
      <x v="9"/>
    </i>
    <i r="1">
      <x v="33"/>
      <x v="9"/>
      <x v="4"/>
      <x v="9"/>
    </i>
    <i t="default">
      <x/>
    </i>
    <i>
      <x v="1"/>
      <x v="4"/>
      <x v="4"/>
      <x v="4"/>
      <x v="1"/>
    </i>
    <i r="1">
      <x v="25"/>
      <x v="2"/>
      <x v="4"/>
      <x v="9"/>
    </i>
    <i r="1">
      <x v="29"/>
      <x v="9"/>
      <x v="4"/>
      <x v="9"/>
    </i>
    <i r="1">
      <x v="30"/>
      <x v="4"/>
      <x v="4"/>
      <x v="9"/>
    </i>
    <i r="1">
      <x v="31"/>
      <x v="9"/>
      <x v="4"/>
      <x v="9"/>
    </i>
    <i r="1">
      <x v="33"/>
      <x v="2"/>
      <x v="4"/>
      <x v="9"/>
    </i>
    <i t="default">
      <x v="1"/>
    </i>
    <i>
      <x v="2"/>
      <x v="10"/>
      <x v="2"/>
      <x v="4"/>
      <x v="9"/>
    </i>
    <i r="1">
      <x v="23"/>
      <x v="9"/>
      <x v="4"/>
      <x v="1"/>
    </i>
    <i r="1">
      <x v="27"/>
      <x v="3"/>
      <x v="4"/>
      <x v="9"/>
    </i>
    <i r="1">
      <x v="29"/>
      <x v="9"/>
      <x v="4"/>
      <x v="9"/>
    </i>
    <i r="1">
      <x v="33"/>
      <x v="9"/>
      <x v="4"/>
      <x v="1"/>
    </i>
    <i r="1">
      <x v="39"/>
      <x v="1"/>
      <x v="4"/>
      <x v="9"/>
    </i>
    <i t="default">
      <x v="2"/>
    </i>
    <i>
      <x v="3"/>
      <x v="7"/>
      <x v="3"/>
      <x v="4"/>
      <x v="9"/>
    </i>
    <i r="1">
      <x v="12"/>
      <x v="9"/>
      <x v="4"/>
      <x v="2"/>
    </i>
    <i r="1">
      <x v="18"/>
      <x v="9"/>
      <x v="4"/>
      <x v="9"/>
    </i>
    <i r="1">
      <x v="23"/>
      <x v="2"/>
      <x v="4"/>
      <x v="9"/>
    </i>
    <i r="1">
      <x v="26"/>
      <x v="7"/>
      <x v="4"/>
      <x v="9"/>
    </i>
    <i r="1">
      <x v="29"/>
      <x v="9"/>
      <x v="4"/>
      <x v="9"/>
    </i>
    <i r="1">
      <x v="30"/>
      <x v="3"/>
      <x v="4"/>
      <x v="9"/>
    </i>
    <i r="1">
      <x v="33"/>
      <x v="3"/>
      <x v="4"/>
      <x v="9"/>
    </i>
    <i r="1">
      <x v="34"/>
      <x v="3"/>
      <x v="4"/>
      <x v="9"/>
    </i>
    <i r="1">
      <x v="35"/>
      <x v="3"/>
      <x v="4"/>
      <x v="9"/>
    </i>
    <i r="1">
      <x v="36"/>
      <x v="3"/>
      <x v="4"/>
      <x v="9"/>
    </i>
    <i r="1">
      <x v="37"/>
      <x v="3"/>
      <x v="4"/>
      <x v="9"/>
    </i>
    <i r="1">
      <x v="38"/>
      <x v="3"/>
      <x v="4"/>
      <x v="9"/>
    </i>
    <i t="default">
      <x v="3"/>
    </i>
    <i>
      <x v="4"/>
      <x v="15"/>
      <x/>
      <x v="4"/>
      <x v="9"/>
    </i>
    <i r="1">
      <x v="23"/>
      <x v="9"/>
      <x v="4"/>
      <x v="9"/>
    </i>
    <i r="1">
      <x v="29"/>
      <x v="2"/>
      <x v="4"/>
      <x v="9"/>
    </i>
    <i t="default">
      <x v="4"/>
    </i>
    <i>
      <x v="5"/>
      <x v="2"/>
      <x v="2"/>
      <x v="4"/>
      <x v="9"/>
    </i>
    <i r="1">
      <x v="11"/>
      <x v="2"/>
      <x v="4"/>
      <x v="9"/>
    </i>
    <i r="1">
      <x v="23"/>
      <x v="8"/>
      <x v="1"/>
      <x v="4"/>
    </i>
    <i r="1">
      <x v="28"/>
      <x v="2"/>
      <x v="4"/>
      <x v="9"/>
    </i>
    <i r="1">
      <x v="32"/>
      <x v="5"/>
      <x v="4"/>
      <x v="9"/>
    </i>
    <i t="default">
      <x v="5"/>
    </i>
    <i>
      <x v="6"/>
      <x v="21"/>
      <x v="6"/>
      <x v="4"/>
      <x v="4"/>
    </i>
    <i r="1">
      <x v="22"/>
      <x v="6"/>
      <x v="4"/>
      <x v="4"/>
    </i>
    <i t="default">
      <x v="6"/>
    </i>
    <i>
      <x v="7"/>
      <x v="3"/>
      <x v="9"/>
      <x v="4"/>
      <x v="9"/>
    </i>
    <i r="1">
      <x v="22"/>
      <x v="8"/>
      <x/>
      <x v="9"/>
    </i>
    <i r="1">
      <x v="24"/>
      <x v="9"/>
      <x v="4"/>
      <x v="3"/>
    </i>
    <i t="default">
      <x v="7"/>
    </i>
    <i>
      <x v="8"/>
      <x v="12"/>
      <x v="2"/>
      <x v="4"/>
      <x v="6"/>
    </i>
    <i r="1">
      <x v="13"/>
      <x v="2"/>
      <x v="4"/>
      <x v="6"/>
    </i>
    <i r="1">
      <x v="16"/>
      <x v="2"/>
      <x v="4"/>
      <x v="6"/>
    </i>
    <i r="1">
      <x v="17"/>
      <x v="2"/>
      <x v="4"/>
      <x v="9"/>
    </i>
    <i r="1">
      <x v="28"/>
      <x v="2"/>
      <x v="4"/>
      <x v="5"/>
    </i>
    <i t="default">
      <x v="8"/>
    </i>
    <i>
      <x v="9"/>
      <x v="39"/>
      <x v="9"/>
      <x v="4"/>
      <x v="9"/>
    </i>
    <i r="1">
      <x v="40"/>
      <x v="8"/>
      <x v="2"/>
      <x v="9"/>
    </i>
    <i t="default">
      <x v="9"/>
    </i>
    <i>
      <x v="10"/>
      <x v="22"/>
      <x v="10"/>
      <x v="4"/>
      <x v="7"/>
    </i>
    <i t="default">
      <x v="10"/>
    </i>
    <i>
      <x v="11"/>
      <x v="20"/>
      <x v="9"/>
      <x v="4"/>
      <x v="9"/>
    </i>
    <i r="1">
      <x v="24"/>
      <x v="9"/>
      <x v="4"/>
      <x v="9"/>
    </i>
    <i r="1">
      <x v="39"/>
      <x v="9"/>
      <x v="4"/>
      <x v="9"/>
    </i>
    <i t="default">
      <x v="11"/>
    </i>
    <i>
      <x v="12"/>
      <x v="8"/>
      <x v="3"/>
      <x v="4"/>
      <x v="9"/>
    </i>
    <i r="1">
      <x v="13"/>
      <x v="3"/>
      <x v="4"/>
      <x v="9"/>
    </i>
    <i t="default">
      <x v="12"/>
    </i>
    <i>
      <x v="13"/>
      <x v="5"/>
      <x v="3"/>
      <x v="4"/>
      <x v="9"/>
    </i>
    <i r="1">
      <x v="6"/>
      <x v="3"/>
      <x v="4"/>
      <x v="9"/>
    </i>
    <i r="1">
      <x v="9"/>
      <x v="3"/>
      <x v="4"/>
      <x v="9"/>
    </i>
    <i r="1">
      <x v="12"/>
      <x v="3"/>
      <x v="4"/>
      <x v="9"/>
    </i>
    <i r="1">
      <x v="13"/>
      <x v="3"/>
      <x v="4"/>
      <x v="9"/>
    </i>
    <i r="1">
      <x v="14"/>
      <x v="3"/>
      <x v="4"/>
      <x v="9"/>
    </i>
    <i r="1">
      <x v="19"/>
      <x v="3"/>
      <x v="4"/>
      <x v="9"/>
    </i>
    <i r="1">
      <x v="31"/>
      <x v="3"/>
      <x v="4"/>
      <x v="9"/>
    </i>
    <i t="default">
      <x v="13"/>
    </i>
    <i>
      <x v="14"/>
      <x/>
      <x v="11"/>
      <x v="4"/>
      <x v="9"/>
    </i>
    <i r="1">
      <x v="41"/>
      <x v="11"/>
      <x v="3"/>
      <x v="8"/>
    </i>
    <i t="default">
      <x v="14"/>
    </i>
    <i>
      <x v="15"/>
      <x v="6"/>
      <x v="3"/>
      <x v="4"/>
      <x v="9"/>
    </i>
    <i r="1">
      <x v="12"/>
      <x v="12"/>
      <x v="4"/>
      <x v="9"/>
    </i>
    <i r="1">
      <x v="19"/>
      <x v="9"/>
      <x v="4"/>
      <x v="9"/>
    </i>
    <i r="1">
      <x v="42"/>
      <x v="3"/>
      <x v="4"/>
      <x v="9"/>
    </i>
    <i r="2">
      <x v="11"/>
      <x v="5"/>
      <x v="9"/>
    </i>
    <i r="1">
      <x v="43"/>
      <x v="12"/>
      <x v="4"/>
      <x v="9"/>
    </i>
    <i r="1">
      <x v="44"/>
      <x v="11"/>
      <x v="6"/>
      <x v="9"/>
    </i>
    <i t="default">
      <x v="15"/>
    </i>
    <i>
      <x v="16"/>
      <x v="36"/>
      <x v="3"/>
      <x v="4"/>
      <x v="9"/>
    </i>
    <i r="1">
      <x v="45"/>
      <x v="3"/>
      <x v="4"/>
      <x v="9"/>
    </i>
    <i t="default">
      <x v="16"/>
    </i>
    <i>
      <x v="17"/>
      <x v="46"/>
      <x v="9"/>
      <x v="4"/>
      <x v="9"/>
    </i>
    <i t="default">
      <x v="17"/>
    </i>
    <i>
      <x v="18"/>
      <x v="5"/>
      <x v="11"/>
      <x v="7"/>
      <x v="9"/>
    </i>
    <i r="1">
      <x v="47"/>
      <x v="11"/>
      <x v="7"/>
      <x v="9"/>
    </i>
    <i t="default">
      <x v="18"/>
    </i>
    <i>
      <x v="19"/>
      <x v="11"/>
      <x v="15"/>
      <x v="4"/>
      <x v="9"/>
    </i>
    <i r="1">
      <x v="17"/>
      <x v="15"/>
      <x v="4"/>
      <x v="9"/>
    </i>
    <i r="1">
      <x v="24"/>
      <x v="15"/>
      <x v="4"/>
      <x v="9"/>
    </i>
    <i r="1">
      <x v="25"/>
      <x v="15"/>
      <x v="4"/>
      <x v="9"/>
    </i>
    <i r="1">
      <x v="48"/>
      <x v="15"/>
      <x v="4"/>
      <x v="9"/>
    </i>
    <i r="1">
      <x v="49"/>
      <x v="15"/>
      <x v="4"/>
      <x v="9"/>
    </i>
    <i t="default">
      <x v="19"/>
    </i>
    <i>
      <x v="20"/>
      <x v="19"/>
      <x v="2"/>
      <x v="4"/>
      <x v="9"/>
    </i>
    <i r="1">
      <x v="22"/>
      <x v="2"/>
      <x v="4"/>
      <x v="9"/>
    </i>
    <i r="1">
      <x v="25"/>
      <x v="2"/>
      <x v="4"/>
      <x v="9"/>
    </i>
    <i r="1">
      <x v="40"/>
      <x v="9"/>
      <x v="4"/>
      <x v="9"/>
    </i>
    <i r="1">
      <x v="44"/>
      <x v="14"/>
      <x v="4"/>
      <x v="9"/>
    </i>
    <i r="1">
      <x v="50"/>
      <x v="2"/>
      <x v="4"/>
      <x v="9"/>
    </i>
    <i r="1">
      <x v="51"/>
      <x v="9"/>
      <x v="4"/>
      <x v="9"/>
    </i>
    <i t="default">
      <x v="20"/>
    </i>
    <i>
      <x v="21"/>
      <x v="13"/>
      <x v="6"/>
      <x v="4"/>
      <x v="9"/>
    </i>
    <i r="1">
      <x v="14"/>
      <x v="6"/>
      <x v="4"/>
      <x v="10"/>
    </i>
    <i r="1">
      <x v="22"/>
      <x v="6"/>
      <x v="4"/>
      <x v="10"/>
    </i>
    <i r="1">
      <x v="24"/>
      <x v="6"/>
      <x v="4"/>
      <x v="11"/>
    </i>
    <i r="1">
      <x v="25"/>
      <x v="6"/>
      <x v="4"/>
      <x v="9"/>
    </i>
    <i r="1">
      <x v="31"/>
      <x v="8"/>
      <x v="11"/>
      <x v="10"/>
    </i>
    <i r="1">
      <x v="32"/>
      <x v="6"/>
      <x v="4"/>
      <x v="9"/>
    </i>
    <i r="1">
      <x v="44"/>
      <x v="14"/>
      <x v="4"/>
      <x v="9"/>
    </i>
    <i r="1">
      <x v="52"/>
      <x v="6"/>
      <x v="4"/>
      <x v="10"/>
    </i>
    <i r="1">
      <x v="53"/>
      <x v="6"/>
      <x v="4"/>
      <x v="9"/>
    </i>
    <i r="1">
      <x v="54"/>
      <x v="8"/>
      <x v="11"/>
      <x v="10"/>
    </i>
    <i t="default">
      <x v="21"/>
    </i>
    <i>
      <x v="22"/>
      <x v="2"/>
      <x v="8"/>
      <x v="13"/>
      <x v="9"/>
    </i>
    <i r="1">
      <x v="13"/>
      <x v="8"/>
      <x v="12"/>
      <x v="9"/>
    </i>
    <i r="1">
      <x v="25"/>
      <x v="9"/>
      <x v="4"/>
      <x v="9"/>
    </i>
    <i r="1">
      <x v="32"/>
      <x v="6"/>
      <x v="4"/>
      <x v="9"/>
    </i>
    <i r="1">
      <x v="53"/>
      <x v="6"/>
      <x v="4"/>
      <x v="9"/>
    </i>
    <i t="default">
      <x v="22"/>
    </i>
    <i>
      <x v="23"/>
      <x v="11"/>
      <x v="2"/>
      <x v="14"/>
      <x v="9"/>
    </i>
    <i r="1">
      <x v="22"/>
      <x v="15"/>
      <x v="4"/>
      <x v="9"/>
    </i>
    <i t="default">
      <x v="23"/>
    </i>
    <i>
      <x v="24"/>
      <x v="11"/>
      <x v="2"/>
      <x v="15"/>
      <x v="9"/>
    </i>
    <i t="default">
      <x v="24"/>
    </i>
    <i>
      <x v="25"/>
      <x v="24"/>
      <x v="9"/>
      <x v="4"/>
      <x v="9"/>
    </i>
    <i t="default">
      <x v="25"/>
    </i>
  </rowItems>
  <colItems count="1">
    <i/>
  </colItems>
  <dataFields count="1">
    <dataField name="RECORTE EN KG" fld="6" baseField="0" baseItem="0" numFmtId="167"/>
  </dataFields>
  <formats count="237">
    <format dxfId="760">
      <pivotArea field="4" type="button" dataOnly="0" labelOnly="1" outline="0" axis="axisRow" fieldPosition="1"/>
    </format>
    <format dxfId="759">
      <pivotArea field="8" type="button" dataOnly="0" labelOnly="1" outline="0" axis="axisRow" fieldPosition="3"/>
    </format>
    <format dxfId="758">
      <pivotArea dataOnly="0" labelOnly="1" outline="0" axis="axisValues" fieldPosition="0"/>
    </format>
    <format dxfId="757">
      <pivotArea outline="0" collapsedLevelsAreSubtotals="1" fieldPosition="0"/>
    </format>
    <format dxfId="756">
      <pivotArea dataOnly="0" labelOnly="1" outline="0" axis="axisValues" fieldPosition="0"/>
    </format>
    <format dxfId="755">
      <pivotArea dataOnly="0" labelOnly="1" outline="0" fieldPosition="0">
        <references count="3">
          <reference field="0" count="1" selected="0">
            <x v="0"/>
          </reference>
          <reference field="4" count="1" selected="0">
            <x v="1"/>
          </reference>
          <reference field="7" count="1">
            <x v="0"/>
          </reference>
        </references>
      </pivotArea>
    </format>
    <format dxfId="754">
      <pivotArea dataOnly="0" labelOnly="1" outline="0" fieldPosition="0">
        <references count="3">
          <reference field="0" count="1" selected="0">
            <x v="0"/>
          </reference>
          <reference field="4" count="1" selected="0">
            <x v="12"/>
          </reference>
          <reference field="7" count="1">
            <x v="9"/>
          </reference>
        </references>
      </pivotArea>
    </format>
    <format dxfId="753">
      <pivotArea dataOnly="0" labelOnly="1" outline="0" fieldPosition="0">
        <references count="3">
          <reference field="0" count="1" selected="0">
            <x v="0"/>
          </reference>
          <reference field="4" count="1" selected="0">
            <x v="29"/>
          </reference>
          <reference field="7" count="1">
            <x v="9"/>
          </reference>
        </references>
      </pivotArea>
    </format>
    <format dxfId="752">
      <pivotArea dataOnly="0" labelOnly="1" outline="0" fieldPosition="0">
        <references count="3">
          <reference field="0" count="1" selected="0">
            <x v="0"/>
          </reference>
          <reference field="4" count="1" selected="0">
            <x v="33"/>
          </reference>
          <reference field="7" count="1">
            <x v="9"/>
          </reference>
        </references>
      </pivotArea>
    </format>
    <format dxfId="751">
      <pivotArea dataOnly="0" labelOnly="1" outline="0" fieldPosition="0">
        <references count="3">
          <reference field="0" count="1" selected="0">
            <x v="1"/>
          </reference>
          <reference field="4" count="1" selected="0">
            <x v="4"/>
          </reference>
          <reference field="7" count="1">
            <x v="4"/>
          </reference>
        </references>
      </pivotArea>
    </format>
    <format dxfId="750">
      <pivotArea dataOnly="0" labelOnly="1" outline="0" fieldPosition="0">
        <references count="3">
          <reference field="0" count="1" selected="0">
            <x v="1"/>
          </reference>
          <reference field="4" count="1" selected="0">
            <x v="25"/>
          </reference>
          <reference field="7" count="1">
            <x v="2"/>
          </reference>
        </references>
      </pivotArea>
    </format>
    <format dxfId="749">
      <pivotArea dataOnly="0" labelOnly="1" outline="0" fieldPosition="0">
        <references count="3">
          <reference field="0" count="1" selected="0">
            <x v="1"/>
          </reference>
          <reference field="4" count="1" selected="0">
            <x v="29"/>
          </reference>
          <reference field="7" count="1">
            <x v="9"/>
          </reference>
        </references>
      </pivotArea>
    </format>
    <format dxfId="748">
      <pivotArea dataOnly="0" labelOnly="1" outline="0" fieldPosition="0">
        <references count="3">
          <reference field="0" count="1" selected="0">
            <x v="1"/>
          </reference>
          <reference field="4" count="1" selected="0">
            <x v="30"/>
          </reference>
          <reference field="7" count="1">
            <x v="4"/>
          </reference>
        </references>
      </pivotArea>
    </format>
    <format dxfId="747">
      <pivotArea dataOnly="0" labelOnly="1" outline="0" fieldPosition="0">
        <references count="3">
          <reference field="0" count="1" selected="0">
            <x v="1"/>
          </reference>
          <reference field="4" count="1" selected="0">
            <x v="31"/>
          </reference>
          <reference field="7" count="1">
            <x v="9"/>
          </reference>
        </references>
      </pivotArea>
    </format>
    <format dxfId="746">
      <pivotArea dataOnly="0" labelOnly="1" outline="0" fieldPosition="0">
        <references count="3">
          <reference field="0" count="1" selected="0">
            <x v="1"/>
          </reference>
          <reference field="4" count="1" selected="0">
            <x v="33"/>
          </reference>
          <reference field="7" count="1">
            <x v="2"/>
          </reference>
        </references>
      </pivotArea>
    </format>
    <format dxfId="745">
      <pivotArea dataOnly="0" labelOnly="1" outline="0" fieldPosition="0">
        <references count="3">
          <reference field="0" count="1" selected="0">
            <x v="2"/>
          </reference>
          <reference field="4" count="1" selected="0">
            <x v="10"/>
          </reference>
          <reference field="7" count="1">
            <x v="2"/>
          </reference>
        </references>
      </pivotArea>
    </format>
    <format dxfId="744">
      <pivotArea dataOnly="0" labelOnly="1" outline="0" fieldPosition="0">
        <references count="3">
          <reference field="0" count="1" selected="0">
            <x v="2"/>
          </reference>
          <reference field="4" count="1" selected="0">
            <x v="23"/>
          </reference>
          <reference field="7" count="1">
            <x v="9"/>
          </reference>
        </references>
      </pivotArea>
    </format>
    <format dxfId="743">
      <pivotArea dataOnly="0" labelOnly="1" outline="0" fieldPosition="0">
        <references count="3">
          <reference field="0" count="1" selected="0">
            <x v="2"/>
          </reference>
          <reference field="4" count="1" selected="0">
            <x v="27"/>
          </reference>
          <reference field="7" count="1">
            <x v="3"/>
          </reference>
        </references>
      </pivotArea>
    </format>
    <format dxfId="742">
      <pivotArea dataOnly="0" labelOnly="1" outline="0" fieldPosition="0">
        <references count="3">
          <reference field="0" count="1" selected="0">
            <x v="2"/>
          </reference>
          <reference field="4" count="1" selected="0">
            <x v="29"/>
          </reference>
          <reference field="7" count="1">
            <x v="9"/>
          </reference>
        </references>
      </pivotArea>
    </format>
    <format dxfId="741">
      <pivotArea dataOnly="0" labelOnly="1" outline="0" fieldPosition="0">
        <references count="3">
          <reference field="0" count="1" selected="0">
            <x v="2"/>
          </reference>
          <reference field="4" count="1" selected="0">
            <x v="33"/>
          </reference>
          <reference field="7" count="1">
            <x v="9"/>
          </reference>
        </references>
      </pivotArea>
    </format>
    <format dxfId="740">
      <pivotArea dataOnly="0" labelOnly="1" outline="0" fieldPosition="0">
        <references count="3">
          <reference field="0" count="1" selected="0">
            <x v="2"/>
          </reference>
          <reference field="4" count="1" selected="0">
            <x v="39"/>
          </reference>
          <reference field="7" count="1">
            <x v="1"/>
          </reference>
        </references>
      </pivotArea>
    </format>
    <format dxfId="739">
      <pivotArea dataOnly="0" labelOnly="1" outline="0" fieldPosition="0">
        <references count="3">
          <reference field="0" count="1" selected="0">
            <x v="3"/>
          </reference>
          <reference field="4" count="1" selected="0">
            <x v="7"/>
          </reference>
          <reference field="7" count="1">
            <x v="3"/>
          </reference>
        </references>
      </pivotArea>
    </format>
    <format dxfId="738">
      <pivotArea dataOnly="0" labelOnly="1" outline="0" fieldPosition="0">
        <references count="3">
          <reference field="0" count="1" selected="0">
            <x v="3"/>
          </reference>
          <reference field="4" count="1" selected="0">
            <x v="12"/>
          </reference>
          <reference field="7" count="1">
            <x v="9"/>
          </reference>
        </references>
      </pivotArea>
    </format>
    <format dxfId="737">
      <pivotArea dataOnly="0" labelOnly="1" outline="0" fieldPosition="0">
        <references count="3">
          <reference field="0" count="1" selected="0">
            <x v="3"/>
          </reference>
          <reference field="4" count="1" selected="0">
            <x v="18"/>
          </reference>
          <reference field="7" count="1">
            <x v="9"/>
          </reference>
        </references>
      </pivotArea>
    </format>
    <format dxfId="736">
      <pivotArea dataOnly="0" labelOnly="1" outline="0" fieldPosition="0">
        <references count="3">
          <reference field="0" count="1" selected="0">
            <x v="3"/>
          </reference>
          <reference field="4" count="1" selected="0">
            <x v="23"/>
          </reference>
          <reference field="7" count="1">
            <x v="2"/>
          </reference>
        </references>
      </pivotArea>
    </format>
    <format dxfId="735">
      <pivotArea dataOnly="0" labelOnly="1" outline="0" fieldPosition="0">
        <references count="3">
          <reference field="0" count="1" selected="0">
            <x v="3"/>
          </reference>
          <reference field="4" count="1" selected="0">
            <x v="26"/>
          </reference>
          <reference field="7" count="1">
            <x v="7"/>
          </reference>
        </references>
      </pivotArea>
    </format>
    <format dxfId="734">
      <pivotArea dataOnly="0" labelOnly="1" outline="0" fieldPosition="0">
        <references count="3">
          <reference field="0" count="1" selected="0">
            <x v="3"/>
          </reference>
          <reference field="4" count="1" selected="0">
            <x v="29"/>
          </reference>
          <reference field="7" count="1">
            <x v="9"/>
          </reference>
        </references>
      </pivotArea>
    </format>
    <format dxfId="733">
      <pivotArea dataOnly="0" labelOnly="1" outline="0" fieldPosition="0">
        <references count="3">
          <reference field="0" count="1" selected="0">
            <x v="3"/>
          </reference>
          <reference field="4" count="1" selected="0">
            <x v="30"/>
          </reference>
          <reference field="7" count="1">
            <x v="3"/>
          </reference>
        </references>
      </pivotArea>
    </format>
    <format dxfId="732">
      <pivotArea dataOnly="0" labelOnly="1" outline="0" fieldPosition="0">
        <references count="3">
          <reference field="0" count="1" selected="0">
            <x v="3"/>
          </reference>
          <reference field="4" count="1" selected="0">
            <x v="33"/>
          </reference>
          <reference field="7" count="1">
            <x v="3"/>
          </reference>
        </references>
      </pivotArea>
    </format>
    <format dxfId="731">
      <pivotArea dataOnly="0" labelOnly="1" outline="0" fieldPosition="0">
        <references count="3">
          <reference field="0" count="1" selected="0">
            <x v="3"/>
          </reference>
          <reference field="4" count="1" selected="0">
            <x v="34"/>
          </reference>
          <reference field="7" count="1">
            <x v="3"/>
          </reference>
        </references>
      </pivotArea>
    </format>
    <format dxfId="730">
      <pivotArea dataOnly="0" labelOnly="1" outline="0" fieldPosition="0">
        <references count="3">
          <reference field="0" count="1" selected="0">
            <x v="3"/>
          </reference>
          <reference field="4" count="1" selected="0">
            <x v="35"/>
          </reference>
          <reference field="7" count="1">
            <x v="3"/>
          </reference>
        </references>
      </pivotArea>
    </format>
    <format dxfId="729">
      <pivotArea dataOnly="0" labelOnly="1" outline="0" fieldPosition="0">
        <references count="3">
          <reference field="0" count="1" selected="0">
            <x v="3"/>
          </reference>
          <reference field="4" count="1" selected="0">
            <x v="36"/>
          </reference>
          <reference field="7" count="1">
            <x v="3"/>
          </reference>
        </references>
      </pivotArea>
    </format>
    <format dxfId="728">
      <pivotArea dataOnly="0" labelOnly="1" outline="0" fieldPosition="0">
        <references count="3">
          <reference field="0" count="1" selected="0">
            <x v="3"/>
          </reference>
          <reference field="4" count="1" selected="0">
            <x v="37"/>
          </reference>
          <reference field="7" count="1">
            <x v="3"/>
          </reference>
        </references>
      </pivotArea>
    </format>
    <format dxfId="727">
      <pivotArea dataOnly="0" labelOnly="1" outline="0" fieldPosition="0">
        <references count="3">
          <reference field="0" count="1" selected="0">
            <x v="3"/>
          </reference>
          <reference field="4" count="1" selected="0">
            <x v="38"/>
          </reference>
          <reference field="7" count="1">
            <x v="3"/>
          </reference>
        </references>
      </pivotArea>
    </format>
    <format dxfId="726">
      <pivotArea dataOnly="0" labelOnly="1" outline="0" fieldPosition="0">
        <references count="3">
          <reference field="0" count="1" selected="0">
            <x v="4"/>
          </reference>
          <reference field="4" count="1" selected="0">
            <x v="15"/>
          </reference>
          <reference field="7" count="1">
            <x v="0"/>
          </reference>
        </references>
      </pivotArea>
    </format>
    <format dxfId="725">
      <pivotArea dataOnly="0" labelOnly="1" outline="0" fieldPosition="0">
        <references count="3">
          <reference field="0" count="1" selected="0">
            <x v="4"/>
          </reference>
          <reference field="4" count="1" selected="0">
            <x v="23"/>
          </reference>
          <reference field="7" count="1">
            <x v="9"/>
          </reference>
        </references>
      </pivotArea>
    </format>
    <format dxfId="724">
      <pivotArea dataOnly="0" labelOnly="1" outline="0" fieldPosition="0">
        <references count="3">
          <reference field="0" count="1" selected="0">
            <x v="4"/>
          </reference>
          <reference field="4" count="1" selected="0">
            <x v="29"/>
          </reference>
          <reference field="7" count="1">
            <x v="2"/>
          </reference>
        </references>
      </pivotArea>
    </format>
    <format dxfId="723">
      <pivotArea dataOnly="0" labelOnly="1" outline="0" fieldPosition="0">
        <references count="3">
          <reference field="0" count="1" selected="0">
            <x v="5"/>
          </reference>
          <reference field="4" count="1" selected="0">
            <x v="2"/>
          </reference>
          <reference field="7" count="1">
            <x v="2"/>
          </reference>
        </references>
      </pivotArea>
    </format>
    <format dxfId="722">
      <pivotArea dataOnly="0" labelOnly="1" outline="0" fieldPosition="0">
        <references count="3">
          <reference field="0" count="1" selected="0">
            <x v="5"/>
          </reference>
          <reference field="4" count="1" selected="0">
            <x v="11"/>
          </reference>
          <reference field="7" count="1">
            <x v="2"/>
          </reference>
        </references>
      </pivotArea>
    </format>
    <format dxfId="721">
      <pivotArea dataOnly="0" labelOnly="1" outline="0" fieldPosition="0">
        <references count="3">
          <reference field="0" count="1" selected="0">
            <x v="5"/>
          </reference>
          <reference field="4" count="1" selected="0">
            <x v="28"/>
          </reference>
          <reference field="7" count="1">
            <x v="2"/>
          </reference>
        </references>
      </pivotArea>
    </format>
    <format dxfId="720">
      <pivotArea dataOnly="0" labelOnly="1" outline="0" fieldPosition="0">
        <references count="3">
          <reference field="0" count="1" selected="0">
            <x v="5"/>
          </reference>
          <reference field="4" count="1" selected="0">
            <x v="32"/>
          </reference>
          <reference field="7" count="1">
            <x v="5"/>
          </reference>
        </references>
      </pivotArea>
    </format>
    <format dxfId="719">
      <pivotArea dataOnly="0" labelOnly="1" outline="0" fieldPosition="0">
        <references count="3">
          <reference field="0" count="1" selected="0">
            <x v="6"/>
          </reference>
          <reference field="4" count="1" selected="0">
            <x v="21"/>
          </reference>
          <reference field="7" count="1">
            <x v="6"/>
          </reference>
        </references>
      </pivotArea>
    </format>
    <format dxfId="718">
      <pivotArea dataOnly="0" labelOnly="1" outline="0" fieldPosition="0">
        <references count="3">
          <reference field="0" count="1" selected="0">
            <x v="6"/>
          </reference>
          <reference field="4" count="1" selected="0">
            <x v="22"/>
          </reference>
          <reference field="7" count="1">
            <x v="6"/>
          </reference>
        </references>
      </pivotArea>
    </format>
    <format dxfId="717">
      <pivotArea dataOnly="0" labelOnly="1" outline="0" fieldPosition="0">
        <references count="3">
          <reference field="0" count="1" selected="0">
            <x v="7"/>
          </reference>
          <reference field="4" count="1" selected="0">
            <x v="3"/>
          </reference>
          <reference field="7" count="1">
            <x v="9"/>
          </reference>
        </references>
      </pivotArea>
    </format>
    <format dxfId="716">
      <pivotArea dataOnly="0" labelOnly="1" outline="0" fieldPosition="0">
        <references count="3">
          <reference field="0" count="1" selected="0">
            <x v="7"/>
          </reference>
          <reference field="4" count="1" selected="0">
            <x v="24"/>
          </reference>
          <reference field="7" count="1">
            <x v="9"/>
          </reference>
        </references>
      </pivotArea>
    </format>
    <format dxfId="715">
      <pivotArea dataOnly="0" labelOnly="1" outline="0" fieldPosition="0">
        <references count="3">
          <reference field="0" count="1" selected="0">
            <x v="8"/>
          </reference>
          <reference field="4" count="1" selected="0">
            <x v="12"/>
          </reference>
          <reference field="7" count="1">
            <x v="2"/>
          </reference>
        </references>
      </pivotArea>
    </format>
    <format dxfId="714">
      <pivotArea dataOnly="0" labelOnly="1" outline="0" fieldPosition="0">
        <references count="3">
          <reference field="0" count="1" selected="0">
            <x v="8"/>
          </reference>
          <reference field="4" count="1" selected="0">
            <x v="13"/>
          </reference>
          <reference field="7" count="1">
            <x v="2"/>
          </reference>
        </references>
      </pivotArea>
    </format>
    <format dxfId="713">
      <pivotArea dataOnly="0" labelOnly="1" outline="0" fieldPosition="0">
        <references count="3">
          <reference field="0" count="1" selected="0">
            <x v="8"/>
          </reference>
          <reference field="4" count="1" selected="0">
            <x v="16"/>
          </reference>
          <reference field="7" count="1">
            <x v="2"/>
          </reference>
        </references>
      </pivotArea>
    </format>
    <format dxfId="712">
      <pivotArea dataOnly="0" labelOnly="1" outline="0" fieldPosition="0">
        <references count="3">
          <reference field="0" count="1" selected="0">
            <x v="8"/>
          </reference>
          <reference field="4" count="1" selected="0">
            <x v="17"/>
          </reference>
          <reference field="7" count="1">
            <x v="2"/>
          </reference>
        </references>
      </pivotArea>
    </format>
    <format dxfId="711">
      <pivotArea dataOnly="0" labelOnly="1" outline="0" fieldPosition="0">
        <references count="3">
          <reference field="0" count="1" selected="0">
            <x v="8"/>
          </reference>
          <reference field="4" count="1" selected="0">
            <x v="28"/>
          </reference>
          <reference field="7" count="1">
            <x v="2"/>
          </reference>
        </references>
      </pivotArea>
    </format>
    <format dxfId="710">
      <pivotArea dataOnly="0" labelOnly="1" outline="0" fieldPosition="0">
        <references count="3">
          <reference field="0" count="1" selected="0">
            <x v="9"/>
          </reference>
          <reference field="4" count="1" selected="0">
            <x v="39"/>
          </reference>
          <reference field="7" count="1">
            <x v="9"/>
          </reference>
        </references>
      </pivotArea>
    </format>
    <format dxfId="709">
      <pivotArea dataOnly="0" labelOnly="1" outline="0" fieldPosition="0">
        <references count="3">
          <reference field="0" count="1" selected="0">
            <x v="10"/>
          </reference>
          <reference field="4" count="1" selected="0">
            <x v="22"/>
          </reference>
          <reference field="7" count="1">
            <x v="10"/>
          </reference>
        </references>
      </pivotArea>
    </format>
    <format dxfId="708">
      <pivotArea dataOnly="0" labelOnly="1" outline="0" fieldPosition="0">
        <references count="3">
          <reference field="0" count="1" selected="0">
            <x v="11"/>
          </reference>
          <reference field="4" count="1" selected="0">
            <x v="20"/>
          </reference>
          <reference field="7" count="1">
            <x v="9"/>
          </reference>
        </references>
      </pivotArea>
    </format>
    <format dxfId="707">
      <pivotArea dataOnly="0" labelOnly="1" outline="0" fieldPosition="0">
        <references count="3">
          <reference field="0" count="1" selected="0">
            <x v="11"/>
          </reference>
          <reference field="4" count="1" selected="0">
            <x v="24"/>
          </reference>
          <reference field="7" count="1">
            <x v="9"/>
          </reference>
        </references>
      </pivotArea>
    </format>
    <format dxfId="706">
      <pivotArea dataOnly="0" labelOnly="1" outline="0" fieldPosition="0">
        <references count="3">
          <reference field="0" count="1" selected="0">
            <x v="11"/>
          </reference>
          <reference field="4" count="1" selected="0">
            <x v="39"/>
          </reference>
          <reference field="7" count="1">
            <x v="9"/>
          </reference>
        </references>
      </pivotArea>
    </format>
    <format dxfId="705">
      <pivotArea dataOnly="0" labelOnly="1" outline="0" fieldPosition="0">
        <references count="3">
          <reference field="0" count="1" selected="0">
            <x v="12"/>
          </reference>
          <reference field="4" count="1" selected="0">
            <x v="8"/>
          </reference>
          <reference field="7" count="1">
            <x v="3"/>
          </reference>
        </references>
      </pivotArea>
    </format>
    <format dxfId="704">
      <pivotArea dataOnly="0" labelOnly="1" outline="0" fieldPosition="0">
        <references count="3">
          <reference field="0" count="1" selected="0">
            <x v="12"/>
          </reference>
          <reference field="4" count="1" selected="0">
            <x v="13"/>
          </reference>
          <reference field="7" count="1">
            <x v="3"/>
          </reference>
        </references>
      </pivotArea>
    </format>
    <format dxfId="703">
      <pivotArea dataOnly="0" labelOnly="1" outline="0" fieldPosition="0">
        <references count="3">
          <reference field="0" count="1" selected="0">
            <x v="13"/>
          </reference>
          <reference field="4" count="1" selected="0">
            <x v="5"/>
          </reference>
          <reference field="7" count="1">
            <x v="3"/>
          </reference>
        </references>
      </pivotArea>
    </format>
    <format dxfId="702">
      <pivotArea dataOnly="0" labelOnly="1" outline="0" fieldPosition="0">
        <references count="3">
          <reference field="0" count="1" selected="0">
            <x v="13"/>
          </reference>
          <reference field="4" count="1" selected="0">
            <x v="6"/>
          </reference>
          <reference field="7" count="1">
            <x v="3"/>
          </reference>
        </references>
      </pivotArea>
    </format>
    <format dxfId="701">
      <pivotArea dataOnly="0" labelOnly="1" outline="0" fieldPosition="0">
        <references count="3">
          <reference field="0" count="1" selected="0">
            <x v="13"/>
          </reference>
          <reference field="4" count="1" selected="0">
            <x v="9"/>
          </reference>
          <reference field="7" count="1">
            <x v="3"/>
          </reference>
        </references>
      </pivotArea>
    </format>
    <format dxfId="700">
      <pivotArea dataOnly="0" labelOnly="1" outline="0" fieldPosition="0">
        <references count="3">
          <reference field="0" count="1" selected="0">
            <x v="13"/>
          </reference>
          <reference field="4" count="1" selected="0">
            <x v="12"/>
          </reference>
          <reference field="7" count="1">
            <x v="3"/>
          </reference>
        </references>
      </pivotArea>
    </format>
    <format dxfId="699">
      <pivotArea dataOnly="0" labelOnly="1" outline="0" fieldPosition="0">
        <references count="3">
          <reference field="0" count="1" selected="0">
            <x v="13"/>
          </reference>
          <reference field="4" count="1" selected="0">
            <x v="13"/>
          </reference>
          <reference field="7" count="1">
            <x v="3"/>
          </reference>
        </references>
      </pivotArea>
    </format>
    <format dxfId="698">
      <pivotArea dataOnly="0" labelOnly="1" outline="0" fieldPosition="0">
        <references count="3">
          <reference field="0" count="1" selected="0">
            <x v="13"/>
          </reference>
          <reference field="4" count="1" selected="0">
            <x v="14"/>
          </reference>
          <reference field="7" count="1">
            <x v="3"/>
          </reference>
        </references>
      </pivotArea>
    </format>
    <format dxfId="697">
      <pivotArea dataOnly="0" labelOnly="1" outline="0" fieldPosition="0">
        <references count="3">
          <reference field="0" count="1" selected="0">
            <x v="13"/>
          </reference>
          <reference field="4" count="1" selected="0">
            <x v="19"/>
          </reference>
          <reference field="7" count="1">
            <x v="3"/>
          </reference>
        </references>
      </pivotArea>
    </format>
    <format dxfId="696">
      <pivotArea dataOnly="0" labelOnly="1" outline="0" fieldPosition="0">
        <references count="3">
          <reference field="0" count="1" selected="0">
            <x v="13"/>
          </reference>
          <reference field="4" count="1" selected="0">
            <x v="31"/>
          </reference>
          <reference field="7" count="1">
            <x v="3"/>
          </reference>
        </references>
      </pivotArea>
    </format>
    <format dxfId="695">
      <pivotArea dataOnly="0" labelOnly="1" outline="0" fieldPosition="0">
        <references count="5">
          <reference field="0" count="1" selected="0">
            <x v="0"/>
          </reference>
          <reference field="4" count="1" selected="0">
            <x v="1"/>
          </reference>
          <reference field="7" count="1" selected="0">
            <x v="0"/>
          </reference>
          <reference field="8" count="1" selected="0">
            <x v="3"/>
          </reference>
          <reference field="9" count="1">
            <x v="0"/>
          </reference>
        </references>
      </pivotArea>
    </format>
    <format dxfId="694">
      <pivotArea dataOnly="0" labelOnly="1" outline="0" fieldPosition="0">
        <references count="5">
          <reference field="0" count="1" selected="0">
            <x v="0"/>
          </reference>
          <reference field="4" count="1" selected="0">
            <x v="12"/>
          </reference>
          <reference field="7" count="1" selected="0">
            <x v="9"/>
          </reference>
          <reference field="8" count="1" selected="0">
            <x v="3"/>
          </reference>
          <reference field="9" count="1">
            <x v="0"/>
          </reference>
        </references>
      </pivotArea>
    </format>
    <format dxfId="693">
      <pivotArea dataOnly="0" labelOnly="1" outline="0" fieldPosition="0">
        <references count="5">
          <reference field="0" count="1" selected="0">
            <x v="0"/>
          </reference>
          <reference field="4" count="1" selected="0">
            <x v="29"/>
          </reference>
          <reference field="7" count="1" selected="0">
            <x v="9"/>
          </reference>
          <reference field="8" count="1" selected="0">
            <x v="3"/>
          </reference>
          <reference field="9" count="1">
            <x v="0"/>
          </reference>
        </references>
      </pivotArea>
    </format>
    <format dxfId="692">
      <pivotArea dataOnly="0" labelOnly="1" outline="0" fieldPosition="0">
        <references count="5">
          <reference field="0" count="1" selected="0">
            <x v="0"/>
          </reference>
          <reference field="4" count="1" selected="0">
            <x v="33"/>
          </reference>
          <reference field="7" count="1" selected="0">
            <x v="9"/>
          </reference>
          <reference field="8" count="1" selected="0">
            <x v="3"/>
          </reference>
          <reference field="9" count="1">
            <x v="0"/>
          </reference>
        </references>
      </pivotArea>
    </format>
    <format dxfId="691">
      <pivotArea dataOnly="0" labelOnly="1" outline="0" fieldPosition="0">
        <references count="5">
          <reference field="0" count="1" selected="0">
            <x v="1"/>
          </reference>
          <reference field="4" count="1" selected="0">
            <x v="4"/>
          </reference>
          <reference field="7" count="1" selected="0">
            <x v="4"/>
          </reference>
          <reference field="8" count="1" selected="0">
            <x v="3"/>
          </reference>
          <reference field="9" count="1">
            <x v="1"/>
          </reference>
        </references>
      </pivotArea>
    </format>
    <format dxfId="690">
      <pivotArea dataOnly="0" labelOnly="1" outline="0" fieldPosition="0">
        <references count="5">
          <reference field="0" count="1" selected="0">
            <x v="1"/>
          </reference>
          <reference field="4" count="1" selected="0">
            <x v="25"/>
          </reference>
          <reference field="7" count="1" selected="0">
            <x v="2"/>
          </reference>
          <reference field="8" count="1" selected="0">
            <x v="3"/>
          </reference>
          <reference field="9" count="1">
            <x v="0"/>
          </reference>
        </references>
      </pivotArea>
    </format>
    <format dxfId="689">
      <pivotArea dataOnly="0" labelOnly="1" outline="0" fieldPosition="0">
        <references count="5">
          <reference field="0" count="1" selected="0">
            <x v="1"/>
          </reference>
          <reference field="4" count="1" selected="0">
            <x v="29"/>
          </reference>
          <reference field="7" count="1" selected="0">
            <x v="9"/>
          </reference>
          <reference field="8" count="1" selected="0">
            <x v="3"/>
          </reference>
          <reference field="9" count="1">
            <x v="0"/>
          </reference>
        </references>
      </pivotArea>
    </format>
    <format dxfId="688">
      <pivotArea dataOnly="0" labelOnly="1" outline="0" fieldPosition="0">
        <references count="5">
          <reference field="0" count="1" selected="0">
            <x v="1"/>
          </reference>
          <reference field="4" count="1" selected="0">
            <x v="30"/>
          </reference>
          <reference field="7" count="1" selected="0">
            <x v="4"/>
          </reference>
          <reference field="8" count="1" selected="0">
            <x v="3"/>
          </reference>
          <reference field="9" count="1">
            <x v="0"/>
          </reference>
        </references>
      </pivotArea>
    </format>
    <format dxfId="687">
      <pivotArea dataOnly="0" labelOnly="1" outline="0" fieldPosition="0">
        <references count="5">
          <reference field="0" count="1" selected="0">
            <x v="1"/>
          </reference>
          <reference field="4" count="1" selected="0">
            <x v="31"/>
          </reference>
          <reference field="7" count="1" selected="0">
            <x v="9"/>
          </reference>
          <reference field="8" count="1" selected="0">
            <x v="3"/>
          </reference>
          <reference field="9" count="1">
            <x v="0"/>
          </reference>
        </references>
      </pivotArea>
    </format>
    <format dxfId="686">
      <pivotArea dataOnly="0" labelOnly="1" outline="0" fieldPosition="0">
        <references count="5">
          <reference field="0" count="1" selected="0">
            <x v="1"/>
          </reference>
          <reference field="4" count="1" selected="0">
            <x v="33"/>
          </reference>
          <reference field="7" count="1" selected="0">
            <x v="2"/>
          </reference>
          <reference field="8" count="1" selected="0">
            <x v="3"/>
          </reference>
          <reference field="9" count="1">
            <x v="0"/>
          </reference>
        </references>
      </pivotArea>
    </format>
    <format dxfId="685">
      <pivotArea dataOnly="0" labelOnly="1" outline="0" fieldPosition="0">
        <references count="5">
          <reference field="0" count="1" selected="0">
            <x v="2"/>
          </reference>
          <reference field="4" count="1" selected="0">
            <x v="10"/>
          </reference>
          <reference field="7" count="1" selected="0">
            <x v="2"/>
          </reference>
          <reference field="8" count="1" selected="0">
            <x v="3"/>
          </reference>
          <reference field="9" count="1">
            <x v="0"/>
          </reference>
        </references>
      </pivotArea>
    </format>
    <format dxfId="684">
      <pivotArea dataOnly="0" labelOnly="1" outline="0" fieldPosition="0">
        <references count="5">
          <reference field="0" count="1" selected="0">
            <x v="2"/>
          </reference>
          <reference field="4" count="1" selected="0">
            <x v="23"/>
          </reference>
          <reference field="7" count="1" selected="0">
            <x v="9"/>
          </reference>
          <reference field="8" count="1" selected="0">
            <x v="3"/>
          </reference>
          <reference field="9" count="1">
            <x v="1"/>
          </reference>
        </references>
      </pivotArea>
    </format>
    <format dxfId="683">
      <pivotArea dataOnly="0" labelOnly="1" outline="0" fieldPosition="0">
        <references count="5">
          <reference field="0" count="1" selected="0">
            <x v="2"/>
          </reference>
          <reference field="4" count="1" selected="0">
            <x v="27"/>
          </reference>
          <reference field="7" count="1" selected="0">
            <x v="3"/>
          </reference>
          <reference field="8" count="1" selected="0">
            <x v="3"/>
          </reference>
          <reference field="9" count="1">
            <x v="0"/>
          </reference>
        </references>
      </pivotArea>
    </format>
    <format dxfId="682">
      <pivotArea dataOnly="0" labelOnly="1" outline="0" fieldPosition="0">
        <references count="5">
          <reference field="0" count="1" selected="0">
            <x v="2"/>
          </reference>
          <reference field="4" count="1" selected="0">
            <x v="29"/>
          </reference>
          <reference field="7" count="1" selected="0">
            <x v="9"/>
          </reference>
          <reference field="8" count="1" selected="0">
            <x v="3"/>
          </reference>
          <reference field="9" count="1">
            <x v="0"/>
          </reference>
        </references>
      </pivotArea>
    </format>
    <format dxfId="681">
      <pivotArea dataOnly="0" labelOnly="1" outline="0" fieldPosition="0">
        <references count="5">
          <reference field="0" count="1" selected="0">
            <x v="2"/>
          </reference>
          <reference field="4" count="1" selected="0">
            <x v="33"/>
          </reference>
          <reference field="7" count="1" selected="0">
            <x v="9"/>
          </reference>
          <reference field="8" count="1" selected="0">
            <x v="3"/>
          </reference>
          <reference field="9" count="1">
            <x v="1"/>
          </reference>
        </references>
      </pivotArea>
    </format>
    <format dxfId="680">
      <pivotArea dataOnly="0" labelOnly="1" outline="0" fieldPosition="0">
        <references count="5">
          <reference field="0" count="1" selected="0">
            <x v="2"/>
          </reference>
          <reference field="4" count="1" selected="0">
            <x v="39"/>
          </reference>
          <reference field="7" count="1" selected="0">
            <x v="1"/>
          </reference>
          <reference field="8" count="1" selected="0">
            <x v="3"/>
          </reference>
          <reference field="9" count="1">
            <x v="0"/>
          </reference>
        </references>
      </pivotArea>
    </format>
    <format dxfId="679">
      <pivotArea dataOnly="0" labelOnly="1" outline="0" fieldPosition="0">
        <references count="5">
          <reference field="0" count="1" selected="0">
            <x v="3"/>
          </reference>
          <reference field="4" count="1" selected="0">
            <x v="7"/>
          </reference>
          <reference field="7" count="1" selected="0">
            <x v="3"/>
          </reference>
          <reference field="8" count="1" selected="0">
            <x v="3"/>
          </reference>
          <reference field="9" count="1">
            <x v="0"/>
          </reference>
        </references>
      </pivotArea>
    </format>
    <format dxfId="678">
      <pivotArea dataOnly="0" labelOnly="1" outline="0" fieldPosition="0">
        <references count="5">
          <reference field="0" count="1" selected="0">
            <x v="3"/>
          </reference>
          <reference field="4" count="1" selected="0">
            <x v="12"/>
          </reference>
          <reference field="7" count="1" selected="0">
            <x v="9"/>
          </reference>
          <reference field="8" count="1" selected="0">
            <x v="3"/>
          </reference>
          <reference field="9" count="1">
            <x v="2"/>
          </reference>
        </references>
      </pivotArea>
    </format>
    <format dxfId="677">
      <pivotArea dataOnly="0" labelOnly="1" outline="0" fieldPosition="0">
        <references count="5">
          <reference field="0" count="1" selected="0">
            <x v="3"/>
          </reference>
          <reference field="4" count="1" selected="0">
            <x v="18"/>
          </reference>
          <reference field="7" count="1" selected="0">
            <x v="9"/>
          </reference>
          <reference field="8" count="1" selected="0">
            <x v="3"/>
          </reference>
          <reference field="9" count="1">
            <x v="8"/>
          </reference>
        </references>
      </pivotArea>
    </format>
    <format dxfId="676">
      <pivotArea dataOnly="0" labelOnly="1" outline="0" fieldPosition="0">
        <references count="5">
          <reference field="0" count="1" selected="0">
            <x v="3"/>
          </reference>
          <reference field="4" count="1" selected="0">
            <x v="23"/>
          </reference>
          <reference field="7" count="1" selected="0">
            <x v="2"/>
          </reference>
          <reference field="8" count="1" selected="0">
            <x v="3"/>
          </reference>
          <reference field="9" count="1">
            <x v="8"/>
          </reference>
        </references>
      </pivotArea>
    </format>
    <format dxfId="675">
      <pivotArea dataOnly="0" labelOnly="1" outline="0" fieldPosition="0">
        <references count="5">
          <reference field="0" count="1" selected="0">
            <x v="3"/>
          </reference>
          <reference field="4" count="1" selected="0">
            <x v="26"/>
          </reference>
          <reference field="7" count="1" selected="0">
            <x v="7"/>
          </reference>
          <reference field="8" count="1" selected="0">
            <x v="3"/>
          </reference>
          <reference field="9" count="1">
            <x v="8"/>
          </reference>
        </references>
      </pivotArea>
    </format>
    <format dxfId="674">
      <pivotArea dataOnly="0" labelOnly="1" outline="0" fieldPosition="0">
        <references count="5">
          <reference field="0" count="1" selected="0">
            <x v="3"/>
          </reference>
          <reference field="4" count="1" selected="0">
            <x v="29"/>
          </reference>
          <reference field="7" count="1" selected="0">
            <x v="9"/>
          </reference>
          <reference field="8" count="1" selected="0">
            <x v="3"/>
          </reference>
          <reference field="9" count="1">
            <x v="8"/>
          </reference>
        </references>
      </pivotArea>
    </format>
    <format dxfId="673">
      <pivotArea dataOnly="0" labelOnly="1" outline="0" fieldPosition="0">
        <references count="5">
          <reference field="0" count="1" selected="0">
            <x v="3"/>
          </reference>
          <reference field="4" count="1" selected="0">
            <x v="30"/>
          </reference>
          <reference field="7" count="1" selected="0">
            <x v="3"/>
          </reference>
          <reference field="8" count="1" selected="0">
            <x v="3"/>
          </reference>
          <reference field="9" count="1">
            <x v="0"/>
          </reference>
        </references>
      </pivotArea>
    </format>
    <format dxfId="672">
      <pivotArea dataOnly="0" labelOnly="1" outline="0" fieldPosition="0">
        <references count="5">
          <reference field="0" count="1" selected="0">
            <x v="3"/>
          </reference>
          <reference field="4" count="1" selected="0">
            <x v="33"/>
          </reference>
          <reference field="7" count="1" selected="0">
            <x v="3"/>
          </reference>
          <reference field="8" count="1" selected="0">
            <x v="3"/>
          </reference>
          <reference field="9" count="1">
            <x v="8"/>
          </reference>
        </references>
      </pivotArea>
    </format>
    <format dxfId="671">
      <pivotArea dataOnly="0" labelOnly="1" outline="0" fieldPosition="0">
        <references count="5">
          <reference field="0" count="1" selected="0">
            <x v="3"/>
          </reference>
          <reference field="4" count="1" selected="0">
            <x v="34"/>
          </reference>
          <reference field="7" count="1" selected="0">
            <x v="3"/>
          </reference>
          <reference field="8" count="1" selected="0">
            <x v="3"/>
          </reference>
          <reference field="9" count="1">
            <x v="0"/>
          </reference>
        </references>
      </pivotArea>
    </format>
    <format dxfId="670">
      <pivotArea dataOnly="0" labelOnly="1" outline="0" fieldPosition="0">
        <references count="5">
          <reference field="0" count="1" selected="0">
            <x v="3"/>
          </reference>
          <reference field="4" count="1" selected="0">
            <x v="35"/>
          </reference>
          <reference field="7" count="1" selected="0">
            <x v="3"/>
          </reference>
          <reference field="8" count="1" selected="0">
            <x v="3"/>
          </reference>
          <reference field="9" count="1">
            <x v="0"/>
          </reference>
        </references>
      </pivotArea>
    </format>
    <format dxfId="669">
      <pivotArea dataOnly="0" labelOnly="1" outline="0" fieldPosition="0">
        <references count="5">
          <reference field="0" count="1" selected="0">
            <x v="3"/>
          </reference>
          <reference field="4" count="1" selected="0">
            <x v="36"/>
          </reference>
          <reference field="7" count="1" selected="0">
            <x v="3"/>
          </reference>
          <reference field="8" count="1" selected="0">
            <x v="3"/>
          </reference>
          <reference field="9" count="1">
            <x v="0"/>
          </reference>
        </references>
      </pivotArea>
    </format>
    <format dxfId="668">
      <pivotArea dataOnly="0" labelOnly="1" outline="0" fieldPosition="0">
        <references count="5">
          <reference field="0" count="1" selected="0">
            <x v="3"/>
          </reference>
          <reference field="4" count="1" selected="0">
            <x v="37"/>
          </reference>
          <reference field="7" count="1" selected="0">
            <x v="3"/>
          </reference>
          <reference field="8" count="1" selected="0">
            <x v="3"/>
          </reference>
          <reference field="9" count="1">
            <x v="8"/>
          </reference>
        </references>
      </pivotArea>
    </format>
    <format dxfId="667">
      <pivotArea dataOnly="0" labelOnly="1" outline="0" fieldPosition="0">
        <references count="5">
          <reference field="0" count="1" selected="0">
            <x v="3"/>
          </reference>
          <reference field="4" count="1" selected="0">
            <x v="38"/>
          </reference>
          <reference field="7" count="1" selected="0">
            <x v="3"/>
          </reference>
          <reference field="8" count="1" selected="0">
            <x v="3"/>
          </reference>
          <reference field="9" count="1">
            <x v="0"/>
          </reference>
        </references>
      </pivotArea>
    </format>
    <format dxfId="666">
      <pivotArea dataOnly="0" labelOnly="1" outline="0" fieldPosition="0">
        <references count="5">
          <reference field="0" count="1" selected="0">
            <x v="4"/>
          </reference>
          <reference field="4" count="1" selected="0">
            <x v="15"/>
          </reference>
          <reference field="7" count="1" selected="0">
            <x v="0"/>
          </reference>
          <reference field="8" count="1" selected="0">
            <x v="3"/>
          </reference>
          <reference field="9" count="1">
            <x v="8"/>
          </reference>
        </references>
      </pivotArea>
    </format>
    <format dxfId="665">
      <pivotArea dataOnly="0" labelOnly="1" outline="0" fieldPosition="0">
        <references count="5">
          <reference field="0" count="1" selected="0">
            <x v="4"/>
          </reference>
          <reference field="4" count="1" selected="0">
            <x v="23"/>
          </reference>
          <reference field="7" count="1" selected="0">
            <x v="9"/>
          </reference>
          <reference field="8" count="1" selected="0">
            <x v="3"/>
          </reference>
          <reference field="9" count="1">
            <x v="8"/>
          </reference>
        </references>
      </pivotArea>
    </format>
    <format dxfId="664">
      <pivotArea dataOnly="0" labelOnly="1" outline="0" fieldPosition="0">
        <references count="5">
          <reference field="0" count="1" selected="0">
            <x v="4"/>
          </reference>
          <reference field="4" count="1" selected="0">
            <x v="29"/>
          </reference>
          <reference field="7" count="1" selected="0">
            <x v="2"/>
          </reference>
          <reference field="8" count="1" selected="0">
            <x v="3"/>
          </reference>
          <reference field="9" count="1">
            <x v="8"/>
          </reference>
        </references>
      </pivotArea>
    </format>
    <format dxfId="663">
      <pivotArea dataOnly="0" labelOnly="1" outline="0" fieldPosition="0">
        <references count="5">
          <reference field="0" count="1" selected="0">
            <x v="5"/>
          </reference>
          <reference field="4" count="1" selected="0">
            <x v="2"/>
          </reference>
          <reference field="7" count="1" selected="0">
            <x v="2"/>
          </reference>
          <reference field="8" count="1" selected="0">
            <x v="3"/>
          </reference>
          <reference field="9" count="1">
            <x v="8"/>
          </reference>
        </references>
      </pivotArea>
    </format>
    <format dxfId="662">
      <pivotArea dataOnly="0" labelOnly="1" outline="0" fieldPosition="0">
        <references count="5">
          <reference field="0" count="1" selected="0">
            <x v="5"/>
          </reference>
          <reference field="4" count="1" selected="0">
            <x v="11"/>
          </reference>
          <reference field="7" count="1" selected="0">
            <x v="2"/>
          </reference>
          <reference field="8" count="1" selected="0">
            <x v="3"/>
          </reference>
          <reference field="9" count="1">
            <x v="8"/>
          </reference>
        </references>
      </pivotArea>
    </format>
    <format dxfId="661">
      <pivotArea dataOnly="0" labelOnly="1" outline="0" fieldPosition="0">
        <references count="5">
          <reference field="0" count="1" selected="0">
            <x v="5"/>
          </reference>
          <reference field="4" count="1" selected="0">
            <x v="28"/>
          </reference>
          <reference field="7" count="1" selected="0">
            <x v="2"/>
          </reference>
          <reference field="8" count="1" selected="0">
            <x v="3"/>
          </reference>
          <reference field="9" count="1">
            <x v="8"/>
          </reference>
        </references>
      </pivotArea>
    </format>
    <format dxfId="660">
      <pivotArea dataOnly="0" labelOnly="1" outline="0" fieldPosition="0">
        <references count="5">
          <reference field="0" count="1" selected="0">
            <x v="5"/>
          </reference>
          <reference field="4" count="1" selected="0">
            <x v="32"/>
          </reference>
          <reference field="7" count="1" selected="0">
            <x v="5"/>
          </reference>
          <reference field="8" count="1" selected="0">
            <x v="3"/>
          </reference>
          <reference field="9" count="1">
            <x v="8"/>
          </reference>
        </references>
      </pivotArea>
    </format>
    <format dxfId="659">
      <pivotArea dataOnly="0" labelOnly="1" outline="0" fieldPosition="0">
        <references count="5">
          <reference field="0" count="1" selected="0">
            <x v="6"/>
          </reference>
          <reference field="4" count="1" selected="0">
            <x v="21"/>
          </reference>
          <reference field="7" count="1" selected="0">
            <x v="6"/>
          </reference>
          <reference field="8" count="1" selected="0">
            <x v="3"/>
          </reference>
          <reference field="9" count="1">
            <x v="4"/>
          </reference>
        </references>
      </pivotArea>
    </format>
    <format dxfId="658">
      <pivotArea dataOnly="0" labelOnly="1" outline="0" fieldPosition="0">
        <references count="5">
          <reference field="0" count="1" selected="0">
            <x v="6"/>
          </reference>
          <reference field="4" count="1" selected="0">
            <x v="22"/>
          </reference>
          <reference field="7" count="1" selected="0">
            <x v="6"/>
          </reference>
          <reference field="8" count="1" selected="0">
            <x v="3"/>
          </reference>
          <reference field="9" count="1">
            <x v="4"/>
          </reference>
        </references>
      </pivotArea>
    </format>
    <format dxfId="657">
      <pivotArea dataOnly="0" labelOnly="1" outline="0" fieldPosition="0">
        <references count="5">
          <reference field="0" count="1" selected="0">
            <x v="7"/>
          </reference>
          <reference field="4" count="1" selected="0">
            <x v="3"/>
          </reference>
          <reference field="7" count="1" selected="0">
            <x v="9"/>
          </reference>
          <reference field="8" count="1" selected="0">
            <x v="3"/>
          </reference>
          <reference field="9" count="1">
            <x v="8"/>
          </reference>
        </references>
      </pivotArea>
    </format>
    <format dxfId="656">
      <pivotArea dataOnly="0" labelOnly="1" outline="0" fieldPosition="0">
        <references count="5">
          <reference field="0" count="1" selected="0">
            <x v="7"/>
          </reference>
          <reference field="4" count="1" selected="0">
            <x v="22"/>
          </reference>
          <reference field="7" count="1" selected="0">
            <x v="8"/>
          </reference>
          <reference field="8" count="1" selected="0">
            <x v="0"/>
          </reference>
          <reference field="9" count="1">
            <x v="8"/>
          </reference>
        </references>
      </pivotArea>
    </format>
    <format dxfId="655">
      <pivotArea dataOnly="0" labelOnly="1" outline="0" fieldPosition="0">
        <references count="5">
          <reference field="0" count="1" selected="0">
            <x v="7"/>
          </reference>
          <reference field="4" count="1" selected="0">
            <x v="24"/>
          </reference>
          <reference field="7" count="1" selected="0">
            <x v="9"/>
          </reference>
          <reference field="8" count="1" selected="0">
            <x v="3"/>
          </reference>
          <reference field="9" count="1">
            <x v="3"/>
          </reference>
        </references>
      </pivotArea>
    </format>
    <format dxfId="654">
      <pivotArea dataOnly="0" labelOnly="1" outline="0" fieldPosition="0">
        <references count="5">
          <reference field="0" count="1" selected="0">
            <x v="8"/>
          </reference>
          <reference field="4" count="1" selected="0">
            <x v="12"/>
          </reference>
          <reference field="7" count="1" selected="0">
            <x v="2"/>
          </reference>
          <reference field="8" count="1" selected="0">
            <x v="3"/>
          </reference>
          <reference field="9" count="1">
            <x v="6"/>
          </reference>
        </references>
      </pivotArea>
    </format>
    <format dxfId="653">
      <pivotArea dataOnly="0" labelOnly="1" outline="0" fieldPosition="0">
        <references count="5">
          <reference field="0" count="1" selected="0">
            <x v="8"/>
          </reference>
          <reference field="4" count="1" selected="0">
            <x v="13"/>
          </reference>
          <reference field="7" count="1" selected="0">
            <x v="2"/>
          </reference>
          <reference field="8" count="1" selected="0">
            <x v="3"/>
          </reference>
          <reference field="9" count="1">
            <x v="6"/>
          </reference>
        </references>
      </pivotArea>
    </format>
    <format dxfId="652">
      <pivotArea dataOnly="0" labelOnly="1" outline="0" fieldPosition="0">
        <references count="5">
          <reference field="0" count="1" selected="0">
            <x v="8"/>
          </reference>
          <reference field="4" count="1" selected="0">
            <x v="16"/>
          </reference>
          <reference field="7" count="1" selected="0">
            <x v="2"/>
          </reference>
          <reference field="8" count="1" selected="0">
            <x v="3"/>
          </reference>
          <reference field="9" count="1">
            <x v="6"/>
          </reference>
        </references>
      </pivotArea>
    </format>
    <format dxfId="651">
      <pivotArea dataOnly="0" labelOnly="1" outline="0" fieldPosition="0">
        <references count="5">
          <reference field="0" count="1" selected="0">
            <x v="8"/>
          </reference>
          <reference field="4" count="1" selected="0">
            <x v="17"/>
          </reference>
          <reference field="7" count="1" selected="0">
            <x v="2"/>
          </reference>
          <reference field="8" count="1" selected="0">
            <x v="3"/>
          </reference>
          <reference field="9" count="1">
            <x v="8"/>
          </reference>
        </references>
      </pivotArea>
    </format>
    <format dxfId="650">
      <pivotArea dataOnly="0" labelOnly="1" outline="0" fieldPosition="0">
        <references count="5">
          <reference field="0" count="1" selected="0">
            <x v="8"/>
          </reference>
          <reference field="4" count="1" selected="0">
            <x v="28"/>
          </reference>
          <reference field="7" count="1" selected="0">
            <x v="2"/>
          </reference>
          <reference field="8" count="1" selected="0">
            <x v="3"/>
          </reference>
          <reference field="9" count="1">
            <x v="5"/>
          </reference>
        </references>
      </pivotArea>
    </format>
    <format dxfId="649">
      <pivotArea dataOnly="0" labelOnly="1" outline="0" fieldPosition="0">
        <references count="5">
          <reference field="0" count="1" selected="0">
            <x v="9"/>
          </reference>
          <reference field="4" count="1" selected="0">
            <x v="39"/>
          </reference>
          <reference field="7" count="1" selected="0">
            <x v="9"/>
          </reference>
          <reference field="8" count="1" selected="0">
            <x v="3"/>
          </reference>
          <reference field="9" count="1">
            <x v="8"/>
          </reference>
        </references>
      </pivotArea>
    </format>
    <format dxfId="648">
      <pivotArea dataOnly="0" labelOnly="1" outline="0" fieldPosition="0">
        <references count="5">
          <reference field="0" count="1" selected="0">
            <x v="9"/>
          </reference>
          <reference field="4" count="1" selected="0">
            <x v="40"/>
          </reference>
          <reference field="7" count="1" selected="0">
            <x v="8"/>
          </reference>
          <reference field="8" count="1" selected="0">
            <x v="2"/>
          </reference>
          <reference field="9" count="1">
            <x v="8"/>
          </reference>
        </references>
      </pivotArea>
    </format>
    <format dxfId="647">
      <pivotArea dataOnly="0" labelOnly="1" outline="0" fieldPosition="0">
        <references count="5">
          <reference field="0" count="1" selected="0">
            <x v="10"/>
          </reference>
          <reference field="4" count="1" selected="0">
            <x v="22"/>
          </reference>
          <reference field="7" count="1" selected="0">
            <x v="10"/>
          </reference>
          <reference field="8" count="1" selected="0">
            <x v="3"/>
          </reference>
          <reference field="9" count="1">
            <x v="7"/>
          </reference>
        </references>
      </pivotArea>
    </format>
    <format dxfId="646">
      <pivotArea dataOnly="0" labelOnly="1" outline="0" fieldPosition="0">
        <references count="5">
          <reference field="0" count="1" selected="0">
            <x v="11"/>
          </reference>
          <reference field="4" count="1" selected="0">
            <x v="20"/>
          </reference>
          <reference field="7" count="1" selected="0">
            <x v="9"/>
          </reference>
          <reference field="8" count="1" selected="0">
            <x v="3"/>
          </reference>
          <reference field="9" count="1">
            <x v="8"/>
          </reference>
        </references>
      </pivotArea>
    </format>
    <format dxfId="645">
      <pivotArea dataOnly="0" labelOnly="1" outline="0" fieldPosition="0">
        <references count="5">
          <reference field="0" count="1" selected="0">
            <x v="11"/>
          </reference>
          <reference field="4" count="1" selected="0">
            <x v="24"/>
          </reference>
          <reference field="7" count="1" selected="0">
            <x v="9"/>
          </reference>
          <reference field="8" count="1" selected="0">
            <x v="3"/>
          </reference>
          <reference field="9" count="1">
            <x v="8"/>
          </reference>
        </references>
      </pivotArea>
    </format>
    <format dxfId="644">
      <pivotArea dataOnly="0" labelOnly="1" outline="0" fieldPosition="0">
        <references count="5">
          <reference field="0" count="1" selected="0">
            <x v="11"/>
          </reference>
          <reference field="4" count="1" selected="0">
            <x v="39"/>
          </reference>
          <reference field="7" count="1" selected="0">
            <x v="9"/>
          </reference>
          <reference field="8" count="1" selected="0">
            <x v="3"/>
          </reference>
          <reference field="9" count="1">
            <x v="8"/>
          </reference>
        </references>
      </pivotArea>
    </format>
    <format dxfId="643">
      <pivotArea dataOnly="0" labelOnly="1" outline="0" fieldPosition="0">
        <references count="5">
          <reference field="0" count="1" selected="0">
            <x v="12"/>
          </reference>
          <reference field="4" count="1" selected="0">
            <x v="8"/>
          </reference>
          <reference field="7" count="1" selected="0">
            <x v="3"/>
          </reference>
          <reference field="8" count="1" selected="0">
            <x v="3"/>
          </reference>
          <reference field="9" count="1">
            <x v="8"/>
          </reference>
        </references>
      </pivotArea>
    </format>
    <format dxfId="642">
      <pivotArea dataOnly="0" labelOnly="1" outline="0" fieldPosition="0">
        <references count="5">
          <reference field="0" count="1" selected="0">
            <x v="12"/>
          </reference>
          <reference field="4" count="1" selected="0">
            <x v="13"/>
          </reference>
          <reference field="7" count="1" selected="0">
            <x v="3"/>
          </reference>
          <reference field="8" count="1" selected="0">
            <x v="3"/>
          </reference>
          <reference field="9" count="1">
            <x v="8"/>
          </reference>
        </references>
      </pivotArea>
    </format>
    <format dxfId="641">
      <pivotArea dataOnly="0" labelOnly="1" outline="0" fieldPosition="0">
        <references count="5">
          <reference field="0" count="1" selected="0">
            <x v="13"/>
          </reference>
          <reference field="4" count="1" selected="0">
            <x v="5"/>
          </reference>
          <reference field="7" count="1" selected="0">
            <x v="3"/>
          </reference>
          <reference field="8" count="1" selected="0">
            <x v="3"/>
          </reference>
          <reference field="9" count="1">
            <x v="8"/>
          </reference>
        </references>
      </pivotArea>
    </format>
    <format dxfId="640">
      <pivotArea dataOnly="0" labelOnly="1" outline="0" fieldPosition="0">
        <references count="5">
          <reference field="0" count="1" selected="0">
            <x v="13"/>
          </reference>
          <reference field="4" count="1" selected="0">
            <x v="6"/>
          </reference>
          <reference field="7" count="1" selected="0">
            <x v="3"/>
          </reference>
          <reference field="8" count="1" selected="0">
            <x v="3"/>
          </reference>
          <reference field="9" count="1">
            <x v="8"/>
          </reference>
        </references>
      </pivotArea>
    </format>
    <format dxfId="639">
      <pivotArea dataOnly="0" labelOnly="1" outline="0" fieldPosition="0">
        <references count="5">
          <reference field="0" count="1" selected="0">
            <x v="13"/>
          </reference>
          <reference field="4" count="1" selected="0">
            <x v="9"/>
          </reference>
          <reference field="7" count="1" selected="0">
            <x v="3"/>
          </reference>
          <reference field="8" count="1" selected="0">
            <x v="3"/>
          </reference>
          <reference field="9" count="1">
            <x v="8"/>
          </reference>
        </references>
      </pivotArea>
    </format>
    <format dxfId="638">
      <pivotArea dataOnly="0" labelOnly="1" outline="0" fieldPosition="0">
        <references count="5">
          <reference field="0" count="1" selected="0">
            <x v="13"/>
          </reference>
          <reference field="4" count="1" selected="0">
            <x v="12"/>
          </reference>
          <reference field="7" count="1" selected="0">
            <x v="3"/>
          </reference>
          <reference field="8" count="1" selected="0">
            <x v="3"/>
          </reference>
          <reference field="9" count="1">
            <x v="8"/>
          </reference>
        </references>
      </pivotArea>
    </format>
    <format dxfId="637">
      <pivotArea dataOnly="0" labelOnly="1" outline="0" fieldPosition="0">
        <references count="5">
          <reference field="0" count="1" selected="0">
            <x v="13"/>
          </reference>
          <reference field="4" count="1" selected="0">
            <x v="13"/>
          </reference>
          <reference field="7" count="1" selected="0">
            <x v="3"/>
          </reference>
          <reference field="8" count="1" selected="0">
            <x v="3"/>
          </reference>
          <reference field="9" count="1">
            <x v="8"/>
          </reference>
        </references>
      </pivotArea>
    </format>
    <format dxfId="636">
      <pivotArea dataOnly="0" labelOnly="1" outline="0" fieldPosition="0">
        <references count="5">
          <reference field="0" count="1" selected="0">
            <x v="13"/>
          </reference>
          <reference field="4" count="1" selected="0">
            <x v="14"/>
          </reference>
          <reference field="7" count="1" selected="0">
            <x v="3"/>
          </reference>
          <reference field="8" count="1" selected="0">
            <x v="3"/>
          </reference>
          <reference field="9" count="1">
            <x v="8"/>
          </reference>
        </references>
      </pivotArea>
    </format>
    <format dxfId="635">
      <pivotArea dataOnly="0" labelOnly="1" outline="0" fieldPosition="0">
        <references count="5">
          <reference field="0" count="1" selected="0">
            <x v="13"/>
          </reference>
          <reference field="4" count="1" selected="0">
            <x v="19"/>
          </reference>
          <reference field="7" count="1" selected="0">
            <x v="3"/>
          </reference>
          <reference field="8" count="1" selected="0">
            <x v="3"/>
          </reference>
          <reference field="9" count="1">
            <x v="8"/>
          </reference>
        </references>
      </pivotArea>
    </format>
    <format dxfId="634">
      <pivotArea dataOnly="0" labelOnly="1" outline="0" fieldPosition="0">
        <references count="5">
          <reference field="0" count="1" selected="0">
            <x v="13"/>
          </reference>
          <reference field="4" count="1" selected="0">
            <x v="31"/>
          </reference>
          <reference field="7" count="1" selected="0">
            <x v="3"/>
          </reference>
          <reference field="8" count="1" selected="0">
            <x v="3"/>
          </reference>
          <reference field="9" count="1">
            <x v="8"/>
          </reference>
        </references>
      </pivotArea>
    </format>
    <format dxfId="633">
      <pivotArea field="9" type="button" dataOnly="0" labelOnly="1" outline="0" axis="axisRow" fieldPosition="4"/>
    </format>
    <format dxfId="632">
      <pivotArea dataOnly="0" labelOnly="1" outline="0" fieldPosition="0">
        <references count="5">
          <reference field="0" count="1" selected="0">
            <x v="0"/>
          </reference>
          <reference field="4" count="1" selected="0">
            <x v="1"/>
          </reference>
          <reference field="7" count="1" selected="0">
            <x v="0"/>
          </reference>
          <reference field="8" count="1" selected="0">
            <x v="4"/>
          </reference>
          <reference field="9" count="1">
            <x v="9"/>
          </reference>
        </references>
      </pivotArea>
    </format>
    <format dxfId="631">
      <pivotArea dataOnly="0" labelOnly="1" outline="0" fieldPosition="0">
        <references count="5">
          <reference field="0" count="1" selected="0">
            <x v="0"/>
          </reference>
          <reference field="4" count="1" selected="0">
            <x v="12"/>
          </reference>
          <reference field="7" count="1" selected="0">
            <x v="9"/>
          </reference>
          <reference field="8" count="1" selected="0">
            <x v="4"/>
          </reference>
          <reference field="9" count="1">
            <x v="9"/>
          </reference>
        </references>
      </pivotArea>
    </format>
    <format dxfId="630">
      <pivotArea dataOnly="0" labelOnly="1" outline="0" fieldPosition="0">
        <references count="5">
          <reference field="0" count="1" selected="0">
            <x v="0"/>
          </reference>
          <reference field="4" count="1" selected="0">
            <x v="29"/>
          </reference>
          <reference field="7" count="1" selected="0">
            <x v="9"/>
          </reference>
          <reference field="8" count="1" selected="0">
            <x v="4"/>
          </reference>
          <reference field="9" count="1">
            <x v="9"/>
          </reference>
        </references>
      </pivotArea>
    </format>
    <format dxfId="629">
      <pivotArea dataOnly="0" labelOnly="1" outline="0" fieldPosition="0">
        <references count="5">
          <reference field="0" count="1" selected="0">
            <x v="0"/>
          </reference>
          <reference field="4" count="1" selected="0">
            <x v="33"/>
          </reference>
          <reference field="7" count="1" selected="0">
            <x v="9"/>
          </reference>
          <reference field="8" count="1" selected="0">
            <x v="4"/>
          </reference>
          <reference field="9" count="1">
            <x v="9"/>
          </reference>
        </references>
      </pivotArea>
    </format>
    <format dxfId="628">
      <pivotArea dataOnly="0" labelOnly="1" outline="0" fieldPosition="0">
        <references count="5">
          <reference field="0" count="1" selected="0">
            <x v="1"/>
          </reference>
          <reference field="4" count="1" selected="0">
            <x v="4"/>
          </reference>
          <reference field="7" count="1" selected="0">
            <x v="4"/>
          </reference>
          <reference field="8" count="1" selected="0">
            <x v="4"/>
          </reference>
          <reference field="9" count="1">
            <x v="1"/>
          </reference>
        </references>
      </pivotArea>
    </format>
    <format dxfId="627">
      <pivotArea dataOnly="0" labelOnly="1" outline="0" fieldPosition="0">
        <references count="5">
          <reference field="0" count="1" selected="0">
            <x v="1"/>
          </reference>
          <reference field="4" count="1" selected="0">
            <x v="25"/>
          </reference>
          <reference field="7" count="1" selected="0">
            <x v="2"/>
          </reference>
          <reference field="8" count="1" selected="0">
            <x v="4"/>
          </reference>
          <reference field="9" count="1">
            <x v="9"/>
          </reference>
        </references>
      </pivotArea>
    </format>
    <format dxfId="626">
      <pivotArea dataOnly="0" labelOnly="1" outline="0" fieldPosition="0">
        <references count="5">
          <reference field="0" count="1" selected="0">
            <x v="1"/>
          </reference>
          <reference field="4" count="1" selected="0">
            <x v="29"/>
          </reference>
          <reference field="7" count="1" selected="0">
            <x v="9"/>
          </reference>
          <reference field="8" count="1" selected="0">
            <x v="4"/>
          </reference>
          <reference field="9" count="1">
            <x v="9"/>
          </reference>
        </references>
      </pivotArea>
    </format>
    <format dxfId="625">
      <pivotArea dataOnly="0" labelOnly="1" outline="0" fieldPosition="0">
        <references count="5">
          <reference field="0" count="1" selected="0">
            <x v="1"/>
          </reference>
          <reference field="4" count="1" selected="0">
            <x v="30"/>
          </reference>
          <reference field="7" count="1" selected="0">
            <x v="4"/>
          </reference>
          <reference field="8" count="1" selected="0">
            <x v="4"/>
          </reference>
          <reference field="9" count="1">
            <x v="9"/>
          </reference>
        </references>
      </pivotArea>
    </format>
    <format dxfId="624">
      <pivotArea dataOnly="0" labelOnly="1" outline="0" fieldPosition="0">
        <references count="5">
          <reference field="0" count="1" selected="0">
            <x v="1"/>
          </reference>
          <reference field="4" count="1" selected="0">
            <x v="31"/>
          </reference>
          <reference field="7" count="1" selected="0">
            <x v="9"/>
          </reference>
          <reference field="8" count="1" selected="0">
            <x v="4"/>
          </reference>
          <reference field="9" count="1">
            <x v="9"/>
          </reference>
        </references>
      </pivotArea>
    </format>
    <format dxfId="623">
      <pivotArea dataOnly="0" labelOnly="1" outline="0" fieldPosition="0">
        <references count="5">
          <reference field="0" count="1" selected="0">
            <x v="1"/>
          </reference>
          <reference field="4" count="1" selected="0">
            <x v="33"/>
          </reference>
          <reference field="7" count="1" selected="0">
            <x v="2"/>
          </reference>
          <reference field="8" count="1" selected="0">
            <x v="4"/>
          </reference>
          <reference field="9" count="1">
            <x v="9"/>
          </reference>
        </references>
      </pivotArea>
    </format>
    <format dxfId="622">
      <pivotArea dataOnly="0" labelOnly="1" outline="0" fieldPosition="0">
        <references count="5">
          <reference field="0" count="1" selected="0">
            <x v="2"/>
          </reference>
          <reference field="4" count="1" selected="0">
            <x v="10"/>
          </reference>
          <reference field="7" count="1" selected="0">
            <x v="2"/>
          </reference>
          <reference field="8" count="1" selected="0">
            <x v="4"/>
          </reference>
          <reference field="9" count="1">
            <x v="9"/>
          </reference>
        </references>
      </pivotArea>
    </format>
    <format dxfId="621">
      <pivotArea dataOnly="0" labelOnly="1" outline="0" fieldPosition="0">
        <references count="5">
          <reference field="0" count="1" selected="0">
            <x v="2"/>
          </reference>
          <reference field="4" count="1" selected="0">
            <x v="23"/>
          </reference>
          <reference field="7" count="1" selected="0">
            <x v="9"/>
          </reference>
          <reference field="8" count="1" selected="0">
            <x v="4"/>
          </reference>
          <reference field="9" count="1">
            <x v="1"/>
          </reference>
        </references>
      </pivotArea>
    </format>
    <format dxfId="620">
      <pivotArea dataOnly="0" labelOnly="1" outline="0" fieldPosition="0">
        <references count="5">
          <reference field="0" count="1" selected="0">
            <x v="2"/>
          </reference>
          <reference field="4" count="1" selected="0">
            <x v="27"/>
          </reference>
          <reference field="7" count="1" selected="0">
            <x v="3"/>
          </reference>
          <reference field="8" count="1" selected="0">
            <x v="4"/>
          </reference>
          <reference field="9" count="1">
            <x v="9"/>
          </reference>
        </references>
      </pivotArea>
    </format>
    <format dxfId="619">
      <pivotArea dataOnly="0" labelOnly="1" outline="0" fieldPosition="0">
        <references count="5">
          <reference field="0" count="1" selected="0">
            <x v="2"/>
          </reference>
          <reference field="4" count="1" selected="0">
            <x v="29"/>
          </reference>
          <reference field="7" count="1" selected="0">
            <x v="9"/>
          </reference>
          <reference field="8" count="1" selected="0">
            <x v="4"/>
          </reference>
          <reference field="9" count="1">
            <x v="9"/>
          </reference>
        </references>
      </pivotArea>
    </format>
    <format dxfId="618">
      <pivotArea dataOnly="0" labelOnly="1" outline="0" fieldPosition="0">
        <references count="5">
          <reference field="0" count="1" selected="0">
            <x v="2"/>
          </reference>
          <reference field="4" count="1" selected="0">
            <x v="33"/>
          </reference>
          <reference field="7" count="1" selected="0">
            <x v="9"/>
          </reference>
          <reference field="8" count="1" selected="0">
            <x v="4"/>
          </reference>
          <reference field="9" count="1">
            <x v="1"/>
          </reference>
        </references>
      </pivotArea>
    </format>
    <format dxfId="617">
      <pivotArea dataOnly="0" labelOnly="1" outline="0" fieldPosition="0">
        <references count="5">
          <reference field="0" count="1" selected="0">
            <x v="2"/>
          </reference>
          <reference field="4" count="1" selected="0">
            <x v="39"/>
          </reference>
          <reference field="7" count="1" selected="0">
            <x v="1"/>
          </reference>
          <reference field="8" count="1" selected="0">
            <x v="4"/>
          </reference>
          <reference field="9" count="1">
            <x v="9"/>
          </reference>
        </references>
      </pivotArea>
    </format>
    <format dxfId="616">
      <pivotArea dataOnly="0" labelOnly="1" outline="0" fieldPosition="0">
        <references count="5">
          <reference field="0" count="1" selected="0">
            <x v="3"/>
          </reference>
          <reference field="4" count="1" selected="0">
            <x v="7"/>
          </reference>
          <reference field="7" count="1" selected="0">
            <x v="3"/>
          </reference>
          <reference field="8" count="1" selected="0">
            <x v="4"/>
          </reference>
          <reference field="9" count="1">
            <x v="9"/>
          </reference>
        </references>
      </pivotArea>
    </format>
    <format dxfId="615">
      <pivotArea dataOnly="0" labelOnly="1" outline="0" fieldPosition="0">
        <references count="5">
          <reference field="0" count="1" selected="0">
            <x v="3"/>
          </reference>
          <reference field="4" count="1" selected="0">
            <x v="12"/>
          </reference>
          <reference field="7" count="1" selected="0">
            <x v="9"/>
          </reference>
          <reference field="8" count="1" selected="0">
            <x v="4"/>
          </reference>
          <reference field="9" count="1">
            <x v="2"/>
          </reference>
        </references>
      </pivotArea>
    </format>
    <format dxfId="614">
      <pivotArea dataOnly="0" labelOnly="1" outline="0" fieldPosition="0">
        <references count="5">
          <reference field="0" count="1" selected="0">
            <x v="3"/>
          </reference>
          <reference field="4" count="1" selected="0">
            <x v="18"/>
          </reference>
          <reference field="7" count="1" selected="0">
            <x v="9"/>
          </reference>
          <reference field="8" count="1" selected="0">
            <x v="4"/>
          </reference>
          <reference field="9" count="1">
            <x v="9"/>
          </reference>
        </references>
      </pivotArea>
    </format>
    <format dxfId="613">
      <pivotArea dataOnly="0" labelOnly="1" outline="0" fieldPosition="0">
        <references count="5">
          <reference field="0" count="1" selected="0">
            <x v="3"/>
          </reference>
          <reference field="4" count="1" selected="0">
            <x v="23"/>
          </reference>
          <reference field="7" count="1" selected="0">
            <x v="2"/>
          </reference>
          <reference field="8" count="1" selected="0">
            <x v="4"/>
          </reference>
          <reference field="9" count="1">
            <x v="9"/>
          </reference>
        </references>
      </pivotArea>
    </format>
    <format dxfId="612">
      <pivotArea dataOnly="0" labelOnly="1" outline="0" fieldPosition="0">
        <references count="5">
          <reference field="0" count="1" selected="0">
            <x v="3"/>
          </reference>
          <reference field="4" count="1" selected="0">
            <x v="26"/>
          </reference>
          <reference field="7" count="1" selected="0">
            <x v="7"/>
          </reference>
          <reference field="8" count="1" selected="0">
            <x v="4"/>
          </reference>
          <reference field="9" count="1">
            <x v="9"/>
          </reference>
        </references>
      </pivotArea>
    </format>
    <format dxfId="611">
      <pivotArea dataOnly="0" labelOnly="1" outline="0" fieldPosition="0">
        <references count="5">
          <reference field="0" count="1" selected="0">
            <x v="3"/>
          </reference>
          <reference field="4" count="1" selected="0">
            <x v="29"/>
          </reference>
          <reference field="7" count="1" selected="0">
            <x v="9"/>
          </reference>
          <reference field="8" count="1" selected="0">
            <x v="4"/>
          </reference>
          <reference field="9" count="1">
            <x v="9"/>
          </reference>
        </references>
      </pivotArea>
    </format>
    <format dxfId="610">
      <pivotArea dataOnly="0" labelOnly="1" outline="0" fieldPosition="0">
        <references count="5">
          <reference field="0" count="1" selected="0">
            <x v="3"/>
          </reference>
          <reference field="4" count="1" selected="0">
            <x v="30"/>
          </reference>
          <reference field="7" count="1" selected="0">
            <x v="3"/>
          </reference>
          <reference field="8" count="1" selected="0">
            <x v="4"/>
          </reference>
          <reference field="9" count="1">
            <x v="9"/>
          </reference>
        </references>
      </pivotArea>
    </format>
    <format dxfId="609">
      <pivotArea dataOnly="0" labelOnly="1" outline="0" fieldPosition="0">
        <references count="5">
          <reference field="0" count="1" selected="0">
            <x v="3"/>
          </reference>
          <reference field="4" count="1" selected="0">
            <x v="33"/>
          </reference>
          <reference field="7" count="1" selected="0">
            <x v="3"/>
          </reference>
          <reference field="8" count="1" selected="0">
            <x v="4"/>
          </reference>
          <reference field="9" count="1">
            <x v="9"/>
          </reference>
        </references>
      </pivotArea>
    </format>
    <format dxfId="608">
      <pivotArea dataOnly="0" labelOnly="1" outline="0" fieldPosition="0">
        <references count="5">
          <reference field="0" count="1" selected="0">
            <x v="3"/>
          </reference>
          <reference field="4" count="1" selected="0">
            <x v="34"/>
          </reference>
          <reference field="7" count="1" selected="0">
            <x v="3"/>
          </reference>
          <reference field="8" count="1" selected="0">
            <x v="4"/>
          </reference>
          <reference field="9" count="1">
            <x v="9"/>
          </reference>
        </references>
      </pivotArea>
    </format>
    <format dxfId="607">
      <pivotArea dataOnly="0" labelOnly="1" outline="0" fieldPosition="0">
        <references count="5">
          <reference field="0" count="1" selected="0">
            <x v="3"/>
          </reference>
          <reference field="4" count="1" selected="0">
            <x v="35"/>
          </reference>
          <reference field="7" count="1" selected="0">
            <x v="3"/>
          </reference>
          <reference field="8" count="1" selected="0">
            <x v="4"/>
          </reference>
          <reference field="9" count="1">
            <x v="9"/>
          </reference>
        </references>
      </pivotArea>
    </format>
    <format dxfId="606">
      <pivotArea dataOnly="0" labelOnly="1" outline="0" fieldPosition="0">
        <references count="5">
          <reference field="0" count="1" selected="0">
            <x v="3"/>
          </reference>
          <reference field="4" count="1" selected="0">
            <x v="36"/>
          </reference>
          <reference field="7" count="1" selected="0">
            <x v="3"/>
          </reference>
          <reference field="8" count="1" selected="0">
            <x v="4"/>
          </reference>
          <reference field="9" count="1">
            <x v="9"/>
          </reference>
        </references>
      </pivotArea>
    </format>
    <format dxfId="605">
      <pivotArea dataOnly="0" labelOnly="1" outline="0" fieldPosition="0">
        <references count="5">
          <reference field="0" count="1" selected="0">
            <x v="3"/>
          </reference>
          <reference field="4" count="1" selected="0">
            <x v="37"/>
          </reference>
          <reference field="7" count="1" selected="0">
            <x v="3"/>
          </reference>
          <reference field="8" count="1" selected="0">
            <x v="4"/>
          </reference>
          <reference field="9" count="1">
            <x v="9"/>
          </reference>
        </references>
      </pivotArea>
    </format>
    <format dxfId="604">
      <pivotArea dataOnly="0" labelOnly="1" outline="0" fieldPosition="0">
        <references count="5">
          <reference field="0" count="1" selected="0">
            <x v="3"/>
          </reference>
          <reference field="4" count="1" selected="0">
            <x v="38"/>
          </reference>
          <reference field="7" count="1" selected="0">
            <x v="3"/>
          </reference>
          <reference field="8" count="1" selected="0">
            <x v="4"/>
          </reference>
          <reference field="9" count="1">
            <x v="9"/>
          </reference>
        </references>
      </pivotArea>
    </format>
    <format dxfId="603">
      <pivotArea dataOnly="0" labelOnly="1" outline="0" fieldPosition="0">
        <references count="5">
          <reference field="0" count="1" selected="0">
            <x v="4"/>
          </reference>
          <reference field="4" count="1" selected="0">
            <x v="15"/>
          </reference>
          <reference field="7" count="1" selected="0">
            <x v="0"/>
          </reference>
          <reference field="8" count="1" selected="0">
            <x v="4"/>
          </reference>
          <reference field="9" count="1">
            <x v="9"/>
          </reference>
        </references>
      </pivotArea>
    </format>
    <format dxfId="602">
      <pivotArea dataOnly="0" labelOnly="1" outline="0" fieldPosition="0">
        <references count="5">
          <reference field="0" count="1" selected="0">
            <x v="4"/>
          </reference>
          <reference field="4" count="1" selected="0">
            <x v="23"/>
          </reference>
          <reference field="7" count="1" selected="0">
            <x v="9"/>
          </reference>
          <reference field="8" count="1" selected="0">
            <x v="4"/>
          </reference>
          <reference field="9" count="1">
            <x v="9"/>
          </reference>
        </references>
      </pivotArea>
    </format>
    <format dxfId="601">
      <pivotArea dataOnly="0" labelOnly="1" outline="0" fieldPosition="0">
        <references count="5">
          <reference field="0" count="1" selected="0">
            <x v="4"/>
          </reference>
          <reference field="4" count="1" selected="0">
            <x v="29"/>
          </reference>
          <reference field="7" count="1" selected="0">
            <x v="2"/>
          </reference>
          <reference field="8" count="1" selected="0">
            <x v="4"/>
          </reference>
          <reference field="9" count="1">
            <x v="9"/>
          </reference>
        </references>
      </pivotArea>
    </format>
    <format dxfId="600">
      <pivotArea dataOnly="0" labelOnly="1" outline="0" fieldPosition="0">
        <references count="5">
          <reference field="0" count="1" selected="0">
            <x v="5"/>
          </reference>
          <reference field="4" count="1" selected="0">
            <x v="2"/>
          </reference>
          <reference field="7" count="1" selected="0">
            <x v="2"/>
          </reference>
          <reference field="8" count="1" selected="0">
            <x v="4"/>
          </reference>
          <reference field="9" count="1">
            <x v="9"/>
          </reference>
        </references>
      </pivotArea>
    </format>
    <format dxfId="599">
      <pivotArea dataOnly="0" labelOnly="1" outline="0" fieldPosition="0">
        <references count="5">
          <reference field="0" count="1" selected="0">
            <x v="5"/>
          </reference>
          <reference field="4" count="1" selected="0">
            <x v="11"/>
          </reference>
          <reference field="7" count="1" selected="0">
            <x v="2"/>
          </reference>
          <reference field="8" count="1" selected="0">
            <x v="4"/>
          </reference>
          <reference field="9" count="1">
            <x v="9"/>
          </reference>
        </references>
      </pivotArea>
    </format>
    <format dxfId="598">
      <pivotArea dataOnly="0" labelOnly="1" outline="0" fieldPosition="0">
        <references count="5">
          <reference field="0" count="1" selected="0">
            <x v="5"/>
          </reference>
          <reference field="4" count="1" selected="0">
            <x v="23"/>
          </reference>
          <reference field="7" count="1" selected="0">
            <x v="8"/>
          </reference>
          <reference field="8" count="1" selected="0">
            <x v="1"/>
          </reference>
          <reference field="9" count="1">
            <x v="4"/>
          </reference>
        </references>
      </pivotArea>
    </format>
    <format dxfId="597">
      <pivotArea dataOnly="0" labelOnly="1" outline="0" fieldPosition="0">
        <references count="5">
          <reference field="0" count="1" selected="0">
            <x v="5"/>
          </reference>
          <reference field="4" count="1" selected="0">
            <x v="28"/>
          </reference>
          <reference field="7" count="1" selected="0">
            <x v="2"/>
          </reference>
          <reference field="8" count="1" selected="0">
            <x v="4"/>
          </reference>
          <reference field="9" count="1">
            <x v="9"/>
          </reference>
        </references>
      </pivotArea>
    </format>
    <format dxfId="596">
      <pivotArea dataOnly="0" labelOnly="1" outline="0" fieldPosition="0">
        <references count="5">
          <reference field="0" count="1" selected="0">
            <x v="5"/>
          </reference>
          <reference field="4" count="1" selected="0">
            <x v="32"/>
          </reference>
          <reference field="7" count="1" selected="0">
            <x v="5"/>
          </reference>
          <reference field="8" count="1" selected="0">
            <x v="4"/>
          </reference>
          <reference field="9" count="1">
            <x v="9"/>
          </reference>
        </references>
      </pivotArea>
    </format>
    <format dxfId="595">
      <pivotArea dataOnly="0" labelOnly="1" outline="0" fieldPosition="0">
        <references count="5">
          <reference field="0" count="1" selected="0">
            <x v="6"/>
          </reference>
          <reference field="4" count="1" selected="0">
            <x v="21"/>
          </reference>
          <reference field="7" count="1" selected="0">
            <x v="6"/>
          </reference>
          <reference field="8" count="1" selected="0">
            <x v="4"/>
          </reference>
          <reference field="9" count="1">
            <x v="4"/>
          </reference>
        </references>
      </pivotArea>
    </format>
    <format dxfId="594">
      <pivotArea dataOnly="0" labelOnly="1" outline="0" fieldPosition="0">
        <references count="5">
          <reference field="0" count="1" selected="0">
            <x v="6"/>
          </reference>
          <reference field="4" count="1" selected="0">
            <x v="22"/>
          </reference>
          <reference field="7" count="1" selected="0">
            <x v="6"/>
          </reference>
          <reference field="8" count="1" selected="0">
            <x v="4"/>
          </reference>
          <reference field="9" count="1">
            <x v="4"/>
          </reference>
        </references>
      </pivotArea>
    </format>
    <format dxfId="593">
      <pivotArea dataOnly="0" labelOnly="1" outline="0" fieldPosition="0">
        <references count="5">
          <reference field="0" count="1" selected="0">
            <x v="7"/>
          </reference>
          <reference field="4" count="1" selected="0">
            <x v="3"/>
          </reference>
          <reference field="7" count="1" selected="0">
            <x v="9"/>
          </reference>
          <reference field="8" count="1" selected="0">
            <x v="4"/>
          </reference>
          <reference field="9" count="1">
            <x v="9"/>
          </reference>
        </references>
      </pivotArea>
    </format>
    <format dxfId="592">
      <pivotArea dataOnly="0" labelOnly="1" outline="0" fieldPosition="0">
        <references count="5">
          <reference field="0" count="1" selected="0">
            <x v="7"/>
          </reference>
          <reference field="4" count="1" selected="0">
            <x v="22"/>
          </reference>
          <reference field="7" count="1" selected="0">
            <x v="8"/>
          </reference>
          <reference field="8" count="1" selected="0">
            <x v="0"/>
          </reference>
          <reference field="9" count="1">
            <x v="9"/>
          </reference>
        </references>
      </pivotArea>
    </format>
    <format dxfId="591">
      <pivotArea dataOnly="0" labelOnly="1" outline="0" fieldPosition="0">
        <references count="5">
          <reference field="0" count="1" selected="0">
            <x v="7"/>
          </reference>
          <reference field="4" count="1" selected="0">
            <x v="24"/>
          </reference>
          <reference field="7" count="1" selected="0">
            <x v="9"/>
          </reference>
          <reference field="8" count="1" selected="0">
            <x v="4"/>
          </reference>
          <reference field="9" count="1">
            <x v="3"/>
          </reference>
        </references>
      </pivotArea>
    </format>
    <format dxfId="590">
      <pivotArea dataOnly="0" labelOnly="1" outline="0" fieldPosition="0">
        <references count="5">
          <reference field="0" count="1" selected="0">
            <x v="8"/>
          </reference>
          <reference field="4" count="1" selected="0">
            <x v="12"/>
          </reference>
          <reference field="7" count="1" selected="0">
            <x v="2"/>
          </reference>
          <reference field="8" count="1" selected="0">
            <x v="4"/>
          </reference>
          <reference field="9" count="1">
            <x v="6"/>
          </reference>
        </references>
      </pivotArea>
    </format>
    <format dxfId="589">
      <pivotArea dataOnly="0" labelOnly="1" outline="0" fieldPosition="0">
        <references count="5">
          <reference field="0" count="1" selected="0">
            <x v="8"/>
          </reference>
          <reference field="4" count="1" selected="0">
            <x v="13"/>
          </reference>
          <reference field="7" count="1" selected="0">
            <x v="2"/>
          </reference>
          <reference field="8" count="1" selected="0">
            <x v="4"/>
          </reference>
          <reference field="9" count="1">
            <x v="6"/>
          </reference>
        </references>
      </pivotArea>
    </format>
    <format dxfId="588">
      <pivotArea dataOnly="0" labelOnly="1" outline="0" fieldPosition="0">
        <references count="5">
          <reference field="0" count="1" selected="0">
            <x v="8"/>
          </reference>
          <reference field="4" count="1" selected="0">
            <x v="16"/>
          </reference>
          <reference field="7" count="1" selected="0">
            <x v="2"/>
          </reference>
          <reference field="8" count="1" selected="0">
            <x v="4"/>
          </reference>
          <reference field="9" count="1">
            <x v="6"/>
          </reference>
        </references>
      </pivotArea>
    </format>
    <format dxfId="587">
      <pivotArea dataOnly="0" labelOnly="1" outline="0" fieldPosition="0">
        <references count="5">
          <reference field="0" count="1" selected="0">
            <x v="8"/>
          </reference>
          <reference field="4" count="1" selected="0">
            <x v="17"/>
          </reference>
          <reference field="7" count="1" selected="0">
            <x v="2"/>
          </reference>
          <reference field="8" count="1" selected="0">
            <x v="4"/>
          </reference>
          <reference field="9" count="1">
            <x v="9"/>
          </reference>
        </references>
      </pivotArea>
    </format>
    <format dxfId="586">
      <pivotArea dataOnly="0" labelOnly="1" outline="0" fieldPosition="0">
        <references count="5">
          <reference field="0" count="1" selected="0">
            <x v="8"/>
          </reference>
          <reference field="4" count="1" selected="0">
            <x v="28"/>
          </reference>
          <reference field="7" count="1" selected="0">
            <x v="2"/>
          </reference>
          <reference field="8" count="1" selected="0">
            <x v="4"/>
          </reference>
          <reference field="9" count="1">
            <x v="5"/>
          </reference>
        </references>
      </pivotArea>
    </format>
    <format dxfId="585">
      <pivotArea dataOnly="0" labelOnly="1" outline="0" fieldPosition="0">
        <references count="5">
          <reference field="0" count="1" selected="0">
            <x v="9"/>
          </reference>
          <reference field="4" count="1" selected="0">
            <x v="39"/>
          </reference>
          <reference field="7" count="1" selected="0">
            <x v="9"/>
          </reference>
          <reference field="8" count="1" selected="0">
            <x v="4"/>
          </reference>
          <reference field="9" count="1">
            <x v="9"/>
          </reference>
        </references>
      </pivotArea>
    </format>
    <format dxfId="584">
      <pivotArea dataOnly="0" labelOnly="1" outline="0" fieldPosition="0">
        <references count="5">
          <reference field="0" count="1" selected="0">
            <x v="9"/>
          </reference>
          <reference field="4" count="1" selected="0">
            <x v="40"/>
          </reference>
          <reference field="7" count="1" selected="0">
            <x v="8"/>
          </reference>
          <reference field="8" count="1" selected="0">
            <x v="2"/>
          </reference>
          <reference field="9" count="1">
            <x v="9"/>
          </reference>
        </references>
      </pivotArea>
    </format>
    <format dxfId="583">
      <pivotArea dataOnly="0" labelOnly="1" outline="0" fieldPosition="0">
        <references count="5">
          <reference field="0" count="1" selected="0">
            <x v="10"/>
          </reference>
          <reference field="4" count="1" selected="0">
            <x v="22"/>
          </reference>
          <reference field="7" count="1" selected="0">
            <x v="10"/>
          </reference>
          <reference field="8" count="1" selected="0">
            <x v="4"/>
          </reference>
          <reference field="9" count="1">
            <x v="7"/>
          </reference>
        </references>
      </pivotArea>
    </format>
    <format dxfId="582">
      <pivotArea dataOnly="0" labelOnly="1" outline="0" fieldPosition="0">
        <references count="5">
          <reference field="0" count="1" selected="0">
            <x v="11"/>
          </reference>
          <reference field="4" count="1" selected="0">
            <x v="20"/>
          </reference>
          <reference field="7" count="1" selected="0">
            <x v="9"/>
          </reference>
          <reference field="8" count="1" selected="0">
            <x v="4"/>
          </reference>
          <reference field="9" count="1">
            <x v="9"/>
          </reference>
        </references>
      </pivotArea>
    </format>
    <format dxfId="581">
      <pivotArea dataOnly="0" labelOnly="1" outline="0" fieldPosition="0">
        <references count="5">
          <reference field="0" count="1" selected="0">
            <x v="11"/>
          </reference>
          <reference field="4" count="1" selected="0">
            <x v="24"/>
          </reference>
          <reference field="7" count="1" selected="0">
            <x v="9"/>
          </reference>
          <reference field="8" count="1" selected="0">
            <x v="4"/>
          </reference>
          <reference field="9" count="1">
            <x v="9"/>
          </reference>
        </references>
      </pivotArea>
    </format>
    <format dxfId="580">
      <pivotArea dataOnly="0" labelOnly="1" outline="0" fieldPosition="0">
        <references count="5">
          <reference field="0" count="1" selected="0">
            <x v="11"/>
          </reference>
          <reference field="4" count="1" selected="0">
            <x v="39"/>
          </reference>
          <reference field="7" count="1" selected="0">
            <x v="9"/>
          </reference>
          <reference field="8" count="1" selected="0">
            <x v="4"/>
          </reference>
          <reference field="9" count="1">
            <x v="9"/>
          </reference>
        </references>
      </pivotArea>
    </format>
    <format dxfId="579">
      <pivotArea dataOnly="0" labelOnly="1" outline="0" fieldPosition="0">
        <references count="5">
          <reference field="0" count="1" selected="0">
            <x v="12"/>
          </reference>
          <reference field="4" count="1" selected="0">
            <x v="8"/>
          </reference>
          <reference field="7" count="1" selected="0">
            <x v="3"/>
          </reference>
          <reference field="8" count="1" selected="0">
            <x v="4"/>
          </reference>
          <reference field="9" count="1">
            <x v="9"/>
          </reference>
        </references>
      </pivotArea>
    </format>
    <format dxfId="578">
      <pivotArea dataOnly="0" labelOnly="1" outline="0" fieldPosition="0">
        <references count="5">
          <reference field="0" count="1" selected="0">
            <x v="12"/>
          </reference>
          <reference field="4" count="1" selected="0">
            <x v="13"/>
          </reference>
          <reference field="7" count="1" selected="0">
            <x v="3"/>
          </reference>
          <reference field="8" count="1" selected="0">
            <x v="4"/>
          </reference>
          <reference field="9" count="1">
            <x v="9"/>
          </reference>
        </references>
      </pivotArea>
    </format>
    <format dxfId="577">
      <pivotArea dataOnly="0" labelOnly="1" outline="0" fieldPosition="0">
        <references count="5">
          <reference field="0" count="1" selected="0">
            <x v="13"/>
          </reference>
          <reference field="4" count="1" selected="0">
            <x v="5"/>
          </reference>
          <reference field="7" count="1" selected="0">
            <x v="3"/>
          </reference>
          <reference field="8" count="1" selected="0">
            <x v="4"/>
          </reference>
          <reference field="9" count="1">
            <x v="9"/>
          </reference>
        </references>
      </pivotArea>
    </format>
    <format dxfId="576">
      <pivotArea dataOnly="0" labelOnly="1" outline="0" fieldPosition="0">
        <references count="5">
          <reference field="0" count="1" selected="0">
            <x v="13"/>
          </reference>
          <reference field="4" count="1" selected="0">
            <x v="6"/>
          </reference>
          <reference field="7" count="1" selected="0">
            <x v="3"/>
          </reference>
          <reference field="8" count="1" selected="0">
            <x v="4"/>
          </reference>
          <reference field="9" count="1">
            <x v="9"/>
          </reference>
        </references>
      </pivotArea>
    </format>
    <format dxfId="575">
      <pivotArea dataOnly="0" labelOnly="1" outline="0" fieldPosition="0">
        <references count="5">
          <reference field="0" count="1" selected="0">
            <x v="13"/>
          </reference>
          <reference field="4" count="1" selected="0">
            <x v="9"/>
          </reference>
          <reference field="7" count="1" selected="0">
            <x v="3"/>
          </reference>
          <reference field="8" count="1" selected="0">
            <x v="4"/>
          </reference>
          <reference field="9" count="1">
            <x v="9"/>
          </reference>
        </references>
      </pivotArea>
    </format>
    <format dxfId="574">
      <pivotArea dataOnly="0" labelOnly="1" outline="0" fieldPosition="0">
        <references count="5">
          <reference field="0" count="1" selected="0">
            <x v="13"/>
          </reference>
          <reference field="4" count="1" selected="0">
            <x v="12"/>
          </reference>
          <reference field="7" count="1" selected="0">
            <x v="3"/>
          </reference>
          <reference field="8" count="1" selected="0">
            <x v="4"/>
          </reference>
          <reference field="9" count="1">
            <x v="9"/>
          </reference>
        </references>
      </pivotArea>
    </format>
    <format dxfId="573">
      <pivotArea dataOnly="0" labelOnly="1" outline="0" fieldPosition="0">
        <references count="5">
          <reference field="0" count="1" selected="0">
            <x v="13"/>
          </reference>
          <reference field="4" count="1" selected="0">
            <x v="13"/>
          </reference>
          <reference field="7" count="1" selected="0">
            <x v="3"/>
          </reference>
          <reference field="8" count="1" selected="0">
            <x v="4"/>
          </reference>
          <reference field="9" count="1">
            <x v="9"/>
          </reference>
        </references>
      </pivotArea>
    </format>
    <format dxfId="572">
      <pivotArea dataOnly="0" labelOnly="1" outline="0" fieldPosition="0">
        <references count="5">
          <reference field="0" count="1" selected="0">
            <x v="13"/>
          </reference>
          <reference field="4" count="1" selected="0">
            <x v="14"/>
          </reference>
          <reference field="7" count="1" selected="0">
            <x v="3"/>
          </reference>
          <reference field="8" count="1" selected="0">
            <x v="4"/>
          </reference>
          <reference field="9" count="1">
            <x v="9"/>
          </reference>
        </references>
      </pivotArea>
    </format>
    <format dxfId="571">
      <pivotArea dataOnly="0" labelOnly="1" outline="0" fieldPosition="0">
        <references count="5">
          <reference field="0" count="1" selected="0">
            <x v="13"/>
          </reference>
          <reference field="4" count="1" selected="0">
            <x v="19"/>
          </reference>
          <reference field="7" count="1" selected="0">
            <x v="3"/>
          </reference>
          <reference field="8" count="1" selected="0">
            <x v="4"/>
          </reference>
          <reference field="9" count="1">
            <x v="9"/>
          </reference>
        </references>
      </pivotArea>
    </format>
    <format dxfId="570">
      <pivotArea dataOnly="0" labelOnly="1" outline="0" fieldPosition="0">
        <references count="5">
          <reference field="0" count="1" selected="0">
            <x v="13"/>
          </reference>
          <reference field="4" count="1" selected="0">
            <x v="31"/>
          </reference>
          <reference field="7" count="1" selected="0">
            <x v="3"/>
          </reference>
          <reference field="8" count="1" selected="0">
            <x v="4"/>
          </reference>
          <reference field="9" count="1">
            <x v="9"/>
          </reference>
        </references>
      </pivotArea>
    </format>
    <format dxfId="569">
      <pivotArea field="7" type="button" dataOnly="0" labelOnly="1" outline="0" axis="axisRow" fieldPosition="2"/>
    </format>
    <format dxfId="568">
      <pivotArea dataOnly="0" labelOnly="1" outline="0" fieldPosition="0">
        <references count="2">
          <reference field="0" count="1" selected="0">
            <x v="11"/>
          </reference>
          <reference field="4" count="1">
            <x v="39"/>
          </reference>
        </references>
      </pivotArea>
    </format>
    <format dxfId="567">
      <pivotArea field="0" type="button" dataOnly="0" labelOnly="1" outline="0" axis="axisRow" fieldPosition="0"/>
    </format>
    <format dxfId="566">
      <pivotArea dataOnly="0" labelOnly="1" outline="0" fieldPosition="0">
        <references count="1">
          <reference field="0" count="1">
            <x v="0"/>
          </reference>
        </references>
      </pivotArea>
    </format>
    <format dxfId="565">
      <pivotArea dataOnly="0" labelOnly="1" outline="0" fieldPosition="0">
        <references count="1">
          <reference field="0" count="1" defaultSubtotal="1">
            <x v="0"/>
          </reference>
        </references>
      </pivotArea>
    </format>
    <format dxfId="564">
      <pivotArea dataOnly="0" labelOnly="1" outline="0" fieldPosition="0">
        <references count="1">
          <reference field="0" count="1">
            <x v="1"/>
          </reference>
        </references>
      </pivotArea>
    </format>
    <format dxfId="563">
      <pivotArea dataOnly="0" labelOnly="1" outline="0" fieldPosition="0">
        <references count="1">
          <reference field="0" count="1" defaultSubtotal="1">
            <x v="1"/>
          </reference>
        </references>
      </pivotArea>
    </format>
    <format dxfId="562">
      <pivotArea dataOnly="0" labelOnly="1" outline="0" fieldPosition="0">
        <references count="1">
          <reference field="0" count="1">
            <x v="2"/>
          </reference>
        </references>
      </pivotArea>
    </format>
    <format dxfId="561">
      <pivotArea dataOnly="0" labelOnly="1" outline="0" fieldPosition="0">
        <references count="1">
          <reference field="0" count="1" defaultSubtotal="1">
            <x v="2"/>
          </reference>
        </references>
      </pivotArea>
    </format>
    <format dxfId="560">
      <pivotArea dataOnly="0" labelOnly="1" outline="0" fieldPosition="0">
        <references count="1">
          <reference field="0" count="1">
            <x v="3"/>
          </reference>
        </references>
      </pivotArea>
    </format>
    <format dxfId="559">
      <pivotArea dataOnly="0" labelOnly="1" outline="0" fieldPosition="0">
        <references count="1">
          <reference field="0" count="1" defaultSubtotal="1">
            <x v="3"/>
          </reference>
        </references>
      </pivotArea>
    </format>
    <format dxfId="558">
      <pivotArea dataOnly="0" labelOnly="1" outline="0" fieldPosition="0">
        <references count="1">
          <reference field="0" count="1">
            <x v="4"/>
          </reference>
        </references>
      </pivotArea>
    </format>
    <format dxfId="557">
      <pivotArea dataOnly="0" labelOnly="1" outline="0" fieldPosition="0">
        <references count="1">
          <reference field="0" count="1" defaultSubtotal="1">
            <x v="4"/>
          </reference>
        </references>
      </pivotArea>
    </format>
    <format dxfId="556">
      <pivotArea dataOnly="0" labelOnly="1" outline="0" fieldPosition="0">
        <references count="1">
          <reference field="0" count="1">
            <x v="5"/>
          </reference>
        </references>
      </pivotArea>
    </format>
    <format dxfId="555">
      <pivotArea dataOnly="0" labelOnly="1" outline="0" fieldPosition="0">
        <references count="1">
          <reference field="0" count="1" defaultSubtotal="1">
            <x v="5"/>
          </reference>
        </references>
      </pivotArea>
    </format>
    <format dxfId="554">
      <pivotArea dataOnly="0" labelOnly="1" outline="0" fieldPosition="0">
        <references count="1">
          <reference field="0" count="1">
            <x v="6"/>
          </reference>
        </references>
      </pivotArea>
    </format>
    <format dxfId="553">
      <pivotArea dataOnly="0" labelOnly="1" outline="0" fieldPosition="0">
        <references count="1">
          <reference field="0" count="1" defaultSubtotal="1">
            <x v="6"/>
          </reference>
        </references>
      </pivotArea>
    </format>
    <format dxfId="552">
      <pivotArea dataOnly="0" labelOnly="1" outline="0" fieldPosition="0">
        <references count="1">
          <reference field="0" count="1">
            <x v="7"/>
          </reference>
        </references>
      </pivotArea>
    </format>
    <format dxfId="551">
      <pivotArea dataOnly="0" labelOnly="1" outline="0" fieldPosition="0">
        <references count="1">
          <reference field="0" count="1" defaultSubtotal="1">
            <x v="7"/>
          </reference>
        </references>
      </pivotArea>
    </format>
    <format dxfId="550">
      <pivotArea dataOnly="0" labelOnly="1" outline="0" fieldPosition="0">
        <references count="1">
          <reference field="0" count="1">
            <x v="8"/>
          </reference>
        </references>
      </pivotArea>
    </format>
    <format dxfId="549">
      <pivotArea dataOnly="0" labelOnly="1" outline="0" fieldPosition="0">
        <references count="1">
          <reference field="0" count="1" defaultSubtotal="1">
            <x v="8"/>
          </reference>
        </references>
      </pivotArea>
    </format>
    <format dxfId="548">
      <pivotArea dataOnly="0" labelOnly="1" outline="0" fieldPosition="0">
        <references count="1">
          <reference field="0" count="1">
            <x v="9"/>
          </reference>
        </references>
      </pivotArea>
    </format>
    <format dxfId="547">
      <pivotArea dataOnly="0" labelOnly="1" outline="0" fieldPosition="0">
        <references count="1">
          <reference field="0" count="1" defaultSubtotal="1">
            <x v="9"/>
          </reference>
        </references>
      </pivotArea>
    </format>
    <format dxfId="546">
      <pivotArea dataOnly="0" labelOnly="1" outline="0" fieldPosition="0">
        <references count="1">
          <reference field="0" count="1">
            <x v="10"/>
          </reference>
        </references>
      </pivotArea>
    </format>
    <format dxfId="545">
      <pivotArea dataOnly="0" labelOnly="1" outline="0" fieldPosition="0">
        <references count="1">
          <reference field="0" count="1" defaultSubtotal="1">
            <x v="10"/>
          </reference>
        </references>
      </pivotArea>
    </format>
    <format dxfId="544">
      <pivotArea dataOnly="0" labelOnly="1" outline="0" fieldPosition="0">
        <references count="1">
          <reference field="0" count="1">
            <x v="11"/>
          </reference>
        </references>
      </pivotArea>
    </format>
    <format dxfId="543">
      <pivotArea dataOnly="0" labelOnly="1" outline="0" fieldPosition="0">
        <references count="1">
          <reference field="0" count="1" defaultSubtotal="1">
            <x v="11"/>
          </reference>
        </references>
      </pivotArea>
    </format>
    <format dxfId="542">
      <pivotArea dataOnly="0" labelOnly="1" outline="0" fieldPosition="0">
        <references count="1">
          <reference field="0" count="1">
            <x v="12"/>
          </reference>
        </references>
      </pivotArea>
    </format>
    <format dxfId="541">
      <pivotArea dataOnly="0" labelOnly="1" outline="0" fieldPosition="0">
        <references count="1">
          <reference field="0" count="1" defaultSubtotal="1">
            <x v="12"/>
          </reference>
        </references>
      </pivotArea>
    </format>
    <format dxfId="540">
      <pivotArea dataOnly="0" labelOnly="1" outline="0" fieldPosition="0">
        <references count="1">
          <reference field="0" count="1">
            <x v="13"/>
          </reference>
        </references>
      </pivotArea>
    </format>
    <format dxfId="539">
      <pivotArea dataOnly="0" labelOnly="1" outline="0" fieldPosition="0">
        <references count="1">
          <reference field="0" count="1" defaultSubtotal="1">
            <x v="13"/>
          </reference>
        </references>
      </pivotArea>
    </format>
    <format dxfId="538">
      <pivotArea dataOnly="0" labelOnly="1" outline="0" fieldPosition="0">
        <references count="1">
          <reference field="0" count="1">
            <x v="14"/>
          </reference>
        </references>
      </pivotArea>
    </format>
    <format dxfId="537">
      <pivotArea dataOnly="0" labelOnly="1" outline="0" fieldPosition="0">
        <references count="1">
          <reference field="0" count="1">
            <x v="15"/>
          </reference>
        </references>
      </pivotArea>
    </format>
    <format dxfId="536">
      <pivotArea dataOnly="0" labelOnly="1" outline="0" fieldPosition="0">
        <references count="1">
          <reference field="0" count="1" defaultSubtotal="1">
            <x v="15"/>
          </reference>
        </references>
      </pivotArea>
    </format>
    <format dxfId="535">
      <pivotArea dataOnly="0" labelOnly="1" outline="0" fieldPosition="0">
        <references count="1">
          <reference field="0" count="1">
            <x v="16"/>
          </reference>
        </references>
      </pivotArea>
    </format>
    <format dxfId="534">
      <pivotArea dataOnly="0" labelOnly="1" outline="0" fieldPosition="0">
        <references count="1">
          <reference field="0" count="1" defaultSubtotal="1">
            <x v="16"/>
          </reference>
        </references>
      </pivotArea>
    </format>
    <format dxfId="533">
      <pivotArea dataOnly="0" labelOnly="1" outline="0" fieldPosition="0">
        <references count="1">
          <reference field="0" count="1">
            <x v="17"/>
          </reference>
        </references>
      </pivotArea>
    </format>
    <format dxfId="532">
      <pivotArea dataOnly="0" labelOnly="1" outline="0" fieldPosition="0">
        <references count="1">
          <reference field="0" count="1" defaultSubtotal="1">
            <x v="17"/>
          </reference>
        </references>
      </pivotArea>
    </format>
    <format dxfId="531">
      <pivotArea dataOnly="0" labelOnly="1" outline="0" fieldPosition="0">
        <references count="1">
          <reference field="0" count="1">
            <x v="18"/>
          </reference>
        </references>
      </pivotArea>
    </format>
    <format dxfId="530">
      <pivotArea dataOnly="0" labelOnly="1" outline="0" fieldPosition="0">
        <references count="1">
          <reference field="0" count="1" defaultSubtotal="1">
            <x v="18"/>
          </reference>
        </references>
      </pivotArea>
    </format>
    <format dxfId="529">
      <pivotArea dataOnly="0" labelOnly="1" outline="0" fieldPosition="0">
        <references count="1">
          <reference field="0" count="1">
            <x v="19"/>
          </reference>
        </references>
      </pivotArea>
    </format>
    <format dxfId="528">
      <pivotArea dataOnly="0" labelOnly="1" outline="0" fieldPosition="0">
        <references count="1">
          <reference field="0" count="1" defaultSubtotal="1">
            <x v="19"/>
          </reference>
        </references>
      </pivotArea>
    </format>
    <format dxfId="527">
      <pivotArea dataOnly="0" labelOnly="1" outline="0" fieldPosition="0">
        <references count="1">
          <reference field="0" count="1">
            <x v="20"/>
          </reference>
        </references>
      </pivotArea>
    </format>
    <format dxfId="526">
      <pivotArea dataOnly="0" labelOnly="1" outline="0" fieldPosition="0">
        <references count="1">
          <reference field="0" count="1" defaultSubtotal="1">
            <x v="20"/>
          </reference>
        </references>
      </pivotArea>
    </format>
    <format dxfId="525">
      <pivotArea dataOnly="0" labelOnly="1" outline="0" fieldPosition="0">
        <references count="1">
          <reference field="0" count="1">
            <x v="21"/>
          </reference>
        </references>
      </pivotArea>
    </format>
    <format dxfId="524">
      <pivotArea dataOnly="0" labelOnly="1" outline="0" fieldPosition="0">
        <references count="1">
          <reference field="0" count="1" defaultSubtotal="1">
            <x v="21"/>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ECD4D-2456-48B1-8A81-3D6C6867C864}" name="TablaDinámica3" cacheId="17"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multipleFieldFilters="0">
  <location ref="L2:V12" firstHeaderRow="1" firstDataRow="2" firstDataCol="2"/>
  <pivotFields count="8">
    <pivotField name="SEM" axis="axisCol" compact="0" outline="0" showAll="0" defaultSubtotal="0">
      <items count="12">
        <item x="0"/>
        <item x="1"/>
        <item x="2"/>
        <item x="3"/>
        <item x="4"/>
        <item x="5"/>
        <item x="6"/>
        <item h="1" x="11"/>
        <item x="7"/>
        <item x="8"/>
        <item h="1" x="10"/>
        <item h="1" x="9"/>
      </items>
    </pivotField>
    <pivotField axis="axisRow" compact="0" outline="0" showAll="0">
      <items count="5">
        <item x="0"/>
        <item x="1"/>
        <item x="3"/>
        <item x="2"/>
        <item t="default"/>
      </items>
    </pivotField>
    <pivotField dataField="1" compact="0" outline="0" showAll="0"/>
    <pivotField compact="0" outline="0" showAll="0"/>
    <pivotField compact="0" numFmtId="14" outline="0" showAll="0"/>
    <pivotField compact="0" numFmtId="20" outline="0" showAll="0"/>
    <pivotField axis="axisRow" compact="0" outline="0" showAll="0" defaultSubtotal="0">
      <items count="6">
        <item x="3"/>
        <item x="1"/>
        <item x="0"/>
        <item x="2"/>
        <item h="1" x="5"/>
        <item h="1" x="4"/>
      </items>
    </pivotField>
    <pivotField compact="0" outline="0" showAll="0"/>
  </pivotFields>
  <rowFields count="2">
    <field x="6"/>
    <field x="1"/>
  </rowFields>
  <rowItems count="9">
    <i>
      <x/>
      <x/>
    </i>
    <i r="1">
      <x v="1"/>
    </i>
    <i>
      <x v="1"/>
      <x/>
    </i>
    <i r="1">
      <x v="1"/>
    </i>
    <i>
      <x v="2"/>
      <x/>
    </i>
    <i r="1">
      <x v="1"/>
    </i>
    <i>
      <x v="3"/>
      <x/>
    </i>
    <i r="1">
      <x v="1"/>
    </i>
    <i t="grand">
      <x/>
    </i>
  </rowItems>
  <colFields count="1">
    <field x="0"/>
  </colFields>
  <colItems count="9">
    <i>
      <x/>
    </i>
    <i>
      <x v="1"/>
    </i>
    <i>
      <x v="2"/>
    </i>
    <i>
      <x v="3"/>
    </i>
    <i>
      <x v="4"/>
    </i>
    <i>
      <x v="5"/>
    </i>
    <i>
      <x v="6"/>
    </i>
    <i>
      <x v="8"/>
    </i>
    <i>
      <x v="9"/>
    </i>
  </colItems>
  <dataFields count="1">
    <dataField name="CANTIDAD RECORRIDAS" fld="2" baseField="0" baseItem="0"/>
  </dataFields>
  <conditionalFormats count="1">
    <conditionalFormat priority="4">
      <pivotAreas count="1">
        <pivotArea type="data" outline="0" collapsedLevelsAreSubtotals="1" fieldPosition="0">
          <references count="3">
            <reference field="4294967294" count="1" selected="0">
              <x v="0"/>
            </reference>
            <reference field="1" count="2" selected="0">
              <x v="0"/>
              <x v="1"/>
            </reference>
            <reference field="6" count="4" selected="0">
              <x v="0"/>
              <x v="1"/>
              <x v="2"/>
              <x v="3"/>
            </reference>
          </references>
        </pivotArea>
      </pivotAreas>
    </conditionalFormat>
  </conditional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335AAD-293E-4589-96FF-5E0825FCF345}" name="TablaDinámica2" cacheId="18" applyNumberFormats="0" applyBorderFormats="0" applyFontFormats="0" applyPatternFormats="0" applyAlignmentFormats="0" applyWidthHeightFormats="1" dataCaption="Valores" updatedVersion="8" minRefreshableVersion="5" useAutoFormatting="1" itemPrintTitles="1" createdVersion="8" indent="0" compact="0" compactData="0" multipleFieldFilters="0">
  <location ref="AI28:AJ35" firstHeaderRow="1" firstDataRow="1" firstDataCol="1"/>
  <pivotFields count="6">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numFmtId="20" outline="0" showAll="0"/>
    <pivotField compact="0" outline="0" showAll="0"/>
    <pivotField compact="0" outline="0" showAll="0"/>
    <pivotField axis="axisRow" dataField="1" compact="0" outline="0" showAll="0">
      <items count="94">
        <item m="1" x="92"/>
        <item x="2"/>
        <item m="1" x="91"/>
        <item m="1" x="90"/>
        <item m="1" x="87"/>
        <item m="1" x="86"/>
        <item m="1" x="58"/>
        <item x="5"/>
        <item m="1" x="84"/>
        <item m="1" x="83"/>
        <item m="1" x="85"/>
        <item x="4"/>
        <item m="1" x="80"/>
        <item m="1" x="79"/>
        <item x="6"/>
        <item x="3"/>
        <item m="1" x="57"/>
        <item x="1"/>
        <item x="0"/>
        <item m="1" x="82"/>
        <item m="1" x="81"/>
        <item m="1" x="89"/>
        <item m="1" x="56"/>
        <item m="1" x="88"/>
        <item m="1" x="76"/>
        <item x="7"/>
        <item x="8"/>
        <item x="9"/>
        <item x="12"/>
        <item m="1" x="59"/>
        <item m="1" x="60"/>
        <item m="1" x="61"/>
        <item m="1" x="70"/>
        <item m="1" x="77"/>
        <item m="1" x="63"/>
        <item m="1" x="78"/>
        <item m="1" x="62"/>
        <item m="1" x="64"/>
        <item m="1" x="65"/>
        <item m="1" x="66"/>
        <item m="1" x="67"/>
        <item m="1" x="68"/>
        <item m="1" x="69"/>
        <item m="1" x="71"/>
        <item x="14"/>
        <item m="1" x="72"/>
        <item m="1" x="73"/>
        <item m="1" x="74"/>
        <item m="1" x="75"/>
        <item x="10"/>
        <item x="11"/>
        <item x="13"/>
        <item x="15"/>
        <item x="16"/>
        <item x="17"/>
        <item x="18"/>
        <item x="19"/>
        <item x="20"/>
        <item x="21"/>
        <item x="22"/>
        <item x="23"/>
        <item x="24"/>
        <item x="25"/>
        <item x="26"/>
        <item x="27"/>
        <item x="28"/>
        <item x="29"/>
        <item x="30"/>
        <item x="31"/>
        <item x="32"/>
        <item x="33"/>
        <item m="1" x="39"/>
        <item m="1" x="40"/>
        <item m="1" x="41"/>
        <item m="1" x="42"/>
        <item m="1" x="43"/>
        <item m="1" x="44"/>
        <item m="1" x="45"/>
        <item m="1" x="46"/>
        <item m="1" x="47"/>
        <item m="1" x="48"/>
        <item x="36"/>
        <item m="1" x="49"/>
        <item m="1" x="50"/>
        <item m="1" x="51"/>
        <item m="1" x="52"/>
        <item m="1" x="53"/>
        <item m="1" x="54"/>
        <item m="1" x="55"/>
        <item x="34"/>
        <item x="35"/>
        <item x="37"/>
        <item x="38"/>
        <item t="default"/>
      </items>
    </pivotField>
    <pivotField compact="0" outline="0" showAll="0"/>
  </pivotFields>
  <rowFields count="1">
    <field x="4"/>
  </rowFields>
  <rowItems count="7">
    <i>
      <x v="1"/>
    </i>
    <i>
      <x v="7"/>
    </i>
    <i>
      <x v="15"/>
    </i>
    <i>
      <x v="17"/>
    </i>
    <i>
      <x v="89"/>
    </i>
    <i>
      <x v="90"/>
    </i>
    <i t="grand">
      <x/>
    </i>
  </rowItems>
  <colItems count="1">
    <i/>
  </colItems>
  <dataFields count="1">
    <dataField name="Cuenta de Hallazgo" fld="4" subtotal="count" baseField="0" baseItem="0"/>
  </dataFields>
  <pivotTableStyleInfo name="PivotStyleLight16" showRowHeaders="1" showColHeaders="1" showRowStripes="0" showColStripes="0" showLastColumn="1"/>
  <filters count="1">
    <filter fld="0" type="dateEqual" evalOrder="-1" id="87" name="FECHA">
      <autoFilter ref="A1">
        <filterColumn colId="0">
          <customFilters>
            <customFilter val="4595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5B754-AA82-4A20-BCA0-60DC9F85A8A8}" name="TablaDinámica1" cacheId="18" applyNumberFormats="0" applyBorderFormats="0" applyFontFormats="0" applyPatternFormats="0" applyAlignmentFormats="0" applyWidthHeightFormats="1" dataCaption="Valores" updatedVersion="8" minRefreshableVersion="5" useAutoFormatting="1" itemPrintTitles="1" createdVersion="8" indent="0" compact="0" compactData="0" multipleFieldFilters="0">
  <location ref="AF28:AG34" firstHeaderRow="1" firstDataRow="1" firstDataCol="1"/>
  <pivotFields count="6">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numFmtId="20" outline="0" showAll="0"/>
    <pivotField compact="0" outline="0" showAll="0"/>
    <pivotField axis="axisRow" dataField="1" compact="0" outline="0" showAll="0">
      <items count="63">
        <item m="1" x="50"/>
        <item m="1" x="46"/>
        <item m="1" x="47"/>
        <item m="1" x="48"/>
        <item m="1" x="49"/>
        <item m="1" x="43"/>
        <item m="1" x="52"/>
        <item m="1" x="53"/>
        <item x="16"/>
        <item m="1" x="45"/>
        <item x="18"/>
        <item x="5"/>
        <item x="10"/>
        <item x="12"/>
        <item x="2"/>
        <item m="1" x="44"/>
        <item m="1" x="51"/>
        <item x="33"/>
        <item x="17"/>
        <item m="1" x="54"/>
        <item x="14"/>
        <item x="6"/>
        <item x="19"/>
        <item m="1" x="55"/>
        <item x="21"/>
        <item m="1" x="56"/>
        <item x="11"/>
        <item m="1" x="57"/>
        <item m="1" x="58"/>
        <item m="1" x="59"/>
        <item x="25"/>
        <item x="26"/>
        <item m="1" x="60"/>
        <item m="1" x="61"/>
        <item x="0"/>
        <item x="1"/>
        <item x="3"/>
        <item x="4"/>
        <item x="7"/>
        <item x="8"/>
        <item x="9"/>
        <item x="13"/>
        <item x="15"/>
        <item x="20"/>
        <item x="22"/>
        <item x="23"/>
        <item x="24"/>
        <item x="27"/>
        <item x="28"/>
        <item x="29"/>
        <item x="30"/>
        <item x="31"/>
        <item x="32"/>
        <item x="34"/>
        <item x="35"/>
        <item x="36"/>
        <item x="38"/>
        <item x="39"/>
        <item x="40"/>
        <item m="1" x="42"/>
        <item x="37"/>
        <item x="41"/>
        <item t="default"/>
      </items>
    </pivotField>
    <pivotField compact="0" outline="0" showAll="0"/>
    <pivotField compact="0" outline="0" showAll="0"/>
  </pivotFields>
  <rowFields count="1">
    <field x="3"/>
  </rowFields>
  <rowItems count="6">
    <i>
      <x v="14"/>
    </i>
    <i>
      <x v="21"/>
    </i>
    <i>
      <x v="31"/>
    </i>
    <i>
      <x v="34"/>
    </i>
    <i>
      <x v="60"/>
    </i>
    <i t="grand">
      <x/>
    </i>
  </rowItems>
  <colItems count="1">
    <i/>
  </colItems>
  <dataFields count="1">
    <dataField name="Cuenta de Sector" fld="3" subtotal="count" showDataAs="percentOfTotal" baseField="0" baseItem="0" numFmtId="10"/>
  </dataFields>
  <pivotTableStyleInfo name="PivotStyleLight16" showRowHeaders="1" showColHeaders="1" showRowStripes="0" showColStripes="0" showLastColumn="1"/>
  <filters count="1">
    <filter fld="0" type="dateEqual" evalOrder="-1" id="77" name="FECHA">
      <autoFilter ref="A1">
        <filterColumn colId="0">
          <customFilters>
            <customFilter val="4595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870749-970B-41ED-B695-2C28E3CF8AF3}" name="Tabla3" displayName="Tabla3" ref="A1:K1935" totalsRowShown="0" headerRowDxfId="510" dataDxfId="508" headerRowBorderDxfId="509" tableBorderDxfId="507" totalsRowBorderDxfId="506">
  <autoFilter ref="A1:K1935" xr:uid="{90870749-970B-41ED-B695-2C28E3CF8AF3}">
    <filterColumn colId="2">
      <filters>
        <dateGroupItem year="2026" month="3" dateTimeGrouping="month"/>
      </filters>
    </filterColumn>
  </autoFilter>
  <tableColumns count="11">
    <tableColumn id="1" xr3:uid="{7E64EE73-9356-40EF-8CA0-DC72EA60FA7C}" name="PATENTE" dataDxfId="505"/>
    <tableColumn id="2" xr3:uid="{24D535A6-34C9-49E5-8133-089067BD4798}" name="CANTIDAD DE VIAJES" dataDxfId="504"/>
    <tableColumn id="3" xr3:uid="{6FA9B376-1D20-4B10-88CF-BF0DE8C007BA}" name="FECHA LUNES DE ESA SEMANA" dataDxfId="503"/>
    <tableColumn id="4" xr3:uid="{74107CAF-4F40-47D8-8BB8-052206B61D39}" name="SEMANA_x000a_DEL AÑO" dataDxfId="502">
      <calculatedColumnFormula>+WEEKNUM(C2)</calculatedColumnFormula>
    </tableColumn>
    <tableColumn id="5" xr3:uid="{27C2EF91-6D2E-4E24-A81E-9F2B38923471}" name="TRANSPORTE" dataDxfId="501">
      <calculatedColumnFormula>+VLOOKUP(Tabla3[[#This Row],[PATENTE]],'BASE DATOS'!F:G,2,0)</calculatedColumnFormula>
    </tableColumn>
    <tableColumn id="6" xr3:uid="{A78AFF7D-ECAC-43BF-BB40-1CFE62298905}" name="CAPACIDAD" dataDxfId="500">
      <calculatedColumnFormula>+VLOOKUP(Tabla3[[#This Row],[PATENTE]],'BASE DATOS'!F:H,3,0)</calculatedColumnFormula>
    </tableColumn>
    <tableColumn id="8" xr3:uid="{A7AF4DF0-DC12-4BDC-8523-C9CFE230EAC7}" name="GPS/TERMOCUPLA" dataDxfId="499">
      <calculatedColumnFormula>+VLOOKUP(Tabla3[[#This Row],[PATENTE]],'BASE DATOS'!F:I,4,0)</calculatedColumnFormula>
    </tableColumn>
    <tableColumn id="9" xr3:uid="{45DE6332-2091-4E3B-99AA-C15F4524F767}" name="PLOTEADO" dataDxfId="498">
      <calculatedColumnFormula>+VLOOKUP(Tabla3[[#This Row],[PATENTE]],'BASE DATOS'!F:J,5,0)</calculatedColumnFormula>
    </tableColumn>
    <tableColumn id="10" xr3:uid="{FB9243F7-7A31-4CB2-AEB4-E60E986E59F4}" name="PALA" dataDxfId="497">
      <calculatedColumnFormula>+VLOOKUP(Tabla3[[#This Row],[PATENTE]],'BASE DATOS'!F:K,6,0)</calculatedColumnFormula>
    </tableColumn>
    <tableColumn id="11" xr3:uid="{4CE3A18B-F038-4F53-BE74-4D7AF958ADA7}" name="MODELO" dataDxfId="496">
      <calculatedColumnFormula>+VLOOKUP(Tabla3[[#This Row],[PATENTE]],'BASE DATOS'!F:L,7,0)</calculatedColumnFormula>
    </tableColumn>
    <tableColumn id="12" xr3:uid="{E189C972-67A1-455E-BFB6-024810E9670D}" name="ANTIGÜEDAD" dataDxfId="495">
      <calculatedColumnFormula>+VLOOKUP(Tabla3[[#This Row],[PATENTE]],'BASE DATOS'!F:M,8,0)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A5C159-F12B-4089-B2F3-913160B76EB9}" name="Tabla4" displayName="Tabla4" ref="X21:AC141" totalsRowShown="0">
  <autoFilter ref="X21:AC141" xr:uid="{7AA5C159-F12B-4089-B2F3-913160B76EB9}"/>
  <tableColumns count="6">
    <tableColumn id="1" xr3:uid="{D52D21F4-DC46-4A67-AA11-36D9DDBAC944}" name="FECHA" dataDxfId="494"/>
    <tableColumn id="2" xr3:uid="{9BF8066F-6629-418D-9245-A6A6E5203448}" name="Hora" dataDxfId="493"/>
    <tableColumn id="7" xr3:uid="{2A0C6D94-312E-4F75-9378-952AA2F9BF5B}" name="Piso" dataDxfId="492"/>
    <tableColumn id="3" xr3:uid="{93EBFB8F-AF62-49B4-9D5F-0E5A2F950376}" name="Sector"/>
    <tableColumn id="4" xr3:uid="{F0276FE2-1B3A-4A3C-8669-673FD851EDF9}" name="Hallazgo"/>
    <tableColumn id="5" xr3:uid="{0D78E3C7-E2BA-4787-A29A-1961B1202ED0}" name="Detalle hallazgo"/>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DC8BFA-4586-4309-BBCB-6A3F87453D7F}" name="CAM_0.2" displayName="CAM_0.2" ref="W1:W9" totalsRowShown="0" headerRowDxfId="491" dataDxfId="489" headerRowBorderDxfId="490" tableBorderDxfId="488" totalsRowBorderDxfId="487">
  <autoFilter ref="W1:W9" xr:uid="{1CDC8BFA-4586-4309-BBCB-6A3F87453D7F}"/>
  <tableColumns count="1">
    <tableColumn id="1" xr3:uid="{9BAABA8A-1420-4AFF-A52D-3641048F3E58}" name="CAM_0.2" dataDxfId="48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360D83-4F4D-4E47-85BF-82CF3AD987FE}" name="CAM_0.3" displayName="CAM_0.3" ref="X1:X9" totalsRowShown="0" headerRowDxfId="485" dataDxfId="483" headerRowBorderDxfId="484" tableBorderDxfId="482" totalsRowBorderDxfId="481">
  <autoFilter ref="X1:X9" xr:uid="{45360D83-4F4D-4E47-85BF-82CF3AD987FE}"/>
  <tableColumns count="1">
    <tableColumn id="1" xr3:uid="{5D0864D4-A1CF-4954-A82B-715C32A7B50F}" name="CAM_0.3" dataDxfId="48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EC73111-8345-4FE7-B889-9A506AB48278}" name="CAM_0.4" displayName="CAM_0.4" ref="Y1:Y9" totalsRowShown="0" headerRowDxfId="479" dataDxfId="477" headerRowBorderDxfId="478" tableBorderDxfId="476" totalsRowBorderDxfId="475">
  <autoFilter ref="Y1:Y9" xr:uid="{6EC73111-8345-4FE7-B889-9A506AB48278}"/>
  <tableColumns count="1">
    <tableColumn id="1" xr3:uid="{DDE5D6F6-4F50-4A04-B40C-4B6F48B552F1}" name="CAM_0.4" dataDxfId="47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4B7F9E-C88C-4470-80A2-380F19919822}" name="CAM_0.5" displayName="CAM_0.5" ref="Z1:Z9" totalsRowShown="0" headerRowDxfId="473" dataDxfId="471" headerRowBorderDxfId="472" tableBorderDxfId="470" totalsRowBorderDxfId="469">
  <autoFilter ref="Z1:Z9" xr:uid="{B74B7F9E-C88C-4470-80A2-380F19919822}"/>
  <tableColumns count="1">
    <tableColumn id="1" xr3:uid="{049541A9-05C9-49DF-B2FB-9A94AB67F14B}" name="CAM_0.5" dataDxfId="46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D86468-B96E-489D-A9BE-2F262CAA29B8}" name="CAM_0.6" displayName="CAM_0.6" ref="AA1:AA9" totalsRowShown="0" headerRowDxfId="467" dataDxfId="465" headerRowBorderDxfId="466" tableBorderDxfId="464" totalsRowBorderDxfId="463">
  <autoFilter ref="AA1:AA9" xr:uid="{21D86468-B96E-489D-A9BE-2F262CAA29B8}"/>
  <tableColumns count="1">
    <tableColumn id="1" xr3:uid="{BEEA050D-20AF-4EAC-88D4-AE3794AA7C1E}" name="CAM_0.6" dataDxfId="46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915AB13-4F80-4A9C-A0AF-9C5465F9C382}" name="PALLETIZADO" displayName="PALLETIZADO" ref="AB1:AB9" totalsRowShown="0" headerRowDxfId="461" dataDxfId="459" headerRowBorderDxfId="460" tableBorderDxfId="458" totalsRowBorderDxfId="457">
  <autoFilter ref="AB1:AB9" xr:uid="{7915AB13-4F80-4A9C-A0AF-9C5465F9C382}"/>
  <tableColumns count="1">
    <tableColumn id="1" xr3:uid="{732199CD-C91E-40A7-A11F-F9512C194D2F}" name="PALLETIZADO" dataDxfId="45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6480430-61AA-4994-A782-2E4686AEF585}" name="Depósito_varios" displayName="Depósito_varios" ref="AC1:AC10" totalsRowShown="0" headerRowDxfId="455" dataDxfId="453" headerRowBorderDxfId="454" tableBorderDxfId="452" totalsRowBorderDxfId="451">
  <autoFilter ref="AC1:AC10" xr:uid="{26480430-61AA-4994-A782-2E4686AEF585}"/>
  <tableColumns count="1">
    <tableColumn id="1" xr3:uid="{AA92669D-40D4-4A7B-977D-3CDF163C6CBA}" name="Depósito_varios" dataDxfId="45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E94AA85-C41B-458F-8832-C354753C06D7}" name="ANTECAMARA_PB" displayName="ANTECAMARA_PB" ref="AD1:AD8" totalsRowShown="0" headerRowDxfId="449" headerRowBorderDxfId="448" tableBorderDxfId="447">
  <autoFilter ref="AD1:AD8" xr:uid="{5E94AA85-C41B-458F-8832-C354753C06D7}"/>
  <tableColumns count="1">
    <tableColumn id="1" xr3:uid="{5670FA78-248E-40DC-B41B-F728C14A4A58}" name="ANTECAMARA_PB"/>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9AA91E6-FFD2-4704-B738-A3F4CE8F0D67}" name="BAÑO_H_PB" displayName="BAÑO_H_PB" ref="AE1:AE8" totalsRowShown="0" headerRowDxfId="446" headerRowBorderDxfId="445" tableBorderDxfId="444">
  <autoFilter ref="AE1:AE8" xr:uid="{A9AA91E6-FFD2-4704-B738-A3F4CE8F0D67}"/>
  <tableColumns count="1">
    <tableColumn id="1" xr3:uid="{05AA624A-9B77-4251-A3C0-9540282BB47E}" name="BAÑO_H_PB"/>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1AA0295-3E65-43C7-985B-41DD43F213DE}" name="DOCK_DE_CARGA" displayName="DOCK_DE_CARGA" ref="AG1:AG8" totalsRowShown="0" headerRowDxfId="443" dataDxfId="441" headerRowBorderDxfId="442" tableBorderDxfId="440" totalsRowBorderDxfId="439">
  <autoFilter ref="AG1:AG8" xr:uid="{11AA0295-3E65-43C7-985B-41DD43F213DE}"/>
  <tableColumns count="1">
    <tableColumn id="1" xr3:uid="{36F440F1-8EE3-4B62-9154-2120847D532D}" name="DOCK_DE_CARGA" dataDxfId="43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1310CB-E69E-4A77-AAC5-6E8FE4235A0B}" name="Filtro_N4" displayName="Filtro_N4" ref="AH1:AH7" totalsRowShown="0" headerRowDxfId="437" headerRowBorderDxfId="436" tableBorderDxfId="435">
  <autoFilter ref="AH1:AH7" xr:uid="{391310CB-E69E-4A77-AAC5-6E8FE4235A0B}"/>
  <tableColumns count="1">
    <tableColumn id="1" xr3:uid="{AB207E84-B700-4E39-A666-D63457B62D8E}" name="Filtro_N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16A9DD8-955A-4D7C-BA2B-ABAC4A0A9AFB}" name="CAM_1.2" displayName="CAM_1.2" ref="AI1:AI9" totalsRowShown="0" headerRowDxfId="434" dataDxfId="432" headerRowBorderDxfId="433" tableBorderDxfId="431" totalsRowBorderDxfId="430">
  <autoFilter ref="AI1:AI9" xr:uid="{D16A9DD8-955A-4D7C-BA2B-ABAC4A0A9AFB}"/>
  <tableColumns count="1">
    <tableColumn id="1" xr3:uid="{2B9D9B0E-2E21-4BB4-A9A9-4BD300385834}" name="CAM_1.2" dataDxfId="42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5F3C7BB-205F-4146-B0F9-282DA017DF90}" name="CAM_1.3" displayName="CAM_1.3" ref="AJ1:AJ9" totalsRowShown="0" headerRowDxfId="428" dataDxfId="426" headerRowBorderDxfId="427" tableBorderDxfId="425" totalsRowBorderDxfId="424">
  <autoFilter ref="AJ1:AJ9" xr:uid="{B5F3C7BB-205F-4146-B0F9-282DA017DF90}"/>
  <tableColumns count="1">
    <tableColumn id="1" xr3:uid="{F8681731-6F49-406F-BCDC-8872BAF2C61E}" name="CAM_1.3" dataDxfId="42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6AE765C-5A2F-40C0-AD8A-5271CEB7D79D}" name="CAM_1.4" displayName="CAM_1.4" ref="AK1:AK9" totalsRowShown="0" headerRowDxfId="422" dataDxfId="420" headerRowBorderDxfId="421" tableBorderDxfId="419" totalsRowBorderDxfId="418">
  <autoFilter ref="AK1:AK9" xr:uid="{76AE765C-5A2F-40C0-AD8A-5271CEB7D79D}"/>
  <tableColumns count="1">
    <tableColumn id="1" xr3:uid="{A2833770-8289-4B73-B7BD-B9FD13B5E8E4}" name="CAM_1.4" dataDxfId="41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1887F76-7D04-433C-816B-9F137394C15B}" name="CAM_1.5" displayName="CAM_1.5" ref="AL1:AL9" totalsRowShown="0" headerRowDxfId="416" dataDxfId="414" headerRowBorderDxfId="415" tableBorderDxfId="413" totalsRowBorderDxfId="412">
  <autoFilter ref="AL1:AL9" xr:uid="{81887F76-7D04-433C-816B-9F137394C15B}"/>
  <tableColumns count="1">
    <tableColumn id="1" xr3:uid="{CE381771-882D-47E5-A0A1-086BADE57D5B}" name="CAM_1.5" dataDxfId="41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D511BFF-8BB2-4832-AE9C-54DC0336AC8D}" name="Sala_de_Elab" displayName="Sala_de_Elab" ref="AM1:AM12" totalsRowShown="0" headerRowDxfId="410" dataDxfId="408" headerRowBorderDxfId="409" tableBorderDxfId="407" totalsRowBorderDxfId="406">
  <autoFilter ref="AM1:AM12" xr:uid="{9D511BFF-8BB2-4832-AE9C-54DC0336AC8D}"/>
  <tableColumns count="1">
    <tableColumn id="1" xr3:uid="{36F11009-7F5A-43E1-9EC2-92ACB56954D1}" name="Sala_de_Elab" dataDxfId="40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8F5E812-B412-4629-AD53-CC82A4600D20}" name="Empaque_secundario" displayName="Empaque_secundario" ref="AN1:AN11" totalsRowShown="0" headerRowDxfId="404" dataDxfId="402" headerRowBorderDxfId="403" tableBorderDxfId="401" totalsRowBorderDxfId="400">
  <autoFilter ref="AN1:AN11" xr:uid="{18F5E812-B412-4629-AD53-CC82A4600D20}"/>
  <tableColumns count="1">
    <tableColumn id="1" xr3:uid="{61DC99F6-6DB0-49B7-AAC4-CA16684CC590}" name="Empaque_secundario" dataDxfId="39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E85EA14-D4C9-47BB-9CC3-E60363B95C4A}" name="Estuchadora" displayName="Estuchadora" ref="AO1:AO11" totalsRowShown="0" headerRowDxfId="398" headerRowBorderDxfId="397" tableBorderDxfId="396" totalsRowBorderDxfId="395">
  <autoFilter ref="AO1:AO11" xr:uid="{2E85EA14-D4C9-47BB-9CC3-E60363B95C4A}"/>
  <tableColumns count="1">
    <tableColumn id="1" xr3:uid="{A665EAC8-E9F5-44F9-9A00-E45B41509B67}" name="Estuchadora"/>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DB502D0-1A8A-4015-B0DD-50C502D44ECF}" name="Picadora" displayName="Picadora" ref="AP1:AP11" totalsRowShown="0" headerRowDxfId="394" dataDxfId="392" headerRowBorderDxfId="393" tableBorderDxfId="391" totalsRowBorderDxfId="390">
  <autoFilter ref="AP1:AP11" xr:uid="{0DB502D0-1A8A-4015-B0DD-50C502D44ECF}"/>
  <tableColumns count="1">
    <tableColumn id="1" xr3:uid="{FBFF0912-0961-4C8A-8C7A-AF18090BCEB1}" name="Picadora" dataDxfId="38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CCFFA69-0FF9-4189-B6F5-036C1B52CC49}" name="Sala_de_Aditivos" displayName="Sala_de_Aditivos" ref="AQ1:AQ11" totalsRowShown="0" headerRowDxfId="388" dataDxfId="386" headerRowBorderDxfId="387" tableBorderDxfId="385" totalsRowBorderDxfId="384">
  <autoFilter ref="AQ1:AQ11" xr:uid="{BCCFFA69-0FF9-4189-B6F5-036C1B52CC49}"/>
  <tableColumns count="1">
    <tableColumn id="1" xr3:uid="{FA3057F4-AF4F-460A-837A-3DF184A9CD8E}" name="Sala_de_Aditivos" dataDxfId="3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049D44D-58FC-48E0-8F0F-FC5AD4393EF3}" name="Cuarto_de_Bobinas" displayName="Cuarto_de_Bobinas" ref="AR1:AR9" totalsRowShown="0" headerRowDxfId="382" dataDxfId="380" headerRowBorderDxfId="381" tableBorderDxfId="379" totalsRowBorderDxfId="378">
  <autoFilter ref="AR1:AR9" xr:uid="{A049D44D-58FC-48E0-8F0F-FC5AD4393EF3}"/>
  <tableColumns count="1">
    <tableColumn id="1" xr3:uid="{C56DA58B-6CC3-46CF-BC54-8DADD62BCC5E}" name="Cuarto_de_Bobinas" dataDxfId="37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25A1055-9D23-4382-A183-2E6F1488400E}" name="Filtro_N1" displayName="Filtro_N1" ref="AS1:AS7" totalsRowShown="0" headerRowDxfId="376" headerRowBorderDxfId="375" tableBorderDxfId="374">
  <autoFilter ref="AS1:AS7" xr:uid="{525A1055-9D23-4382-A183-2E6F1488400E}"/>
  <tableColumns count="1">
    <tableColumn id="1" xr3:uid="{EC2B4C45-AFFB-40CF-B827-2738BD285754}" name="Filtro_N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1E94668-93C6-4A08-BDA2-9C732C466608}" name="Filtro_N2" displayName="Filtro_N2" ref="AT1:AT7" totalsRowShown="0" headerRowDxfId="373" headerRowBorderDxfId="372" tableBorderDxfId="371">
  <autoFilter ref="AT1:AT7" xr:uid="{D1E94668-93C6-4A08-BDA2-9C732C466608}"/>
  <tableColumns count="1">
    <tableColumn id="1" xr3:uid="{105273D9-7428-404E-9DAA-141A567EB0DF}" name="Filtro_N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F5BEB78-C43F-4395-84DE-49060D1FAD38}" name="Filtro_N3" displayName="Filtro_N3" ref="AU1:AU7" totalsRowShown="0" headerRowDxfId="370" headerRowBorderDxfId="369" tableBorderDxfId="368">
  <autoFilter ref="AU1:AU7" xr:uid="{2F5BEB78-C43F-4395-84DE-49060D1FAD38}"/>
  <tableColumns count="1">
    <tableColumn id="1" xr3:uid="{2A72D096-72AE-4286-B3EF-2E09D79444F6}" name="Filtro_N3"/>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A7FDD1D-435A-40BB-8428-25C3F2236DCB}" name="ANTECAMARA_PP" displayName="ANTECAMARA_PP" ref="AV1:AV7" totalsRowShown="0" headerRowDxfId="367" headerRowBorderDxfId="366" tableBorderDxfId="365">
  <autoFilter ref="AV1:AV7" xr:uid="{3A7FDD1D-435A-40BB-8428-25C3F2236DCB}"/>
  <tableColumns count="1">
    <tableColumn id="1" xr3:uid="{3F8AB1D1-471D-4710-AE77-2F9413691A5D}" name="ANTECAMARA_PP"/>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BDEB540-BDF0-4D24-BB5E-4AD9F0F92A8D}" name="BAÑO_M_PP" displayName="BAÑO_M_PP" ref="AW1:AW8" totalsRowShown="0" headerRowDxfId="364" headerRowBorderDxfId="363" tableBorderDxfId="362">
  <autoFilter ref="AW1:AW8" xr:uid="{BBDEB540-BDF0-4D24-BB5E-4AD9F0F92A8D}"/>
  <tableColumns count="1">
    <tableColumn id="1" xr3:uid="{4C979360-A789-4AB1-926B-4823420B2D5B}" name="BAÑO_M_PP"/>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486DF75-7FB6-4295-8E23-3DDBDAF879B9}" name="BAÑO_H_PP" displayName="BAÑO_H_PP" ref="AX1:AX9" totalsRowShown="0" headerRowDxfId="361" headerRowBorderDxfId="360" tableBorderDxfId="359">
  <autoFilter ref="AX1:AX9" xr:uid="{E486DF75-7FB6-4295-8E23-3DDBDAF879B9}"/>
  <tableColumns count="1">
    <tableColumn id="1" xr3:uid="{F7D486F4-E9E6-4D91-812B-8AE2959BE8CC}" name="BAÑO_H_PP"/>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013B197-9472-4979-8320-26F969DA0D02}" name="VESTUARIO_H_PP" displayName="VESTUARIO_H_PP" ref="AY1:AY9" totalsRowShown="0" headerRowDxfId="358" headerRowBorderDxfId="357" tableBorderDxfId="356">
  <autoFilter ref="AY1:AY9" xr:uid="{5013B197-9472-4979-8320-26F969DA0D02}"/>
  <tableColumns count="1">
    <tableColumn id="1" xr3:uid="{A76DBE35-03A0-4923-803C-974495B46DB9}" name="VESTUARIO_H_PP"/>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9451BF6-7EB3-4D37-B19F-020F49D2F386}" name="VESTUARIO_M_PP" displayName="VESTUARIO_M_PP" ref="AZ1:AZ9" totalsRowShown="0" headerRowDxfId="355" headerRowBorderDxfId="354" tableBorderDxfId="353">
  <autoFilter ref="AZ1:AZ9" xr:uid="{79451BF6-7EB3-4D37-B19F-020F49D2F386}"/>
  <tableColumns count="1">
    <tableColumn id="1" xr3:uid="{8D295E0F-374A-404B-B7D6-09E69E9C2E5F}" name="VESTUARIO_M_PP"/>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035D2EB-28A7-4660-9B1D-B56D84B9EF2F}" name="Depósito_de_Insumos_E.P" displayName="Depósito_de_Insumos_E.P" ref="BA1:BA7" totalsRowShown="0" headerRowDxfId="352" dataDxfId="350" headerRowBorderDxfId="351" tableBorderDxfId="349" totalsRowBorderDxfId="348">
  <autoFilter ref="BA1:BA7" xr:uid="{1035D2EB-28A7-4660-9B1D-B56D84B9EF2F}"/>
  <tableColumns count="1">
    <tableColumn id="1" xr3:uid="{99A4AFA1-1330-4DF4-99F7-49279A52E115}" name="Depósito_de_Insumos_E.P" dataDxfId="347"/>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9203F04-37D1-4DA2-800A-D10F6AD0F6AC}" name="Depósito_de_Soja" displayName="Depósito_de_Soja" ref="BB1:BB7" totalsRowShown="0" headerRowDxfId="346" dataDxfId="344" headerRowBorderDxfId="345" tableBorderDxfId="343" totalsRowBorderDxfId="342">
  <autoFilter ref="BB1:BB7" xr:uid="{E9203F04-37D1-4DA2-800A-D10F6AD0F6AC}"/>
  <tableColumns count="1">
    <tableColumn id="1" xr3:uid="{CC5ACD24-F7FE-435C-8DA2-693A82C41FB5}" name="Depósito_de_Soja" dataDxfId="341"/>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2A9F23-D149-4DD1-AAAF-87737AAAEF10}" name="Depósito_de_Prod_Qcos_E.P" displayName="Depósito_de_Prod_Qcos_E.P" ref="BC1:BC7" totalsRowShown="0" headerRowDxfId="340" dataDxfId="338" headerRowBorderDxfId="339" tableBorderDxfId="337" totalsRowBorderDxfId="336">
  <autoFilter ref="BC1:BC7" xr:uid="{5F2A9F23-D149-4DD1-AAAF-87737AAAEF10}"/>
  <tableColumns count="1">
    <tableColumn id="1" xr3:uid="{C1B91850-3F31-4960-AA6A-B3D302389B17}" name="Depósito_de_Prod_Qcos_E.P" dataDxfId="335"/>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4702A69-5F18-45B6-AA3B-E25402CF20EA}" name="Filtro_N5" displayName="Filtro_N5" ref="BD1:BD7" totalsRowShown="0" headerRowDxfId="334" headerRowBorderDxfId="333" tableBorderDxfId="332">
  <autoFilter ref="BD1:BD7" xr:uid="{B4702A69-5F18-45B6-AA3B-E25402CF20EA}"/>
  <tableColumns count="1">
    <tableColumn id="1" xr3:uid="{A6B0F349-D854-4A6F-852B-CF409EA6EBDB}" name="Filtro_N5"/>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79F369E-413F-4423-93DA-45EEB7F5E561}" name="Sala_de_Clorinado" displayName="Sala_de_Clorinado" ref="BE1:BE6" totalsRowShown="0" headerRowDxfId="331" dataDxfId="329" headerRowBorderDxfId="330" tableBorderDxfId="328" totalsRowBorderDxfId="327">
  <autoFilter ref="BE1:BE6" xr:uid="{979F369E-413F-4423-93DA-45EEB7F5E561}"/>
  <tableColumns count="1">
    <tableColumn id="1" xr3:uid="{EC13524E-10D9-47F5-95EB-82DACFD0338C}" name="Sala_de_Clorinado" dataDxfId="32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5F148B-8836-45A8-AE68-C94D181047EB}" name="Comedor" displayName="Comedor" ref="BF1:BF10" totalsRowShown="0" headerRowDxfId="325" headerRowBorderDxfId="324" tableBorderDxfId="323" totalsRowBorderDxfId="322">
  <autoFilter ref="BF1:BF10" xr:uid="{3D5F148B-8836-45A8-AE68-C94D181047EB}"/>
  <tableColumns count="1">
    <tableColumn id="1" xr3:uid="{DC6EE50C-0382-45F4-BDA5-6FD744B046B0}" name="Comedor"/>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8539B4F-C0DE-4F57-A419-7C6D186C6A14}" name="Depósito_de_Prod_Qcos_S.P" displayName="Depósito_de_Prod_Qcos_S.P" ref="BG1:BG7" totalsRowShown="0" headerRowDxfId="321" dataDxfId="319" headerRowBorderDxfId="320" tableBorderDxfId="318" totalsRowBorderDxfId="317">
  <autoFilter ref="BG1:BG7" xr:uid="{A8539B4F-C0DE-4F57-A419-7C6D186C6A14}"/>
  <tableColumns count="1">
    <tableColumn id="1" xr3:uid="{BD04F22C-D16B-49A1-A206-A38E260A240D}" name="Depósito_de_Prod_Qcos_S.P" dataDxfId="316"/>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D984C44-E214-494D-BE56-5B5FA6189FD9}" name="Taller_de_Mant" displayName="Taller_de_Mant" ref="BH1:BH9" totalsRowShown="0" headerRowDxfId="315" dataDxfId="313" headerRowBorderDxfId="314" tableBorderDxfId="312" totalsRowBorderDxfId="311">
  <autoFilter ref="BH1:BH9" xr:uid="{BD984C44-E214-494D-BE56-5B5FA6189FD9}"/>
  <tableColumns count="1">
    <tableColumn id="1" xr3:uid="{3B2DBCA1-90B4-43AC-8BB4-12B86A38DA35}" name="Taller_de_Mant" dataDxfId="310"/>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2A0D601-47B8-4BA1-AD80-3E401C28672A}" name="Sala_de_Máquinas" displayName="Sala_de_Máquinas" ref="BI1:BI9" totalsRowShown="0" headerRowDxfId="309" dataDxfId="307" headerRowBorderDxfId="308" tableBorderDxfId="306" totalsRowBorderDxfId="305">
  <autoFilter ref="BI1:BI9" xr:uid="{B2A0D601-47B8-4BA1-AD80-3E401C28672A}"/>
  <tableColumns count="1">
    <tableColumn id="1" xr3:uid="{1E9C60EA-7864-47EB-B315-AA9D934C722B}" name="Sala_de_Máquinas" dataDxfId="304"/>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F895CE6-5F8C-4460-9A2D-73EE89A25946}" name="BAÑO_H_SP" displayName="BAÑO_H_SP" ref="BJ1:BJ10" totalsRowShown="0" headerRowDxfId="303" headerRowBorderDxfId="302" tableBorderDxfId="301">
  <autoFilter ref="BJ1:BJ10" xr:uid="{9F895CE6-5F8C-4460-9A2D-73EE89A25946}"/>
  <tableColumns count="1">
    <tableColumn id="1" xr3:uid="{D72D430D-E57B-4177-812B-F8E6EB362D8A}" name="BAÑO_H_SP"/>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5FD3293-886F-4736-9E20-9AF56F4A46DE}" name="VESTUARIO_H_SP" displayName="VESTUARIO_H_SP" ref="BK1:BK10" totalsRowShown="0" headerRowDxfId="300" headerRowBorderDxfId="299" tableBorderDxfId="298">
  <autoFilter ref="BK1:BK10" xr:uid="{05FD3293-886F-4736-9E20-9AF56F4A46DE}"/>
  <tableColumns count="1">
    <tableColumn id="1" xr3:uid="{86D2EF33-00F2-418D-B01E-4EB2D61D3326}" name="VESTUARIO_H_SP"/>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6DF8B13-275A-49A2-98FD-6A2B64A69F07}" name="Otro" displayName="Otro" ref="BL1:BL22" totalsRowShown="0" headerRowDxfId="297" headerRowBorderDxfId="296" tableBorderDxfId="295">
  <autoFilter ref="BL1:BL22" xr:uid="{26DF8B13-275A-49A2-98FD-6A2B64A69F07}"/>
  <tableColumns count="1">
    <tableColumn id="1" xr3:uid="{6F609A46-E863-4437-A31E-BF008214ED7C}" name="Otro"/>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B3B8017-99A7-487E-9503-F602C4FF7042}" name="VESTUARIO_H_PB" displayName="VESTUARIO_H_PB" ref="AF1:AF8" totalsRowShown="0" headerRowDxfId="294" headerRowBorderDxfId="293" tableBorderDxfId="292">
  <autoFilter ref="AF1:AF8" xr:uid="{BB3B8017-99A7-487E-9503-F602C4FF7042}"/>
  <tableColumns count="1">
    <tableColumn id="1" xr3:uid="{1C2D3F34-24BF-4362-AFEA-D69670513CF9}" name="VESTUARIO_H_PB"/>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6-02-09T13:46:03.53" personId="{E5CF185B-0DC3-48FD-81EC-930FD97014B1}" id="{2BE86B42-2A47-4431-B8A9-21163B27A629}">
    <text>El aditivo ya está en planta, falta hacer la prueba</text>
  </threadedComment>
  <threadedComment ref="E5" dT="2026-02-09T13:46:54.99" personId="{E5CF185B-0DC3-48FD-81EC-930FD97014B1}" id="{48E37D58-3480-4D35-B025-3BCD36E1C05B}">
    <text>Evaluar costos (con Migue), armar listado y gestionar muestras (con Julio)</text>
  </threadedComment>
  <threadedComment ref="E8" dT="2026-03-09T12:25:29.69" personId="{E5CF185B-0DC3-48FD-81EC-930FD97014B1}" id="{602082AE-1896-4D36-8AF0-0E5890E94291}">
    <text>Lo compraremos más adelante</text>
  </threadedComment>
  <threadedComment ref="E9" dT="2026-03-09T12:10:25.83" personId="{E5CF185B-0DC3-48FD-81EC-930FD97014B1}" id="{006BE429-4AFC-4A0A-AB3A-619AA3CCDA6C}">
    <text>Fecha de elaboración + Fecha de vencimiento = van ambas cuando la unidad va directo a la venta (estuche o flow impreso)</text>
  </threadedComment>
  <threadedComment ref="E15" dT="2025-12-05T20:15:46.68" personId="{E5CF185B-0DC3-48FD-81EC-930FD97014B1}" id="{AD0459C9-D888-43FA-BC41-CE2B9118F8AE}">
    <text>Ver de hacer con Paladini o con TUKI al final, envasar en 80gr con ra</text>
  </threadedComment>
  <threadedComment ref="E16" dT="2025-12-05T20:16:12.38" personId="{E5CF185B-0DC3-48FD-81EC-930FD97014B1}" id="{D623A818-29E9-4388-B1CE-1E4BF641CE55}">
    <text>Picadora 33mm (tenemos de 19 y de 13)
Mezcladora 10 mm (tenemos de 3.5, 4.27 y 6)
Formax placa de llenado
Prueba con: 
- Chorizo formado mariposa congelado.
- Formado en unidades de 100/110g
- Envasado en flow x 2
- Medidas aprox. de referencia: 130mm x 90mm x 8mm de espesor.
- Volumen estimado: 15 Tn/mes.
- Marca Paladini
- MP: la pasta es enviada por Paladini a valor cero.
- Resto de Insumos: cajas, flow, etc son comprados y gestionados por UG.
- Retiro a cargo de Paladini</text>
  </threadedComment>
  <threadedComment ref="E17" dT="2025-12-05T20:16:12.38" personId="{E5CF185B-0DC3-48FD-81EC-930FD97014B1}" id="{F1A5DE60-02FD-4D6C-A947-F4336387C433}">
    <text>Picadora 33mm (tenemos de 19 y de 13)
Mezcladora 10 mm (tenemos de 3.5, 4.27 y 6)
Formax placa de llenado
Prueba con: 
- Chorizo formado mariposa congelado.
- Formado en unidades de 100/110g
- Envasado en flow x 2
- Medidas aprox. de referencia: 130mm x 90mm x 8mm de espesor.
- Volumen estimado: 15 Tn/mes.
- Marca Paladini
- MP: la pasta es enviada por Paladini a valor cero.
- Resto de Insumos: cajas, flow, etc son comprados y gestionados por UG.
- Retiro a cargo de Paladini</text>
  </threadedComment>
  <threadedComment ref="E18" dT="2025-12-05T20:15:10.33" personId="{E5CF185B-0DC3-48FD-81EC-930FD97014B1}" id="{13937B96-48CA-41E7-871A-4D498365754C}">
    <text>- la máquina puede sellar 20 paquetes por minuto.
- nosotros apuntamos a envasar mientras hacemos 110, de 20hs a 23.30hs, y haremos 600kg (considerando la info que tenemos de Catter). La capacidad de la máquina nos da para 450 kg por hora, por ende, tenemos capacidad para seguir mejorando. 
- hoy Catter nos manda por mes 1.200 KG, estimando que haremos 4 veces por semana 110, estaríamos duplicando el envío de Catter mensual en una sola semana. 
- nosotros producimos 3.500/4000 kg por semana, podríamos guardar la primer tanda para hacer stock en cpc y luego empezar a repartir según demanda.
- 4 personas: dos de llenado, uno de sellado, uno de envasado</text>
  </threadedComment>
  <threadedComment ref="E26" dT="2026-01-30T17:35:55.76" personId="{43B434BF-79E3-466D-B3A3-88E19A430C27}" id="{03FDB3BA-DB08-435F-AD21-AC948B4B40E9}">
    <text>Dos presupuestos, aprox 15 M</text>
  </threadedComment>
  <threadedComment ref="E28" dT="2026-03-03T18:19:21.46" personId="{43B434BF-79E3-466D-B3A3-88E19A430C27}" id="{843B88CF-ED60-48B0-8FA0-EDB80764C031}">
    <text>Averiguar por dos más</text>
  </threadedComment>
  <threadedComment ref="E31" dT="2026-01-02T17:37:26.12" personId="{43B434BF-79E3-466D-B3A3-88E19A430C27}" id="{64E5F20B-1216-4363-A7EA-2898308E11F3}">
    <text>de 11 a 11:15</text>
  </threadedComment>
  <threadedComment ref="E32" dT="2025-12-05T20:16:42.41" personId="{E5CF185B-0DC3-48FD-81EC-930FD97014B1}" id="{E0ACFA9A-BD9A-490E-8CF0-822F7068FBE6}">
    <text>-Cambiar el circutor que comanda los capacitores
-Ver recomendaciones del proveedor
-Validar que quede ok con el consumo de Edenor</text>
  </threadedComment>
  <threadedComment ref="L33" dT="2026-02-02T21:00:16.49" personId="{43B434BF-79E3-466D-B3A3-88E19A430C27}" id="{E783665C-4F39-47CF-81C7-2936593A4754}">
    <text xml:space="preserve">Insonorización
</text>
  </threadedComment>
  <threadedComment ref="E35" dT="2025-12-26T17:11:10.85" personId="{6B1F252F-B46A-4AF6-A9E5-E87FADFB85FD}" id="{8DE81EAB-7E8F-4111-B13A-773EAB3E0311}">
    <text>enviar mail a insumaq</text>
  </threadedComment>
  <threadedComment ref="E37" dT="2026-03-20T15:41:36.11" personId="{E5CF185B-0DC3-48FD-81EC-930FD97014B1}" id="{E6037FB8-5987-48C4-BA9C-677390603956}">
    <text>Cotizar motor - pulmón - rodillo - Mejorar capacidad del actual</text>
  </threadedComment>
  <threadedComment ref="E44" dT="2025-12-05T20:17:00.79" personId="{E5CF185B-0DC3-48FD-81EC-930FD97014B1}" id="{97A159DE-4243-478E-AC70-36CA12B0B674}">
    <text>Volvió a dar mal un ítem</text>
  </threadedComment>
  <threadedComment ref="E45" dT="2026-02-10T18:20:29.02" personId="{43B434BF-79E3-466D-B3A3-88E19A430C27}" id="{BA260CE6-8B02-4E11-BF4B-D273C8F727A0}">
    <text>Tenemos 2 de media de nuevo sin funcionar. Manchón y otro se le va el aceite</text>
  </threadedComment>
  <threadedComment ref="E45" dT="2026-02-18T18:35:51.78" personId="{43B434BF-79E3-466D-B3A3-88E19A430C27}" id="{816788B1-2A66-4B93-87EF-0AB212EBC05D}" parentId="{BA260CE6-8B02-4E11-BF4B-D273C8F727A0}">
    <text>Se agregan 2 de baja sin funcionar. Ya pedimos los repuestos y que revisen los de media</text>
  </threadedComment>
  <threadedComment ref="E49" dT="2025-12-05T20:16:29.48" personId="{E5CF185B-0DC3-48FD-81EC-930FD97014B1}" id="{5A265D08-2EDF-4A2D-B0BB-A8E97D6BAF06}">
    <text>Definir con Migue</text>
  </threadedComment>
  <threadedComment ref="E50" dT="2026-03-20T15:42:33.06" personId="{E5CF185B-0DC3-48FD-81EC-930FD97014B1}" id="{EF6185C4-FFF2-4F38-8E72-1A6408709664}">
    <text>Proyecto PB</text>
  </threadedComment>
  <threadedComment ref="L53" dT="2025-12-26T17:16:18.27" personId="{6B1F252F-B46A-4AF6-A9E5-E87FADFB85FD}" id="{F081FE2E-1456-4601-BFF7-0BADD794C71A}">
    <text>FALTA BARANDA DE MOTOR</text>
  </threadedComment>
  <threadedComment ref="E56" dT="2025-12-05T20:17:49.73" personId="{E5CF185B-0DC3-48FD-81EC-930FD97014B1}" id="{59C2C9AB-5954-4D6C-8DB1-A59C2BFD1CF7}">
    <text>Tomahawk</text>
  </threadedComment>
  <threadedComment ref="E57" dT="2025-12-05T20:17:49.73" personId="{E5CF185B-0DC3-48FD-81EC-930FD97014B1}" id="{0DD92CBF-E286-4AFD-B6B6-9444BE3F7740}">
    <text>Tomahawk</text>
  </threadedComment>
  <threadedComment ref="E64" dT="2025-12-05T20:17:30.01" personId="{E5CF185B-0DC3-48FD-81EC-930FD97014B1}" id="{DC80D8CF-722B-424E-ADA0-3BDDDAD9191E}">
    <text>Siscod, Ricato, Ingia</text>
  </threadedComment>
  <threadedComment ref="E64" dT="2026-01-20T17:04:55.67" personId="{E5CF185B-0DC3-48FD-81EC-930FD97014B1}" id="{4DA162FE-387D-4F19-8718-D0F410578668}" parentId="{DC80D8CF-722B-424E-ADA0-3BDDDAD9191E}">
    <text>Victor, nuevo proveedor</text>
  </threadedComment>
  <threadedComment ref="E65" dT="2025-12-05T20:17:41.62" personId="{E5CF185B-0DC3-48FD-81EC-930FD97014B1}" id="{75068F55-869B-447D-B53C-78014A9EAE94}">
    <text>Torfresma y Cama</text>
  </threadedComment>
  <threadedComment ref="E66" dT="2025-12-05T20:17:49.73" personId="{E5CF185B-0DC3-48FD-81EC-930FD97014B1}" id="{A0A2C715-2612-496E-8011-8C54A0614130}">
    <text>Tomahawk</text>
  </threadedComment>
  <threadedComment ref="E66" dT="2026-02-09T17:22:14.73" personId="{E5CF185B-0DC3-48FD-81EC-930FD97014B1}" id="{9DA4EAEE-9995-40D4-8EF0-C29B8CA9DFA5}" parentId="{A0A2C715-2612-496E-8011-8C54A0614130}">
    <text>Están viendo la medida de la placa que es de una estimación, no sale de una prueba real</text>
  </threadedComment>
  <threadedComment ref="E66" dT="2026-02-09T17:24:16.10" personId="{E5CF185B-0DC3-48FD-81EC-930FD97014B1}" id="{49F6946F-4243-4BE4-8C4E-6A8B59F1075B}" parentId="{A0A2C715-2612-496E-8011-8C54A0614130}">
    <text xml:space="preserve"> 110gr, 130 diám, 9 espesor</text>
  </threadedComment>
  <threadedComment ref="E68" dT="2026-02-09T17:44:01.43" personId="{E5CF185B-0DC3-48FD-81EC-930FD97014B1}" id="{3FC9036A-4D75-46BD-827D-C4378AE63D1C}">
    <text>- Alcance: aditivos, embalaje y marketing.
- Objetivo: estar al tanto del stock (Tigre y Perón) y asegurar que la información en el sistema esté bien (Tigre).
- Gestionar los vencidos y obsoletos
- Dar respuesta por los controles de inventario a realizar con Abril
- A fututo ver coordinación de fines de semana
- Marketing: ordenar, inventariar y que Fofi gestione los movimientos por sistema. Coordinarlo con Cami de mktg. 
- Perón: ver las necesidades que Julio le pasa a Rebu de stock y validar el proceso de pedido a Tigre, recepción en Perón y mantenimiento del stock.</text>
  </threadedComment>
  <threadedComment ref="E69" dT="2026-02-09T17:30:47.53" personId="{E5CF185B-0DC3-48FD-81EC-930FD97014B1}" id="{3331C30D-C259-49C4-9EF1-57B81C7BBBCA}">
    <text xml:space="preserve">- Retirar el aditivo que ya no está en el inventario por sistema
- Armar una planilla con el embalaje para descartar con el detalle de la situación en cada caso, para evaluar su descarte previa autorización de ventas o NG </text>
  </threadedComment>
</ThreadedComments>
</file>

<file path=xl/threadedComments/threadedComment2.xml><?xml version="1.0" encoding="utf-8"?>
<ThreadedComments xmlns="http://schemas.microsoft.com/office/spreadsheetml/2018/threadedcomments" xmlns:x="http://schemas.openxmlformats.org/spreadsheetml/2006/main">
  <threadedComment ref="AK7" dT="2025-11-14T14:00:36.69" personId="{43B434BF-79E3-466D-B3A3-88E19A430C27}" id="{BB123EE9-7121-4AEF-81A2-8969AA692F71}">
    <text>Si bien fueron 6 días de SDF, para que todos tengan dos turnos, lo divido por 4 ya que dos findes fueron de 1 turno cada día</text>
  </threadedComment>
  <threadedComment ref="AE15" dT="2025-06-10T14:47:53.18" personId="{43B434BF-79E3-466D-B3A3-88E19A430C27}" id="{B9A60079-9FE6-4DC8-9785-F9631F6458A0}">
    <text>18.3 kg promedio</text>
  </threadedComment>
  <threadedComment ref="AF15" dT="2025-06-10T14:48:02.61" personId="{43B434BF-79E3-466D-B3A3-88E19A430C27}" id="{3FA8B4CB-6B77-41ED-A8BD-9712AFF00320}">
    <text>17.7 kg promedio</text>
  </threadedComment>
  <threadedComment ref="AG15" dT="2025-07-02T15:54:15.51" personId="{43B434BF-79E3-466D-B3A3-88E19A430C27}" id="{2C5B9D76-6350-4EE5-A56C-703409A5F6BA}">
    <text>19.8 kg promedio</text>
  </threadedComment>
  <threadedComment ref="AH15" dT="2025-11-07T13:11:43.42" personId="{43B434BF-79E3-466D-B3A3-88E19A430C27}" id="{19FDCF90-F21A-4E67-943A-E0F66A24D83E}">
    <text>19.2 kg promedio</text>
  </threadedComment>
  <threadedComment ref="AI15" dT="2025-11-07T13:11:25.87" personId="{43B434BF-79E3-466D-B3A3-88E19A430C27}" id="{C590E10A-BE4F-4D25-AAF8-33B6CBAFA315}">
    <text>19.3 kg promedio</text>
  </threadedComment>
  <threadedComment ref="AJ15" dT="2025-11-07T13:11:09.06" personId="{43B434BF-79E3-466D-B3A3-88E19A430C27}" id="{D8A30884-A5C2-43C2-8F0A-81E4B29D11EA}">
    <text>19.2 kg promedio</text>
  </threadedComment>
  <threadedComment ref="AK15" dT="2025-11-07T13:10:45.90" personId="{43B434BF-79E3-466D-B3A3-88E19A430C27}" id="{8189518D-1781-4E32-B74A-AD241B479405}">
    <text>19.3 kg promedio</text>
  </threadedComment>
  <threadedComment ref="AL15" dT="2025-12-12T15:06:11.31" personId="{43B434BF-79E3-466D-B3A3-88E19A430C27}" id="{FC6F3EC9-7F38-4FBB-A062-A217F681D040}">
    <text>914kg por plástico</text>
  </threadedComment>
  <threadedComment ref="T22" dT="2025-08-26T14:17:28.26" personId="{43B434BF-79E3-466D-B3A3-88E19A430C27}" id="{DA764683-934F-45B9-BA8F-2152BC38665B}">
    <text>R FORMAX</text>
  </threadedComment>
  <threadedComment ref="AG34" dT="2025-08-11T17:52:04.55" personId="{43B434BF-79E3-466D-B3A3-88E19A430C27}" id="{EA393D8E-63E9-4D84-86AD-BA1400BDCE5E}">
    <text>Con corrección de andres</text>
  </threadedComment>
  <threadedComment ref="AH34" dT="2025-08-11T14:22:36.04" personId="{43B434BF-79E3-466D-B3A3-88E19A430C27}" id="{EE18DCDE-026F-4014-8020-C67A844E537A}">
    <text>185 errores fueron del día 11, que varios batchs los cargaron en el día 12 por error</text>
  </threadedComment>
  <threadedComment ref="AJ34" dT="2025-10-01T13:31:44.24" personId="{43B434BF-79E3-466D-B3A3-88E19A430C27}" id="{89F33C5A-1F99-44C2-B43A-5FE907110AC7}">
    <text xml:space="preserve">74 errores fueron del día 08/09:
- 25 errores fueron faltante de carne ya que un archivo de Villa Olga tuvo problemas y no se pudo ingresar al sistema como usualmente lo hacen. 
- 49 errores de lectura de aditivos fue porque no se habilitó el consumo de las etiquetas (pallets que vinieron de Tigre y Fofi estaba de vacaciones)
</text>
  </threadedComment>
  <threadedComment ref="AG40" dT="2025-08-26T14:24:28.71" personId="{43B434BF-79E3-466D-B3A3-88E19A430C27}" id="{3414D0B4-0859-4318-8365-CD073C582E4A}">
    <text>5825 kg no se pudieron leer.</text>
  </threadedComment>
  <threadedComment ref="AH40" dT="2025-08-26T14:27:23.28" personId="{43B434BF-79E3-466D-B3A3-88E19A430C27}" id="{776A4CD5-D5E7-4E78-A261-0061EB044067}">
    <text>5496kg qu eno se leyeron</text>
  </threadedComment>
  <threadedComment ref="Y43" dT="2025-07-06T19:19:23.33" personId="{E5CF185B-0DC3-48FD-81EC-930FD97014B1}" id="{0644266C-651A-4A82-B04B-B31A9EE6B348}">
    <text>PV apareció cuando por realizar control de inventario se daban de baja cajas que en realidad estaban para reproceso.</text>
  </threadedComment>
  <threadedComment ref="AD45" dT="2025-08-06T15:45:51.21" personId="{43B434BF-79E3-466D-B3A3-88E19A430C27}" id="{6FC4E1DA-50A4-4EDF-9140-7434D10F915F}">
    <text>analizar tema formax frenada</text>
  </threadedComment>
  <threadedComment ref="B49" dT="2025-07-06T19:16:51.05" personId="{E5CF185B-0DC3-48FD-81EC-930FD97014B1}" id="{6FB64D0F-535B-4B34-8AB2-A8B0D1B2A3F1}">
    <text>Promedio del error absoluto entre forecast y venta real sobre la venta real para todos los skus</text>
  </threadedComment>
  <threadedComment ref="B53" dT="2025-07-06T19:17:34.55" personId="{E5CF185B-0DC3-48FD-81EC-930FD97014B1}" id="{47085ABF-7C0D-4F85-93FD-D246A08C9DF5}">
    <text>Promedio ponderado del error absoluto entre el forecast y la venta real sobre la venta real</text>
  </threadedComment>
  <threadedComment ref="AK80" dT="2025-11-06T14:10:51.01" personId="{50988EDD-6B47-41AF-ACDF-E7CDA77122B0}" id="{9141494A-D551-4E32-9A8D-C0E3523110C5}">
    <text>71% unidad en flow</text>
  </threadedComment>
  <threadedComment ref="AK84" dT="2025-11-06T14:09:52.40" personId="{50988EDD-6B47-41AF-ACDF-E7CDA77122B0}" id="{CB52B102-B962-491F-9873-DD30F085697F}">
    <text>Plástico 50%</text>
  </threadedComment>
  <threadedComment ref="AK161" dT="2025-11-06T14:23:07.49" personId="{50988EDD-6B47-41AF-ACDF-E7CDA77122B0}" id="{06B937BD-795A-4580-BC7D-396DC844AC9F}">
    <text>Figura como MAL SELLADO</text>
  </threadedComment>
  <threadedComment ref="AI170" dT="2025-09-11T19:04:30.20" personId="{E5CF185B-0DC3-48FD-81EC-930FD97014B1}" id="{EFD6DBCD-018A-4E2F-83B5-5B8512E1A63D}">
    <text>RCL- 25-1221 - el cliente pesó el contenido </text>
  </threadedComment>
  <threadedComment ref="AI171" dT="2025-09-08T18:35:53.03" personId="{E5CF185B-0DC3-48FD-81EC-930FD97014B1}" id="{7633EA8C-C6A8-41E9-B2E4-790167687DEE}">
    <text>RCL-25-1245 - el cliente se queja del hielo en la bolsa
RCL-25-1263 - el cliente se queja por presencia de hueso</text>
  </threadedComment>
  <threadedComment ref="AM171" dT="2026-01-05T17:48:26.80" personId="{50988EDD-6B47-41AF-ACDF-E7CDA77122B0}" id="{A7DD3147-350C-44FB-8090-B4B4C7D9E650}">
    <text>Pelo</text>
  </threadedComment>
  <threadedComment ref="AJ190" dT="2025-12-16T18:48:17.42" personId="{43B434BF-79E3-466D-B3A3-88E19A430C27}" id="{72A3AA7A-18B1-4594-8290-C2BCFDFB4C0A}">
    <text>Tengo data a partir del 26 de septiembre</text>
  </threadedComment>
  <threadedComment ref="AK195" dT="2025-12-15T14:12:15.40" personId="{43B434BF-79E3-466D-B3A3-88E19A430C27}" id="{FE9E684E-6B13-41CE-A04C-8772890BDA0A}">
    <text>@David Varela  tendrás el dato?</text>
    <mentions>
      <mention mentionpersonId="{CD27ABBB-73CE-4267-8FB1-5275884085FE}" mentionId="{28737789-C4D2-4B62-B716-89FC66E6C646}" startIndex="0" length="13"/>
    </mentions>
  </threadedComment>
  <threadedComment ref="AK195" dT="2025-12-15T15:11:14.89" personId="{06FD1DE2-7A62-4C87-933D-FB4DD791F022}" id="{AEBD1502-39B5-4BEC-A88F-DA7129C8A601}" parentId="{FE9E684E-6B13-41CE-A04C-8772890BDA0A}">
    <text>buen dia justi!!
no no lo tengo 
ahora lo vuelvo a pedir</text>
  </threadedComment>
  <threadedComment ref="AN198" dT="2026-03-12T16:59:52.19" personId="{6B1F252F-B46A-4AF6-A9E5-E87FADFB85FD}" id="{2FBEA442-58AF-4EF2-A4D6-4B7C5265B7C9}">
    <text>se compro 20 garrafas para instalacion de torre nueva de baja</text>
  </threadedComment>
  <threadedComment ref="AN200" dT="2026-02-24T23:00:59.06" personId="{43B434BF-79E3-466D-B3A3-88E19A430C27}" id="{B39DDC60-6E85-4CB4-B712-75C89CA6DC43}">
    <text>A partir del día 9 se empezó a registrar la cantidad de pallets que entraban de embalaje</text>
  </threadedComment>
  <threadedComment ref="AL202" dT="2025-12-17T19:36:29.70" personId="{43B434BF-79E3-466D-B3A3-88E19A430C27}" id="{8CF4F901-73DA-402B-AB11-818438BA8562}">
    <text>Hay 22040 kg que fueron facturados el 11/11 que eran del cliente anterior que correspondían a kg de octubre.</text>
  </threadedComment>
  <threadedComment ref="C206" dT="2025-08-18T18:27:13.65" personId="{43B434BF-79E3-466D-B3A3-88E19A430C27}" id="{F2500824-C3E5-43EC-A547-298B3C2C6AB6}">
    <text>Golpes por placa, considerando un 4% de pérdida de rendimiento (mal formado que reingresa a la formax)</text>
  </threadedComment>
</ThreadedComments>
</file>

<file path=xl/threadedComments/threadedComment3.xml><?xml version="1.0" encoding="utf-8"?>
<ThreadedComments xmlns="http://schemas.microsoft.com/office/spreadsheetml/2018/threadedcomments" xmlns:x="http://schemas.openxmlformats.org/spreadsheetml/2006/main">
  <threadedComment ref="AJ6" dT="2025-02-13T01:43:15.95" personId="{E5CF185B-0DC3-48FD-81EC-930FD97014B1}" id="{5724B3EC-F8EA-450A-9A54-867CA9DA5F77}">
    <text>Corte de luz 30min</text>
  </threadedComment>
  <threadedComment ref="AM6" dT="2025-02-13T01:43:25.65" personId="{E5CF185B-0DC3-48FD-81EC-930FD97014B1}" id="{2B55BC30-0A9C-4F9E-8E95-16079CE8688F}">
    <text>Corte de luz 1.30hs</text>
  </threadedComment>
  <threadedComment ref="AP6" dT="2025-02-13T19:16:23.64" personId="{E5CF185B-0DC3-48FD-81EC-930FD97014B1}" id="{4EBD2F9B-3051-440C-B49E-4BE7F3977D78}">
    <text>Pulpetas -3 TN 
30min producción frenada por arreglo en la formadora</text>
  </threadedComment>
  <threadedComment ref="AS6" dT="2025-02-14T13:28:40.72" personId="{F782486C-9BA9-4075-A377-73A7B08E7C3E}" id="{3ECA16C9-9D08-4867-8449-C8326A700FB2}">
    <text>Se perdieron 60 minutos debido a la reunión de RRHH por el olor a marihuana en la planta, esto provocó que se congelara la cinta del Gyro</text>
  </threadedComment>
  <threadedComment ref="AV6" dT="2025-02-15T15:32:31.92" personId="{F782486C-9BA9-4075-A377-73A7B08E7C3E}" id="{C2C5E817-3617-41E7-8837-3E2F5AF226EC}">
    <text>El turno noche arranco 79 minutos más tarde por deficiencia en la limpieza marcadas por German Suberbie</text>
  </threadedComment>
  <threadedComment ref="AV6" dT="2025-02-16T23:57:16.03" personId="{E5CF185B-0DC3-48FD-81EC-930FD97014B1}" id="{025F7688-0447-4FB4-BD60-C33F109F4F4C}" parentId="{C2C5E817-3617-41E7-8837-3E2F5AF226EC}">
    <text>Además tuvimos problemas con una de las Ulma que no cortaba el flow</text>
  </threadedComment>
  <threadedComment ref="BE6" dT="2025-02-20T17:24:43.94" personId="{43B434BF-79E3-466D-B3A3-88E19A430C27}" id="{8535D770-7756-4938-A69C-3264EC698F03}">
    <text>Después de la comida se hicieron 2 picadas de UG de 83, y se utilizó una de las líneas de la estuchadora 2 y demora un poco la producción</text>
  </threadedComment>
  <threadedComment ref="CF6" dT="2025-02-27T18:26:46.15" personId="{E5CF185B-0DC3-48FD-81EC-930FD97014B1}" id="{7114287F-2B3D-41AA-AF6D-DD2AFD5E431E}">
    <text>Pulpetas</text>
  </threadedComment>
  <threadedComment ref="CL6" dT="2025-03-07T17:54:14.22" personId="{F782486C-9BA9-4075-A377-73A7B08E7C3E}" id="{4B29C1ED-7E1F-4AB2-98D2-7EED1C04E1CA}">
    <text xml:space="preserve">En el turno tarde se quemo el motor de la mezcladora se perdieron 2 horas 53 minutos
</text>
  </threadedComment>
  <threadedComment ref="CR6" dT="2025-03-07T17:56:53.81" personId="{F782486C-9BA9-4075-A377-73A7B08E7C3E}" id="{828BC30F-0A7D-45C2-8919-F3FA10D59C50}">
    <text>Se cambio el interruptor de la mezcladora se perdieron 1 hora  23 minutos</text>
  </threadedComment>
  <threadedComment ref="CU6" dT="2025-03-07T17:58:41.39" personId="{F782486C-9BA9-4075-A377-73A7B08E7C3E}" id="{9E78B95E-AB51-48B2-9096-5979B8187091}">
    <text xml:space="preserve">En el turno mañana tuvimos problemas con la cinta de entrada al gyro, 
</text>
  </threadedComment>
  <threadedComment ref="CX6" dT="2025-03-07T18:02:39.34" personId="{F782486C-9BA9-4075-A377-73A7B08E7C3E}" id="{08365331-A2DC-4E7D-AAF6-F67365AFBAAB}">
    <text>En el turno tarde se quemo el motor de la mezcladora se perdieron 2 horas 45 minutos</text>
  </threadedComment>
  <threadedComment ref="DA6" dT="2025-03-07T18:04:27.20" personId="{F782486C-9BA9-4075-A377-73A7B08E7C3E}" id="{967AADBE-39EA-4306-9E5B-1A96CFDAC1A6}">
    <text xml:space="preserve">Se corto la luz se perdieron 1 hora y 15 minutos
</text>
  </threadedComment>
  <threadedComment ref="DD6" dT="2025-03-07T18:09:43.06" personId="{F782486C-9BA9-4075-A377-73A7B08E7C3E}" id="{B56982E4-28C0-4D6F-9D49-E5DAB6DE57B1}">
    <text xml:space="preserve">En el turno mañana se rompio la barra de movimiento de placa , se pincho un caño de freon y esto trajo problemas con la cinta del GYRO que afecto el turno tarde
</text>
  </threadedComment>
  <threadedComment ref="DG6" dT="2025-03-08T21:07:32.15" personId="{F782486C-9BA9-4075-A377-73A7B08E7C3E}" id="{33EEEE97-6B06-4C66-9B2D-EBE57088972C}">
    <text>Tuvimos problemas con el Gyro en ambos turnos, si bien se arregla rápido en la acumulación de episodios se pierde tiempo, en el turno tarde tuvimos problemas con la pasta (salió muy blanda) y nos costó formar las primeras picadas y se cortó un cable del motor de la mezcladora (el que se cambió el martes 04-03)</text>
  </threadedComment>
  <threadedComment ref="EK6" dT="2025-03-18T17:30:49.17" personId="{F782486C-9BA9-4075-A377-73A7B08E7C3E}" id="{886CD759-4AB7-4001-A1B5-CD658FFB9B5D}">
    <text>Caída cuchillo picadora en el TT</text>
  </threadedComment>
  <threadedComment ref="EN6" dT="2025-03-19T20:16:10.93" personId="{F782486C-9BA9-4075-A377-73A7B08E7C3E}" id="{08B5453B-4D0E-40D3-B937-AB204780D5C5}">
    <text xml:space="preserve">En TT se rompio cinta 3 de bajada de Gyro y cinta azul entrada gyro
</text>
  </threadedComment>
  <threadedComment ref="HB6" dT="2025-04-10T16:27:48.45" personId="{F782486C-9BA9-4075-A377-73A7B08E7C3E}" id="{13634B95-D05B-4F90-A565-84A44E6EBBCF}">
    <text>Problemas de Frio en Gyro, al arranque del turno tarde</text>
  </threadedComment>
  <threadedComment ref="HN6" dT="2025-04-15T12:11:49.93" personId="{F782486C-9BA9-4075-A377-73A7B08E7C3E}" id="{0878599A-CEAB-4332-BD77-5E0BA99835D7}">
    <text>En el turno mañana tuvimos problemas con la cinta de la picadora a la mezcladora ( se perdieron 2hs 36 ´)
En el turno tarde tuvimos problemas para formar la Tuki y faltaron cajas de Victoria.</text>
  </threadedComment>
  <threadedComment ref="HT6" dT="2025-04-17T23:31:22.49" personId="{F782486C-9BA9-4075-A377-73A7B08E7C3E}" id="{CC511CC5-47BE-4F5A-B119-60CE8CECD5FE}">
    <text>en el turno tarde tuvimos problemas en el arranque se trabo el Gyro</text>
  </threadedComment>
  <threadedComment ref="HW6" dT="2025-04-22T16:40:25.94" personId="{F782486C-9BA9-4075-A377-73A7B08E7C3E}" id="{D6CD4E9A-88B0-47C6-8DC3-895D1A2BD976}">
    <text>En el turno mañana tuvimos problemas con la formax, e hicimos Cerdo para Paladini</text>
  </threadedComment>
  <threadedComment ref="IL6" dT="2025-04-22T16:45:29.12" personId="{F782486C-9BA9-4075-A377-73A7B08E7C3E}" id="{9CCFB082-E851-40A8-B49C-2A2061BA6C80}">
    <text xml:space="preserve">En turno mañana se rompio Gyro, se rompio la mezcladora, la cinta 2 y hubo reunion gremial </text>
  </threadedComment>
  <threadedComment ref="IO6" dT="2025-04-23T20:26:41.14" personId="{F782486C-9BA9-4075-A377-73A7B08E7C3E}" id="{C61E746C-BC21-4AD7-BE89-552D11727250}">
    <text xml:space="preserve">En el TM se hicieron albóndigas y en el TT problemas para formar en el arranque </text>
  </threadedComment>
  <threadedComment ref="JG6" dT="2025-04-29T22:14:52.43" personId="{F782486C-9BA9-4075-A377-73A7B08E7C3E}" id="{B46A3F43-AA11-4DFA-9013-244BA368F5F6}">
    <text xml:space="preserve">En el TM se hicieron Albondigas
</text>
  </threadedComment>
  <threadedComment ref="KB6" dT="2025-05-06T17:26:15.06" personId="{F782486C-9BA9-4075-A377-73A7B08E7C3E}" id="{058F0F0A-4F6C-4F14-BC36-95206A51F50B}">
    <text>En el TM tuvimos problemas con la mezcladora, la Ulma 2 y se romio una caja reductora de la Formax</text>
  </threadedComment>
  <threadedComment ref="PV6" dT="2025-06-25T14:45:32.63" personId="{43B434BF-79E3-466D-B3A3-88E19A430C27}" id="{9DE670ED-E938-45E3-AEE4-E9573EE4971B}">
    <text>a las 11:50 se quemó el motor de la picadora y frenó la producción del TM y TT nunca arrancó</text>
  </threadedComment>
  <threadedComment ref="PY6" dT="2025-06-26T12:10:13.18" personId="{FBC0E431-D45A-4C03-B688-63503D55D15C}" id="{513170E6-14E8-41F9-B337-83C0A6E5FD8F}">
    <text>Se reemplazó el motor de la picadora y se retomó la producción en el TT</text>
  </threadedComment>
  <threadedComment ref="TN6" dT="2025-07-28T14:56:44.38" personId="{FBC0E431-D45A-4C03-B688-63503D55D15C}" id="{3175376B-1F32-4442-AE9F-37A916245420}">
    <text>Falta de operadores en TT, dificultad para calibrar el flowpack</text>
  </threadedComment>
  <threadedComment ref="TQ6" dT="2025-07-28T14:57:28.49" personId="{FBC0E431-D45A-4C03-B688-63503D55D15C}" id="{C2960CC2-BB73-46B1-868F-9BC2CF2C5517}">
    <text>Falta de gente</text>
  </threadedComment>
  <threadedComment ref="XI6" dT="2025-08-29T18:03:00.78" personId="{43B434BF-79E3-466D-B3A3-88E19A430C27}" id="{5E22F9DE-5ECF-4D90-89FB-DEFD1E04C89C}">
    <text>Se hicieron los simulacros en los dos turnos</text>
  </threadedComment>
  <threadedComment ref="ZN6" dT="2025-09-26T14:18:28.52" personId="{43B434BF-79E3-466D-B3A3-88E19A430C27}" id="{F767A306-1F57-46EA-8ED4-FD6B5BCEB1E2}">
    <text>Utilización de la space/ rotativa</text>
  </threadedComment>
  <threadedComment ref="ZQ6" dT="2025-09-26T14:18:28.52" personId="{43B434BF-79E3-466D-B3A3-88E19A430C27}" id="{BB3FEEF1-051E-4E5A-A297-7F147B27C553}">
    <text>Utilización de la space/ rotativa</text>
  </threadedComment>
  <threadedComment ref="ZT6" dT="2025-09-26T14:18:28.52" personId="{43B434BF-79E3-466D-B3A3-88E19A430C27}" id="{A7860F43-A709-4FEB-88D1-4B34AD5F8E4D}">
    <text>Utilización de la space/ rotativa</text>
  </threadedComment>
  <threadedComment ref="ZW6" dT="2025-09-26T14:18:28.52" personId="{43B434BF-79E3-466D-B3A3-88E19A430C27}" id="{1C8B5585-AD06-4097-B04A-4B3DB1EEBCE8}">
    <text>Utilización de la space/ rotativa</text>
  </threadedComment>
  <threadedComment ref="ZZ6" dT="2025-09-26T14:18:28.52" personId="{43B434BF-79E3-466D-B3A3-88E19A430C27}" id="{2C5EBE8B-39C4-477C-873C-C794F6598545}">
    <text>Utilización de la space/ rotativa</text>
  </threadedComment>
  <threadedComment ref="AAF6" dT="2025-09-26T14:18:28.52" personId="{43B434BF-79E3-466D-B3A3-88E19A430C27}" id="{808F6BAA-5118-40A1-89A6-DB02DBD8E59B}">
    <text>Utilización de la space/ rotativa</text>
  </threadedComment>
  <threadedComment ref="AAI6" dT="2025-09-26T14:18:28.52" personId="{43B434BF-79E3-466D-B3A3-88E19A430C27}" id="{C4087865-3FD6-4AAA-A04F-1973DE5F884D}">
    <text>Utilización de la space/ rotativa</text>
  </threadedComment>
  <threadedComment ref="AAL6" dT="2025-09-26T14:18:28.52" personId="{43B434BF-79E3-466D-B3A3-88E19A430C27}" id="{C768B92A-89DF-4CFC-ADD1-C96588F2607C}">
    <text>Utilización de la space/ rotativa</text>
  </threadedComment>
  <threadedComment ref="AAO6" dT="2025-09-26T14:18:28.52" personId="{43B434BF-79E3-466D-B3A3-88E19A430C27}" id="{846F7F59-44F8-4F06-895E-2F8D527EDC8A}">
    <text>Utilización de la space/ rotativa</text>
  </threadedComment>
  <threadedComment ref="AAR6" dT="2025-09-28T17:30:29.95" personId="{F782486C-9BA9-4075-A377-73A7B08E7C3E}" id="{82230F8B-B5B6-4969-A33C-DB6B5E976489}">
    <text>Se está utilizando la Space (problemas con la regulación del flowpack) En el TT se utilizaron las 2 estuchadoras.</text>
  </threadedComment>
  <threadedComment ref="GA7" dT="2025-04-04T18:06:23.01" personId="{E5CF185B-0DC3-48FD-81EC-930FD97014B1}" id="{218F557B-FBE9-40A0-BA54-D200CAD686F0}">
    <text>Incendio picadora</text>
  </threadedComment>
  <threadedComment ref="GD7" dT="2025-04-04T18:06:36.54" personId="{E5CF185B-0DC3-48FD-81EC-930FD97014B1}" id="{FA6B0F6F-EF8B-4C17-8089-62037550B013}">
    <text>Mezcladora congelada</text>
  </threadedComment>
  <threadedComment ref="GV7" dT="2025-04-09T12:48:30.01" personId="{43B434BF-79E3-466D-B3A3-88E19A430C27}" id="{A0A2CF75-AF80-4A57-A666-AC89D1EA4D2B}">
    <text>Se hicieron Albondigas, y se reparó durante 10 minutos la cinta de picadora - mezcladoora.</text>
  </threadedComment>
  <threadedComment ref="IL7" dT="2025-04-22T12:19:40.20" personId="{AF3B570A-E32B-43B1-A40F-6557439CBCF2}" id="{33580C4F-9E1E-49A4-92DC-2A080EB3F48F}">
    <text>problemas con la mezcladora. la produccion comenzo 9.07
aparte hubieron otros parates con la mezcladora</text>
  </threadedComment>
  <threadedComment ref="KE7" dT="2025-05-09T18:02:18.88" personId="{43B434BF-79E3-466D-B3A3-88E19A430C27}" id="{01A04616-C4F2-4C9C-B3CA-3C2EB7FA947B}">
    <text>Reunión sindical de 8:30 a 10:00 hs</text>
  </threadedComment>
  <threadedComment ref="KE7" dT="2025-05-09T18:04:32.76" personId="{43B434BF-79E3-466D-B3A3-88E19A430C27}" id="{A86534EF-5F44-481E-AD7E-D75C610579F7}" parentId="{01A04616-C4F2-4C9C-B3CA-3C2EB7FA947B}">
    <text>Se agrega que por paro de transporte faltaron 7 personas de producción.</text>
  </threadedComment>
  <threadedComment ref="KH7" dT="2025-05-09T18:03:45.28" personId="{43B434BF-79E3-466D-B3A3-88E19A430C27}" id="{E0A7CDC9-FE9A-4ECB-BE9D-E173B36C2431}">
    <text>Paro sindical de 7:10 a 10:10hs. De 5 a 6 no hubo producción y de 6 a 7 media máquina.</text>
  </threadedComment>
  <threadedComment ref="LR7" dT="2025-05-23T18:05:52.53" personId="{43B434BF-79E3-466D-B3A3-88E19A430C27}" id="{A0BD65C7-9DF1-4F05-99FE-F31E25D23A35}">
    <text>Problemas con el Mycom</text>
  </threadedComment>
  <threadedComment ref="LU7" dT="2025-05-23T16:53:33.19" personId="{F782486C-9BA9-4075-A377-73A7B08E7C3E}" id="{CCCEEC44-4989-42A4-BDBD-625DAF07C938}">
    <text>TM se rompio la cadena del gyro antes de hacer albondigas</text>
  </threadedComment>
  <threadedComment ref="MM7" dT="2025-05-28T16:15:21.81" personId="{F782486C-9BA9-4075-A377-73A7B08E7C3E}" id="{D8443160-86A9-4BE6-B240-9C6671E89BF3}">
    <text>En el TM hicimos pulpetas</text>
  </threadedComment>
  <threadedComment ref="MY7" dT="2025-06-03T00:49:35.74" personId="{F782486C-9BA9-4075-A377-73A7B08E7C3E}" id="{AA3FCB52-A1EE-441B-B41A-8C794EEEBBC1}">
    <text>En el TM problemas con la cinta azul de entrada al gyro</text>
  </threadedComment>
  <threadedComment ref="OI7" dT="2025-06-12T12:46:37.75" personId="{FBC0E431-D45A-4C03-B688-63503D55D15C}" id="{24440EEB-864B-4AB7-9BF7-A5C95DE46E29}">
    <text>Rotura barra Formax 39min</text>
  </threadedComment>
  <threadedComment ref="OO7" dT="2025-06-17T13:52:41.90" personId="{FBC0E431-D45A-4C03-B688-63503D55D15C}" id="{944AFED1-F495-4027-8DC9-C0CEF6BDF81F}">
    <text>Se encontró plástico en la mezcladora y se sacó picada para reproceso/decomiso.</text>
  </threadedComment>
  <threadedComment ref="PA7" dT="2025-06-18T23:24:39.72" personId="{F782486C-9BA9-4075-A377-73A7B08E7C3E}" id="{61BCA96F-DC07-4C2F-9896-9082363887A9}">
    <text>Tuvimos problemas con la picadora mezcladora, no salía el duro. También tuvimos problemas para formar la F de 55 grs (desgaste de la placa de 52 grs)</text>
  </threadedComment>
  <threadedComment ref="PD7" dT="2025-06-19T12:02:47.77" personId="{FBC0E431-D45A-4C03-B688-63503D55D15C}" id="{BC57E363-14EA-415C-A59D-B6870171E609}">
    <text>Rotura barra Formax 96min</text>
  </threadedComment>
  <threadedComment ref="PG7" dT="2025-06-23T16:07:05.24" personId="{43B434BF-79E3-466D-B3A3-88E19A430C27}" id="{A79CF382-ED7E-4842-A006-2E63D7847856}">
    <text>Se hicieron albondigas, lo que baja la cantidad de Tn producidas, pero no asi la eficiencia</text>
  </threadedComment>
  <threadedComment ref="QT7" dT="2025-07-03T13:31:40.68" personId="{FBC0E431-D45A-4C03-B688-63503D55D15C}" id="{6073AC17-0F8B-4BA0-96FB-37FD7462AB0B}">
    <text>30min prueba albondigas</text>
  </threadedComment>
  <threadedComment ref="RR7" dT="2025-07-11T12:55:02.16" personId="{FBC0E431-D45A-4C03-B688-63503D55D15C}" id="{182C0FE5-03D0-4B9D-9A3F-9826E8EBC67B}">
    <text>Se rompió la cadena del Gyro, cortó producción a las 13:50</text>
  </threadedComment>
  <threadedComment ref="SG7" dT="2025-07-16T12:54:23.78" personId="{FBC0E431-D45A-4C03-B688-63503D55D15C}" id="{B8CD7ECF-B30C-4A4E-8168-0937C6E25BEA}">
    <text>Arranque 1hs tarde por auditoría, demora al almuerzo por malentendido</text>
  </threadedComment>
  <threadedComment ref="VJ7" dT="2025-08-12T18:12:34.54" personId="{FBC0E431-D45A-4C03-B688-63503D55D15C}" id="{EFDBD598-6BB7-4543-8531-6E18FA2297D9}">
    <text>Problemas con el frío</text>
  </threadedComment>
  <threadedComment ref="WE7" dT="2025-08-20T15:14:18.07" personId="{FBC0E431-D45A-4C03-B688-63503D55D15C}" id="{21E25FCC-F3B0-4F55-A1CC-97E7BAE3E940}">
    <text>Problema reductor tornillo Formax</text>
  </threadedComment>
  <threadedComment ref="WZ7" dT="2025-08-26T11:56:03.20" personId="{FBC0E431-D45A-4C03-B688-63503D55D15C}" id="{D00CD3DB-D4C1-48C9-A9CD-B4240B734EE7}">
    <text>Problema con el tornillo de la tolva Formax y luego con el tablero de la mezcladora</text>
  </threadedComment>
  <threadedComment ref="XI7" dT="2025-08-29T18:03:11.94" personId="{43B434BF-79E3-466D-B3A3-88E19A430C27}" id="{986B3E16-C682-44C8-A955-4CE50A737DF5}">
    <text>Se hizo albondigas</text>
  </threadedComment>
  <threadedComment ref="XL7" dT="2025-09-01T00:26:52.29" personId="{F782486C-9BA9-4075-A377-73A7B08E7C3E}" id="{26CAD1A7-3017-4DB9-A86B-73E9AF6EE35C}">
    <text>Problemas con la mezcladora y se saco una picada porque tenia resto de etiqueta (TRESNAL)</text>
  </threadedComment>
  <threadedComment ref="XU7" dT="2025-09-02T16:18:57.59" personId="{FBC0E431-D45A-4C03-B688-63503D55D15C}" id="{078384E4-550F-42B5-A19B-55DD1E52F5A4}">
    <text>Producción Kosher</text>
  </threadedComment>
  <threadedComment ref="YD7" dT="2025-09-05T17:43:11.01" personId="{FBC0E431-D45A-4C03-B688-63503D55D15C}" id="{8565CA22-4004-4E1E-8349-3D8B84BF3EAA}">
    <text>Disco tapado</text>
  </threadedComment>
  <threadedComment ref="ZK7" dT="2025-09-16T14:57:42.85" personId="{FBC0E431-D45A-4C03-B688-63503D55D15C}" id="{B996AC8C-68FE-4A59-AF21-0DD953377C02}">
    <text>Puesta en marcha envasadora nueva, y 30min de parada por problema con los expulsores</text>
  </threadedComment>
  <threadedComment ref="ABD7" dT="2025-10-03T20:29:40.44" personId="{FBC0E431-D45A-4C03-B688-63503D55D15C}" id="{828202F6-EECE-47CC-98FD-82AD846100D7}">
    <text>Problema con un sensor de los plunger de la formax.
Detención por roce de hamburguesas en la cinta.
Se trabó la placa molde de la formax</text>
  </threadedComment>
  <threadedComment ref="ABJ7" dT="2025-10-03T20:36:58.64" personId="{FBC0E431-D45A-4C03-B688-63503D55D15C}" id="{DC73E1C6-3E46-41D3-A9EE-331EACC6DF47}">
    <text>Casi toda la mañana con 2 lineas por problema electrico (disyuntor) en la space y luego dos estuchadoras</text>
  </threadedComment>
  <threadedComment ref="ADC7" dT="2025-10-21T17:54:56.21" personId="{F782486C-9BA9-4075-A377-73A7B08E7C3E}" id="{AD0D9C64-1CD3-4627-9143-3BDD45686487}">
    <text>Se produjo Paladini Cerdo, se complico con la Space</text>
  </threadedComment>
  <threadedComment ref="ADL7" dT="2025-10-21T18:01:05.68" personId="{F782486C-9BA9-4075-A377-73A7B08E7C3E}" id="{2C27F930-82CF-4117-8B46-D1BD1F9E6B1B}">
    <text>Se trabajo con 2 líneas en 69 grs por falta de personal</text>
  </threadedComment>
  <threadedComment ref="ADX7" dT="2025-10-27T16:41:46.95" personId="{FBC0E431-D45A-4C03-B688-63503D55D15C}" id="{FD2C4F3A-5A5F-434C-8345-40B2A61F37EB}">
    <text>Se cayó un pedazo de cinta de la picadora a la picada</text>
  </threadedComment>
  <threadedComment ref="AEA7" dT="2025-10-27T16:42:44.98" personId="{FBC0E431-D45A-4C03-B688-63503D55D15C}" id="{E4E5E90A-AD1D-4274-B479-F0ECD19C0ADD}">
    <text>Problema en arranque con tolva de Formax, rotura expulsor de Formax</text>
  </threadedComment>
  <threadedComment ref="AEV7" dT="2025-11-05T12:18:39.01" personId="{FBC0E431-D45A-4C03-B688-63503D55D15C}" id="{A242C9E5-6828-4111-AF70-D6E53BD88A3B}">
    <text>Problema con el flowpack nuevo de finitas, no sellaba bien la Space, y además resbalaba por la cinta hacia empaque. Demoras generales de regulación del flowpack.</text>
  </threadedComment>
  <threadedComment ref="AFH7" dT="2025-11-06T14:48:50.06" personId="{FBC0E431-D45A-4C03-B688-63503D55D15C}" id="{66A5220D-B720-452E-98E8-3552C85CA6FA}">
    <text>Plástico en la picada, Gyro trabado, reunión sindical</text>
  </threadedComment>
  <threadedComment ref="AGC7" dT="2025-11-13T12:11:36.09" personId="{FBC0E431-D45A-4C03-B688-63503D55D15C}" id="{96296EE1-1887-4E86-9423-F45575DCF6CE}">
    <text>Picada con plástico, Rotura de la resistencia de la Formax</text>
  </threadedComment>
  <threadedComment ref="AGI7" dT="2025-11-17T12:15:30.58" personId="{FBC0E431-D45A-4C03-B688-63503D55D15C}" id="{14F4C493-3038-4579-9227-CB216EFECC01}">
    <text>Problema manchones Formax y Rotura cinta Gyro (100min)</text>
  </threadedComment>
  <threadedComment ref="AGR7" dT="2025-11-18T11:24:59.15" personId="{FBC0E431-D45A-4C03-B688-63503D55D15C}" id="{E3473904-BF98-432F-9C0C-72F8F64C99AA}">
    <text>Problema motor cinta Formax, Problema eléctrico Ulma 2</text>
  </threadedComment>
  <threadedComment ref="AHG7" dT="2025-11-25T13:25:19.21" personId="{FBC0E431-D45A-4C03-B688-63503D55D15C}" id="{C99D0650-90D4-4165-B9F7-94947F744463}">
    <text>Rotura cinta picadora 16min</text>
  </threadedComment>
  <threadedComment ref="AIH7" dT="2025-12-02T12:27:36.68" personId="{FBC0E431-D45A-4C03-B688-63503D55D15C}" id="{A633D3E0-D397-4570-9F0C-BD4FC4ABFE45}">
    <text>Rotura reductor tornillo sin fin Formax y la tolva, pérdida de 70 min aprox</text>
  </threadedComment>
  <threadedComment ref="AIW7" dT="2025-12-09T15:06:18.30" personId="{FBC0E431-D45A-4C03-B688-63503D55D15C}" id="{F21DF486-C261-4ADC-A988-5FA61D226892}">
    <text>Rotura caja reductora Formax 200min aprox</text>
  </threadedComment>
  <threadedComment ref="AJF7" dT="2025-12-10T14:43:04.40" personId="{FBC0E431-D45A-4C03-B688-63503D55D15C}" id="{A5728B56-61C8-4107-9EE6-9B5E8BE3277F}">
    <text>Mucha producción 55gr, regulación Space</text>
  </threadedComment>
  <threadedComment ref="AJX7" dT="2025-12-16T12:49:35.28" personId="{FBC0E431-D45A-4C03-B688-63503D55D15C}" id="{75641280-E76F-4418-937A-0593C910CAD6}">
    <text>Se rompió la cinta de la picadora y se tapó el disco. Además se produjo pulpetas</text>
  </threadedComment>
  <threadedComment ref="AKD7" dT="2025-12-18T12:35:20.41" personId="{FBC0E431-D45A-4C03-B688-63503D55D15C}" id="{E7ED57F7-A718-4029-9106-DF0149A95642}">
    <text>Se termino de limpiar lo del día anterior y se rompió una aleta de la cadena del Gyro, 158 minutos</text>
  </threadedComment>
  <threadedComment ref="AKG7" dT="2025-12-19T12:23:46.55" personId="{FBC0E431-D45A-4C03-B688-63503D55D15C}" id="{525DEE36-D79B-4DE4-8E70-49ABB5BE0141}">
    <text>Rotura cinta azul picadora</text>
  </threadedComment>
  <threadedComment ref="AKV7" dT="2025-12-30T12:34:00.36" personId="{FBC0E431-D45A-4C03-B688-63503D55D15C}" id="{DF187D24-8CE7-41D7-88C8-E44FB2D7C2E6}">
    <text>Problema de aire con las Ulmas</text>
  </threadedComment>
  <threadedComment ref="AKY7" dT="2025-12-30T12:35:41.57" personId="{FBC0E431-D45A-4C03-B688-63503D55D15C}" id="{5B4B5D6E-8A40-4F86-BDD4-3A0E99237BB2}">
    <text>Rotura cinta picadora</text>
  </threadedComment>
  <threadedComment ref="ALE7" dT="2025-12-30T12:35:59.33" personId="{FBC0E431-D45A-4C03-B688-63503D55D15C}" id="{0215CF15-006B-41A5-835B-C77938ED1C4E}">
    <text>Roce de hamburguesas</text>
  </threadedComment>
  <threadedComment ref="ALN7" dT="2026-01-08T16:30:41.04" personId="{FBC0E431-D45A-4C03-B688-63503D55D15C}" id="{3183D7D9-7C9F-49BF-99F0-B342953D0F76}">
    <text>Rotura resistencia Space</text>
  </threadedComment>
  <threadedComment ref="ALZ7" dT="2026-01-08T16:34:10.43" personId="{FBC0E431-D45A-4C03-B688-63503D55D15C}" id="{02FA7D70-6FA0-41BF-8A5B-7038378015D7}">
    <text>Problema regulación Space</text>
  </threadedComment>
  <threadedComment ref="AMI7" dT="2026-01-08T17:51:39.24" personId="{FBC0E431-D45A-4C03-B688-63503D55D15C}" id="{E38BCDCE-7959-48F7-8C58-D8A914D4CF78}">
    <text>Demora 30min producción Kosher</text>
  </threadedComment>
  <threadedComment ref="AML7" dT="2026-01-08T17:56:41.97" personId="{FBC0E431-D45A-4C03-B688-63503D55D15C}" id="{9102943B-087C-4051-8D6E-D2EE6C8F8EA4}">
    <text>Rotura cinta picadora y plástico en picada</text>
  </threadedComment>
  <threadedComment ref="AMR7" dT="2026-01-09T12:15:20.71" personId="{FBC0E431-D45A-4C03-B688-63503D55D15C}" id="{150F9B71-A237-45F1-ABF5-C3448EFE4310}">
    <text>Rotura cinta picadora 17min</text>
  </threadedComment>
  <threadedComment ref="AMU7" dT="2026-01-12T11:49:04.06" personId="{FBC0E431-D45A-4C03-B688-63503D55D15C}" id="{B2B700E8-2C36-44D6-868A-FFB1B7490636}">
    <text>Problema de temperatura Space</text>
  </threadedComment>
  <threadedComment ref="AMX7" dT="2026-01-12T11:50:03.24" personId="{FBC0E431-D45A-4C03-B688-63503D55D15C}" id="{A4728D09-00A8-42FC-B026-E88E44622B11}">
    <text>Problema cinta empaque línea 2 y rotura cinta picadora</text>
  </threadedComment>
  <threadedComment ref="ANA7" dT="2026-01-12T11:51:44.51" personId="{FBC0E431-D45A-4C03-B688-63503D55D15C}" id="{504CAD60-CDFE-4C54-93FA-B00E7AFD1442}">
    <text>Rotura cinta picadora y problema ulma 1</text>
  </threadedComment>
  <threadedComment ref="AND7" dT="2026-01-13T13:18:58.68" personId="{FBC0E431-D45A-4C03-B688-63503D55D15C}" id="{A4865520-8EC8-4299-921B-AB356076E44E}">
    <text>Problema resistencia Space</text>
  </threadedComment>
  <threadedComment ref="ANM7" dT="2026-01-19T12:19:23.29" personId="{FBC0E431-D45A-4C03-B688-63503D55D15C}" id="{8A8722EF-2378-4FDE-9F70-94F48700ED69}">
    <text>Corte de luz 70 min</text>
  </threadedComment>
  <threadedComment ref="AON7" dT="2026-01-26T13:31:42.22" personId="{FBC0E431-D45A-4C03-B688-63503D55D15C}" id="{4E003294-E147-418E-B8C5-F6AD4AD9F975}">
    <text>Rotura cinta picadora</text>
  </threadedComment>
  <threadedComment ref="AOW7" dT="2026-01-29T13:43:07.36" personId="{FBC0E431-D45A-4C03-B688-63503D55D15C}" id="{956D1C4A-D4D0-4374-8007-F6D0094F33D8}">
    <text>Se cayó la pala a la mezcladora</text>
  </threadedComment>
  <threadedComment ref="APO7" dT="2026-02-04T11:55:57.87" personId="{FBC0E431-D45A-4C03-B688-63503D55D15C}" id="{81DE20D7-BCED-4696-BDE5-61654C5CD397}">
    <text>Arraque tarde por limpieza, problemas con los expulsores y con los variadores de la cinta ingreso al gyro</text>
  </threadedComment>
  <threadedComment ref="APX7" dT="2026-02-06T12:32:39.41" personId="{FBC0E431-D45A-4C03-B688-63503D55D15C}" id="{0367E8A2-0592-4F24-8E6A-CA970B3EF990}">
    <text>Rotura motor albondiguera 1hs</text>
  </threadedComment>
  <threadedComment ref="AQA7" dT="2026-02-09T13:51:23.99" personId="{FBC0E431-D45A-4C03-B688-63503D55D15C}" id="{8688EF04-B8B2-41B2-9554-37E08225B259}">
    <text>Problema de frío Gyro, se cortó producción a las 15:00</text>
  </threadedComment>
  <threadedComment ref="AQY7" dT="2026-02-19T14:55:27.20" personId="{FBC0E431-D45A-4C03-B688-63503D55D15C}" id="{68E7CAA6-7DA7-4F11-8B0E-6765C9A31FCB}">
    <text>Se tapó el disco 27min</text>
  </threadedComment>
  <threadedComment ref="ARH7" dT="2026-02-24T20:33:45.53" personId="{FBC0E431-D45A-4C03-B688-63503D55D15C}" id="{E09D547B-4A94-490D-B29D-9AF242C0F9B4}">
    <text>Hubo problemas de formado en el arranque y luego se trabó el gyro varias veces</text>
  </threadedComment>
  <threadedComment ref="ARK7" dT="2026-02-19T14:59:08.31" personId="{FBC0E431-D45A-4C03-B688-63503D55D15C}" id="{1DF5EC25-98BF-4DD2-9D7C-EBECEA6C2100}">
    <text>Se produjo albondigas</text>
  </threadedComment>
  <threadedComment ref="ASI7" dT="2026-02-27T13:30:10.83" personId="{FBC0E431-D45A-4C03-B688-63503D55D15C}" id="{51C34A0E-82DC-4E28-9B7E-17084C9E0D88}">
    <text>Rotura cinta picadora 10min</text>
  </threadedComment>
  <threadedComment ref="ASU7" dT="2026-03-05T13:47:40.98" personId="{FBC0E431-D45A-4C03-B688-63503D55D15C}" id="{59E17BED-F377-4C83-A898-644D676486EE}">
    <text>Arranque tarde por desentendimiento con los kosher 15min</text>
  </threadedComment>
  <threadedComment ref="ATJ7" dT="2026-03-09T13:43:18.67" personId="{FBC0E431-D45A-4C03-B688-63503D55D15C}" id="{A485B341-3F0A-4D4C-92B2-D0C1710AAF6E}">
    <text>Problema eléctrico con variadores del Gyro, se perdieron 60min</text>
  </threadedComment>
  <threadedComment ref="ATS7" dT="2026-03-11T11:37:54.46" personId="{B5351F09-D51D-4CF3-A116-0E3C1DC2E626}" id="{3ED2CC7F-0CBB-4734-9603-09AFAA419B7B}">
    <text>Se produjo albondigas</text>
  </threadedComment>
  <threadedComment ref="ATY7" dT="2026-03-13T17:36:01.75" personId="{B5351F09-D51D-4CF3-A116-0E3C1DC2E626}" id="{944470EF-F342-4E81-B442-6B302275F092}">
    <text>Prueba paladini HPRU4 (1h15m)</text>
  </threadedComment>
  <threadedComment ref="AUT7" dT="2026-03-20T17:03:19.96" personId="{B5351F09-D51D-4CF3-A116-0E3C1DC2E626}" id="{F2FCB625-FF0E-46BD-9000-B99F2B8886AE}">
    <text>Problemas por cañón congelado y por falta de aire en el pulmón</text>
  </threadedComment>
  <threadedComment ref="AVF7" dT="2026-03-25T12:16:35.18" personId="{B5351F09-D51D-4CF3-A116-0E3C1DC2E626}" id="{FD521063-C3AF-4FAC-AB2E-4561A638D38A}">
    <text>Producción albóndigas</text>
  </threadedComment>
  <threadedComment ref="AVI7" dT="2026-03-25T18:16:10.50" personId="{B5351F09-D51D-4CF3-A116-0E3C1DC2E626}" id="{F01088D9-2E9B-46EE-BBC1-81A417AF2F1B}">
    <text xml:space="preserve">Producción parada 50min por problemas con expulsores en Formax. </text>
  </threadedComment>
  <threadedComment ref="JV8" dT="2025-05-06T17:20:32.83" personId="{F782486C-9BA9-4075-A377-73A7B08E7C3E}" id="{BCA16092-3E0A-49FF-ABC6-A6997C5A6088}">
    <text>En el turno tarde se rompio la Ulma 2 y la Ulma 1 no estaba preparada, a última hora se trabo el Gyro</text>
  </threadedComment>
  <threadedComment ref="KQ8" dT="2025-05-11T13:55:02.00" personId="{F782486C-9BA9-4075-A377-73A7B08E7C3E}" id="{6B4AF683-E6CB-4907-95BF-E1C1F3D37B21}">
    <text>En el TT lo que mas afecto a la eficiencia fue que tuvimos problemas para formar los medallones</text>
  </threadedComment>
  <threadedComment ref="LX8" dT="2025-05-23T16:51:49.70" personId="{F782486C-9BA9-4075-A377-73A7B08E7C3E}" id="{7E41FB03-BB28-4FF1-B2AA-00F5793FC4F2}">
    <text>TT problemas con la cadena del GYRO</text>
  </threadedComment>
  <threadedComment ref="MS8" dT="2025-05-29T18:04:02.08" personId="{F782486C-9BA9-4075-A377-73A7B08E7C3E}" id="{E47CF27B-961F-486E-B24C-27800854C7E4}">
    <text xml:space="preserve">TT se trabo la picadora
</text>
  </threadedComment>
  <threadedComment ref="NN8" dT="2025-06-05T11:58:23.32" personId="{FBC0E431-D45A-4C03-B688-63503D55D15C}" id="{F5D4C3F1-A178-4F02-AEC0-6407A6832884}">
    <text>Se demora el arranque por falta de frío en el gyro</text>
  </threadedComment>
  <threadedComment ref="OI8" dT="2025-06-12T12:47:09.68" personId="{FBC0E431-D45A-4C03-B688-63503D55D15C}" id="{A0AA70B1-BB17-4E14-B617-8914E855560C}">
    <text>Baja de tensión 10min, Roce hamburguesas entrada Gyro 34min</text>
  </threadedComment>
  <threadedComment ref="OO8" dT="2025-06-17T13:54:01.94" personId="{FBC0E431-D45A-4C03-B688-63503D55D15C}" id="{91FFC58D-21B2-4FD2-811F-351052690791}">
    <text>Se trabó la mezcladora 108min</text>
  </threadedComment>
  <threadedComment ref="PA8" dT="2025-06-18T23:27:34.87" personId="{F782486C-9BA9-4075-A377-73A7B08E7C3E}" id="{5237B7D8-6A0E-4469-804F-55BE8D085B3E}">
    <text>Se tapo el disco de la mezcladora, por ese motivo las primeras hamburguesas no se pudieron envasar, la primera caja recién se pesó  20:39:40</text>
  </threadedComment>
  <threadedComment ref="PD8" dT="2025-06-19T12:03:08.24" personId="{FBC0E431-D45A-4C03-B688-63503D55D15C}" id="{63CCE1FA-D6AC-4FD9-80B4-E33E03F5AD54}">
    <text>Se cortó la cadena cinta azul entrada Gyro 45min</text>
  </threadedComment>
  <threadedComment ref="QB8" dT="2025-06-27T15:31:51.90" personId="{FBC0E431-D45A-4C03-B688-63503D55D15C}" id="{47668ABD-404C-4D70-9B13-D166E81495D8}">
    <text>Se rompió la cinta de la picadora</text>
  </threadedComment>
  <threadedComment ref="QE8" dT="2025-06-30T14:57:17.90" personId="{FBC0E431-D45A-4C03-B688-63503D55D15C}" id="{40939268-9B87-4509-8262-3B6A3480ACE7}">
    <text>Rotura tensor cinta entrada Gyro/Doble estuchadora</text>
  </threadedComment>
  <threadedComment ref="QQ8" dT="2025-07-02T23:47:26.15" personId="{F782486C-9BA9-4075-A377-73A7B08E7C3E}" id="{E351C542-B8A7-43A1-AB7A-D7ED6427FFC0}">
    <text>Hasta la hora de la cena utilizamos las 2 estuchadoras con parrilleras</text>
  </threadedComment>
  <threadedComment ref="QT8" dT="2025-07-03T13:32:12.82" personId="{FBC0E431-D45A-4C03-B688-63503D55D15C}" id="{9DACB359-6B5B-4A87-9E4F-E8DEAC2719B6}">
    <text>Algunos inconvenientes para formar fórmula S 110g</text>
  </threadedComment>
  <threadedComment ref="QW8" dT="2025-07-04T12:15:26.70" personId="{FBC0E431-D45A-4C03-B688-63503D55D15C}" id="{B609D43A-ACF0-4F74-89A2-26F3A263B35C}">
    <text>Se rompió el reductor de la Formax 79min</text>
  </threadedComment>
  <threadedComment ref="RI8" dT="2025-07-08T12:26:02.37" personId="{FBC0E431-D45A-4C03-B688-63503D55D15C}" id="{E0F453F1-5D40-47D8-B1B5-1D999B29BA44}">
    <text>Se usó doble estuchadora de 20 a 23:30</text>
  </threadedComment>
  <threadedComment ref="RU8" dT="2025-07-14T13:07:28.99" personId="{FBC0E431-D45A-4C03-B688-63503D55D15C}" id="{8D1F28A1-DB5B-4BB1-8EA9-AD50DBE4EC1A}">
    <text>Se cortó la cadena de tracción de la cinta transportadora azul entrada gyro</text>
  </threadedComment>
  <threadedComment ref="SG8" dT="2025-07-16T12:54:37.40" personId="{FBC0E431-D45A-4C03-B688-63503D55D15C}" id="{F9ECA8A3-C1AF-4737-B442-176491468E5A}">
    <text>Doble estuchadora</text>
  </threadedComment>
  <threadedComment ref="UC8" dT="2025-08-01T12:56:04.67" personId="{FBC0E431-D45A-4C03-B688-63503D55D15C}" id="{51CBA2DA-6449-47F6-B2C8-02EC7CD06AD9}">
    <text>Doble estuchadora de 20:30 a 22hs</text>
  </threadedComment>
  <threadedComment ref="VM8" dT="2025-08-15T18:02:36.14" personId="{F782486C-9BA9-4075-A377-73A7B08E7C3E}" id="{21F21A0D-414B-45D6-ABBD-33C4315D30A5}">
    <text xml:space="preserve">Problemas con el formado de HT y V de 110grs, Pasta muy dura.
</text>
  </threadedComment>
  <threadedComment ref="VP8" dT="2025-08-15T18:02:59.86" personId="{F782486C-9BA9-4075-A377-73A7B08E7C3E}" id="{0DF339F3-F2CF-4721-8085-0F38D58A5B3A}">
    <text>Se usaron 2 estuchadora</text>
  </threadedComment>
  <threadedComment ref="XI8" dT="2025-08-29T18:03:38.05" personId="{43B434BF-79E3-466D-B3A3-88E19A430C27}" id="{56B88FC9-7B32-4CC5-99A4-3F718BEDD9DB}">
    <text>En Día % no se hizo estuchadora, lo que alentece la producción</text>
  </threadedComment>
  <threadedComment ref="XL8" dT="2025-09-01T00:29:18.27" personId="{F782486C-9BA9-4075-A377-73A7B08E7C3E}" id="{EAC43A57-9719-40E2-84B9-72517E4E8841}">
    <text>En las picadas de 110grs se utilizó congelado de TOP MEAT con una etiqueta difícil de sacar, esto hizo que sea más lenta la operación</text>
  </threadedComment>
  <threadedComment ref="XX8" dT="2025-09-03T13:59:17.53" personId="{FBC0E431-D45A-4C03-B688-63503D55D15C}" id="{6EDA7870-C786-4956-A5BF-E33404AC3EE1}">
    <text>Prueba desarrollo 30min y doble estuchadora</text>
  </threadedComment>
  <threadedComment ref="YD8" dT="2025-09-05T17:44:17.51" personId="{FBC0E431-D45A-4C03-B688-63503D55D15C}" id="{33630BF1-D08E-4B1A-97D9-EB448B3A4CA3}">
    <text>Problema con la Formax, los expulsores golpeaban con la placa (84min)</text>
  </threadedComment>
  <threadedComment ref="YP8" dT="2025-09-09T12:01:23.15" personId="{FBC0E431-D45A-4C03-B688-63503D55D15C}" id="{8B0E593A-2FE6-4BCC-985D-A060223EE90E}">
    <text>Se realizó una prueba y se perdieron 29min</text>
  </threadedComment>
  <threadedComment ref="YS8" dT="2025-09-11T14:10:45.51" personId="{E5CF185B-0DC3-48FD-81EC-930FD97014B1}" id="{63BC36C1-A21E-4699-9491-5E3DAA73C05F}">
    <text>Doble estuchadora</text>
  </threadedComment>
  <threadedComment ref="YV8" dT="2025-09-11T14:10:52.69" personId="{E5CF185B-0DC3-48FD-81EC-930FD97014B1}" id="{1D593466-8B80-4850-9BD7-AF497E305E3C}">
    <text>Doble estuchadora</text>
  </threadedComment>
  <threadedComment ref="ZK8" dT="2025-09-16T14:59:34.52" personId="{FBC0E431-D45A-4C03-B688-63503D55D15C}" id="{72905C70-C6C7-4082-9DF2-556E327C80FC}">
    <text>Se trabajó 55gr con dos líneas por no poder usar la envasadora nueva</text>
  </threadedComment>
  <threadedComment ref="ABD8" dT="2025-10-03T20:31:38.87" personId="{FBC0E431-D45A-4C03-B688-63503D55D15C}" id="{F34BAE39-076E-43C9-AD4C-2DF9A44709A1}">
    <text>Cambio de disco que se demoró</text>
  </threadedComment>
  <threadedComment ref="ACE8" dT="2025-10-14T20:37:42.00" personId="{F782486C-9BA9-4075-A377-73A7B08E7C3E}" id="{E085A129-8DEF-4FE6-867C-02487A74641B}">
    <text>Se trabajo con dos estuchadoras ( 69 grs y parrillera )</text>
  </threadedComment>
  <threadedComment ref="ACH8" dT="2025-10-15T15:56:51.85" personId="{F782486C-9BA9-4075-A377-73A7B08E7C3E}" id="{B549F9DD-FB0D-4DEB-8020-B735393C4185}">
    <text>Tuvimos problemas con la Space para envasar las F de 55grs.</text>
  </threadedComment>
  <threadedComment ref="ACW8" dT="2025-10-16T14:24:31.15" personId="{FBC0E431-D45A-4C03-B688-63503D55D15C}" id="{4A1BE8FA-5312-4F26-B70F-E12CBC9262C6}">
    <text>Doble estuchadora de 00:00 a 02:30</text>
  </threadedComment>
  <threadedComment ref="ACZ8" dT="2025-10-21T17:52:34.88" personId="{F782486C-9BA9-4075-A377-73A7B08E7C3E}" id="{1F2AF8AB-C170-4DEA-93EB-E7F9476C9414}">
    <text xml:space="preserve">Se hicieron estuches de 12 y 20 de 83grs formula S (sin estuchadora) </text>
  </threadedComment>
  <threadedComment ref="ADC8" dT="2025-10-21T17:56:44.66" personId="{F782486C-9BA9-4075-A377-73A7B08E7C3E}" id="{438B648D-C18C-473F-9758-F2A0AF484E8E}">
    <text>Se utilizaron 2 estuchadoras parrillera y se complicó la regulación del flowpack UG finitas</text>
  </threadedComment>
  <threadedComment ref="ADI8" dT="2025-10-21T17:58:49.75" personId="{F782486C-9BA9-4075-A377-73A7B08E7C3E}" id="{F65A04DA-7C32-44FE-8324-CE625EC9F77B}">
    <text>En el arranque de producción se activaron los detectores de metales</text>
  </threadedComment>
  <threadedComment ref="ADL8" dT="2025-10-21T18:01:55.96" personId="{F782486C-9BA9-4075-A377-73A7B08E7C3E}" id="{9F98E956-2A09-4BCA-AAFA-9D9B6CCA9764}">
    <text>Se utilizaron 2 estuchadoras para hacer UG0047</text>
  </threadedComment>
  <threadedComment ref="ADX8" dT="2025-10-27T16:42:08.04" personId="{FBC0E431-D45A-4C03-B688-63503D55D15C}" id="{E96F87B0-2B66-41A2-8FAE-5EE22579B1FB}">
    <text>Cambio de disco</text>
  </threadedComment>
  <threadedComment ref="AEG8" dT="2025-10-30T15:21:40.66" personId="{FBC0E431-D45A-4C03-B688-63503D55D15C}" id="{69A464D3-4F16-488D-8375-09847C4AF4B6}">
    <text>30 min de pérdida por presencia de metal</text>
  </threadedComment>
  <threadedComment ref="AFW8" dT="2025-11-11T11:37:43.58" personId="{FBC0E431-D45A-4C03-B688-63503D55D15C}" id="{A4789393-848A-4465-B808-B60E49E09B78}">
    <text>Problema con el Mycom, acople del manchón bomba de aceite. 1hs de demora en arranque</text>
  </threadedComment>
  <threadedComment ref="AIE8" dT="2025-12-02T12:27:00.15" personId="{FBC0E431-D45A-4C03-B688-63503D55D15C}" id="{AB3153E9-6F63-48D5-9518-1789469D4FFE}">
    <text>Problemas con el Gyro</text>
  </threadedComment>
  <threadedComment ref="AJF8" dT="2025-12-10T14:43:41.66" personId="{FBC0E431-D45A-4C03-B688-63503D55D15C}" id="{5FEC250F-5EBE-4704-803E-0C5B847C56C8}">
    <text>Roce de hamburguesas entrada Gyro y problema cinta de caída línea 3</text>
  </threadedComment>
  <threadedComment ref="AJI8" dT="2025-12-11T12:14:41.15" personId="{FBC0E431-D45A-4C03-B688-63503D55D15C}" id="{7B234814-7CA5-4707-8344-3989C46C401B}">
    <text>Doble estuchadora de 00 a 02hs</text>
  </threadedComment>
  <threadedComment ref="AJL8" dT="2025-12-15T17:42:39.72" personId="{FBC0E431-D45A-4C03-B688-63503D55D15C}" id="{46CFB35A-4857-4880-97EE-151403CD9EEA}">
    <text>Se perdieron 215 minutos por el problema de la presión del Mycom</text>
  </threadedComment>
  <threadedComment ref="AKA8" dT="2025-12-17T12:07:54.15" personId="{FBC0E431-D45A-4C03-B688-63503D55D15C}" id="{FECC5DA1-E27A-45E7-B0BD-5A9AB5C9847D}">
    <text>Se encontró componente electrónico en la picada (puede ser tipo datalogger). Se perdieron 90 minutos.</text>
  </threadedComment>
  <threadedComment ref="AKM8" dT="2025-12-22T18:16:48.91" personId="{FBC0E431-D45A-4C03-B688-63503D55D15C}" id="{22A6517A-0F8B-4F36-83CA-124A987B372F}">
    <text>Regulación de Ulma 1 y Space</text>
  </threadedComment>
  <threadedComment ref="ALE8" dT="2025-12-30T12:36:09.36" personId="{FBC0E431-D45A-4C03-B688-63503D55D15C}" id="{48425ABD-E5CC-4CB9-AA6E-39733AB50564}">
    <text>Rotura cinta blanca</text>
  </threadedComment>
  <threadedComment ref="ALK8" dT="2025-12-30T12:36:41.04" personId="{FBC0E431-D45A-4C03-B688-63503D55D15C}" id="{1A458C24-A798-4298-871E-65953E09EBE0}">
    <text>Rotura motor cinta salida Formax</text>
  </threadedComment>
  <threadedComment ref="ALQ8" dT="2026-01-08T16:33:05.82" personId="{FBC0E431-D45A-4C03-B688-63503D55D15C}" id="{00041E57-70BC-4269-91D8-1B7DE5EBE6AA}">
    <text>Problema resistencia Space</text>
  </threadedComment>
  <threadedComment ref="ANA8" dT="2026-01-12T11:52:28.52" personId="{FBC0E431-D45A-4C03-B688-63503D55D15C}" id="{F58A0FD3-0A94-4121-AE3B-AB34F3E3A032}">
    <text>Rotura cinta picadora y problema temperatura Space</text>
  </threadedComment>
  <threadedComment ref="AND8" dT="2026-01-13T13:19:10.37" personId="{FBC0E431-D45A-4C03-B688-63503D55D15C}" id="{1BA8460A-DF21-4E2B-9D29-E1C85A232504}">
    <text>Problema resistencia Space</text>
  </threadedComment>
  <threadedComment ref="AOQ8" dT="2026-01-26T13:33:03.92" personId="{FBC0E431-D45A-4C03-B688-63503D55D15C}" id="{15B0E9CD-BEF5-4FC4-A22E-FDCC4670B02B}">
    <text>Rotura Formax 70min</text>
  </threadedComment>
  <threadedComment ref="APC8" dT="2026-01-30T12:47:05.97" personId="{FBC0E431-D45A-4C03-B688-63503D55D15C}" id="{B7BEAF00-15C7-4143-B4A9-692E8FF4B6CF}">
    <text>Rotura motor Gyro 74min</text>
  </threadedComment>
  <threadedComment ref="APX8" dT="2026-02-06T12:32:55.74" personId="{FBC0E431-D45A-4C03-B688-63503D55D15C}" id="{204E3CED-8B48-4944-97D2-7E84F24C0300}">
    <text>Doble estuchadora de 00:20 a 02:50hs</text>
  </threadedComment>
  <threadedComment ref="AQY8" dT="2026-02-19T14:55:35.77" personId="{FBC0E431-D45A-4C03-B688-63503D55D15C}" id="{D74DDA58-0441-4DF7-9540-4EDABE153510}">
    <text>Problemas con los fechadores</text>
  </threadedComment>
  <threadedComment ref="ART8" dT="2026-02-24T20:35:01.39" personId="{FBC0E431-D45A-4C03-B688-63503D55D15C}" id="{EC0E7666-D111-4318-B3D4-06527FDEFED1}">
    <text>Se encontró plástico en la mezcladora y se perdieron 50min</text>
  </threadedComment>
  <threadedComment ref="ATS8" dT="2026-03-11T11:53:58.97" personId="{FBC0E431-D45A-4C03-B688-63503D55D15C}" id="{4FF32014-02ED-4FB0-AB04-13F61F8EBF36}">
    <text>Se perdieron 20 min por picado con plástico</text>
  </threadedComment>
  <threadedComment ref="AVL8" dT="2026-03-26T12:09:34.14" personId="{B5351F09-D51D-4CF3-A116-0E3C1DC2E626}" id="{3876E1CC-6FEB-4815-A6AC-85E0E2A3E0DB}">
    <text>Prueba 6mm - 30min</text>
  </threadedComment>
  <threadedComment ref="DS9" dT="2025-03-13T12:20:49.45" personId="{F782486C-9BA9-4075-A377-73A7B08E7C3E}" id="{B47C10DB-04C4-4B57-A75E-78FFBF2B8E5F}">
    <text>En el turno mañana hicimos pulpetas, en el turno tarde se perdieron 109 minutos por problemas eléctricos que afectaron a los detectores de metales</text>
  </threadedComment>
  <threadedComment ref="FF9" dT="2025-03-25T13:42:35.44" personId="{F782486C-9BA9-4075-A377-73A7B08E7C3E}" id="{555DD722-2B66-4D11-AE6A-E5C0B4F0D03A}">
    <text>En el TM se rompió un tramo de la cinta del Gyro y en TT se rompió el encastre de la placa molde de la formax</text>
  </threadedComment>
  <threadedComment ref="HN10" dT="2025-04-15T14:52:34.44" personId="{AF3B570A-E32B-43B1-A40F-6557439CBCF2}" id="{2F4A887B-A5A4-47AC-8621-0671133EF10B}">
    <text>5.24 a 8.15 se rompe cinta de picadora a mezcladora
por falta de soja se hacen prruebas con la soja de rosenteck en el TT</text>
  </threadedComment>
  <threadedComment ref="JS10" dT="2025-05-03T19:43:47.39" personId="{F782486C-9BA9-4075-A377-73A7B08E7C3E}" id="{2A896588-305F-4642-9F3B-DB37EAAA53B4}">
    <text>Se perdieron 45 minutos (TM) por problemas con el Gyro</text>
  </threadedComment>
  <threadedComment ref="TZ10" dT="2025-07-31T13:00:02.46" personId="{FBC0E431-D45A-4C03-B688-63503D55D15C}" id="{BAEEDDB0-C236-42CE-A18C-CC9125A465B2}">
    <text>Se rompió la cinta de la picadora, poca gente</text>
  </threadedComment>
  <threadedComment ref="ABV10" dT="2025-10-07T15:37:11.47" personId="{F782486C-9BA9-4075-A377-73A7B08E7C3E}" id="{27692615-C589-42ED-BFA7-C5D62B42D86D}">
    <text xml:space="preserve">Se rompió la termocupla de la Space, se trabajaron con la línea 1 y 2 </text>
  </threadedComment>
  <threadedComment ref="ACQ10" dT="2025-10-15T16:05:30.18" personId="{F782486C-9BA9-4075-A377-73A7B08E7C3E}" id="{6452691A-B08E-4C99-84B8-4257C4F6D8D4}">
    <text>Falta de gente, problemas para calibrar los flowpacks en la space, secaron 1300 kilos por presencia de guante en la picada.</text>
  </threadedComment>
  <threadedComment ref="ACT10" dT="2025-10-15T16:00:32.66" personId="{F782486C-9BA9-4075-A377-73A7B08E7C3E}" id="{085FD946-5C98-48DE-93D5-AD5065709C2F}">
    <text>Se hicieron 2 lineas cuando con 69grs (Estuches M&amp;K) por falta de colaboradores. Se decomiso un batch por presencia de etiqueta de alto impacto.</text>
  </threadedComment>
  <threadedComment ref="GJ11" dT="2025-04-04T15:36:35.74" personId="{AF3B570A-E32B-43B1-A40F-6557439CBCF2}" id="{81C29ECE-8CE9-48F1-9477-2F18596740F3}">
    <text>se rompio barra de expulsion a las 5.01 a 6.39</text>
  </threadedComment>
  <threadedComment ref="GV11" dT="2025-04-09T12:45:45.62" personId="{43B434BF-79E3-466D-B3A3-88E19A430C27}" id="{B0D8EA8B-D0B6-49BD-9F57-B2BFA9183416}">
    <text>Se demoró el arranque por problemas con la cinta del gyrofreezer. 20:40hs terminaron de arreglarlo, por lo que recien 21:23hs cayó la primer caja de PT</text>
  </threadedComment>
  <threadedComment ref="GY11" dT="2025-04-09T13:03:52.31" personId="{43B434BF-79E3-466D-B3A3-88E19A430C27}" id="{E5779FAB-4A32-4B70-9232-FA0747748A38}">
    <text>De 4am a 7am se reparó una de las cintas de empaque secundario, lo que generó que se utilicen 2 Ulmas en vez de 3.</text>
  </threadedComment>
  <threadedComment ref="MV11" dT="2025-06-03T00:43:38.97" personId="{F782486C-9BA9-4075-A377-73A7B08E7C3E}" id="{C967D0D3-F645-4225-8C71-5E457E72BBD3}">
    <text>En TT tuvimos problemas con la impresora de empaque.</text>
  </threadedComment>
  <threadedComment ref="SJ11" dT="2025-07-17T10:39:12.04" personId="{FBC0E431-D45A-4C03-B688-63503D55D15C}" id="{B4E66437-D1F7-44E7-9BDB-0A0129DDC53C}">
    <text>Problema con la pasta, estaba muy dura por tener el congelado en la cámara 1.5</text>
  </threadedComment>
  <threadedComment ref="SY11" dT="2025-07-22T13:23:11.71" personId="{FBC0E431-D45A-4C03-B688-63503D55D15C}" id="{C643DCE1-1851-4C01-A63A-54EBA1407207}">
    <text>Doble estuchadora, producción de cerdo y hubo menos gente</text>
  </threadedComment>
  <threadedComment ref="TB11" dT="2025-07-24T20:39:37.18" personId="{F782486C-9BA9-4075-A377-73A7B08E7C3E}" id="{9E603F5B-B33E-4FE7-A636-78637AE460A2}">
    <text>Por falta de gente estamos trabajando más lento y se hicieron muchos cambios de placas por gramaje.</text>
  </threadedComment>
  <threadedComment ref="TE11" dT="2025-07-24T20:29:01.65" personId="{F782486C-9BA9-4075-A377-73A7B08E7C3E}" id="{1198948C-49E3-4E4D-B721-DEB54E6EADAA}">
    <text>Por falta de personal se trabajó más lento con los estuches de MCDL002</text>
  </threadedComment>
  <threadedComment ref="WN11" dT="2025-08-22T13:47:10.86" personId="{F782486C-9BA9-4075-A377-73A7B08E7C3E}" id="{5AF10DA5-BB85-40A1-A980-43888E3EAD7F}">
    <text>Se trabajo con 2 estuchadoras de 69grs.</text>
  </threadedComment>
  <threadedComment ref="WQ11" dT="2025-08-25T17:04:22.61" personId="{F782486C-9BA9-4075-A377-73A7B08E7C3E}" id="{A876F71F-3406-4A48-A827-BF74F0D0D312}">
    <text xml:space="preserve">Se hicieron tres picadas de Cerdo UG, la caja trae complicaciones. 
</text>
  </threadedComment>
  <threadedComment ref="ACQ11" dT="2025-10-15T16:02:23.69" personId="{F782486C-9BA9-4075-A377-73A7B08E7C3E}" id="{B06227FB-6A63-49E1-AA69-420A769CE26B}">
    <text>Se tarda mucho en regular la space para hacer 55 grs.</text>
  </threadedComment>
  <threadedComment ref="E13" dT="2025-08-13T20:19:23.68" personId="{43B434BF-79E3-466D-B3A3-88E19A430C27}" id="{889ED1FC-7BCC-48A9-A210-144D92AFBCA5}">
    <text>Se va a registrar solo cuando cambia, en caos contrario, quedara vacío</text>
  </threadedComment>
  <threadedComment ref="VP13" dT="2025-08-18T13:17:00.53" personId="{FBC0E431-D45A-4C03-B688-63503D55D15C}" id="{66B8D1C5-CE4F-4F91-8F67-0F3123888864}">
    <text>Ajuste por doble estuchadora</text>
  </threadedComment>
  <threadedComment ref="EE14" dT="2025-03-21T16:43:35.60" personId="{43B434BF-79E3-466D-B3A3-88E19A430C27}" id="{5D04A98C-41FB-4CCD-9391-60D44C0E9D96}">
    <text>Bajo estudio.</text>
  </threadedComment>
  <threadedComment ref="ANY14" dT="2026-01-21T16:49:22.36" personId="{43B434BF-79E3-466D-B3A3-88E19A430C27}" id="{98F70820-B05C-4E12-9299-3CB8C642A35E}">
    <text xml:space="preserve">Considerando hielo, pasa a 1.924%
</text>
  </threadedComment>
  <threadedComment ref="AQY14" dT="2026-02-23T14:28:30.44" personId="{43B434BF-79E3-466D-B3A3-88E19A430C27}" id="{EF4E58CA-BA43-463A-BC90-6AF81B937D37}">
    <text>Con hielo da 3.119</text>
  </threadedComment>
  <threadedComment ref="ASU14" dT="2026-03-09T19:02:43.02" personId="{B5351F09-D51D-4CF3-A116-0E3C1DC2E626}" id="{A218316E-2012-4D2E-8C37-E9C38A18769F}">
    <text>% Merma con hielo de aca en adelante</text>
  </threadedComment>
  <threadedComment ref="AUQ14" dT="2026-03-23T15:33:40.88" personId="{B5351F09-D51D-4CF3-A116-0E3C1DC2E626}" id="{99C70954-A187-4251-9A84-68C581185138}">
    <text>Merma sin hielo: 2,3%
45 lotes de fórmula S con 8 bolsas de 20,5kg</text>
  </threadedComment>
  <threadedComment ref="OO15" dT="2025-06-18T12:43:46.03" personId="{43B434BF-79E3-466D-B3A3-88E19A430C27}" id="{12581ABF-8778-4F5E-A5CE-4DA81DCAD8D7}">
    <text>Se decomisó cerdo, lo que eleva el porcentaje</text>
  </threadedComment>
  <threadedComment ref="AGI15" dT="2025-11-26T16:41:02.32" personId="{43B434BF-79E3-466D-B3A3-88E19A430C27}" id="{8DBFD0D9-C2F5-42DD-A5B2-5918854C0CB9}">
    <text>914 kg plastico/metal</text>
  </threadedComment>
  <threadedComment ref="AUK15" dT="2026-03-23T12:11:15.78" personId="{B5351F09-D51D-4CF3-A116-0E3C1DC2E626}" id="{6D7DDF7B-EA27-479D-B0E8-022970150A9E}">
    <text>Se encontraron perdigones en la carne</text>
  </threadedComment>
  <threadedComment ref="SG16" dT="2025-07-25T20:28:04.12" personId="{20DF8AF6-9A0E-4F9C-87DE-CBC9D113DA08}" id="{1949420A-77D9-4C4C-9038-090890FE1D2D}">
    <text>Auditoria</text>
  </threadedComment>
  <threadedComment ref="AQP16" dT="2026-02-12T17:47:52.78" personId="{20DF8AF6-9A0E-4F9C-87DE-CBC9D113DA08}" id="{A33FF39D-8E42-403D-9AD0-A479B2574E27}">
    <text>Arrancan con parte de picada del turno noche.</text>
  </threadedComment>
  <threadedComment ref="ASU16" dT="2026-03-03T21:03:56.47" personId="{20DF8AF6-9A0E-4F9C-87DE-CBC9D113DA08}" id="{67E29BF6-BC24-481A-B8A2-35320143EDCF}">
    <text>Producción kosher.</text>
  </threadedComment>
  <threadedComment ref="ABV17" dT="2025-10-09T16:31:48.16" personId="{FBC0E431-D45A-4C03-B688-63503D55D15C}" id="{A5E9C4CB-075C-4E56-B05D-22F4C868C2C2}">
    <text>Kosher</text>
  </threadedComment>
  <threadedComment ref="ATV17" dT="2026-03-16T17:49:32.29" personId="{43B434BF-79E3-466D-B3A3-88E19A430C27}" id="{0D2BAA45-8150-4EE0-B7CA-60691E380B17}" done="1">
    <text>@Miguel Solessio @Valentin  Mazzucco  :)</text>
    <mentions>
      <mention mentionpersonId="{6A8FDD1F-C196-4DEB-ABEB-C55DA20C641F}" mentionId="{5819A3A1-4871-49C1-A331-67CD4D9B504E}" startIndex="0" length="16"/>
      <mention mentionpersonId="{FF684D6E-12CC-4FB7-8D01-6E305B390E75}" mentionId="{E74BA315-0540-495C-94B3-33C5F19BD6F7}" startIndex="17" length="19"/>
    </mentions>
  </threadedComment>
  <threadedComment ref="PD18" dT="2025-06-23T15:53:33.95" personId="{43B434BF-79E3-466D-B3A3-88E19A430C27}" id="{2278EFD8-F739-4077-A6D5-E15AE0677F69}">
    <text xml:space="preserve">No se considera el inicio de almuerzo por rotura </text>
  </threadedComment>
  <threadedComment ref="PV18" dT="2025-06-25T14:41:28.77" personId="{43B434BF-79E3-466D-B3A3-88E19A430C27}" id="{8F4E2DF7-9AC0-4717-962E-A926E5E3166E}">
    <text>Por rotura de motor de picadora no llegaron a la hora del almuerzo</text>
  </threadedComment>
  <threadedComment ref="AUQ19" dT="2026-03-23T18:08:56.48" personId="{B5351F09-D51D-4CF3-A116-0E3C1DC2E626}" id="{D2BB567B-AACA-4F31-A913-4FDFF18E6D70}">
    <text>Demoras por cinta de gyro</text>
  </threadedComment>
  <threadedComment ref="FL21" dT="2025-03-27T16:21:13.68" personId="{20DF8AF6-9A0E-4F9C-87DE-CBC9D113DA08}" id="{4D6A9356-584C-44E2-9676-6D767DB6FAF3}">
    <text>Se arranca tarde ,porque se cayo una parte de un cutter, el mismo pudo ser retirado a tiempo.</text>
  </threadedComment>
  <threadedComment ref="APC21" dT="2026-01-30T15:29:17.50" personId="{20DF8AF6-9A0E-4F9C-87DE-CBC9D113DA08}" id="{D4CC81AC-9F29-4F31-85C6-07FCA2EA245A}">
    <text>Se demora el arranque de la producción por problemas en el Gyro. (la formax arranca a las 20:43)</text>
  </threadedComment>
  <threadedComment ref="AES26" dT="2025-11-06T18:14:22.19" personId="{43B434BF-79E3-466D-B3A3-88E19A430C27}" id="{43197DF5-A1CB-4306-94A6-94F47A918D34}">
    <text xml:space="preserve">@Julio Caminos @Miguel Solessio </text>
    <mentions>
      <mention mentionpersonId="{DCC32CC7-2669-4CCB-AA9C-01D4BF01C84B}" mentionId="{BC9B19CF-D78D-40E3-9B94-6FED2AB8BA59}" startIndex="0" length="14"/>
      <mention mentionpersonId="{6A8FDD1F-C196-4DEB-ABEB-C55DA20C641F}" mentionId="{0FAFFD9A-8FD4-4751-AEDD-1A9D88372AC1}" startIndex="15" length="16"/>
    </mentions>
  </threadedComment>
  <threadedComment ref="AFH26" dT="2025-11-06T18:10:24.20" personId="{43B434BF-79E3-466D-B3A3-88E19A430C27}" id="{2CF04203-E339-480B-B544-6062EF4D8BA2}">
    <text>30 min por reunión sindical</text>
  </threadedComment>
  <threadedComment ref="AJL26" dT="2025-12-15T18:12:22.11" personId="{6B1F252F-B46A-4AF6-A9E5-E87FADFB85FD}" id="{E9A65DAB-41A3-44A7-B28B-C16CF9CE8CE2}">
    <text>215 minutos por problemas de mycom</text>
  </threadedComment>
  <threadedComment ref="AKA26" dT="2025-12-17T12:06:31.39" personId="{FBC0E431-D45A-4C03-B688-63503D55D15C}" id="{4206671A-83D2-455D-BB80-C37CF5940905}">
    <text>Se encontró componente electrónico en la picada</text>
  </threadedComment>
  <threadedComment ref="AKD26" dT="2025-12-19T12:27:49.89" personId="{FBC0E431-D45A-4C03-B688-63503D55D15C}" id="{CBB99053-FC55-4597-9064-456A5D70B4C7}">
    <text>158 min perdidos al arranque</text>
  </threadedComment>
  <threadedComment ref="AMI26" dT="2026-01-07T13:47:59.61" personId="{FBC0E431-D45A-4C03-B688-63503D55D15C}" id="{B33C4D7F-D6E3-4556-A62B-E57B8D5637B0}">
    <text>Arranque tarde por Kosher</text>
  </threadedComment>
  <threadedComment ref="ANM26" dT="2026-01-19T12:19:00.81" personId="{FBC0E431-D45A-4C03-B688-63503D55D15C}" id="{60A3F736-73BF-46E8-AB71-58BF011C82AF}">
    <text>Corte de luz 70 min</text>
  </threadedComment>
  <threadedComment ref="AOE26" dT="2026-01-26T18:22:35.93" personId="{FBC0E431-D45A-4C03-B688-63503D55D15C}" id="{854C743E-72EF-4BBE-A35A-8E139E98C6AE}">
    <text>Prueba placa de 11 bocas 83gr</text>
  </threadedComment>
  <threadedComment ref="AON26" dT="2026-01-26T13:32:38.33" personId="{FBC0E431-D45A-4C03-B688-63503D55D15C}" id="{BD44EB20-ABE5-4ACA-B5EA-1403A746A1DD}">
    <text>Rotura cinta picadora 45min en el cambio de turno</text>
  </threadedComment>
  <threadedComment ref="APC26" dT="2026-01-30T12:10:00.16" personId="{FBC0E431-D45A-4C03-B688-63503D55D15C}" id="{A837E975-DEBC-4A9D-AF1F-32656CAB7A57}">
    <text>Rotura motor Gyro</text>
  </threadedComment>
  <threadedComment ref="APO26" dT="2026-02-04T11:53:45.59" personId="{FBC0E431-D45A-4C03-B688-63503D55D15C}" id="{7BFF8B3F-C783-42C4-BA7D-150077F64930}">
    <text>Arranque tarde por limpieza de la línea</text>
  </threadedComment>
  <threadedComment ref="APR26" dT="2026-02-04T11:55:05.79" personId="{FBC0E431-D45A-4C03-B688-63503D55D15C}" id="{22A0A3EF-6276-4B65-9CCD-3BF4A82BCB5F}">
    <text>Demora en arranque post almuerzo por cambio de variador de cinta ingreso Gyro</text>
  </threadedComment>
  <threadedComment ref="APX26" dT="2026-02-09T13:50:32.30" personId="{FBC0E431-D45A-4C03-B688-63503D55D15C}" id="{2DF5DF98-4F3C-4770-8346-C3D191D13FEB}">
    <text>Rotura motor albondiguera 60min</text>
  </threadedComment>
  <threadedComment ref="AQA26" dT="2026-02-09T13:51:04.39" personId="{FBC0E431-D45A-4C03-B688-63503D55D15C}" id="{F2F1CEF7-8929-40E8-AA98-3803D9E09499}">
    <text>Se cortó TM una hora antes por problema de frío Gyro</text>
  </threadedComment>
  <threadedComment ref="AQP26" dT="2026-02-18T12:58:03.60" personId="{FBC0E431-D45A-4C03-B688-63503D55D15C}" id="{F4C6E932-C026-45B7-8158-EDEA70B89FA2}">
    <text>Se demora arranque post almuerzo por problema con los expulsores</text>
  </threadedComment>
  <threadedComment ref="ATJ26" dT="2026-03-09T13:39:34.85" personId="{FBC0E431-D45A-4C03-B688-63503D55D15C}" id="{7902BA9B-0AE1-428E-B272-55E5BBFE77B6}">
    <text>Problema tablero/variadores del Gyro</text>
  </threadedComment>
  <threadedComment ref="GY28" dT="2025-04-10T12:27:35.50" personId="{50988EDD-6B47-41AF-ACDF-E7CDA77122B0}" id="{D61625F7-AF3B-4115-80E5-EB3640727E11}">
    <text>En el pre del 8 no se observa algo puntual para remarcar en el día. Hubo desvíos en paredes, techos, hongos en estructuras, pero todo complejo para limpiar en el tiempo a disposición.</text>
  </threadedComment>
  <threadedComment ref="HE28" dT="2025-04-11T13:42:07.25" personId="{50988EDD-6B47-41AF-ACDF-E7CDA77122B0}" id="{9FAB679E-1A55-4499-8703-AED345FCE784}">
    <text>Cinta transp. de MP
Hidrtadora de Soja
Cinta ing. mezcladora
Cinta pasta
Formadora
Placas
Apiladores
Cintas transp.a envasado
Cond. hig.gral. del sector</text>
  </threadedComment>
  <threadedComment ref="HH28" dT="2025-04-14T12:15:07.16" personId="{50988EDD-6B47-41AF-ACDF-E7CDA77122B0}" id="{921C74EF-9EA8-41CD-85BD-15ACB391EE24}">
    <text>Mesada MP
Cond. de higiene aseo sector MP
Cinta ing. mezcladora
Cinta pasta
Cinta formadora
Cinta salida del gyrofreezer
Cinta salida del gyrofreezer
Cond. hig.gral. del sector
Cond. hig.gral. del sector</text>
  </threadedComment>
  <threadedComment ref="HH28" dT="2025-04-15T18:24:36.01" personId="{43B434BF-79E3-466D-B3A3-88E19A430C27}" id="{CFFC9BAE-D052-49E7-845B-425A13221406}" parentId="{921C74EF-9EA8-41CD-85BD-15ACB391EE24}">
    <text>TODO CARNE</text>
  </threadedComment>
  <threadedComment ref="HZ28" dT="2025-04-22T13:02:16.06" personId="{50988EDD-6B47-41AF-ACDF-E7CDA77122B0}" id="{51DABA1C-4AC2-46AA-A1A0-76BF0CED92A5}">
    <text>Son 30 ítems evaluados, de entre los cuales hubo 6 puntos de mejora (partículas de carne), no fue necesario volver a lavar ningún equipo simplemente corregir.</text>
  </threadedComment>
  <threadedComment ref="JG28" dT="2025-04-29T14:07:20.44" personId="{50988EDD-6B47-41AF-ACDF-E7CDA77122B0}" id="{AE923954-509C-4BCC-8945-0DEA92D1D5D6}">
    <text>Se solicita a mantenimiento desarmar la mezcladora para rehacer tarea de limpieza al gusano.</text>
  </threadedComment>
  <threadedComment ref="LX28" dT="2025-05-23T01:18:33.35" personId="{20DF8AF6-9A0E-4F9C-87DE-CBC9D113DA08}" id="{F2D69046-4AA6-4A4D-8671-A99340D3E411}">
    <text>Esterilizador Particulas de carne,Cinta transp de M.P Particulas de carneCinta de picadora a mezcladoraParticulas de carneCinta ingreso GyrofreezerParticulas de carne</text>
  </threadedComment>
  <threadedComment ref="UC28" dT="2025-08-01T12:36:11.02" personId="{50988EDD-6B47-41AF-ACDF-E7CDA77122B0}" id="{743CDC38-1FA6-4793-AFB2-953DA8FECF26}">
    <text>Se hizo lavar la hidratadora de soja dos veces. Se libera la línea 19:33</text>
  </threadedComment>
  <threadedComment ref="VP28" dT="2025-08-14T17:11:34.44" personId="{50988EDD-6B47-41AF-ACDF-E7CDA77122B0}" id="{FBDCC8B8-ECFB-42E9-8D6F-EACC72C4DC28}">
    <text>Los puntos informados son sólo 4, pero se rehicieron las tareas de limpieza en dos estructura: picadora y cinta a mezcladora.</text>
  </threadedComment>
  <threadedComment ref="AJF28" dT="2025-12-11T14:37:27.97" personId="{20DF8AF6-9A0E-4F9C-87DE-CBC9D113DA08}" id="{A2FF0263-8782-4A09-AF34-1127E21485FF}">
    <text>Se le comunicó a David la falta de personal al comienzo de la semana para realizar el preoperacional.</text>
  </threadedComment>
  <threadedComment ref="APO28" dT="2026-02-04T23:52:28.46" personId="{20DF8AF6-9A0E-4F9C-87DE-CBC9D113DA08}" id="{FFC7B19C-B8C4-49A8-B9EB-C0964F760377}">
    <text xml:space="preserve">Retraso por falta de limpieza en el preoperacional del día lunes a la mañana </text>
  </threadedComment>
  <threadedComment ref="AUN28" dT="2026-03-18T20:51:43.27" personId="{20DF8AF6-9A0E-4F9C-87DE-CBC9D113DA08}" id="{31014749-5D8A-4779-9DD1-3C58F30D6E98}">
    <text xml:space="preserve">Se le informa a David del desvió. </text>
  </threadedComment>
  <threadedComment ref="AMI29" dT="2026-01-10T11:48:44.01" personId="{50988EDD-6B47-41AF-ACDF-E7CDA77122B0}" id="{167C8BED-1FB5-41B0-843D-8FFB0E03DB2B}">
    <text>Se hisoparon superficies al arranque de ambos turnos</text>
  </threadedComment>
  <threadedComment ref="ATG29" dT="2026-03-16T11:27:56.47" personId="{50988EDD-6B47-41AF-ACDF-E7CDA77122B0}" id="{B16FEA4B-B158-4DF6-A049-EEBD6BA20678}">
    <text>Cinta escalonada</text>
  </threadedComment>
  <threadedComment ref="AIK30" dT="2025-12-15T13:20:21.90" personId="{50988EDD-6B47-41AF-ACDF-E7CDA77122B0}" id="{7E8C2C5C-7C96-4A66-8760-4C53395D3866}">
    <text>Cinta blanca tramada</text>
  </threadedComment>
  <threadedComment ref="AIN30" dT="2025-12-15T13:22:54.78" personId="{50988EDD-6B47-41AF-ACDF-E7CDA77122B0}" id="{85F6D82D-E391-4857-93C9-4BFA04EC7888}">
    <text>Cinta transportadora de carne picada + cinta blanca tramada</text>
  </threadedComment>
  <threadedComment ref="AIT30" dT="2025-12-15T13:26:28.17" personId="{50988EDD-6B47-41AF-ACDF-E7CDA77122B0}" id="{58DEE249-CF6B-4C61-A72D-2AD4D7ED119F}">
    <text>Cinta escalonada + 
Cinta transportadora de carne picada</text>
  </threadedComment>
  <threadedComment ref="AJF30" dT="2025-12-15T13:30:42.38" personId="{50988EDD-6B47-41AF-ACDF-E7CDA77122B0}" id="{11EB1285-8D72-496F-B6FA-FA5CD739E4E7}">
    <text>La única superficie sin desvíos es el interior de la formadora.</text>
  </threadedComment>
  <threadedComment ref="AJL30" dT="2025-12-15T13:32:57.41" personId="{50988EDD-6B47-41AF-ACDF-E7CDA77122B0}" id="{D5AC0C2A-4C14-4B48-9F10-ADED1DA0E2FF}">
    <text>Cinta blanca tramada.</text>
  </threadedComment>
  <threadedComment ref="AJO30" dT="2025-12-17T12:00:26.37" personId="{50988EDD-6B47-41AF-ACDF-E7CDA77122B0}" id="{495339D1-15B5-4984-A204-F0803A01E13A}">
    <text>Cinta escalonada, transportadora de carne picada, blanca tramada.</text>
  </threadedComment>
  <threadedComment ref="AJX30" dT="2025-12-17T12:01:06.16" personId="{50988EDD-6B47-41AF-ACDF-E7CDA77122B0}" id="{F2693561-2957-4D71-837B-D8108637C241}">
    <text>Cinta blanca tramada.</text>
  </threadedComment>
  <threadedComment ref="AKA30" dT="2025-12-18T14:23:14.54" personId="{50988EDD-6B47-41AF-ACDF-E7CDA77122B0}" id="{05A18259-FD1A-46E8-B54F-B05654B626C4}">
    <text>Cinta transportadora de CP, cinta tramada blanca.</text>
  </threadedComment>
  <threadedComment ref="AKG30" dT="2025-12-23T14:34:10.83" personId="{50988EDD-6B47-41AF-ACDF-E7CDA77122B0}" id="{261AE921-3F92-4FCA-B4B7-6CA4754AA105}">
    <text>MNPC en cintas de carne picada y blanca tramada</text>
  </threadedComment>
  <threadedComment ref="AKJ30" dT="2025-12-23T14:41:50.66" personId="{50988EDD-6B47-41AF-ACDF-E7CDA77122B0}" id="{1123C981-AD79-4C4D-9A27-5B9A1CB26948}">
    <text>Cinta de carne picada y blanca tramada aerobios, enterobacterias y coliformes.</text>
  </threadedComment>
  <threadedComment ref="AKJ30" dT="2025-12-26T11:17:51.21" personId="{06FD1DE2-7A62-4C87-933D-FB4DD791F022}" id="{E3DA6B4A-47AB-45FF-8C65-30E00180993E}" parentId="{1123C981-AD79-4C4D-9A27-5B9A1CB26948}">
    <text>buen dia rodrigo
se reforzara mas el esponjeado de cinta mencionada</text>
  </threadedComment>
  <threadedComment ref="AKS30" dT="2025-12-29T11:04:17.25" personId="{50988EDD-6B47-41AF-ACDF-E7CDA77122B0}" id="{510BEA1E-2859-4218-AF69-AF84E6DECA8D}">
    <text>Cinta transportadora de carne picada</text>
  </threadedComment>
  <threadedComment ref="ALE30" dT="2025-12-29T12:58:43.83" personId="{50988EDD-6B47-41AF-ACDF-E7CDA77122B0}" id="{8155E5FA-17DC-4EF4-B21C-6AE15B680991}">
    <text>Cinta escalonada, transportadora de carne picada e interior de formadora.</text>
  </threadedComment>
  <threadedComment ref="AMI30" dT="2026-01-10T11:50:30.48" personId="{50988EDD-6B47-41AF-ACDF-E7CDA77122B0}" id="{F4FF2FA6-419C-417D-A447-8FF94FB48F14}">
    <text>Cinta tramada blanca, cinta escalonada y transportadora de carne picada al arranque del turno mañana.</text>
  </threadedComment>
  <threadedComment ref="AML30" dT="2026-01-10T12:06:14.67" personId="{50988EDD-6B47-41AF-ACDF-E7CDA77122B0}" id="{FAAC1F17-897E-42C1-B489-7D4C8E8DFB19}">
    <text>Cinta escalonada, transportadora de carne picada y tramada blanca.</text>
  </threadedComment>
  <threadedComment ref="ANP30" dT="2026-01-19T11:57:21.27" personId="{50988EDD-6B47-41AF-ACDF-E7CDA77122B0}" id="{2BAEC74F-5AF1-4F7D-ACB2-5125F9C51070}">
    <text>Interior de la formadora, transportadora de carne picada e ingreso al gyrofeeezer</text>
  </threadedComment>
  <threadedComment ref="AIN31" dT="2025-12-15T13:24:27.92" personId="{50988EDD-6B47-41AF-ACDF-E7CDA77122B0}" id="{0B63D242-55FE-4D4E-96A3-2CC5383A3723}">
    <text>Cinta transportadora de carne picada</text>
  </threadedComment>
  <threadedComment ref="AIT31" dT="2025-12-15T13:26:34.06" personId="{50988EDD-6B47-41AF-ACDF-E7CDA77122B0}" id="{4B917A37-0941-41BB-AD5E-72A3780952CC}">
    <text>Cinta escalonada + 
Cinta transportadora de carne picada</text>
  </threadedComment>
  <threadedComment ref="AJI31" dT="2025-12-15T13:31:46.38" personId="{50988EDD-6B47-41AF-ACDF-E7CDA77122B0}" id="{43BD8BBB-7663-408A-9BBE-0EFCF0B92028}">
    <text>Cinta transportadora de carne picada.</text>
  </threadedComment>
  <threadedComment ref="AJO31" dT="2025-12-17T12:00:33.42" personId="{50988EDD-6B47-41AF-ACDF-E7CDA77122B0}" id="{8F82E2B7-98FF-44BE-BAB0-38840BF43EE7}">
    <text>Cinta escalonada, transportadora de carne picada, blanca tramada.</text>
  </threadedComment>
  <threadedComment ref="AKA31" dT="2025-12-18T14:23:44.33" personId="{50988EDD-6B47-41AF-ACDF-E7CDA77122B0}" id="{F4A1739D-313B-4B46-9BE9-AFE516612F19}">
    <text>Cinta transportadora de CP, cinta tramada blanca.</text>
  </threadedComment>
  <threadedComment ref="AMI31" dT="2026-01-10T11:51:06.59" personId="{50988EDD-6B47-41AF-ACDF-E7CDA77122B0}" id="{B508D108-EACC-4368-B599-553CBEAB5C7A}">
    <text>Cinta escalonada y transportadora de carne picada al arranque del TM.</text>
  </threadedComment>
  <threadedComment ref="AML31" dT="2026-01-10T12:06:38.78" personId="{50988EDD-6B47-41AF-ACDF-E7CDA77122B0}" id="{F2B77F32-5D43-4B2B-ACFA-7E4E80C07F57}">
    <text>Cinta escalonada.</text>
  </threadedComment>
  <threadedComment ref="AIN32" dT="2025-12-15T13:24:46.80" personId="{50988EDD-6B47-41AF-ACDF-E7CDA77122B0}" id="{0C201ED3-0C2B-49DF-AC8C-DC4FB9B32339}">
    <text>Cinta transportadora de carne picada</text>
  </threadedComment>
  <threadedComment ref="AJO32" dT="2025-12-17T12:00:39.56" personId="{50988EDD-6B47-41AF-ACDF-E7CDA77122B0}" id="{563F3925-7BF4-4683-8BA1-6CF387D57C08}">
    <text>Cinta escalonada, transportadora de carne picada, blanca tramada.</text>
  </threadedComment>
  <threadedComment ref="AKA32" dT="2025-12-18T14:24:17.51" personId="{50988EDD-6B47-41AF-ACDF-E7CDA77122B0}" id="{1548A0C7-EF7E-4E6F-9AB3-835F8CE42C51}">
    <text>Cinta transportadora de carne picada</text>
  </threadedComment>
  <threadedComment ref="AML32" dT="2026-01-10T12:06:45.87" personId="{50988EDD-6B47-41AF-ACDF-E7CDA77122B0}" id="{0F173F3C-CC94-4D17-AE32-4FC64A38F9C8}">
    <text>Cinta escalonada.</text>
  </threadedComment>
  <threadedComment ref="ALE33" dT="2025-12-29T12:59:09.89" personId="{50988EDD-6B47-41AF-ACDF-E7CDA77122B0}" id="{AF5CA8D4-9EB1-4D4C-9B7A-B97EE9341F8A}">
    <text>Cinta escalonada e interior de formadora</text>
  </threadedComment>
  <threadedComment ref="UR40" dT="2025-08-06T20:07:48.54" personId="{50988EDD-6B47-41AF-ACDF-E7CDA77122B0}" id="{1E9BEE25-2FDE-4ABF-86B4-801BDCD03F18}">
    <text>Son solo dos picadas</text>
  </threadedComment>
  <threadedComment ref="VO40" dT="2025-08-13T12:15:58.37" personId="{50988EDD-6B47-41AF-ACDF-E7CDA77122B0}" id="{6D312A6F-C3E4-4973-82BB-114C865F3CEC}">
    <text>Picada 23: 20,90 Picada 26:19,33 Picada 27: 17,33 Picada  29: 19,48</text>
  </threadedComment>
  <threadedComment ref="AGZ40" dT="2025-11-20T14:32:11.10" personId="{E5CF185B-0DC3-48FD-81EC-930FD97014B1}" id="{63E54D75-A971-4F09-A5A0-DCFE525BC033}" done="1">
    <text>@Rodrigo Viana armar grupo de wtp para avisar los valores de grasa, sean altos o no</text>
    <mentions>
      <mention mentionpersonId="{84FA3A41-1FA2-46DF-A781-8DA66B44DB31}" mentionId="{75ADEA45-3C65-4AB8-B8A4-D5739192D00E}" startIndex="0" length="14"/>
    </mentions>
  </threadedComment>
  <threadedComment ref="EY42" dT="2025-03-22T12:38:13.93" personId="{20DF8AF6-9A0E-4F9C-87DE-CBC9D113DA08}" id="{7337AB1D-7C6D-4AE2-90FD-22E72CC22EED}">
    <text>Se informa al sector picadora y en el grupo de calidad producción que el código 2 de Pge disponía de menor % al declarado.</text>
  </threadedComment>
  <threadedComment ref="FM42" dT="2025-03-27T16:25:55.04" personId="{20DF8AF6-9A0E-4F9C-87DE-CBC9D113DA08}" id="{6D2170FC-CA68-4128-8AC6-7A824CF4B57C}">
    <text>Se deja observado por % elevado de grasa y posterior coccion.</text>
  </threadedComment>
  <threadedComment ref="LB42" dT="2025-05-14T12:06:40.08" personId="{50988EDD-6B47-41AF-ACDF-E7CDA77122B0}" id="{B6D1A22C-CC37-46AE-95AC-844A506A2F1F}">
    <text>Corresponde al batch 53, lecturas siguientes: 11,24 y 12,69. Se cambia a L. Al final del turno hacen UG0044 con valores por encima de 16 en todas las mediciones.</text>
  </threadedComment>
  <threadedComment ref="MB42" dT="2025-05-23T12:52:37.05" personId="{50988EDD-6B47-41AF-ACDF-E7CDA77122B0}" id="{6D61B289-A27A-4039-9D80-30EE29281057}">
    <text>Se envasan como medallones Aro (A)</text>
  </threadedComment>
  <threadedComment ref="MC42" dT="2025-05-23T12:55:15.18" personId="{50988EDD-6B47-41AF-ACDF-E7CDA77122B0}" id="{AC9C0C5C-5327-4BD1-B406-1C0BAD82D292}">
    <text>Para los batch 73 al 79, el promedio es de 12,30.</text>
  </threadedComment>
  <threadedComment ref="TZ42" dT="2025-08-01T12:40:39.80" personId="{50988EDD-6B47-41AF-ACDF-E7CDA77122B0}" id="{626F30FA-46DE-42E9-9699-0115BF6462DF}">
    <text>Se hicieron 63 batch de H. 22 valores por debajo de 16%, pero 17 por encima de 14.</text>
  </threadedComment>
  <threadedComment ref="UE42" dT="2025-08-01T16:38:49.49" personId="{50988EDD-6B47-41AF-ACDF-E7CDA77122B0}" id="{664B00CA-944B-4D47-A2BF-E92E9F1068DA}">
    <text>Sólo dos lecturas por debajo de 14</text>
  </threadedComment>
  <threadedComment ref="UH42" dT="2025-08-04T17:25:35.57" personId="{50988EDD-6B47-41AF-ACDF-E7CDA77122B0}" id="{D381FEDE-A248-4587-BEFB-8EE072E43B3C}">
    <text>Son 62 picadas de H, sólo dos valores por debajo de 14 (11,43 y 13,93).</text>
  </threadedComment>
  <threadedComment ref="UT42" dT="2025-08-06T20:06:51.79" personId="{50988EDD-6B47-41AF-ACDF-E7CDA77122B0}" id="{645198EC-7913-49CA-8EE5-1741DDD50955}">
    <text>42 picadas, un solo valor por debajo de 16%</text>
  </threadedComment>
  <threadedComment ref="UW42" dT="2025-08-07T16:05:32.98" personId="{50988EDD-6B47-41AF-ACDF-E7CDA77122B0}" id="{980BB119-539A-4993-87BE-96FB140D9D9E}">
    <text>69 PICADAS, 11 VALORES POR DEBAJO DE 14</text>
  </threadedComment>
  <threadedComment ref="UZ42" dT="2025-08-08T15:31:28.78" personId="{50988EDD-6B47-41AF-ACDF-E7CDA77122B0}" id="{0FBFB75B-D7D5-474A-A128-DD686249AD86}">
    <text>39 picadas, 6 por debajo de 16</text>
  </threadedComment>
  <threadedComment ref="VC42" dT="2025-08-11T12:43:24.97" personId="{50988EDD-6B47-41AF-ACDF-E7CDA77122B0}" id="{337FC0B5-6A5E-4442-AC2C-3D7848E64003}">
    <text>82 picadas, 11 valores por debajo de 16</text>
  </threadedComment>
  <threadedComment ref="VL42" dT="2025-08-12T16:14:49.22" personId="{50988EDD-6B47-41AF-ACDF-E7CDA77122B0}" id="{8E3670A7-B933-464A-A4BE-3901BEFCB7FE}">
    <text>39 picadas, 2 por debajo de 15</text>
  </threadedComment>
  <threadedComment ref="VO42" dT="2025-08-13T12:10:10.57" personId="{50988EDD-6B47-41AF-ACDF-E7CDA77122B0}" id="{5D7493AE-C7C7-4D04-B230-C273E4F3729E}">
    <text>44 picadas, 3 valores por debajo de 14.</text>
  </threadedComment>
  <threadedComment ref="VR42" dT="2025-08-14T17:23:30.86" personId="{50988EDD-6B47-41AF-ACDF-E7CDA77122B0}" id="{30E526DF-69ED-4F3F-943E-E89BD999FC73}">
    <text>48 picadas, 2 por debajo de 14</text>
  </threadedComment>
  <threadedComment ref="VX42" dT="2025-08-19T12:20:37.90" personId="{50988EDD-6B47-41AF-ACDF-E7CDA77122B0}" id="{C9F22B4B-832D-41F0-AC4C-D1734DC63696}">
    <text>62 picadas, un único valor por debajo de 16</text>
  </threadedComment>
  <threadedComment ref="WG42" dT="2025-08-19T12:14:37.81" personId="{50988EDD-6B47-41AF-ACDF-E7CDA77122B0}" id="{9C9629E8-DB6A-4CDE-B724-A2E6F33E5790}">
    <text>52 picadas,3 valores por debajo de 14</text>
  </threadedComment>
  <threadedComment ref="XN42" dT="2025-09-01T11:57:09.25" personId="{50988EDD-6B47-41AF-ACDF-E7CDA77122B0}" id="{C4DF7459-E11D-4835-ADDD-731B56C75FFB}">
    <text>50 picadas, 3 valores por debajo de 14%</text>
  </threadedComment>
  <threadedComment ref="XW42" dT="2025-09-02T14:10:48.06" personId="{50988EDD-6B47-41AF-ACDF-E7CDA77122B0}" id="{AA4A287D-0427-4BBD-BBC7-A6D9428B4E14}">
    <text>61 picadas, 4 valores por debajo de 14</text>
  </threadedComment>
  <threadedComment ref="ALR42" dT="2025-12-31T11:29:13.18" personId="{50988EDD-6B47-41AF-ACDF-E7CDA77122B0}" id="{3C748273-E958-4178-9D91-54FF1CF4E7FC}">
    <text>Batch 72</text>
  </threadedComment>
  <threadedComment ref="ALS42" dT="2025-12-31T11:29:39.63" personId="{50988EDD-6B47-41AF-ACDF-E7CDA77122B0}" id="{862FA50F-7F01-444D-AAFB-DD0BB58AAE09}">
    <text>Batch 13</text>
  </threadedComment>
  <threadedComment ref="APP42" dT="2026-02-03T18:27:26.23" personId="{20DF8AF6-9A0E-4F9C-87DE-CBC9D113DA08}" id="{0CDE5391-9434-4FAB-AE1D-0C4CB77B4A17}">
    <text>Se envasaron en h530 por porcentaje elevado de grasa.</text>
  </threadedComment>
  <threadedComment ref="UZ45" dT="2025-08-08T15:32:06.49" personId="{50988EDD-6B47-41AF-ACDF-E7CDA77122B0}" id="{690CD749-6FA5-47C0-8327-41D9D406DF2F}">
    <text>21 picadas, sólo una por debajo de 18</text>
  </threadedComment>
  <threadedComment ref="B60" dT="2025-02-11T14:27:04.69" personId="{50988EDD-6B47-41AF-ACDF-E7CDA77122B0}" id="{A7A7996F-9246-49A5-8FDB-9D671A8E28EB}">
    <text>Las salas y el gyro se evalúan en horario productivo</text>
  </threadedComment>
  <threadedComment ref="ASA60" dT="2026-03-02T16:50:46.66" personId="{50988EDD-6B47-41AF-ACDF-E7CDA77122B0}" id="{F5C49212-CC12-4020-B1A2-0C235E895410}">
    <text>15:59</text>
  </threadedComment>
  <threadedComment ref="ASC60" dT="2026-03-02T17:02:15.75" personId="{50988EDD-6B47-41AF-ACDF-E7CDA77122B0}" id="{90B08280-5245-4558-BF85-40C391BDE3F3}">
    <text>Hay muchas filas con datos inválidos. Se eleva ticket para filtrar y poder calcular los valores correctamente.</text>
  </threadedComment>
  <threadedComment ref="HC61" dT="2025-04-10T14:03:29.62" personId="{50988EDD-6B47-41AF-ACDF-E7CDA77122B0}" id="{6530769E-5A32-4089-89AF-D0B97B1495E2}">
    <text>Valor anómalo. No se borra porque se repite en muchos casos...</text>
  </threadedComment>
  <threadedComment ref="IA61" dT="2025-04-22T12:50:50.83" personId="{50988EDD-6B47-41AF-ACDF-E7CDA77122B0}" id="{EC94802D-33C6-43D1-A87B-C9FDB0DCC7FB}">
    <text>Se omitieron franjas donde las lecturas del sensor en sala fueron de 81,1. Estos valores no fueron omitidos, pero se los considera outliers</text>
  </threadedComment>
  <threadedComment ref="APP61" dT="2026-02-09T12:19:30.04" personId="{50988EDD-6B47-41AF-ACDF-E7CDA77122B0}" id="{D386262B-D927-47CA-9DA7-86DCADDA0E1D}">
    <text>Comienzo del turno</text>
  </threadedComment>
  <threadedComment ref="APY61" dT="2026-02-09T12:36:25.20" personId="{50988EDD-6B47-41AF-ACDF-E7CDA77122B0}" id="{5DBE2531-84AE-40AC-B45B-8AAC9F4355BA}">
    <text>19:43</text>
  </threadedComment>
  <threadedComment ref="ASA61" dT="2026-03-02T16:51:40.47" personId="{50988EDD-6B47-41AF-ACDF-E7CDA77122B0}" id="{7F9F3F10-1517-43F7-BC81-B76455B7C7CB}">
    <text>23:45</text>
  </threadedComment>
  <threadedComment ref="ASM61" dT="2026-03-02T17:25:35.21" personId="{50988EDD-6B47-41AF-ACDF-E7CDA77122B0}" id="{9632BED6-CD75-4727-8BD1-2D12BFB34FA1}">
    <text>19:41</text>
  </threadedComment>
  <threadedComment ref="ASA62" dT="2026-03-02T16:51:59.14" personId="{50988EDD-6B47-41AF-ACDF-E7CDA77122B0}" id="{575526D6-CA01-4265-B035-55A994CC01B4}">
    <text>15:59</text>
  </threadedComment>
  <threadedComment ref="ASJ62" dT="2026-03-02T17:07:02.82" personId="{50988EDD-6B47-41AF-ACDF-E7CDA77122B0}" id="{354DCF94-4F3B-409D-802D-0C26091BCD77}">
    <text>15:53</text>
  </threadedComment>
  <threadedComment ref="AB65" dT="2025-02-11T14:23:51.53" personId="{50988EDD-6B47-41AF-ACDF-E7CDA77122B0}" id="{7D3C8BFC-2EBC-4E58-BB62-95222615FB36}">
    <text>Valor anómalo al arranque de la producción TT</text>
  </threadedComment>
  <threadedComment ref="AE65" dT="2025-02-11T14:34:02.87" personId="{50988EDD-6B47-41AF-ACDF-E7CDA77122B0}" id="{57677A00-110C-44AE-A552-EF9143E7D1EF}">
    <text>Coincide con desvío en temperatura de producto</text>
  </threadedComment>
  <threadedComment ref="GW65" dT="2025-04-10T13:41:42.36" personId="{50988EDD-6B47-41AF-ACDF-E7CDA77122B0}" id="{075BADF8-8DFE-46E1-9C90-F4116A2F0AE7}">
    <text>Demora en arranque</text>
  </threadedComment>
  <threadedComment ref="HC65" dT="2025-04-10T14:02:39.03" personId="{50988EDD-6B47-41AF-ACDF-E7CDA77122B0}" id="{8E43F0AD-CC44-46E4-BEAE-D4CC36C187E4}">
    <text>Demora en el arranque</text>
  </threadedComment>
  <threadedComment ref="MG65" dT="2025-05-27T12:37:13.62" personId="{50988EDD-6B47-41AF-ACDF-E7CDA77122B0}" id="{4DAB777C-219A-4F58-9C01-FBEF55A942AA}">
    <text>Valores anómalos</text>
  </threadedComment>
  <threadedComment ref="UY65" dT="2025-08-08T15:51:15.14" personId="{50988EDD-6B47-41AF-ACDF-E7CDA77122B0}" id="{688D5FFF-9F08-4032-AB96-92CE496181F1}">
    <text>Es un valor anómalo para las 19:37, pero consecuencia probable de la demora en la limpieza</text>
  </threadedComment>
  <threadedComment ref="AEW65" dT="2025-11-06T13:23:53.32" personId="{50988EDD-6B47-41AF-ACDF-E7CDA77122B0}" id="{51F6AD43-11A7-4BD4-B4E4-531F034663D3}">
    <text>Problemas con el gyro. SAB TM</text>
  </threadedComment>
  <threadedComment ref="AJL65" dT="2025-12-15T14:33:17.98" personId="{50988EDD-6B47-41AF-ACDF-E7CDA77122B0}" id="{77564E5A-EDB3-4B61-AAA5-C103F2AA48F1}">
    <text>Se tuvieron en cuenta los valores de temperatura desde las 19:40.</text>
  </threadedComment>
  <threadedComment ref="AKD65" dT="2025-12-22T15:52:49.77" personId="{50988EDD-6B47-41AF-ACDF-E7CDA77122B0}" id="{D05D248B-3995-4004-BB8B-AE87CD725F6D}">
    <text>Se omitieron los datos entre las 16:00 y las 19:40, pero también de 07:18 a 07:58 por valores elevados relacionados a problemas mecánicos en el gyrofreezer.</text>
  </threadedComment>
  <threadedComment ref="ARO65" dT="2026-02-23T15:18:33.37" personId="{50988EDD-6B47-41AF-ACDF-E7CDA77122B0}" id="{89261091-F5F4-459F-8841-EFE0618389FA}">
    <text>Esto generó demoras en el arranque</text>
  </threadedComment>
  <threadedComment ref="ASM65" dT="2026-03-02T17:28:05.05" personId="{50988EDD-6B47-41AF-ACDF-E7CDA77122B0}" id="{1882E5BD-F657-47CA-819D-379E318FA82E}">
    <text>02:43</text>
  </threadedComment>
  <threadedComment ref="APP69" dT="2026-02-09T12:21:46.79" personId="{50988EDD-6B47-41AF-ACDF-E7CDA77122B0}" id="{671BBBBD-B9A0-4128-A467-FE3ACD5BBDFA}">
    <text>5:19 AM</text>
  </threadedComment>
  <threadedComment ref="NX71" dT="2025-06-11T12:54:09.22" personId="{50988EDD-6B47-41AF-ACDF-E7CDA77122B0}" id="{6347F4C9-8B23-462A-8265-05F0BC18E14B}">
    <text>11:20 Comienza a subir la temperatura 13.00, 18.90, 16.90, 10.30</text>
  </threadedComment>
  <threadedComment ref="ASJ72" dT="2026-03-02T17:11:49.83" personId="{50988EDD-6B47-41AF-ACDF-E7CDA77122B0}" id="{30C2D9D1-782F-44C4-B4E0-0B742882858A}">
    <text>09:53</text>
  </threadedComment>
  <threadedComment ref="AH73" dT="2025-02-11T17:11:23.92" personId="{50988EDD-6B47-41AF-ACDF-E7CDA77122B0}" id="{18CB7C06-C72E-4B39-A7F5-0B762007874C}">
    <text>Las temperaturas en los sensores son -14.9, -16.6, -10, -15 y corresponden a las 18:11</text>
  </threadedComment>
  <threadedComment ref="XV73" dT="2025-09-02T14:37:24.37" personId="{50988EDD-6B47-41AF-ACDF-E7CDA77122B0}" id="{5F617B46-238E-4B4C-B1AD-AD8002FAFF09}">
    <text>Se registran valores anómalos</text>
  </threadedComment>
  <threadedComment ref="AAA73" dT="2025-09-25T13:00:05.71" personId="{50988EDD-6B47-41AF-ACDF-E7CDA77122B0}" id="{C1F391E6-31E9-471A-AAE6-D98D73A6E0BF}">
    <text>CAM 0.5-F al mediodía</text>
  </threadedComment>
  <threadedComment ref="IU76" dT="2025-04-25T17:58:08.04" personId="{50988EDD-6B47-41AF-ACDF-E7CDA77122B0}" id="{E2FAC8B1-42BD-4DA7-B085-2105B11A1D84}">
    <text>Milanesas x2, Hamburguesa x1</text>
  </threadedComment>
  <threadedComment ref="LE76" dT="2025-05-16T12:53:36.60" personId="{50988EDD-6B47-41AF-ACDF-E7CDA77122B0}" id="{4E2B13D2-A47D-4F60-872E-EAC456057A67}">
    <text>H043</text>
  </threadedComment>
  <threadedComment ref="ALR76" dT="2026-01-05T13:40:39.98" personId="{50988EDD-6B47-41AF-ACDF-E7CDA77122B0}" id="{99E50DBF-0216-419A-B593-5E6ADEC0C317}">
    <text>Milanesas</text>
  </threadedComment>
  <threadedComment ref="AOI76" dT="2026-01-30T15:47:38.10" personId="{50988EDD-6B47-41AF-ACDF-E7CDA77122B0}" id="{F89DCCEF-6FD9-4769-ACF6-7D674FA3CDDA}">
    <text>H060</text>
  </threadedComment>
  <threadedComment ref="AK77" dT="2025-02-14T13:18:45.34" personId="{50988EDD-6B47-41AF-ACDF-E7CDA77122B0}" id="{9333957C-B149-418D-9F5E-F90620165467}">
    <text>Producto en cámara 0.4</text>
  </threadedComment>
  <threadedComment ref="IO77" dT="2025-04-24T21:14:13.58" personId="{50988EDD-6B47-41AF-ACDF-E7CDA77122B0}" id="{A164C577-B504-4F50-B387-D0FB6CF2E691}">
    <text>CH0230 M
H154 M
HTUK002 H</text>
  </threadedComment>
  <threadedComment ref="LI77" dT="2025-05-20T16:11:08.46" personId="{50988EDD-6B47-41AF-ACDF-E7CDA77122B0}" id="{FC08C44F-CEC5-403F-BDB2-7F969C4A468C}">
    <text>MMAR102</text>
  </threadedComment>
  <threadedComment ref="UX77" dT="2025-08-08T15:58:33.68" personId="{50988EDD-6B47-41AF-ACDF-E7CDA77122B0}" id="{4FBA709F-1E40-48D6-B0CF-21726AF5BA65}">
    <text>Temperatura de la cámara fuera de especificación. Mercadería en la puerta de la 0.5</text>
  </threadedComment>
  <threadedComment ref="UY77" dT="2025-08-08T15:59:08.89" personId="{50988EDD-6B47-41AF-ACDF-E7CDA77122B0}" id="{E83E0AEC-DBC9-468F-AA35-FEBB71089EB5}">
    <text>Palet en el medio de la cámara</text>
  </threadedComment>
  <threadedComment ref="F80" dT="2025-02-03T13:55:22.27" personId="{50988EDD-6B47-41AF-ACDF-E7CDA77122B0}" id="{2728C26E-A147-4AC8-B323-7F351D645306}">
    <text>Estuches con manchas / etiquetas con fecha errónea</text>
  </threadedComment>
  <threadedComment ref="I80" dT="2025-02-03T13:55:45.06" personId="{50988EDD-6B47-41AF-ACDF-E7CDA77122B0}" id="{21FA4A86-D808-4064-83BC-49DAA3E6C339}">
    <text>Peso elevado en UG0044</text>
  </threadedComment>
  <threadedComment ref="L80" dT="2025-02-03T13:56:18.20" personId="{50988EDD-6B47-41AF-ACDF-E7CDA77122B0}" id="{216342F6-E844-42C8-B88B-8AF9DA330981}">
    <text>Erro de lectura en picadora</text>
  </threadedComment>
  <threadedComment ref="O80" dT="2025-02-03T17:08:01.34" personId="{50988EDD-6B47-41AF-ACDF-E7CDA77122B0}" id="{AE941F10-875E-4F1C-84C8-5921DE83C1AD}">
    <text>Carne con restos de suciedad, PT con temperatura no conforme a la salida del gyro</text>
  </threadedComment>
  <threadedComment ref="R80" dT="2025-02-04T15:06:38.62" personId="{50988EDD-6B47-41AF-ACDF-E7CDA77122B0}" id="{20EA24D9-A18E-4470-B7F5-4EE0900A3758}">
    <text>Temperatura de hamburguesas fuera de especificación por problemas con el girofreezer</text>
  </threadedComment>
  <threadedComment ref="R80" dT="2025-02-04T18:12:24.03" personId="{50988EDD-6B47-41AF-ACDF-E7CDA77122B0}" id="{493C70C7-3EDD-478E-8284-453B35BC553D}" parentId="{20EA24D9-A18E-4470-B7F5-4EE0900A3758}">
    <text>Sensor de rechazo de faltantes de unidades apagado (Raúl Roig en el puesto)</text>
  </threadedComment>
  <threadedComment ref="R80" dT="2025-02-08T22:00:47.83" personId="{E5CF185B-0DC3-48FD-81EC-930FD97014B1}" id="{FDA1BE4A-E835-49E1-93BF-45C5AD89F5DF}" parentId="{20EA24D9-A18E-4470-B7F5-4EE0900A3758}">
    <text xml:space="preserve">@Rodrigo Viana lo viste con Facu? qué te dijo al respecto? </text>
    <mentions>
      <mention mentionpersonId="{84FA3A41-1FA2-46DF-A781-8DA66B44DB31}" mentionId="{81292995-4701-4CAB-A701-D7C0EE4E4886}" startIndex="0" length="14"/>
    </mentions>
  </threadedComment>
  <threadedComment ref="U80" dT="2025-02-06T18:21:29.03" personId="{50988EDD-6B47-41AF-ACDF-E7CDA77122B0}" id="{3BE138DF-3299-4C36-9DBB-3F68EB5650A7}">
    <text>Mal cambio de etiqueta al cambiar de producto</text>
  </threadedComment>
  <threadedComment ref="U80" dT="2025-02-08T22:01:43.49" personId="{E5CF185B-0DC3-48FD-81EC-930FD97014B1}" id="{473FACEF-C4B7-43CF-80A9-9561248C90C4}" parentId="{3BE138DF-3299-4C36-9DBB-3F68EB5650A7}">
    <text>@Rodrigo Viana lo viste con @Julio Caminos o @Hernan Czarniecki ?</text>
    <mentions>
      <mention mentionpersonId="{84FA3A41-1FA2-46DF-A781-8DA66B44DB31}" mentionId="{31C43829-ED2A-49A7-BBC8-BB0504CFE9F9}" startIndex="0" length="14"/>
      <mention mentionpersonId="{DCC32CC7-2669-4CCB-AA9C-01D4BF01C84B}" mentionId="{C14505F3-EC8F-49C5-BEC4-A0EFFE065FD9}" startIndex="28" length="14"/>
      <mention mentionpersonId="{1283C00E-856F-499B-9C49-EC2C78E9514D}" mentionId="{12407886-D752-4958-A7EF-CEF8CBE58857}" startIndex="45" length="18"/>
    </mentions>
  </threadedComment>
  <threadedComment ref="X80" dT="2025-02-07T18:52:12.27" personId="{50988EDD-6B47-41AF-ACDF-E7CDA77122B0}" id="{03313901-5DC5-4C68-8C59-992D1910D035}">
    <text>Carne en mal estado</text>
  </threadedComment>
  <threadedComment ref="X80" dT="2025-02-08T22:02:33.39" personId="{E5CF185B-0DC3-48FD-81EC-930FD97014B1}" id="{576F1A85-D45B-47CC-8D99-D40E338790AF}" parentId="{03313901-5DC5-4C68-8C59-992D1910D035}">
    <text xml:space="preserve">@Rodrigo Viana se detectó antes de que ingrese a picadora? se le hizo el reclamo al proveedor? </text>
    <mentions>
      <mention mentionpersonId="{84FA3A41-1FA2-46DF-A781-8DA66B44DB31}" mentionId="{B5D1B09A-6F8B-4CAF-A5CD-096C9396C114}" startIndex="0" length="14"/>
    </mentions>
  </threadedComment>
  <threadedComment ref="AA80" dT="2025-02-11T14:24:51.59" personId="{50988EDD-6B47-41AF-ACDF-E7CDA77122B0}" id="{845BAF4F-59D6-417E-BE93-E261BB322429}">
    <text>1 pallet de H543 observado por haberse fechado como paladini</text>
  </threadedComment>
  <threadedComment ref="AD80" dT="2025-02-11T14:34:50.13" personId="{50988EDD-6B47-41AF-ACDF-E7CDA77122B0}" id="{F4C848BE-9A9C-4DC5-A678-6B637648D1F0}">
    <text>Temperatura de producto elevada por desvío en el gyrofreezer</text>
  </threadedComment>
  <threadedComment ref="AJ80" dT="2025-02-10T13:37:28.13" personId="{50988EDD-6B47-41AF-ACDF-E7CDA77122B0}" id="{87C4D67F-96B1-4518-8668-6B2BCFFCDF25}">
    <text>Se pegan etiquetas erróneas en terciarios</text>
  </threadedComment>
  <threadedComment ref="AJ80" dT="2025-02-11T19:21:21.97" personId="{50988EDD-6B47-41AF-ACDF-E7CDA77122B0}" id="{9F410290-EEEA-45E1-BC76-416407BF44DB}" parentId="{87C4D67F-96B1-4518-8668-6B2BCFFCDF25}">
    <text>Se separan 3 cajas de UG clásicas con manchas</text>
  </threadedComment>
  <threadedComment ref="AM80" dT="2025-02-12T17:52:29.22" personId="{50988EDD-6B47-41AF-ACDF-E7CDA77122B0}" id="{8519146F-28E3-4A5C-94CF-FD87A1E32EED}">
    <text>Carne de FRIDEZA con mosca, hamb atemperadas por corte de luz, pallet sobre aditivos</text>
  </threadedComment>
  <threadedComment ref="AP80" dT="2025-02-13T18:52:21.47" personId="{50988EDD-6B47-41AF-ACDF-E7CDA77122B0}" id="{D9478115-1783-4BB2-874A-1E1DDF9606FE}">
    <text>Dos picadas ingresadas sin carne leída, una picada sin aditivo (todo en el TT)</text>
  </threadedComment>
  <threadedComment ref="AS80" dT="2025-02-14T15:12:11.96" personId="{50988EDD-6B47-41AF-ACDF-E7CDA77122B0}" id="{CF60ED14-90A7-4222-B523-B52EA574C95B}">
    <text>Insectocutor roto, agua fría en lavamanos</text>
  </threadedComment>
  <threadedComment ref="BQ80" dT="2025-02-23T22:56:43.73" personId="{50988EDD-6B47-41AF-ACDF-E7CDA77122B0}" id="{07380E8E-39CE-4617-A7F2-467A05CB5737}">
    <text>Problema de refrigeración en cámara 0-2</text>
  </threadedComment>
  <threadedComment ref="BT80" dT="2025-02-23T22:57:09.88" personId="{50988EDD-6B47-41AF-ACDF-E7CDA77122B0}" id="{914AFE77-BE41-47D1-89C3-D037019A89ED}">
    <text>Picada sin aditivo</text>
  </threadedComment>
  <threadedComment ref="DS80" dT="2025-03-11T14:35:25.61" personId="{50988EDD-6B47-41AF-ACDF-E7CDA77122B0}" id="{5807F569-BA1D-499E-BD05-EC8D4C6C1A8C}">
    <text>Operador de ULMA indica que las hamburguesas ovaladas se cortan en la mordaza. La causa del desvío es la temperatura alta de la pasta.</text>
  </threadedComment>
  <threadedComment ref="DY80" dT="2025-03-14T10:57:52.21" personId="{50988EDD-6B47-41AF-ACDF-E7CDA77122B0}" id="{319F8D91-B996-4408-8256-E005581C3264}">
    <text>Cajas de CHACRA sin etiqueta por problemas con la impresora</text>
  </threadedComment>
  <threadedComment ref="EW80" dT="2025-03-22T12:55:49.77" personId="{20DF8AF6-9A0E-4F9C-87DE-CBC9D113DA08}" id="{2FDEB7B0-8348-4D8B-819E-04A972F22BF9}">
    <text>Se le realiza un llamado de atención al señor Osvaldo Bres, por colocar etiquetas encimadas.</text>
  </threadedComment>
  <threadedComment ref="FX80" dT="2025-03-31T19:14:50.46" personId="{20DF8AF6-9A0E-4F9C-87DE-CBC9D113DA08}" id="{904D3330-0204-4721-848E-E4E51769D8DF}">
    <text>Se dejan dos pallet observados  de Rioplatense por tener la fecha mal ,la fecha de vencimiento fue de 180 días cuando debería ser un año.</text>
  </threadedComment>
  <threadedComment ref="GA80" dT="2025-04-01T07:46:02.20" personId="{20DF8AF6-9A0E-4F9C-87DE-CBC9D113DA08}" id="{45DAC212-BEE9-4832-96FF-CD5B8E1AC1E2}">
    <text>Se decomisan 447.28 kilos ,por incendio en picadora.</text>
  </threadedComment>
  <threadedComment ref="GG80" dT="2025-04-03T16:16:45.81" personId="{50988EDD-6B47-41AF-ACDF-E7CDA77122B0}" id="{E88CF5BE-5B0D-4491-A65B-EB6798697754}">
    <text>Picada sin aditivos durante el turno noche, cajas de UG0044 con textos superpuestos</text>
  </threadedComment>
  <threadedComment ref="GJ80" dT="2025-04-03T16:17:10.99" personId="{50988EDD-6B47-41AF-ACDF-E7CDA77122B0}" id="{69532145-E92D-4472-AECD-82C55B6A4A2F}">
    <text>Error en fecha de vencimiento</text>
  </threadedComment>
  <threadedComment ref="GY80" dT="2025-04-10T12:50:46.19" personId="{50988EDD-6B47-41AF-ACDF-E7CDA77122B0}" id="{947D292D-E125-490F-9B03-83CABDAF266A}">
    <text>Desvío microbiológico en producción EXHAMBAR</text>
  </threadedComment>
  <threadedComment ref="HB80" dT="2025-04-10T12:51:40.40" personId="{50988EDD-6B47-41AF-ACDF-E7CDA77122B0}" id="{9740E1C8-0926-4DE6-96EB-1AE2820C4D2B}">
    <text>Recorrida SENASA</text>
  </threadedComment>
  <threadedComment ref="HE80" dT="2025-04-11T13:00:37.27" personId="{50988EDD-6B47-41AF-ACDF-E7CDA77122B0}" id="{145829C8-3FF4-41D4-B664-0D5124357469}">
    <text>Carne con olor</text>
  </threadedComment>
  <threadedComment ref="HH80" dT="2025-04-14T12:35:45.76" personId="{50988EDD-6B47-41AF-ACDF-E7CDA77122B0}" id="{20BEF3D1-2F47-4FDB-BAA4-A6FBCE8C1643}">
    <text xml:space="preserve">Caída de gancho durante el TM, Cambio de HT a H TT </text>
  </threadedComment>
  <threadedComment ref="HK80" dT="2025-04-14T13:08:01.97" personId="{50988EDD-6B47-41AF-ACDF-E7CDA77122B0}" id="{47731B65-0394-4155-83F4-EBBECCF2B3C9}">
    <text>Higiene en picadora</text>
  </threadedComment>
  <threadedComment ref="HN80" dT="2025-04-14T13:28:39.97" personId="{50988EDD-6B47-41AF-ACDF-E7CDA77122B0}" id="{E8A82F49-CE07-47D1-A49F-1D223B932906}">
    <text>180 cajas observadas para reetiquetar</text>
  </threadedComment>
  <threadedComment ref="HT80" dT="2025-04-17T09:34:21.10" personId="{20DF8AF6-9A0E-4F9C-87DE-CBC9D113DA08}" id="{8FF3E34F-3D29-4D4E-AF67-00911A1841C1}">
    <text>Se dejan observados UG0050 Y UG0047 por el % elevado de grasa y en paralelo se notifica al proveedor que presento dicho desvió (eco carnes)</text>
  </threadedComment>
  <threadedComment ref="HW80" dT="2025-04-17T09:31:53.30" personId="{20DF8AF6-9A0E-4F9C-87DE-CBC9D113DA08}" id="{18746AAC-CCE6-44B7-AE3E-1A5A9382C91C}">
    <text>33 cajas de Htukoo1 con estuche equivocado ,</text>
  </threadedComment>
  <threadedComment ref="IR80" dT="2025-04-24T21:25:54.12" personId="{50988EDD-6B47-41AF-ACDF-E7CDA77122B0}" id="{C40AF77D-C01B-4C7F-B871-F38089E419AA}">
    <text>Se observa un pallet de UG0044 POR ELEVADO %GRASA -- Se cocinó el jueves y se observó 20% de reducción.</text>
  </threadedComment>
  <threadedComment ref="IU80" dT="2025-04-24T21:27:16.88" personId="{50988EDD-6B47-41AF-ACDF-E7CDA77122B0}" id="{0ED20CF0-9075-4595-9DB4-E7BB4D1DE6C6}">
    <text>Estancia del Oeste. Se rechaza parcialmente enfriado y congelado...</text>
  </threadedComment>
  <threadedComment ref="IX80" dT="2025-04-28T16:49:55.61" personId="{20DF8AF6-9A0E-4F9C-87DE-CBC9D113DA08}" id="{1914F086-C4C3-4C33-B8C0-C0058D20BDCC}">
    <text>Se realizan varias verificaciónes la falta de presión de aire en el detector de L.1 sin envase primario. el mismo no estaba en uso ,quedando operativo en el turno noche.</text>
  </threadedComment>
  <threadedComment ref="IX80" dT="2025-04-29T17:05:23.91" personId="{50988EDD-6B47-41AF-ACDF-E7CDA77122B0}" id="{0F425114-FB0C-464B-98EA-F21F8EBE1E82}" parentId="{1914F086-C4C3-4C33-B8C0-C0058D20BDCC}">
    <text xml:space="preserve">Cajas 95028 de menor calidad
</text>
  </threadedComment>
  <threadedComment ref="JA80" dT="2025-04-29T17:06:20.62" personId="{50988EDD-6B47-41AF-ACDF-E7CDA77122B0}" id="{30531F7D-66EC-43BF-A1C7-9B801F05B4B8}">
    <text>Desvíos en detectores de metal</text>
  </threadedComment>
  <threadedComment ref="JG80" dT="2025-04-29T17:05:59.55" personId="{50988EDD-6B47-41AF-ACDF-E7CDA77122B0}" id="{3923C93D-D4CB-410E-B4BA-0167882A5424}">
    <text>Orden en cámara de decomisos</text>
  </threadedComment>
  <threadedComment ref="JJ80" dT="2025-04-29T17:06:41.95" personId="{50988EDD-6B47-41AF-ACDF-E7CDA77122B0}" id="{025A39A6-8078-4A9B-A3A5-1E08AC74D817}">
    <text>Desvío en fechado de flow</text>
  </threadedComment>
  <threadedComment ref="JM80" dT="2025-05-02T16:58:49.33" personId="{20DF8AF6-9A0E-4F9C-87DE-CBC9D113DA08}" id="{5F3C6BB9-9B7F-4730-9806-EFC067BDB4C2}">
    <text>Se realiza la cocción de las parrilleras(ug0058), del día 25/04/2025, las mimas presentaron merma del 20% ,continuaran observados.</text>
  </threadedComment>
  <threadedComment ref="JV80" dT="2025-05-06T11:03:22.54" personId="{50988EDD-6B47-41AF-ACDF-E7CDA77122B0}" id="{6D65EEF0-FA49-4CC1-B717-E0FEA8C69BDE}">
    <text>Presencia de metal</text>
  </threadedComment>
  <threadedComment ref="JY80" dT="2025-05-08T12:41:53.48" personId="{20DF8AF6-9A0E-4F9C-87DE-CBC9D113DA08}" id="{1A651C6F-D993-4CF9-8AC6-A8677392EFF8}">
    <text>Limpieza de tanques, solicitud de candados nuevos para el tanque aéreo y presupuestar la impermeabilización del tanque aéreo.</text>
  </threadedComment>
  <threadedComment ref="KB80" dT="2025-05-06T11:03:45.88" personId="{50988EDD-6B47-41AF-ACDF-E7CDA77122B0}" id="{A5F0586D-C299-4645-95DA-D74ABA96770D}">
    <text>Error en etiqueta de terciario</text>
  </threadedComment>
  <threadedComment ref="KN80" dT="2025-05-11T22:50:20.46" personId="{20DF8AF6-9A0E-4F9C-87DE-CBC9D113DA08}" id="{BF1761C4-DD8A-461C-827A-DB78ED74F965}">
    <text>Se dejan 3 pallet de tuki 40x110 observados por disponer de la fecha mal,(vencimiento 4 meses) por dicho motivo se tiene una charla con el equipo para reforzar estos puntos.</text>
  </threadedComment>
  <threadedComment ref="KZ80" dT="2025-05-15T23:32:29.96" personId="{20DF8AF6-9A0E-4F9C-87DE-CBC9D113DA08}" id="{E1700E4A-873C-4C8D-B782-E6A8732B74CE}">
    <text xml:space="preserve"> Varios,Falsos positivos en el detector sin envase primario de linea 2.</text>
  </threadedComment>
  <threadedComment ref="LR80" dT="2025-05-20T16:13:04.04" personId="{50988EDD-6B47-41AF-ACDF-E7CDA77122B0}" id="{6E874A4B-EAE3-4368-AE0A-46E8428B6DC7}">
    <text xml:space="preserve">Carne con madera incrustada </text>
  </threadedComment>
  <threadedComment ref="MA80" dT="2025-05-23T12:59:16.27" personId="{50988EDD-6B47-41AF-ACDF-E7CDA77122B0}" id="{D926435C-EC73-4EA4-BAA3-6DAE8BB93A88}">
    <text>1. Por porcentaje elevado de grasa se cambia la presentación.
2. Desvío en lectura de picadora</text>
  </threadedComment>
  <threadedComment ref="MG80" dT="2025-05-27T12:57:22.74" personId="{50988EDD-6B47-41AF-ACDF-E7CDA77122B0}" id="{90EF5C03-ABCF-40AC-BC63-D784CCE58111}">
    <text>Carne 90/10 era grasa</text>
  </threadedComment>
  <threadedComment ref="MM80" dT="2025-05-27T12:57:54.64" personId="{50988EDD-6B47-41AF-ACDF-E7CDA77122B0}" id="{9681B05B-DFC8-47B7-972B-DCC81A19BB45}">
    <text>Estuches rotos de chacra nuestra</text>
  </threadedComment>
  <threadedComment ref="MP80" dT="2025-05-27T12:58:47.91" personId="{20DF8AF6-9A0E-4F9C-87DE-CBC9D113DA08}" id="{BCEC05EA-7EE8-46BB-9BD4-28FFFFEA94BE}">
    <text>Carne de Gorina  en mal estado(32 cajas) y 1 con hueso.</text>
  </threadedComment>
  <threadedComment ref="MS80" dT="2025-05-30T13:46:39.74" personId="{50988EDD-6B47-41AF-ACDF-E7CDA77122B0}" id="{E9B1561F-2B44-4172-A801-705B1FE7E71E}">
    <text>Grasa elevada en H</text>
  </threadedComment>
  <threadedComment ref="MV80" dT="2025-05-30T13:46:13.82" personId="{50988EDD-6B47-41AF-ACDF-E7CDA77122B0}" id="{0CAB8D9F-906B-4A71-9D50-453B1EE67052}">
    <text>Carne con plástico incrustado</text>
  </threadedComment>
  <threadedComment ref="MY80" dT="2025-05-30T13:44:51.29" personId="{50988EDD-6B47-41AF-ACDF-E7CDA77122B0}" id="{179E1673-CF6F-4C8C-8D63-A0A67B8282C6}">
    <text>Se encuentra tres palets de UG0044 en cámara 0.3. Se separan 3 cajas...</text>
  </threadedComment>
  <threadedComment ref="MY80" dT="2025-05-30T13:45:10.47" personId="{50988EDD-6B47-41AF-ACDF-E7CDA77122B0}" id="{F40E7E3C-6DF4-460E-917C-ED3FD8060C71}" parentId="{179E1673-CF6F-4C8C-8D63-A0A67B8282C6}">
    <text>Decomiso queda en cámara 0.3</text>
  </threadedComment>
  <threadedComment ref="MY80" dT="2025-05-30T13:45:44.82" personId="{50988EDD-6B47-41AF-ACDF-E7CDA77122B0}" id="{E88B592F-5EFA-4867-B047-33359EEE8498}" parentId="{179E1673-CF6F-4C8C-8D63-A0A67B8282C6}">
    <text>Se detectan unidades mal selladas</text>
  </threadedComment>
  <threadedComment ref="NT80" dT="2025-06-11T12:00:29.94" personId="{50988EDD-6B47-41AF-ACDF-E7CDA77122B0}" id="{E221A3D0-6247-4732-9354-5D7D933A0219}">
    <text>Estaban a disposición cajas de supergigantes al estar haciendo cerdo UG</text>
  </threadedComment>
  <threadedComment ref="OO80" dT="2025-06-17T12:21:49.15" personId="{50988EDD-6B47-41AF-ACDF-E7CDA77122B0}" id="{DA08665D-2EAB-4FB9-86A7-AEB88AEE1195}">
    <text>Se deja observada un batch por presencia de plástico
Se rechazan 2 pallets de congelado
Se retiran 36 cajas fórmula PALADINI por posición equivocada del fechador</text>
  </threadedComment>
  <threadedComment ref="PD80" dT="2025-06-19T10:16:42.31" personId="{20DF8AF6-9A0E-4F9C-87DE-CBC9D113DA08}" id="{4E25BBF8-D9C4-4A84-85AC-E5094B8336E6}">
    <text>Carne de maneca en mal estado (devolución )</text>
  </threadedComment>
  <threadedComment ref="QH80" dT="2025-07-01T12:12:15.78" personId="{50988EDD-6B47-41AF-ACDF-E7CDA77122B0}" id="{3ABE8403-0226-4EFC-821B-A7167FF5BF2C}">
    <text>Error de fechado</text>
  </threadedComment>
  <threadedComment ref="QN80" dT="2025-07-01T12:12:34.03" personId="{50988EDD-6B47-41AF-ACDF-E7CDA77122B0}" id="{723BEF8C-2A47-4194-B403-D266D692F3C1}">
    <text>Error de fechado</text>
  </threadedComment>
  <threadedComment ref="TK80" dT="2025-07-29T15:08:25.81" personId="{50988EDD-6B47-41AF-ACDF-E7CDA77122B0}" id="{96195131-5357-4FDF-BB65-53A7740A3F70}">
    <text>Devoluciones por falta de frío</text>
  </threadedComment>
  <threadedComment ref="TQ80" dT="2025-07-29T15:07:59.25" personId="{50988EDD-6B47-41AF-ACDF-E7CDA77122B0}" id="{6552BEF2-07F1-46CB-B873-3AA76F64AA31}">
    <text>Error de fechado en etiqueta "pequeña"</text>
  </threadedComment>
  <threadedComment ref="TZ80" dT="2025-08-01T12:33:16.13" personId="{50988EDD-6B47-41AF-ACDF-E7CDA77122B0}" id="{B3DB9C6D-1FCA-4022-9901-062FC9DCD38C}">
    <text>Error en bobina, gigantes por supergigantes. 50 cajas. Solucionado.</text>
  </threadedComment>
  <threadedComment ref="UU80" dT="2025-08-07T16:12:10.11" personId="{50988EDD-6B47-41AF-ACDF-E7CDA77122B0}" id="{EAC066DD-6551-446D-B14A-703D12ABAA50}">
    <text>Desvío de Temperatura en Gyro, Cámaras</text>
  </threadedComment>
  <threadedComment ref="UX80" dT="2025-08-08T15:59:45.01" personId="{50988EDD-6B47-41AF-ACDF-E7CDA77122B0}" id="{B3053A2F-5385-4370-87EE-E988EA68F230}">
    <text>Problemas de frío en las cámaras</text>
  </threadedComment>
  <threadedComment ref="VS80" dT="2025-08-15T17:49:20.61" personId="{50988EDD-6B47-41AF-ACDF-E7CDA77122B0}" id="{F338E695-8A8A-4825-B345-377B4454F132}">
    <text>Flow aluminizado dentro de la picada 26</text>
  </threadedComment>
  <threadedComment ref="WZ80" dT="2025-08-26T14:02:30.55" personId="{50988EDD-6B47-41AF-ACDF-E7CDA77122B0}" id="{ECF8DA99-83A4-4AC7-AA0F-F149C85B87E8}">
    <text>Se retira plástico transparente de la mezcladora</text>
  </threadedComment>
  <threadedComment ref="XF80" dT="2025-08-29T14:28:18.50" personId="{50988EDD-6B47-41AF-ACDF-E7CDA77122B0}" id="{2D7C8E40-9581-4DDA-AFBB-746D7E3B25AC}">
    <text>1. Caja con colores invertidos (p. First)</text>
  </threadedComment>
  <threadedComment ref="XI80" dT="2025-08-29T14:29:15.50" personId="{50988EDD-6B47-41AF-ACDF-E7CDA77122B0}" id="{88F9ABED-95BD-4465-9BDD-0066E817D7E0}">
    <text>Reclamo por exceso de grasa</text>
  </threadedComment>
  <threadedComment ref="XL80" dT="2025-08-29T14:27:48.31" personId="{50988EDD-6B47-41AF-ACDF-E7CDA77122B0}" id="{F635D57E-EDE1-4814-A75D-09E873A4E561}">
    <text>1. Estuches mal fechados (57 cajas) 2. Restos de papel en mezcladora (31,H)</text>
  </threadedComment>
  <threadedComment ref="YD80" dT="2025-09-08T16:52:05.78" personId="{50988EDD-6B47-41AF-ACDF-E7CDA77122B0}" id="{F1672F34-5812-4B67-B172-CAE1AE10626E}">
    <text>Picada con plástico</text>
  </threadedComment>
  <threadedComment ref="YV80" dT="2025-09-11T11:23:24.81" personId="{50988EDD-6B47-41AF-ACDF-E7CDA77122B0}" id="{BC0890E9-6AFB-4B75-8D86-22BDD7BC146D}">
    <text>Cane en mal estado (TT)</text>
  </threadedComment>
  <threadedComment ref="ZZ80" dT="2025-09-25T18:02:21.83" personId="{50988EDD-6B47-41AF-ACDF-E7CDA77122B0}" id="{39690E2C-C028-433D-9977-CB08B4405DA9}">
    <text>1 picada sin aditivo el sábado</text>
  </threadedComment>
  <threadedComment ref="AAL80" dT="2025-09-25T18:02:50.04" personId="{50988EDD-6B47-41AF-ACDF-E7CDA77122B0}" id="{CACDAD53-5008-4C1D-80BC-3AEC96C08E66}">
    <text>Problema en emisión de etiquetas. Tara incorrecta.</text>
  </threadedComment>
  <threadedComment ref="ABD80" dT="2025-10-02T15:53:21.05" personId="{50988EDD-6B47-41AF-ACDF-E7CDA77122B0}" id="{DE2AE48E-744C-4279-8206-6B6056E3EB0A}">
    <text>Se retira picada 17 (H) por presencia de plástico azul. DECOMISO.</text>
  </threadedComment>
  <threadedComment ref="ABG80" dT="2025-10-02T15:54:59.21" personId="{50988EDD-6B47-41AF-ACDF-E7CDA77122B0}" id="{EF55A892-F7EC-40FB-B590-EE7CF3259133}">
    <text>Se retira picada 10 por falta de aditivo</text>
  </threadedComment>
  <threadedComment ref="ABJ80" dT="2025-10-02T15:58:14.87" personId="{50988EDD-6B47-41AF-ACDF-E7CDA77122B0}" id="{C5806E4F-9C0D-43D3-8AC9-9B7907E2D021}">
    <text>Picada 17 con carne para MT se procesa como H en mezcladora. MT es medallón con soja. Se verifica no haber usado reproceso para evitar la contaminación por soja. Se envasa en una presentación HTUK004 (Fórmula HT, TUKI, HAMBURGUESA).</text>
  </threadedComment>
  <threadedComment ref="ABV80" dT="2025-10-09T16:31:25.56" personId="{50988EDD-6B47-41AF-ACDF-E7CDA77122B0}" id="{669B030A-A8F3-460A-8E70-F4707B04B2E9}">
    <text>Error de fechado</text>
  </threadedComment>
  <threadedComment ref="ACE80" dT="2025-10-16T14:08:21.08" personId="{50988EDD-6B47-41AF-ACDF-E7CDA77122B0}" id="{52F6482D-FA5A-4931-9FDF-AF1137CB7623}">
    <text>Se retira una picada por presencia de plástico</text>
  </threadedComment>
  <threadedComment ref="ACQ80" dT="2025-10-16T14:07:40.31" personId="{50988EDD-6B47-41AF-ACDF-E7CDA77122B0}" id="{CB335D87-0C27-4BD9-977E-D54F7ED3B1FA}">
    <text>Se retira una picada por presencia de plástico</text>
  </threadedComment>
  <threadedComment ref="ACT80" dT="2025-10-16T14:06:36.66" personId="{50988EDD-6B47-41AF-ACDF-E7CDA77122B0}" id="{70A20F96-90AD-4761-BEE7-A241EF5027D9}">
    <text>Picada retirada por etiqueta</text>
  </threadedComment>
  <threadedComment ref="AEG80" dT="2025-10-30T16:05:59.76" personId="{50988EDD-6B47-41AF-ACDF-E7CDA77122B0}" id="{62DC3021-D8C3-407E-A706-038BD14EEC0A}">
    <text>TT cajas de TUKI con sabor atípico.</text>
  </threadedComment>
  <threadedComment ref="AEG80" dT="2025-10-30T16:07:25.37" personId="{50988EDD-6B47-41AF-ACDF-E7CDA77122B0}" id="{D9BFB893-979A-47F5-9E41-FA07B5487CA0}" parentId="{62DC3021-D8C3-407E-A706-038BD14EEC0A}">
    <text>Presencia de metales durante la madrugada.</text>
  </threadedComment>
  <threadedComment ref="AEY80" dT="2025-11-05T19:14:24.21" personId="{20DF8AF6-9A0E-4F9C-87DE-CBC9D113DA08}" id="{F1A33327-F25D-4537-9209-B1FB1E2621CD}">
    <text>Se deja en estado de observado, 187 cajas de HTUK003J.
Por faltas de cajas impresa TUKI, la producción decidió envasarla en cajas victoria. Son 2 pallet que quedan con film amarillo.</text>
  </threadedComment>
  <threadedComment ref="AFB80" dT="2025-11-05T19:17:50.86" personId="{20DF8AF6-9A0E-4F9C-87DE-CBC9D113DA08}" id="{93CADD65-00D9-4595-8112-14DC9B9673E5}">
    <text>Se procedió al desarme de la picadora, detectándose restos de plástico en su interior.
 Se dejan observados los pallets destinados a SENASA, los cuales permanecen en estado de observación ante la posible presencia de material plástico.</text>
  </threadedComment>
  <threadedComment ref="AFH80" dT="2025-11-05T19:21:42.74" personId="{20DF8AF6-9A0E-4F9C-87DE-CBC9D113DA08}" id="{0FB29950-A5A3-40C5-A6AD-5E6234D7BFBA}">
    <text>Se desarmó la picadora y se detectaron restos de plástico.
 La picada 7 es la que presentó desvíos (867 kg del batch).</text>
  </threadedComment>
  <threadedComment ref="AFH80" dT="2025-11-06T13:02:46.70" personId="{20DF8AF6-9A0E-4F9C-87DE-CBC9D113DA08}" id="{A1912509-902E-4381-BD49-71D53A7F3F3B}" parentId="{0FB29950-A5A3-40C5-A6AD-5E6234D7BFBA}">
    <text>Se dejan observadas 118 cajas del producto HTUK003J, ya que no se contaba con la cantidad suficiente de cajas originales. Por este motivo, se colocaron en cajas de la marca VICTORIA.</text>
  </threadedComment>
  <threadedComment ref="AFH80" dT="2025-11-06T13:05:44.47" personId="{20DF8AF6-9A0E-4F9C-87DE-CBC9D113DA08}" id="{958027F7-0C35-45FD-A29F-8E44E2473D07}" parentId="{0FB29950-A5A3-40C5-A6AD-5E6234D7BFBA}">
    <text>Se detecta sensibilidad y falsos positivos en los detectores durante la producción. Se llama al técnico para revisión.</text>
  </threadedComment>
  <threadedComment ref="AFK80" dT="2025-11-06T15:03:23.72" personId="{20DF8AF6-9A0E-4F9C-87DE-CBC9D113DA08}" id="{256D0B71-5D28-4EFD-A9F3-42B46A3960AA}">
    <text xml:space="preserve"> Vinieron los técnicos de los detectores.
 Se evidenció un problema con la fuente del equipo L2 (sin envase).
 En el equipo L3 se realizó un ajuste de sensibilidad y verificación de los 6 equipos.</text>
  </threadedComment>
  <threadedComment ref="AGC80" dT="2025-11-12T19:58:21.17" personId="{20DF8AF6-9A0E-4F9C-87DE-CBC9D113DA08}" id="{F23BF344-66E4-4F6A-9227-2498972AB4ED}">
    <text>Se retira mitad de la picada por falta de aditivo.</text>
  </threadedComment>
  <threadedComment ref="AGC80" dT="2025-11-12T19:59:38.68" personId="{20DF8AF6-9A0E-4F9C-87DE-CBC9D113DA08}" id="{53457AE0-923C-4CCF-8260-B4B74E695A8C}" parentId="{F23BF344-66E4-4F6A-9227-2498972AB4ED}">
    <text>Picada N° 29 contaminada con plástico.</text>
  </threadedComment>
  <threadedComment ref="AGF80" dT="2025-11-13T17:02:13.35" personId="{50988EDD-6B47-41AF-ACDF-E7CDA77122B0}" id="{B47F046A-2C4C-4ACD-A7B7-2DB488DCEB63}">
    <text>Presencia de metal al desarmar picadora</text>
  </threadedComment>
  <threadedComment ref="AGF80" dT="2025-11-14T11:17:27.32" personId="{20DF8AF6-9A0E-4F9C-87DE-CBC9D113DA08}" id="{E4152CA9-348B-4551-A442-6A18D4DFFDD4}" parentId="{B47F046A-2C4C-4ACD-A7B7-2DB488DCEB63}">
    <text>Se dejan observadas 274 cajas de Tuki por % elevado de grasa.</text>
  </threadedComment>
  <threadedComment ref="AGR80" dT="2025-11-19T12:19:02.32" personId="{20DF8AF6-9A0E-4F9C-87DE-CBC9D113DA08}" id="{CE361008-72D4-461C-975C-FA187FCF62F2}">
    <text>Quedaron observadas 260 cajas de producto Día 57 g por detección de sabor extraño.</text>
  </threadedComment>
  <threadedComment ref="AGU80" dT="2025-11-19T12:23:03.82" personId="{20DF8AF6-9A0E-4F9C-87DE-CBC9D113DA08}" id="{3E9AD70B-2CDF-4758-A3AF-44AF45658AE8}">
    <text>Se dejan observadas en total 320 cajas de Tuki 122 g y 110 g debido a un porcentaje elevado de grasa.</text>
  </threadedComment>
  <threadedComment ref="AGU80" dT="2025-11-20T12:27:44.75" personId="{50988EDD-6B47-41AF-ACDF-E7CDA77122B0}" id="{D713E4F3-3284-40AB-A9C7-042C87C03E6E}" parentId="{3E9AD70B-2CDF-4758-A3AF-44AF45658AE8}">
    <text>En el TM envasaron medallones en estuches de hamburguesas.</text>
  </threadedComment>
  <threadedComment ref="AHY80" dT="2025-12-01T12:43:23.54" personId="{20DF8AF6-9A0E-4F9C-87DE-CBC9D113DA08}" id="{922DE5FB-A997-49CC-8351-D84FB03615CF}">
    <text>se retiran parte de la picada 38 por roce de la cinta azul de ingreso al Gyro.</text>
  </threadedComment>
  <threadedComment ref="AJL80" dT="2025-12-15T10:44:59.48" personId="{20DF8AF6-9A0E-4F9C-87DE-CBC9D113DA08}" id="{D21C86BE-99DF-4232-90FE-F93101C91298}">
    <text>Se retira una picada de formula super por falta de frio en el Gyro la misma a la hora del formado estaba  blanda y no es posible formar.</text>
  </threadedComment>
  <threadedComment ref="AJL80" dT="2025-12-15T18:32:31.31" personId="{6B1F252F-B46A-4AF6-A9E5-E87FADFB85FD}" id="{0D30C20B-997B-4CDF-A8F3-D6D1E1EF297D}" parentId="{D21C86BE-99DF-4232-90FE-F93101C91298}">
    <text>problema de mycom</text>
  </threadedComment>
  <threadedComment ref="AJX80" dT="2025-12-15T16:06:54.25" personId="{20DF8AF6-9A0E-4F9C-87DE-CBC9D113DA08}" id="{ADADC725-B556-4A4E-9DBC-ECA57A93FD5E}">
    <text xml:space="preserve">Peso muy bajos  80 grs) con placa de 82grs en formula H </text>
  </threadedComment>
  <threadedComment ref="AKA80" dT="2025-12-17T13:31:50.55" personId="{50988EDD-6B47-41AF-ACDF-E7CDA77122B0}" id="{8A2FD57F-3F11-46E6-83EB-5A00A35B0937}">
    <text>1. Error de flow en M&amp;K
2. Helado en la 1.5
3. Caja de MP rota en 1.2 provoca que la carne esté desprotegida.</text>
  </threadedComment>
  <threadedComment ref="AKD80" dT="2025-12-17T13:30:20.36" personId="{50988EDD-6B47-41AF-ACDF-E7CDA77122B0}" id="{803C5BE1-15C4-411A-BCE7-50DA2213D42B}">
    <text>1. Problemas en el gyro.
2. Cinta a estuchadora rota.</text>
  </threadedComment>
  <threadedComment ref="AKG80" dT="2025-12-18T12:25:31.02" personId="{50988EDD-6B47-41AF-ACDF-E7CDA77122B0}" id="{8F199670-0DF4-4170-9136-7B612D08211B}">
    <text>Pasaron 7 cajas de marolio 12X12 con etiqueta de información de 6X20</text>
  </threadedComment>
  <threadedComment ref="AKG80" dT="2025-12-19T10:54:12.21" personId="{20DF8AF6-9A0E-4F9C-87DE-CBC9D113DA08}" id="{5317ED81-7A16-4067-9168-36CA3ECDDA4A}" parentId="{8F199670-0DF4-4170-9136-7B612D08211B}">
    <text>Se detecta 4 Cajas de m&amp;K con el código de Campo nuestro.</text>
  </threadedComment>
  <threadedComment ref="AKG80" dT="2025-12-19T10:54:54.34" personId="{20DF8AF6-9A0E-4F9C-87DE-CBC9D113DA08}" id="{C341EF16-CFAC-4E08-8E7D-050C1E562C21}" parentId="{8F199670-0DF4-4170-9136-7B612D08211B}">
    <text>Se detecta Plástico Blanco en la mezcladora .</text>
  </threadedComment>
  <threadedComment ref="AKG80" dT="2025-12-19T11:02:19.33" personId="{20DF8AF6-9A0E-4F9C-87DE-CBC9D113DA08}" id="{B85B70C8-40FE-4AA5-82EB-6B601D6EC2B6}" parentId="{8F199670-0DF4-4170-9136-7B612D08211B}">
    <text>Picada 74 con % elevado de grasa en formula H.</text>
  </threadedComment>
  <threadedComment ref="AKP80" dT="2025-12-22T10:50:52.05" personId="{20DF8AF6-9A0E-4F9C-87DE-CBC9D113DA08}" id="{37A89971-AD9A-4F05-83EC-E73BCCE0B244}">
    <text>Al inicio de la producción se detectan restos de soja en el interior de la mezcladora, por lo que se solicita la limpieza inmediata de la misma</text>
  </threadedComment>
  <threadedComment ref="AKS80" dT="2025-12-22T13:21:08.55" personId="{20DF8AF6-9A0E-4F9C-87DE-CBC9D113DA08}" id="{B9121A1C-9FC6-4E4A-98FD-D46C881467C3}">
    <text xml:space="preserve">Formula H con % elevado de grasa, se envasa en Victoria. </text>
  </threadedComment>
  <threadedComment ref="AKY80" dT="2025-12-26T10:45:26.23" personId="{20DF8AF6-9A0E-4F9C-87DE-CBC9D113DA08}" id="{A8D1CBB2-4F70-41F4-8237-CE4F6A9D3763}">
    <text xml:space="preserve">Picada n° 6 con presencia de guantes de latex </text>
  </threadedComment>
  <threadedComment ref="AKY80" dT="2025-12-26T10:46:45.18" personId="{20DF8AF6-9A0E-4F9C-87DE-CBC9D113DA08}" id="{108BD7C4-941F-4DED-8AEE-C8E426453AA2}" parentId="{A8D1CBB2-4F70-41F4-8237-CE4F6A9D3763}">
    <text>63 cajas de H070 Observadas por posible presencia de plástico.</text>
  </threadedComment>
  <threadedComment ref="ALE80" dT="2025-12-26T16:42:54.00" personId="{50988EDD-6B47-41AF-ACDF-E7CDA77122B0}" id="{A3545071-A244-4CFD-A1EE-860C023954AB}">
    <text>Hamburguesas deformadas se sacan para reproceso</text>
  </threadedComment>
  <threadedComment ref="AMI80" dT="2026-01-10T12:37:50.58" personId="{50988EDD-6B47-41AF-ACDF-E7CDA77122B0}" id="{559C1CB8-DDF5-4527-A333-BBF996CA365B}">
    <text>Bobinas mezcladas para PALADINI</text>
  </threadedComment>
  <threadedComment ref="AMO80" dT="2026-01-10T12:36:25.00" personId="{50988EDD-6B47-41AF-ACDF-E7CDA77122B0}" id="{DEE3CCD1-6ABB-4CBC-9D75-89C62FB68659}">
    <text>No hay bolsas de residuos en planta</text>
  </threadedComment>
  <threadedComment ref="AMR80" dT="2026-01-10T12:41:37.80" personId="{50988EDD-6B47-41AF-ACDF-E7CDA77122B0}" id="{21793818-46D1-4EC8-91D5-01B9B8B45AE3}">
    <text>Cajas rotas por rotura de cinta a paletizado.</text>
  </threadedComment>
  <threadedComment ref="AMU80" dT="2026-01-10T12:45:51.82" personId="{50988EDD-6B47-41AF-ACDF-E7CDA77122B0}" id="{950551AC-9EDB-41EB-A204-FD2AEE593B50}">
    <text>Quedó emitida una etiqueta en estuchadora para el código UG0053.
Resto de descarte abandonado después de la producción.
Materia prima e insumos sin subir. Falta de comunicación entre PB y PP para esclarecer los motivos.</text>
  </threadedComment>
  <threadedComment ref="APO80" dT="2026-02-03T18:51:16.90" personId="{20DF8AF6-9A0E-4F9C-87DE-CBC9D113DA08}" id="{A69C9765-C25E-469B-8750-2BC06973BF78}">
    <text xml:space="preserve">Hay un palet de soja con el resto de aditivos. No entra en el depósito de soja. </text>
  </threadedComment>
  <threadedComment ref="APO80" dT="2026-02-03T18:51:57.65" personId="{20DF8AF6-9A0E-4F9C-87DE-CBC9D113DA08}" id="{A57A2B62-7DE0-4689-885D-74B9867F5306}" parentId="{A69C9765-C25E-469B-8750-2BC06973BF78}">
    <text>Por porcentajes elevados de grasa, produccion nos informa que los primeros 2 batchs de formula H seran envasados como victoria caja blanca (H530)</text>
  </threadedComment>
  <threadedComment ref="APR80" dT="2026-02-04T23:28:22.52" personId="{20DF8AF6-9A0E-4F9C-87DE-CBC9D113DA08}" id="{7CCDDDFE-FF8F-427C-85F6-CA68CDBD2CFD}">
    <text>La etiqueta no coincide con el producto. En la etiqueta grande dice 36 paquetes por 2 unidades. La caja lleva 18 flowpacks con 2 unidades cada uno HCUI402</text>
  </threadedComment>
  <threadedComment ref="APX80" dT="2026-02-05T19:39:44.87" personId="{20DF8AF6-9A0E-4F9C-87DE-CBC9D113DA08}" id="{9FDB3C2E-DAD9-4787-A070-4E21703223C6}">
    <text xml:space="preserve">Cajas de Clásicas ug pegadas. </text>
  </threadedComment>
  <threadedComment ref="APX80" dT="2026-02-06T17:08:48.32" personId="{20DF8AF6-9A0E-4F9C-87DE-CBC9D113DA08}" id="{9B143B35-3882-4A37-BE21-6D8754EE480D}" parentId="{9FDB3C2E-DAD9-4787-A070-4E21703223C6}">
    <text>Se dejan observadas 412 cajas de UG0055 (cajas sin impresión).Faltantes de cajas.</text>
  </threadedComment>
  <threadedComment ref="AQA80" dT="2026-02-06T18:02:47.11" personId="{20DF8AF6-9A0E-4F9C-87DE-CBC9D113DA08}" id="{14BC51CA-4412-4B44-B569-A4CA233E4E43}">
    <text>La producción termina a las 15 hs por problemas con el Frio</text>
  </threadedComment>
  <threadedComment ref="AQA80" dT="2026-02-09T17:11:07.22" personId="{20DF8AF6-9A0E-4F9C-87DE-CBC9D113DA08}" id="{7504F2F2-FC1E-4B49-A259-BB5B3819A0F9}" parentId="{14BC51CA-4412-4B44-B569-A4CA233E4E43}">
    <text>Por pedido de producción se liberan las 412 cajas de UG0055, ya se le cambiaron las cajas</text>
  </threadedComment>
  <threadedComment ref="AQJ80" dT="2026-02-12T18:07:11.78" personId="{20DF8AF6-9A0E-4F9C-87DE-CBC9D113DA08}" id="{8D7B957A-78D4-4334-8ADE-565A8F5F8A42}">
    <text xml:space="preserve">Prueba de la nueva formulación de Supermercado </text>
  </threadedComment>
  <threadedComment ref="AQS80" dT="2026-02-12T18:08:00.59" personId="{20DF8AF6-9A0E-4F9C-87DE-CBC9D113DA08}" id="{AB78502B-7C1D-4F97-887E-7C449B9C3CDB}">
    <text>Estuches de Clásicas  pegados</text>
  </threadedComment>
  <threadedComment ref="AQS80" dT="2026-02-13T18:33:18.32" personId="{20DF8AF6-9A0E-4F9C-87DE-CBC9D113DA08}" id="{D847F6E7-EFBC-445C-B6D0-C2A0625F5167}" parentId="{AB78502B-7C1D-4F97-887E-7C449B9C3CDB}">
    <text>Prueba del disco de 6 m.</text>
  </threadedComment>
  <threadedComment ref="AQV80" dT="2026-02-18T16:41:45.51" personId="{20DF8AF6-9A0E-4F9C-87DE-CBC9D113DA08}" id="{016A2842-F01C-4390-BFBA-3DDAB80D63DB}">
    <text>Se realizó el hisopado de superficie en la mesada de la picadora, Luego al lavado dando positivo para  proteína láctea. En consecuencia, se solicitó la limpieza y sanitización del sector nuevamente. dando ok.</text>
  </threadedComment>
  <threadedComment ref="AQY80" dT="2026-02-18T16:31:11.19" personId="{20DF8AF6-9A0E-4F9C-87DE-CBC9D113DA08}" id="{804CBA55-D6A3-4A40-9930-1CB4B1616387}">
    <text>Cayó bolsa de hielo en parte de la picada nro 6 la cual se marcó en formax y se retira en bolsas de decomiso.</text>
  </threadedComment>
  <threadedComment ref="ARN80" dT="2026-02-19T20:25:34.35" personId="{20DF8AF6-9A0E-4F9C-87DE-CBC9D113DA08}" id="{CD5D4F0D-BC64-4A42-B87A-DD71FCA4E87B}">
    <text>Se retira la  picada de F por presencia de metal.</text>
  </threadedComment>
  <threadedComment ref="ART80" dT="2026-02-24T02:43:17.11" personId="{20DF8AF6-9A0E-4F9C-87DE-CBC9D113DA08}" id="{9C4346C8-C38F-47B6-B57F-C7D88E06E992}">
    <text>Se retira la picada n64° por  presencia de plástico azul en mezcladora</text>
  </threadedComment>
  <threadedComment ref="ARZ80" dT="2026-02-24T17:53:07.66" personId="{20DF8AF6-9A0E-4F9C-87DE-CBC9D113DA08}" id="{26F31C07-1165-41F3-AA48-4947BC9E7D2D}">
    <text>Carne en mal estado de verde y negro.</text>
  </threadedComment>
  <threadedComment ref="ARZ80" dT="2026-02-24T17:54:32.86" personId="{20DF8AF6-9A0E-4F9C-87DE-CBC9D113DA08}" id="{4772DD56-9350-4619-ACBC-53206D122718}" parentId="{26F31C07-1165-41F3-AA48-4947BC9E7D2D}">
    <text xml:space="preserve">Estuches de Dia% con tipografía distinta. </text>
  </threadedComment>
  <threadedComment ref="ASF80" dT="2026-02-26T19:42:35.56" personId="{20DF8AF6-9A0E-4F9C-87DE-CBC9D113DA08}" id="{73A9F530-37FD-4BFE-A571-C15D15C49E0B}">
    <text>Aditivos abiertos en entre piso.</text>
  </threadedComment>
  <threadedComment ref="ASI80" dT="2026-02-26T19:40:02.04" personId="{20DF8AF6-9A0E-4F9C-87DE-CBC9D113DA08}" id="{EE8A3857-49F2-468B-BAC8-FF43392D253B}">
    <text>13 cajas de día% con la fecha corrida. se solucionaron en el momento.</text>
  </threadedComment>
  <threadedComment ref="ASI80" dT="2026-02-26T19:41:25.35" personId="{20DF8AF6-9A0E-4F9C-87DE-CBC9D113DA08}" id="{F846822C-5BC4-465B-8055-3BD69A219AD2}" parentId="{EE8A3857-49F2-468B-BAC8-FF43392D253B}">
    <text xml:space="preserve">Soja de rosentecx con presencia de cuerpos extraños, quedan observadas 51 cajas </text>
  </threadedComment>
  <threadedComment ref="ASI80" dT="2026-02-26T19:48:06.06" personId="{20DF8AF6-9A0E-4F9C-87DE-CBC9D113DA08}" id="{293BB965-80DD-4CC5-81CD-3866AC74FAA0}" parentId="{EE8A3857-49F2-468B-BAC8-FF43392D253B}">
    <text>Cajas de tuki 18*4emite la etiqueta con un estuches de menos.</text>
  </threadedComment>
  <threadedComment ref="ASO80" dT="2026-03-02T16:53:11.89" personId="{20DF8AF6-9A0E-4F9C-87DE-CBC9D113DA08}" id="{CDBD6F22-DD21-4597-B252-C3ECCA161F0F}">
    <text>Estado de los casilleros del comedor.</text>
  </threadedComment>
  <threadedComment ref="ASU80" dT="2026-03-02T16:56:21.58" personId="{20DF8AF6-9A0E-4F9C-87DE-CBC9D113DA08}" id="{D5D3AF15-B584-4E7A-BF97-B2610AB1BE0B}">
    <text>Flow con producto sin fechas.</text>
  </threadedComment>
  <threadedComment ref="ASU80" dT="2026-03-02T16:57:46.24" personId="{20DF8AF6-9A0E-4F9C-87DE-CBC9D113DA08}" id="{CF2F4402-FF85-4384-B40C-ECB6836A279A}" parentId="{D5D3AF15-B584-4E7A-BF97-B2610AB1BE0B}">
    <text>Estuches de clásicas mal pegados , se efectúa el reclamo al proveedor.</text>
  </threadedComment>
  <threadedComment ref="ASU80" dT="2026-03-03T21:09:10.55" personId="{20DF8AF6-9A0E-4F9C-87DE-CBC9D113DA08}" id="{021AF0FC-75C6-4A16-AD55-F2C32FF24F2B}" parentId="{D5D3AF15-B584-4E7A-BF97-B2610AB1BE0B}">
    <text>1 Rollo de Copyflym defectuoso</text>
  </threadedComment>
  <threadedComment ref="ASX80" dT="2026-03-03T21:10:14.26" personId="{20DF8AF6-9A0E-4F9C-87DE-CBC9D113DA08}" id="{84347E89-DCB0-423A-B23D-CFB158581F7D}">
    <text>Aditivos abiertos en entre piso.</text>
  </threadedComment>
  <threadedComment ref="ASX80" dT="2026-03-03T21:10:51.65" personId="{20DF8AF6-9A0E-4F9C-87DE-CBC9D113DA08}" id="{78A12CBB-08D8-4979-9959-70EE9FBC9214}" parentId="{84347E89-DCB0-423A-B23D-CFB158581F7D}">
    <text>CLA001 Se emitió una etiqueta aunque le falte un estuche, solucionado por Migue.</text>
  </threadedComment>
  <threadedComment ref="ASX80" dT="2026-03-03T21:12:06.93" personId="{20DF8AF6-9A0E-4F9C-87DE-CBC9D113DA08}" id="{8EAC04DB-F4F9-46D3-B665-5B7E7EA17E24}" parentId="{84347E89-DCB0-423A-B23D-CFB158581F7D}">
    <text>Estuches con dos unidades de menos, detectado en el control de empaque.</text>
  </threadedComment>
  <threadedComment ref="ATA80" dT="2026-03-09T13:25:32.21" personId="{50988EDD-6B47-41AF-ACDF-E7CDA77122B0}" id="{FF801317-DC3B-40E4-A9E1-3E1623DACF66}">
    <text>Aditivo roto en entrepiso</text>
  </threadedComment>
  <threadedComment ref="ATA80" dT="2026-03-09T13:26:20.18" personId="{50988EDD-6B47-41AF-ACDF-E7CDA77122B0}" id="{4E3D52E1-BDB3-4C2C-B0E3-63B1ACC7B841}" parentId="{FF801317-DC3B-40E4-A9E1-3E1623DACF66}">
    <text>Puerta abierta de la 0.5</text>
  </threadedComment>
  <threadedComment ref="ATD80" dT="2026-03-09T13:34:38.67" personId="{50988EDD-6B47-41AF-ACDF-E7CDA77122B0}" id="{ED04C93A-DCCB-41CF-A135-8C07D3CE7E4E}">
    <text>Aditivo roto</text>
  </threadedComment>
  <threadedComment ref="ATD80" dT="2026-03-09T13:34:56.39" personId="{50988EDD-6B47-41AF-ACDF-E7CDA77122B0}" id="{27B4B42E-437C-496A-8292-C761AC554649}" parentId="{ED04C93A-DCCB-41CF-A135-8C07D3CE7E4E}">
    <text>Problema con el sellado de flows</text>
  </threadedComment>
  <threadedComment ref="ATG80" dT="2026-03-09T13:36:02.36" personId="{50988EDD-6B47-41AF-ACDF-E7CDA77122B0}" id="{E129C4F2-5C1C-4F5D-9B70-D36113BC04B7}">
    <text>Bobinas mezcladas</text>
  </threadedComment>
  <threadedComment ref="ATS80" dT="2026-03-11T18:43:55.07" personId="{20DF8AF6-9A0E-4F9C-87DE-CBC9D113DA08}" id="{2EB66CE0-3243-45BD-823E-7922E6401103}">
    <text>Desde la mezcladora se retiraron restos de plasticos, provenientes de la picadora (batch 72) </text>
  </threadedComment>
  <threadedComment ref="ATV80" dT="2026-03-16T12:19:37.61" personId="{50988EDD-6B47-41AF-ACDF-E7CDA77122B0}" id="{3D928D2B-15B7-400F-8548-5CDDA5A7C3E3}">
    <text>Bobinas fuera de lugar</text>
  </threadedComment>
  <threadedComment ref="ATV80" dT="2026-03-16T12:20:09.36" personId="{50988EDD-6B47-41AF-ACDF-E7CDA77122B0}" id="{E6E9558F-C342-41BC-9F6B-80F57795894F}" parentId="{3D928D2B-15B7-400F-8548-5CDDA5A7C3E3}">
    <text>Se cae resto de carne por dejar cinta encendida</text>
  </threadedComment>
  <threadedComment ref="ATV80" dT="2026-03-16T12:20:39.58" personId="{50988EDD-6B47-41AF-ACDF-E7CDA77122B0}" id="{5D98DFA5-92A1-447A-950F-3F9A8378A949}" parentId="{3D928D2B-15B7-400F-8548-5CDDA5A7C3E3}">
    <text>Estuches sin retirar</text>
  </threadedComment>
  <threadedComment ref="ATV80" dT="2026-03-16T12:21:08.12" personId="{50988EDD-6B47-41AF-ACDF-E7CDA77122B0}" id="{C9755ACB-ECA3-41A3-8207-E1CE8513BF39}" parentId="{3D928D2B-15B7-400F-8548-5CDDA5A7C3E3}">
    <text>Aditivos abiertos</text>
  </threadedComment>
  <threadedComment ref="ATV80" dT="2026-03-16T12:21:27.35" personId="{50988EDD-6B47-41AF-ACDF-E7CDA77122B0}" id="{2C332D78-660D-4475-9C76-9C39BFC0FECD}" parentId="{3D928D2B-15B7-400F-8548-5CDDA5A7C3E3}">
    <text>Bobinas sin cubrir</text>
  </threadedComment>
  <threadedComment ref="ATY80" dT="2026-03-16T12:22:21.27" personId="{50988EDD-6B47-41AF-ACDF-E7CDA77122B0}" id="{AF893071-2416-470E-BDCA-EB7AB00C320B}">
    <text>Restos de cartones y cajas en sector estuchadora</text>
  </threadedComment>
  <threadedComment ref="ATY80" dT="2026-03-16T12:22:41.09" personId="{50988EDD-6B47-41AF-ACDF-E7CDA77122B0}" id="{50ED9073-D78F-4B0A-92A4-2B5D6D55D556}" parentId="{AF893071-2416-470E-BDCA-EB7AB00C320B}">
    <text>Bobinas sin cubrir</text>
  </threadedComment>
  <threadedComment ref="AUB80" dT="2026-03-16T12:19:05.69" personId="{50988EDD-6B47-41AF-ACDF-E7CDA77122B0}" id="{41361F04-622D-4FEE-A349-0D53D9F3AE26}">
    <text xml:space="preserve">Error en estuches CDL. </text>
  </threadedComment>
  <threadedComment ref="AUB80" dT="2026-03-16T12:23:37.87" personId="{50988EDD-6B47-41AF-ACDF-E7CDA77122B0}" id="{5B870BA2-B8F5-45F0-B7C9-FB389E55F603}" parentId="{41361F04-622D-4FEE-A349-0D53D9F3AE26}">
    <text>Aditivos abiertos</text>
  </threadedComment>
  <threadedComment ref="AUB80" dT="2026-03-16T19:37:23.31" personId="{20DF8AF6-9A0E-4F9C-87DE-CBC9D113DA08}" id="{E081EA9C-16D8-4BB7-9DF8-DC43E9C996EC}" parentId="{41361F04-622D-4FEE-A349-0D53D9F3AE26}">
    <text>Rotura del programa del Foos, se guardan muestras y durante la mañana se analizan.</text>
  </threadedComment>
  <threadedComment ref="AUK80" dT="2026-03-16T12:24:04.05" personId="{50988EDD-6B47-41AF-ACDF-E7CDA77122B0}" id="{FBB48D78-ABA7-47B5-B99B-63DD0460A125}">
    <text>Presencia de metal en producto terminado.</text>
  </threadedComment>
  <threadedComment ref="AUK80" dT="2026-03-17T19:08:24.15" personId="{20DF8AF6-9A0E-4F9C-87DE-CBC9D113DA08}" id="{68EC6696-2809-45B2-9D2F-4844D056A49C}" parentId="{FBB48D78-ABA7-47B5-B99B-63DD0460A125}">
    <text>Cambio de terciario en h355 por presencia de humedad en las cajas.</text>
  </threadedComment>
  <threadedComment ref="AUK80" dT="2026-03-17T19:11:16.78" personId="{20DF8AF6-9A0E-4F9C-87DE-CBC9D113DA08}" id="{782B6F66-EF4E-47E5-A201-B81A37637F82}" parentId="{FBB48D78-ABA7-47B5-B99B-63DD0460A125}">
    <text>En turno tarde presencia de perdigones .</text>
  </threadedComment>
  <threadedComment ref="AUN80" dT="2026-03-17T19:09:27.06" personId="{20DF8AF6-9A0E-4F9C-87DE-CBC9D113DA08}" id="{99D28159-2CAE-4B20-945C-3B5D95F465B7}">
    <text>Aditivos abiertos en entre piso.</text>
  </threadedComment>
  <threadedComment ref="AUN80" dT="2026-03-17T19:12:26.52" personId="{20DF8AF6-9A0E-4F9C-87DE-CBC9D113DA08}" id="{1F054EC7-6519-48BA-A88C-7055444CB970}" parentId="{99D28159-2CAE-4B20-945C-3B5D95F465B7}">
    <text>Estuches de Clásica despegados se notifica al proveedor.</text>
  </threadedComment>
  <threadedComment ref="AUN80" dT="2026-03-18T21:20:42.20" personId="{20DF8AF6-9A0E-4F9C-87DE-CBC9D113DA08}" id="{B58D956D-E3BB-4349-99BA-D4A855CD5CD9}" parentId="{99D28159-2CAE-4B20-945C-3B5D95F465B7}">
    <text>Loker del primer piso detectado por senasa con alimentos .</text>
  </threadedComment>
  <threadedComment ref="AUQ80" dT="2026-03-18T21:19:16.93" personId="{20DF8AF6-9A0E-4F9C-87DE-CBC9D113DA08}" id="{C30C6662-EBE2-4003-AD89-6967D4D56605}">
    <text>5 cajas de M&amp;k de 12 con código de 20.</text>
  </threadedComment>
  <threadedComment ref="AUQ80" dT="2026-03-18T21:22:33.23" personId="{20DF8AF6-9A0E-4F9C-87DE-CBC9D113DA08}" id="{FB47F8E2-7845-45D3-984A-056B706D8DD9}" parentId="{C30C6662-EBE2-4003-AD89-6967D4D56605}">
    <text>Colillas de cigarrillos en sala de termotanques.</text>
  </threadedComment>
  <threadedComment ref="AUT80" dT="2026-03-20T19:03:00.10" personId="{20DF8AF6-9A0E-4F9C-87DE-CBC9D113DA08}" id="{799CFDAE-9EE1-4F4B-A6A9-161FAB85D7D8}">
    <text>Picada n° 75  de formula H se retira por presencia de plástico azul.</text>
  </threadedComment>
  <threadedComment ref="AUT80" dT="2026-03-20T19:05:16.56" personId="{20DF8AF6-9A0E-4F9C-87DE-CBC9D113DA08}" id="{FBDE9426-1034-40DA-9C89-3357DD7B7B13}" parentId="{799CFDAE-9EE1-4F4B-A6A9-161FAB85D7D8}">
    <text>En control de empaque se detecta una caja con dos unidades de  menos.</text>
  </threadedComment>
  <threadedComment ref="AUW80" dT="2026-03-23T16:49:36.57" personId="{20DF8AF6-9A0E-4F9C-87DE-CBC9D113DA08}" id="{620F7B63-7058-4AF2-BFDD-35AEF02D019B}">
    <text>Batch 63 de formula S se retira de mezcladora en bolsa por presencia de guante.</text>
  </threadedComment>
  <threadedComment ref="AUW80" dT="2026-03-23T17:00:47.16" personId="{20DF8AF6-9A0E-4F9C-87DE-CBC9D113DA08}" id="{C0F2C778-E4DB-4DAF-9E7D-EE40B3FD43B7}" parentId="{620F7B63-7058-4AF2-BFDD-35AEF02D019B}">
    <text>Hamburguesas mal formadas, por presencia en formadora de un sensor .</text>
  </threadedComment>
  <threadedComment ref="AVF80" dT="2026-03-23T16:56:31.27" personId="{20DF8AF6-9A0E-4F9C-87DE-CBC9D113DA08}" id="{BA8B097E-0493-4A1E-B544-FA9FAB14CF74}">
    <text>Picada N° 17 de formula H con presencia de guantes.</text>
  </threadedComment>
  <threadedComment ref="AVF80" dT="2026-03-23T17:03:14.63" personId="{20DF8AF6-9A0E-4F9C-87DE-CBC9D113DA08}" id="{DC1FEE83-609B-47DE-A840-2C2E61AD7E19}" parentId="{BA8B097E-0493-4A1E-B544-FA9FAB14CF74}">
    <text xml:space="preserve">Bobinas descubiertas </text>
  </threadedComment>
  <threadedComment ref="AVL80" dT="2026-03-26T17:09:40.86" personId="{20DF8AF6-9A0E-4F9C-87DE-CBC9D113DA08}" id="{E3A52A8F-FE29-4FBC-B22E-EA232B938938}">
    <text>ARYSA: bolsas de fórmula H con bolsa interna de nylon mal sellada por los bordes se gestiona la devolución, queda cartelizado el pallet con el lote que está con problemas.</text>
  </threadedComment>
  <threadedComment ref="AVL80" dT="2026-03-26T17:11:31.26" personId="{20DF8AF6-9A0E-4F9C-87DE-CBC9D113DA08}" id="{88B75482-4C2B-4858-9065-B485776CC6ED}" parentId="{E3A52A8F-FE29-4FBC-B22E-EA232B938938}">
    <text>Se re manejan las cajas de ug0058 con la fecha errónea del día 12/03/2026</text>
  </threadedComment>
  <threadedComment ref="AVO80" dT="2026-03-26T17:12:03.47" personId="{20DF8AF6-9A0E-4F9C-87DE-CBC9D113DA08}" id="{FCCBDB1C-92E6-4C97-BA1D-0102F5D01D46}">
    <text>Bobinas sin cubrir</text>
  </threadedComment>
  <threadedComment ref="HB81" dT="2025-04-10T12:55:16.48" personId="{50988EDD-6B47-41AF-ACDF-E7CDA77122B0}" id="{47D8F8CB-57A3-4B95-9407-3C6663A9BEB0}">
    <text>Presencia de TACC en muestra de soja</text>
  </threadedComment>
  <threadedComment ref="JG81" dT="2025-04-29T17:05:45.91" personId="{50988EDD-6B47-41AF-ACDF-E7CDA77122B0}" id="{AEE76F9F-03D5-481B-9BC8-8311E0A47F6F}">
    <text>Desvío en stock de carragenina</text>
  </threadedComment>
  <threadedComment ref="WE81" dT="2025-08-22T17:35:57.60" personId="{50988EDD-6B47-41AF-ACDF-E7CDA77122B0}" id="{AF677A73-30C0-4B77-93E6-2A93041F7618}">
    <text>Denuncia en SENASA</text>
  </threadedComment>
  <threadedComment ref="WH81" dT="2025-08-22T17:36:56.58" personId="{50988EDD-6B47-41AF-ACDF-E7CDA77122B0}" id="{07888606-405A-4EFC-8B08-967AD4C01539}">
    <text>Error de contenido. Se detecta caja de BONMAR con paquetes de CHACRA</text>
  </threadedComment>
  <threadedComment ref="WK81" dT="2025-08-22T17:36:44.33" personId="{50988EDD-6B47-41AF-ACDF-E7CDA77122B0}" id="{A420AF54-ED13-4734-9C01-49BA91566462}">
    <text>Desembarco: presencia de plástico azul y "metal"</text>
  </threadedComment>
  <threadedComment ref="WN81" dT="2025-08-22T17:37:22.44" personId="{50988EDD-6B47-41AF-ACDF-E7CDA77122B0}" id="{80E38AA3-C839-438B-BA87-0FAD39EF2C10}">
    <text>Salchichas sin vacío en MAXI CARREFOUR</text>
  </threadedComment>
  <threadedComment ref="WQ81" dT="2025-08-22T17:37:33.05" personId="{50988EDD-6B47-41AF-ACDF-E7CDA77122B0}" id="{30EED458-E513-4BE3-A6C9-24D0417E5491}">
    <text>Comadreja</text>
  </threadedComment>
  <threadedComment ref="ABG81" dT="2025-10-02T16:04:59.88" personId="{50988EDD-6B47-41AF-ACDF-E7CDA77122B0}" id="{90DB41DA-13C5-49DA-A24B-4111C292BD22}">
    <text>1) Persianas de montacargas no cierran correctamente (debe hacer tope para garantizar hermeticidad).
2) Zócalos levantados en antecámara de PP
3) Ingresos a cámaras de PP con zócalos levantados, pisos rotos, rejillas sucias, restos de madera
4) Palets de madera en entrepiso
5) Techo de producción sucio
6) Falta de producto en FILTRO 5 (RASCASUELAS)
7) Mala preparación de producto en FILTROS 5 y 1 (LAVABOTAS)</text>
  </threadedComment>
  <threadedComment ref="AJI81" dT="2025-12-11T11:49:02.14" personId="{50988EDD-6B47-41AF-ACDF-E7CDA77122B0}" id="{5C6549D1-500E-4505-9EFB-3EB518317830}">
    <text>Tenor graso de la carne usada para las fórmulas V y TH</text>
  </threadedComment>
  <threadedComment ref="AJO81" dT="2025-12-15T14:23:52.85" personId="{20DF8AF6-9A0E-4F9C-87DE-CBC9D113DA08}" id="{8A965578-51E5-4407-851D-9454F7ECF15F}">
    <text>Se detectaron cajas del turno M. con el día de elaboración 11/12/2025.</text>
  </threadedComment>
  <threadedComment ref="AKA81" dT="2025-12-17T13:29:17.55" personId="{50988EDD-6B47-41AF-ACDF-E7CDA77122B0}" id="{FE30EA78-A547-4B41-8F1D-9327CA50FA2B}">
    <text>Presencia de metal y plástico en producto.</text>
  </threadedComment>
  <threadedComment ref="AKD81" dT="2025-12-18T14:11:31.22" personId="{50988EDD-6B47-41AF-ACDF-E7CDA77122B0}" id="{CFA4503F-0A43-424D-A6F3-E1B5D799897F}">
    <text>Cajas aparentemente más blandas</text>
  </threadedComment>
  <threadedComment ref="ALE81" dT="2025-12-26T13:57:21.78" personId="{50988EDD-6B47-41AF-ACDF-E7CDA77122B0}" id="{A84C022B-7A81-4F7B-B9F9-7F87186A48D5}">
    <text>Coliformes en AGUA</text>
  </threadedComment>
  <threadedComment ref="AML81" dT="2026-01-10T12:35:31.43" personId="{50988EDD-6B47-41AF-ACDF-E7CDA77122B0}" id="{C4B30C6C-9C34-4EA9-960F-0154D6DCFAF8}">
    <text>Rotura de cinta escalonada</text>
  </threadedComment>
  <threadedComment ref="AMR81" dT="2026-01-10T12:44:50.06" personId="{50988EDD-6B47-41AF-ACDF-E7CDA77122B0}" id="{2993017B-880C-4322-9568-1ACCB3264B4D}">
    <text>En cámara 1.2 se encuentra en la misma esquina: 1 bin con decomiso, 1 bin con pasta para reproceso, cajas de congelado atemperandose para retirar plástico y sobre estas una bolsa con carne en mal estado.
Personal de SENASA solicita la capacitación del personal de cámara para mejorar el orden de las mismas.</text>
  </threadedComment>
  <threadedComment ref="AOB81" dT="2026-01-30T16:03:26.47" personId="{20DF8AF6-9A0E-4F9C-87DE-CBC9D113DA08}" id="{8BCD8BBD-045B-48B8-8B67-120A33F9E597}">
    <text>Presencia de plástico en la picada F</text>
  </threadedComment>
  <threadedComment ref="AOE81" dT="2026-01-30T16:23:02.78" personId="{20DF8AF6-9A0E-4F9C-87DE-CBC9D113DA08}" id="{AA11EC57-3627-4681-BB27-686A5C4CA345}">
    <text xml:space="preserve">Estuches Ug Clásicas, vienen pegados </text>
  </threadedComment>
  <threadedComment ref="AOK81" dT="2026-01-30T16:34:40.50" personId="{20DF8AF6-9A0E-4F9C-87DE-CBC9D113DA08}" id="{7AB366E8-B059-43D3-A004-AE367D0F8C4B}">
    <text xml:space="preserve">Estuches de clásicas, pegados </text>
  </threadedComment>
  <threadedComment ref="AON81" dT="2026-01-30T16:37:33.31" personId="{20DF8AF6-9A0E-4F9C-87DE-CBC9D113DA08}" id="{E1E635C2-D1BA-45F1-8E6E-67CFEDC3B25E}">
    <text>Por falta de cajas TUKI HAMBURGUESAS FORMULA J se va a envasar el resto de J con cajas TUKI BLACK</text>
  </threadedComment>
  <threadedComment ref="AON81" dT="2026-01-30T16:38:00.72" personId="{20DF8AF6-9A0E-4F9C-87DE-CBC9D113DA08}" id="{0558AAC1-D0F8-4683-9036-C4C762F0C72D}" parentId="{E1E635C2-D1BA-45F1-8E6E-67CFEDC3B25E}">
    <text>Balanza de mezcladora sin funcionar.</text>
  </threadedComment>
  <threadedComment ref="AOT81" dT="2026-01-27T20:53:27.86" personId="{20DF8AF6-9A0E-4F9C-87DE-CBC9D113DA08}" id="{C867621B-D0C3-47E9-B920-FA408802214E}">
    <text xml:space="preserve">Presencia de hilos azules en mezcladora  proveniente de la Mp Gorina. </text>
  </threadedComment>
  <threadedComment ref="AOT81" dT="2026-01-30T16:40:20.75" personId="{20DF8AF6-9A0E-4F9C-87DE-CBC9D113DA08}" id="{E8C61DD5-A4D1-49FA-A376-6AC502030001}" parentId="{C867621B-D0C3-47E9-B920-FA408802214E}">
    <text xml:space="preserve">Arranque de estuchadora no se cambio la fecha salieron 88 cajas, con la fecha del día anterior </text>
  </threadedComment>
  <threadedComment ref="AOW81" dT="2026-01-27T20:55:02.55" personId="{20DF8AF6-9A0E-4F9C-87DE-CBC9D113DA08}" id="{BA075B00-D310-4B90-94E1-20DF40B26C0A}">
    <text>Presencias de guantes en la primera picada de F.</text>
  </threadedComment>
  <threadedComment ref="AOW81" dT="2026-01-27T20:55:40.72" personId="{20DF8AF6-9A0E-4F9C-87DE-CBC9D113DA08}" id="{8A754205-C0B8-4445-8ECD-56CEE874745C}" parentId="{BA075B00-D310-4B90-94E1-20DF40B26C0A}">
    <text>Caída de la palita de aditivos en la mezcladora.</text>
  </threadedComment>
  <threadedComment ref="APC81" dT="2026-01-30T16:44:21.06" personId="{20DF8AF6-9A0E-4F9C-87DE-CBC9D113DA08}" id="{08B93BE8-FF34-47C6-BBFB-2C7D0E48327D}">
    <text>Hielo con presencia de metal</text>
  </threadedComment>
  <threadedComment ref="APC81" dT="2026-01-30T16:44:52.36" personId="{20DF8AF6-9A0E-4F9C-87DE-CBC9D113DA08}" id="{4729A1DA-3955-40C1-AEBA-A62B80E3A6C0}" parentId="{08B93BE8-FF34-47C6-BBFB-2C7D0E48327D}">
    <text>Restos de hamburguesas olvidados después de las hs extras</text>
  </threadedComment>
  <threadedComment ref="L84" dT="2025-02-03T09:47:50.27" personId="{6B1F252F-B46A-4AF6-A9E5-E87FADFB85FD}" id="{A4C6C24F-265D-4894-9FB7-DD8150C476F8}">
    <text>una rotura fue de horquilla y la otra perdida de aceite</text>
  </threadedComment>
  <threadedComment ref="O84" dT="2025-02-04T14:41:28.71" personId="{6B1F252F-B46A-4AF6-A9E5-E87FADFB85FD}" id="{AD7B1ACA-319E-4517-B7F6-16D3F87B9006}">
    <text>fue por la misma perdida de aceite del dia anterior</text>
  </threadedComment>
  <threadedComment ref="AJ84" dT="2025-02-11T18:44:47.30" personId="{6B1F252F-B46A-4AF6-A9E5-E87FADFB85FD}" id="{7A1BEEA3-0966-4B75-8399-A9055E643485}">
    <text>palletera deposito de carton</text>
  </threadedComment>
  <threadedComment ref="AS84" dT="2025-02-14T11:20:34.09" personId="{6B1F252F-B46A-4AF6-A9E5-E87FADFB85FD}" id="{C4775B74-B44F-45F0-92D3-E79926E74EBE}">
    <text>nivel de aceite paletera peron</text>
  </threadedComment>
  <threadedComment ref="AV84" dT="2025-02-17T10:16:38.21" personId="{6B1F252F-B46A-4AF6-A9E5-E87FADFB85FD}" id="{D06F4EF7-5373-479A-8BD9-CD34A94C257C}">
    <text xml:space="preserve">perdida de aceite paletera peron
</text>
  </threadedComment>
  <threadedComment ref="BE84" dT="2025-02-18T11:12:46.69" personId="{6B1F252F-B46A-4AF6-A9E5-E87FADFB85FD}" id="{AA6B4F1C-018E-4B9D-A184-88FB7211C646}">
    <text>paletera peron,carga de aceite hidraulico por perdida</text>
  </threadedComment>
  <threadedComment ref="BH84" dT="2025-02-19T10:55:19.78" personId="{6B1F252F-B46A-4AF6-A9E5-E87FADFB85FD}" id="{ED1EDF68-755B-49F7-A54E-9419CDEBCC11}">
    <text xml:space="preserve">1 perdida de aceite apilador peron.2 apilador camara 03 timon flojo
</text>
  </threadedComment>
  <threadedComment ref="BN84" dT="2025-02-28T11:01:36.39" personId="{6B1F252F-B46A-4AF6-A9E5-E87FADFB85FD}" id="{7EC63EA8-44DA-4E46-9658-802DC3468395}">
    <text>paletera deposito peron , se agrega liquido hidraulico</text>
  </threadedComment>
  <threadedComment ref="CC84" dT="2025-02-28T11:17:24.74" personId="{6B1F252F-B46A-4AF6-A9E5-E87FADFB85FD}" id="{93B3EF9C-2A4A-4862-BEEB-22CFCD9A40CE}">
    <text>apilador camaras 04-05, se reparo tapa de bateria</text>
  </threadedComment>
  <threadedComment ref="CF84" dT="2025-02-28T11:19:42.89" personId="{6B1F252F-B46A-4AF6-A9E5-E87FADFB85FD}" id="{FF101F93-3AAF-4B04-B4F7-064C7FE1CC0E}">
    <text>paletera toyota planta baja, se reemplaza rueda de apoyo</text>
  </threadedComment>
  <threadedComment ref="CL84" dT="2025-03-04T10:23:03.43" personId="{6B1F252F-B46A-4AF6-A9E5-E87FADFB85FD}" id="{2D064145-74BF-45BF-9AC0-96E46D3A669B}">
    <text>apiladore en alquiler problemas con la rueda de traccion, queda operativo</text>
  </threadedComment>
  <threadedComment ref="CO84" dT="2025-03-04T10:25:11.14" personId="{6B1F252F-B46A-4AF6-A9E5-E87FADFB85FD}" id="{5CD71FA4-727C-46BA-9D6C-B9302D60B4A9}">
    <text>1 paletera toyota timon roto .2 hangcha rueda de traccion rota</text>
  </threadedComment>
  <threadedComment ref="DD84" dT="2025-03-07T12:16:30.47" personId="{6B1F252F-B46A-4AF6-A9E5-E87FADFB85FD}" id="{5E2140F4-E182-4C12-A671-350D4B4B84AE}">
    <text>apilador ae01 se regulo sensor y carga de hidraulico</text>
  </threadedComment>
  <threadedComment ref="DG84" dT="2025-03-10T12:40:01.08" personId="{6B1F252F-B46A-4AF6-A9E5-E87FADFB85FD}" id="{6F944926-39CC-4044-A256-7F40E6CE0290}">
    <text>reemplazo de rueda toyota pe 05</text>
  </threadedComment>
  <threadedComment ref="DP84" dT="2025-03-11T11:20:24.43" personId="{6B1F252F-B46A-4AF6-A9E5-E87FADFB85FD}" id="{E4CC2F02-B70A-437A-AAD1-7716B999F14C}">
    <text>apilador camara 04 , rotura de ruedas</text>
  </threadedComment>
  <threadedComment ref="DS84" dT="2025-03-13T17:23:40.05" personId="{6B1F252F-B46A-4AF6-A9E5-E87FADFB85FD}" id="{30E81E8C-6B4D-4732-A72B-3DE53A6AD330}">
    <text>1 ,apilador pe 05 cambio de rueda de apoyo. 2 paletera manual sala de estuchado, se reviso y estaba operativa</text>
  </threadedComment>
  <threadedComment ref="DS84" dT="2025-03-13T17:31:29.39" personId="{6B1F252F-B46A-4AF6-A9E5-E87FADFB85FD}" id="{0EFD4C63-AAF9-471A-9B7F-F4DA247503F2}" parentId="{30E81E8C-6B4D-4732-A72B-3DE53A6AD330}">
    <text>3 se reviso el timon del apilador ae01 queda operativo</text>
  </threadedComment>
  <threadedComment ref="DV84" dT="2025-03-13T17:40:30.85" personId="{6B1F252F-B46A-4AF6-A9E5-E87FADFB85FD}" id="{DDF8FF7A-DE7E-4E7C-A0FD-DFB38063BE7C}">
    <text>apilador ae01 ,se soluciono problema de traccion con terciarizado</text>
  </threadedComment>
  <threadedComment ref="EE84" dT="2025-03-17T11:27:13.86" personId="{6B1F252F-B46A-4AF6-A9E5-E87FADFB85FD}" id="{9898AB5F-D7BD-46CA-91CE-9E4E56357652}">
    <text xml:space="preserve">paletera pe05 , se encontro con un golpe en el cobertor 
</text>
  </threadedComment>
  <threadedComment ref="EN84" dT="2025-03-19T15:27:54.42" personId="{6B1F252F-B46A-4AF6-A9E5-E87FADFB85FD}" id="{4C03CC78-97C3-452B-A594-A2C2E74E7EBA}">
    <text>apilador AE01: se encontro con el cobertor roto</text>
  </threadedComment>
  <threadedComment ref="EN84" dT="2025-03-19T15:32:32.18" personId="{6B1F252F-B46A-4AF6-A9E5-E87FADFB85FD}" id="{59BF74FE-0877-4362-AC54-C3FA371519EA}" parentId="{4C03CC78-97C3-452B-A594-A2C2E74E7EBA}">
    <text xml:space="preserve">paletera: pe 05: falla en el timon </text>
  </threadedComment>
  <threadedComment ref="ET84" dT="2025-03-21T11:25:22.84" personId="{6B1F252F-B46A-4AF6-A9E5-E87FADFB85FD}" id="{6A616D5B-DB2D-4350-AF7D-9A18C7AE6CAD}">
    <text>zorra manual de inox , timon roto</text>
  </threadedComment>
  <threadedComment ref="FI84" dT="2025-03-26T15:11:56.04" personId="{6B1F252F-B46A-4AF6-A9E5-E87FADFB85FD}" id="{2C030623-817C-40B0-B5D8-1F6A556991A7}">
    <text xml:space="preserve">apilador  AE01: se repara horquilla </text>
  </threadedComment>
  <threadedComment ref="FL84" dT="2025-03-27T11:03:27.56" personId="{6B1F252F-B46A-4AF6-A9E5-E87FADFB85FD}" id="{7360A385-50F3-46C2-8352-3A1E82D7029C}">
    <text>paletera de inox : se coloco perno de rueda</text>
  </threadedComment>
  <threadedComment ref="FL84" dT="2025-03-27T11:07:56.23" personId="{6B1F252F-B46A-4AF6-A9E5-E87FADFB85FD}" id="{EAA87A9A-ABF6-4C34-B954-2F7C99228E0E}" parentId="{7360A385-50F3-46C2-8352-3A1E82D7029C}">
    <text xml:space="preserve">apilador AE01:se soluciono problema con la bocina </text>
  </threadedComment>
  <threadedComment ref="FR84" dT="2025-03-31T10:35:38.60" personId="{6B1F252F-B46A-4AF6-A9E5-E87FADFB85FD}" id="{D3CBC1F1-E20F-49C7-ADA1-64A1E3C63F31}">
    <text>paletera de primer piso : problemas con el cargador</text>
  </threadedComment>
  <threadedComment ref="GD84" dT="2025-04-03T09:52:42.84" personId="{6B1F252F-B46A-4AF6-A9E5-E87FADFB85FD}" id="{39A8FDFC-E113-4624-BAAB-1374BD82AE94}">
    <text>apilador ae04: problema en la conexion del sensor de altura</text>
  </threadedComment>
  <threadedComment ref="GV84" dT="2025-04-08T16:43:41.57" personId="{6B1F252F-B46A-4AF6-A9E5-E87FADFB85FD}" id="{D9574B74-B5BC-4D76-B464-2B199B624474}">
    <text>problemas con el cargador de bateria de primer piso</text>
  </threadedComment>
  <threadedComment ref="GY84" dT="2025-04-10T13:08:37.30" personId="{6B1F252F-B46A-4AF6-A9E5-E87FADFB85FD}" id="{7B5CFA2C-95AF-4F2E-94DF-D0E58B3580B4}">
    <text>paletera PE05 tapa de cobertor rota</text>
  </threadedComment>
  <threadedComment ref="HB84" dT="2025-04-10T13:12:12.46" personId="{6B1F252F-B46A-4AF6-A9E5-E87FADFB85FD}" id="{3722ADBC-1002-4642-AC8E-B82AD35D8FE9}">
    <text>apilador deposito peron, se repara sensor</text>
  </threadedComment>
  <threadedComment ref="HH84" dT="2025-04-14T10:46:24.24" personId="{6B1F252F-B46A-4AF6-A9E5-E87FADFB85FD}" id="{A5A53FB7-2506-4726-B208-E85ACA933D9D}">
    <text>paletera nueva : se regula para que baje de la palanca ,solucionado</text>
  </threadedComment>
  <threadedComment ref="HH84" dT="2025-04-14T10:49:13.69" personId="{6B1F252F-B46A-4AF6-A9E5-E87FADFB85FD}" id="{332F33BA-4C52-4185-8039-2740DF205FEF}" parentId="{A5A53FB7-2506-4726-B208-E85ACA933D9D}">
    <text xml:space="preserve">paletera de piso 1: se reemplaza modulo </text>
  </threadedComment>
  <threadedComment ref="HN84" dT="2025-04-14T11:04:30.31" personId="{6B1F252F-B46A-4AF6-A9E5-E87FADFB85FD}" id="{AC433333-4E27-4711-93D0-19E4067BE366}">
    <text>paletera manual inox planta baja: se corto el seguro de la rueda</text>
  </threadedComment>
  <threadedComment ref="HQ84" dT="2025-04-15T12:49:10.68" personId="{6B1F252F-B46A-4AF6-A9E5-E87FADFB85FD}" id="{FA729DB7-AB6C-449B-BE63-3A4A558E30FD}">
    <text>paletera primer piso: se reemplaza tornillo de timon</text>
  </threadedComment>
  <threadedComment ref="HQ84" dT="2025-04-15T12:58:00.83" personId="{6B1F252F-B46A-4AF6-A9E5-E87FADFB85FD}" id="{F3B97287-CCE4-4557-ABBC-1FEC64102C74}" parentId="{FA729DB7-AB6C-449B-BE63-3A4A558E30FD}">
    <text>paletera manual planta baja: se soldo perno y reemplazo de rueda</text>
  </threadedComment>
  <threadedComment ref="HW84" dT="2025-04-17T18:41:14.45" personId="{6B1F252F-B46A-4AF6-A9E5-E87FADFB85FD}" id="{ECEC84C4-94FF-4780-8578-D319D12C4F9A}">
    <text>apilador ae04: problemas con la bateria</text>
  </threadedComment>
  <threadedComment ref="IL84" dT="2025-04-22T10:19:15.27" personId="{6B1F252F-B46A-4AF6-A9E5-E87FADFB85FD}" id="{64E9EDF1-C528-46F0-AF63-C19454C25FFE}">
    <text>se reemplaza cargador de bateria nuevo</text>
  </threadedComment>
  <threadedComment ref="IL84" dT="2025-04-23T10:37:12.76" personId="{6B1F252F-B46A-4AF6-A9E5-E87FADFB85FD}" id="{1E2A2252-6E70-4654-876E-458B418AC69F}" parentId="{64E9EDF1-C528-46F0-AF63-C19454C25FFE}">
    <text>paletera manual nueva, se desplazo eje de chasis</text>
  </threadedComment>
  <threadedComment ref="IO84" dT="2025-04-23T10:40:41.07" personId="{6B1F252F-B46A-4AF6-A9E5-E87FADFB85FD}" id="{4CA04B97-A1CE-417A-8405-98844FD5F92E}">
    <text>apilador AE04 : problema de velocidad con carga de pallet</text>
  </threadedComment>
  <threadedComment ref="IU84" dT="2025-04-25T11:34:06.34" personId="{6B1F252F-B46A-4AF6-A9E5-E87FADFB85FD}" id="{C47A8937-8B5B-4DE4-8E77-8E243453836F}">
    <text>apilador ae04 :se realizo soldadura en las uñas</text>
  </threadedComment>
  <threadedComment ref="JJ84" dT="2025-05-02T14:46:20.08" personId="{6B1F252F-B46A-4AF6-A9E5-E87FADFB85FD}" id="{6BB5EC28-0F8F-4F43-82A4-E76AE7109B4C}">
    <text>hangcha primer piso: se controlo palletera y solo faltaba cargar</text>
  </threadedComment>
  <threadedComment ref="JS84" dT="2025-05-05T16:58:21.28" personId="{6B1F252F-B46A-4AF6-A9E5-E87FADFB85FD}" id="{2AD1704A-B651-480A-A9A0-F92CBA2822E3}">
    <text xml:space="preserve">paletera 05: se reviso y se envontro con un golpe lado timon </text>
  </threadedComment>
  <threadedComment ref="KB84" dT="2025-05-05T17:02:15.35" personId="{6B1F252F-B46A-4AF6-A9E5-E87FADFB85FD}" id="{BFDAAA8A-6FC6-4C0A-B834-6D6A9035D189}">
    <text>paletera 03 hangcha : torque de bornera y se ajusto bulon de rueda  de traccion</text>
  </threadedComment>
  <threadedComment ref="KB84" dT="2025-05-05T17:04:45.89" personId="{6B1F252F-B46A-4AF6-A9E5-E87FADFB85FD}" id="{BACAB78F-E6D9-447C-AEBC-3D829427EF25}" parentId="{BFDAAA8A-6FC6-4C0A-B834-6D6A9035D189}">
    <text>apilador AE05 : reemplazo de carbones en motor de traccion</text>
  </threadedComment>
  <threadedComment ref="KB84" dT="2025-05-05T17:06:06.53" personId="{6B1F252F-B46A-4AF6-A9E5-E87FADFB85FD}" id="{25ABC44B-9BF3-4262-9F88-C009C90D2DEE}" parentId="{BFDAAA8A-6FC6-4C0A-B834-6D6A9035D189}">
    <text>paletera PE 05 : queda fuera de servicio por problemas en la plaqueta, la causa por el corto circuito del dia viernes</text>
  </threadedComment>
  <threadedComment ref="KE84" dT="2025-05-08T10:56:18.09" personId="{6B1F252F-B46A-4AF6-A9E5-E87FADFB85FD}" id="{074C1074-6AB0-4396-AD60-FB0448CC6C9A}">
    <text>paletera manual: se reparo conexion de balanza</text>
  </threadedComment>
  <threadedComment ref="KH84" dT="2025-05-08T10:59:44.90" personId="{6B1F252F-B46A-4AF6-A9E5-E87FADFB85FD}" id="{4E461081-5C39-42FF-A765-41FC2A7D174F}">
    <text>paletera manual PB: se desplazó  eje de timon</text>
  </threadedComment>
  <threadedComment ref="KN84" dT="2025-05-10T11:43:14.59" personId="{6B1F252F-B46A-4AF6-A9E5-E87FADFB85FD}" id="{473E88BD-D6F4-41F6-8480-8250867E41C6}">
    <text>paletera pe 05 operativa</text>
  </threadedComment>
  <threadedComment ref="KZ84" dT="2025-05-13T12:31:15.01" personId="{6B1F252F-B46A-4AF6-A9E5-E87FADFB85FD}" id="{F729683C-7D32-4CD5-A964-DB322152796B}">
    <text>paletera bt : problema en la rueda</text>
  </threadedComment>
  <threadedComment ref="LF84" dT="2025-05-16T12:22:39.33" personId="{6B1F252F-B46A-4AF6-A9E5-E87FADFB85FD}" id="{A00A53FC-3C07-461F-B26A-77EA97B0B275}">
    <text xml:space="preserve">paletera manual entre piso: se trabo el hidráulico </text>
  </threadedComment>
  <threadedComment ref="LF84" dT="2025-05-16T12:32:30.25" personId="{6B1F252F-B46A-4AF6-A9E5-E87FADFB85FD}" id="{C2CFC9AF-93CD-49D6-A187-AE017207711C}" parentId="{A00A53FC-3C07-461F-B26A-77EA97B0B275}">
    <text>apilador AE04 : reemplazo rueda de traccion</text>
  </threadedComment>
  <threadedComment ref="MM84" dT="2025-05-27T17:10:21.70" personId="{6B1F252F-B46A-4AF6-A9E5-E87FADFB85FD}" id="{BC554029-0091-4BCF-BF87-3BD3D8F39371}">
    <text xml:space="preserve">apilador planta baja: perdida de aceite , pendiente de reparación </text>
  </threadedComment>
  <threadedComment ref="MY84" dT="2025-06-02T14:28:00.36" personId="{6B1F252F-B46A-4AF6-A9E5-E87FADFB85FD}" id="{48C4BE4E-C5F7-4874-8384-478C7F63E555}">
    <text>apilador ae1: perdida de liquido hidraulico, reparacion pendiente con el proveedor</text>
  </threadedComment>
  <threadedComment ref="NB84" dT="2025-06-02T14:31:16.45" personId="{6B1F252F-B46A-4AF6-A9E5-E87FADFB85FD}" id="{4A21C3B5-D62C-44EA-9507-B689F73BF3DB}">
    <text>apilador ae01: se agrega aceite hidraulico</text>
  </threadedComment>
  <threadedComment ref="NN84" dT="2025-06-05T10:21:04.49" personId="{6B1F252F-B46A-4AF6-A9E5-E87FADFB85FD}" id="{3A5D6DC6-7CCC-464A-832D-1CB97D87C5D9}">
    <text>apilador ae01 : queda fuera de servicio por perdida de hidraulico</text>
  </threadedComment>
  <threadedComment ref="OL84" dT="2025-06-13T16:26:01.18" personId="{6B1F252F-B46A-4AF6-A9E5-E87FADFB85FD}" id="{7DCB9814-9572-4DBA-A491-5895E29E9B4B}">
    <text>pe 05: rotura elevación de uña</text>
  </threadedComment>
  <threadedComment ref="PA84" dT="2025-06-27T11:11:27.88" personId="{6B1F252F-B46A-4AF6-A9E5-E87FADFB85FD}" id="{E7F2EDF6-5E97-41D4-A1AF-EF5FC461CD8B}">
    <text>apilador AE04, rotura rueda de apoyo</text>
  </threadedComment>
  <threadedComment ref="PD84" dT="2025-06-27T11:15:53.32" personId="{6B1F252F-B46A-4AF6-A9E5-E87FADFB85FD}" id="{4CF4FBE2-8D25-4153-BE2C-D36771EC4E5F}">
    <text xml:space="preserve">AE02 , SE REPARO MOTOR DE ELEVACION </text>
  </threadedComment>
  <threadedComment ref="PM84" dT="2025-06-27T11:21:35.51" personId="{6B1F252F-B46A-4AF6-A9E5-E87FADFB85FD}" id="{73748386-D3F4-4173-9A59-9F1905463B0F}">
    <text xml:space="preserve">AE02-SE REALIZA CAMBIO DE BATERIA </text>
  </threadedComment>
  <threadedComment ref="PS84" dT="2025-06-27T11:25:05.10" personId="{6B1F252F-B46A-4AF6-A9E5-E87FADFB85FD}" id="{8C6EBE4B-105C-4D4D-A5F0-09A036110849}">
    <text>PE05, REEMPLAZO DE BATERIA</text>
  </threadedComment>
  <threadedComment ref="QH84" dT="2025-06-30T11:59:44.68" personId="{6B1F252F-B46A-4AF6-A9E5-E87FADFB85FD}" id="{B6A2C9E7-AB6D-42E4-909E-B283D17A0648}">
    <text>zorra manual empaque: se enderezo uña porque levantaba cruzado</text>
  </threadedComment>
  <threadedComment ref="QN84" dT="2025-07-01T17:53:57.37" personId="{6B1F252F-B46A-4AF6-A9E5-E87FADFB85FD}" id="{C48E8137-32F2-4920-9B99-D6542A65F6C2}">
    <text>zorra electrica nueva: rotura de amortiguador de timon</text>
  </threadedComment>
  <threadedComment ref="QN84" dT="2025-07-01T17:55:01.56" personId="{6B1F252F-B46A-4AF6-A9E5-E87FADFB85FD}" id="{38525D4E-CEBB-4F7B-BDD6-C85E625622C0}" parentId="{C48E8137-32F2-4920-9B99-D6542A65F6C2}">
    <text>apilador ae02 : reemplazo de rueda</text>
  </threadedComment>
  <threadedComment ref="QQ84" dT="2025-07-04T14:01:02.51" personId="{6B1F252F-B46A-4AF6-A9E5-E87FADFB85FD}" id="{EF7D3B7F-D000-46F9-8FB1-4FAD1EF696C0}">
    <text>apilador AE04: se reemplaza rueda de traccion</text>
  </threadedComment>
  <threadedComment ref="QW84" dT="2025-07-04T14:05:35.07" personId="{6B1F252F-B46A-4AF6-A9E5-E87FADFB85FD}" id="{4A8DDFBE-67C0-48EA-833E-EB9AEC4A251A}">
    <text>apilador AE04 . rotura de orquilla rueda derecha</text>
  </threadedComment>
  <threadedComment ref="QW84" dT="2025-07-04T14:10:55.79" personId="{6B1F252F-B46A-4AF6-A9E5-E87FADFB85FD}" id="{C12CA26D-6F2A-4464-B13A-7CBBE717891C}" parentId="{4A8DDFBE-67C0-48EA-833E-EB9AEC4A251A}">
    <text>paletera manual de recepción cambio de rueda</text>
  </threadedComment>
  <threadedComment ref="QW84" dT="2025-07-04T14:17:18.22" personId="{6B1F252F-B46A-4AF6-A9E5-E87FADFB85FD}" id="{F5DADB84-5484-487A-951F-78094F03A115}" parentId="{4A8DDFBE-67C0-48EA-833E-EB9AEC4A251A}">
    <text>paletera manual inox: reparacion de eje y chaveta</text>
  </threadedComment>
  <threadedComment ref="RL84" dT="2025-07-11T11:00:54.68" personId="{6B1F252F-B46A-4AF6-A9E5-E87FADFB85FD}" id="{D5030445-888B-4C31-98CA-C04CB9299A5D}">
    <text>PE 04:REPARCION DE CABLEADO Y AMORTIGUADOR DE TIMON</text>
  </threadedComment>
  <threadedComment ref="SP84" dT="2025-07-22T16:18:36.70" personId="{6B1F252F-B46A-4AF6-A9E5-E87FADFB85FD}" id="{A016D79A-0519-4D97-8FB9-B2167E01506A}">
    <text>zorra manual con balanza no carga</text>
  </threadedComment>
  <threadedComment ref="SS84" dT="2025-07-22T16:21:14.29" personId="{6B1F252F-B46A-4AF6-A9E5-E87FADFB85FD}" id="{CA1871BC-1D33-449F-AAB2-965874B4C054}">
    <text>problemas con cargadores: estan todos operativos , falta reiniciar el cargador</text>
  </threadedComment>
  <threadedComment ref="TB84" dT="2025-07-24T12:02:48.01" personId="{6B1F252F-B46A-4AF6-A9E5-E87FADFB85FD}" id="{474825C4-B908-48B6-A89A-3016172AEC30}">
    <text>apilador AE02. REPARACION DE CILINDRO CENTRAL</text>
  </threadedComment>
  <threadedComment ref="TE84" dT="2025-07-24T12:06:43.93" personId="{6B1F252F-B46A-4AF6-A9E5-E87FADFB85FD}" id="{261220F9-6A99-4A30-9DAC-D72FB78A7EEB}">
    <text>ZORRA ELECTRICA PE03: REPARACION DE RUEDA DE TRACCION</text>
  </threadedComment>
  <threadedComment ref="TH84" dT="2025-07-25T11:55:29.06" personId="{6B1F252F-B46A-4AF6-A9E5-E87FADFB85FD}" id="{4687394A-CF85-40F8-BD50-8E9A994F518D}">
    <text>1: PE03 REEMPLAZO DE RUEDA DE TRACCION 
2:PE04 REEMPLAZO DE RUEDA DE TRACCION</text>
  </threadedComment>
  <threadedComment ref="UC84" dT="2025-08-01T16:01:20.91" personId="{6B1F252F-B46A-4AF6-A9E5-E87FADFB85FD}" id="{1EE49AD0-0877-401C-A91D-233E88150047}">
    <text xml:space="preserve">zorra manual descarga de camion PB: reparacion de eje de timon </text>
  </threadedComment>
  <threadedComment ref="UR84" dT="2025-08-08T11:33:10.82" personId="{6B1F252F-B46A-4AF6-A9E5-E87FADFB85FD}" id="{CD781CCB-B43D-41CA-A730-35259CB0B60B}">
    <text>apilador PB : rotura de fusible</text>
  </threadedComment>
  <threadedComment ref="UU84" dT="2025-08-08T11:34:03.72" personId="{6B1F252F-B46A-4AF6-A9E5-E87FADFB85FD}" id="{86218585-F9B2-4742-9243-6D120B299F6D}">
    <text>zorra manual inox PB: reemplazo de rueda</text>
  </threadedComment>
  <threadedComment ref="VV84" dT="2025-08-15T15:23:57.91" personId="{6B1F252F-B46A-4AF6-A9E5-E87FADFB85FD}" id="{ADC92C41-E9EC-4C99-BCC0-587BD64C98E9}">
    <text xml:space="preserve">se coloco chaveta al eje </text>
  </threadedComment>
  <threadedComment ref="WK84" dT="2025-08-22T12:08:44.81" personId="{6B1F252F-B46A-4AF6-A9E5-E87FADFB85FD}" id="{5FD2F01B-E83E-4164-8878-18DD6488C5A8}">
    <text>zorra electrica BT : eje de rueda flojo</text>
  </threadedComment>
  <threadedComment ref="WK84" dT="2025-08-22T12:16:59.94" personId="{6B1F252F-B46A-4AF6-A9E5-E87FADFB85FD}" id="{A1FEC4AE-EC78-4A45-98BC-698659E2E90E}" parentId="{5FD2F01B-E83E-4164-8878-18DD6488C5A8}">
    <text xml:space="preserve">palletera manual inox: reemplazo de rueda </text>
  </threadedComment>
  <threadedComment ref="WN84" dT="2025-08-22T12:30:34.23" personId="{6B1F252F-B46A-4AF6-A9E5-E87FADFB85FD}" id="{18D616E1-F207-46C8-9F6A-773713936C3C}">
    <text>zorra electrica :entre piso se reemplazo switch de timon</text>
  </threadedComment>
  <threadedComment ref="WN84" dT="2025-08-22T12:31:26.51" personId="{6B1F252F-B46A-4AF6-A9E5-E87FADFB85FD}" id="{595D37E2-68DD-4413-8EFE-5089452B25F3}" parentId="{18D616E1-F207-46C8-9F6A-773713936C3C}">
    <text xml:space="preserve">zorra manual planta baja : reemplazo de timon </text>
  </threadedComment>
  <threadedComment ref="XC84" dT="2025-08-29T11:04:31.45" personId="{6B1F252F-B46A-4AF6-A9E5-E87FADFB85FD}" id="{0BBCA6F8-807C-49E3-B257-E03CB025F3CF}">
    <text>zorra electrica PE05:  se coloco perno</text>
  </threadedComment>
  <threadedComment ref="XI84" dT="2025-08-29T11:09:18.17" personId="{6B1F252F-B46A-4AF6-A9E5-E87FADFB85FD}" id="{00FE304D-BEB2-48AB-86FF-C83BEBBAC3CB}">
    <text>paletera PE06 : se reparo soporte de hombre a bordo</text>
  </threadedComment>
  <threadedComment ref="XX84" dT="2025-09-03T13:43:09.93" personId="{6B1F252F-B46A-4AF6-A9E5-E87FADFB85FD}" id="{3F2587E9-5E9F-409A-9888-7C348B22EBA3}">
    <text>1:reemplazo de zorra electrica entre piso
2:reemplao de sensor apilador deposito peron
3:zorra electrica PE05 reparacion de  eje de ruedas</text>
  </threadedComment>
  <threadedComment ref="YP84" dT="2025-09-11T12:40:36.93" personId="{6B1F252F-B46A-4AF6-A9E5-E87FADFB85FD}" id="{03618506-0461-48DD-9A2C-B390838D8EE6}">
    <text>PE 05: REPARACION PERNO DE RUEDA</text>
  </threadedComment>
  <threadedComment ref="YY84" dT="2025-09-17T12:26:39.62" personId="{6B1F252F-B46A-4AF6-A9E5-E87FADFB85FD}" id="{574FCEC1-017D-4757-ABB9-F04258FE8A48}">
    <text>zorra manual inox, rotura de espina elastica</text>
  </threadedComment>
  <threadedComment ref="YY84" dT="2025-09-17T12:31:58.83" personId="{6B1F252F-B46A-4AF6-A9E5-E87FADFB85FD}" id="{8AFA087A-D3A4-4B27-A174-624770FB338C}" parentId="{574FCEC1-017D-4757-ABB9-F04258FE8A48}">
    <text xml:space="preserve">zorra eléctrica PE 05: rotura de manillar </text>
  </threadedComment>
  <threadedComment ref="AAF84" dT="2025-09-23T15:54:34.59" personId="{6B1F252F-B46A-4AF6-A9E5-E87FADFB85FD}" id="{8A34372F-FF85-4566-92B6-EBA2B81EDD8D}">
    <text>apilador alquilado deposito de peron: avisaron que no funcionaba pero no tenia bateria</text>
  </threadedComment>
  <threadedComment ref="AAF84" dT="2025-09-23T15:57:08.20" personId="{6B1F252F-B46A-4AF6-A9E5-E87FADFB85FD}" id="{7F89976D-749F-4E00-AC64-9A89495D00E3}" parentId="{8A34372F-FF85-4566-92B6-EBA2B81EDD8D}">
    <text>zorra electrica nueva :rotura de piston del timon -a la espera del repuesto .se encuentra operativa</text>
  </threadedComment>
  <threadedComment ref="AAF84" dT="2025-09-23T16:11:03.03" personId="{6B1F252F-B46A-4AF6-A9E5-E87FADFB85FD}" id="{3FB3DC96-F4BD-46C4-9E57-5ACE4E2AED4E}" parentId="{8A34372F-FF85-4566-92B6-EBA2B81EDD8D}">
    <text xml:space="preserve">apilador AE04:ajuste tornillo de rueda de tracción, bocina </text>
  </threadedComment>
  <threadedComment ref="ABA84" dT="2025-10-02T17:31:40.23" personId="{7289C7CC-35A7-45D1-AED1-71A11659A488}" id="{FC5F42D4-7632-4B72-BCA2-5BF6F0AD362B}">
    <text>botón de elevación de torre apilador AE04.</text>
  </threadedComment>
  <threadedComment ref="ABD84" dT="2025-10-02T17:32:23.36" personId="{7289C7CC-35A7-45D1-AED1-71A11659A488}" id="{1F06408C-C3FC-46BD-8E6F-147E74822509}">
    <text>falla en comando apilador eléctrico AE04.</text>
  </threadedComment>
  <threadedComment ref="ACB84" dT="2025-10-09T17:06:32.66" personId="{6B1F252F-B46A-4AF6-A9E5-E87FADFB85FD}" id="{A20C984C-B5D7-4838-A9A8-ABC442FFDB56}">
    <text>PE 06 ZORRA ELECTRICA: rotura de amortiguador del timon</text>
  </threadedComment>
  <threadedComment ref="ACE84" dT="2025-10-09T17:09:19.72" personId="{6B1F252F-B46A-4AF6-A9E5-E87FADFB85FD}" id="{C371FFE9-46C5-4CC6-BB1D-AB0D3B46B2D7}">
    <text>zorra manual: piston de elevacion fuera de posición</text>
  </threadedComment>
  <threadedComment ref="ACH84" dT="2025-10-16T15:28:48.01" personId="{6B1F252F-B46A-4AF6-A9E5-E87FADFB85FD}" id="{9A40CFCE-639F-46F8-B7A9-B1B930A1EBB6}">
    <text>reparación zorra manual inox</text>
  </threadedComment>
  <threadedComment ref="ACT84" dT="2025-10-16T17:21:57.59" personId="{6B1F252F-B46A-4AF6-A9E5-E87FADFB85FD}" id="{2CEB8636-FC8D-457B-BC69-B2CB5BAB6D71}">
    <text>PE 06 : reemplazo de amortiguador de timon</text>
  </threadedComment>
  <threadedComment ref="ACW84" dT="2025-10-16T17:24:31.03" personId="{6B1F252F-B46A-4AF6-A9E5-E87FADFB85FD}" id="{FA80DC13-B6C3-4E5A-9BAF-C8DE738481F6}">
    <text>APILADOR AE03 : Problemas con la batería , torqueo y revisión de bornes</text>
  </threadedComment>
  <threadedComment ref="ACW84" dT="2025-10-16T17:28:10.20" personId="{6B1F252F-B46A-4AF6-A9E5-E87FADFB85FD}" id="{7ECB2903-400A-40C9-B973-53EEB68D580C}" parentId="{FA80DC13-B6C3-4E5A-9BAF-C8DE738481F6}">
    <text>APILADOR AE02  : reparación de rueda estabilizadora</text>
  </threadedComment>
  <threadedComment ref="ACZ84" dT="2025-10-16T17:29:35.67" personId="{6B1F252F-B46A-4AF6-A9E5-E87FADFB85FD}" id="{08A39ABC-5D5F-40CD-9E93-55082FF8268B}">
    <text>PE 05 : ROTURA DE TIMON</text>
  </threadedComment>
  <threadedComment ref="ADX84" dT="2025-10-27T19:34:21.74" personId="{6B1F252F-B46A-4AF6-A9E5-E87FADFB85FD}" id="{60ED4292-10C5-4CF7-B74D-7B869FE5363A}">
    <text>AE 04: REPARACION DE TIMON</text>
  </threadedComment>
  <threadedComment ref="AES84" dT="2025-11-03T11:25:29.88" personId="{6B1F252F-B46A-4AF6-A9E5-E87FADFB85FD}" id="{8D411454-86D9-4964-92E2-4F2D5D36D47D}">
    <text>zorra manual PB 1: REEMPLAZO DE BOMBA DE PISTON 2: SE REEMPLAZO SEGER (CHAVETA)</text>
  </threadedComment>
  <threadedComment ref="AFK84" dT="2025-11-10T16:55:07.27" personId="{6B1F252F-B46A-4AF6-A9E5-E87FADFB85FD}" id="{405A729A-9D80-48BD-A8A7-A6A99CA8CA9B}">
    <text>PE 05: reparacion de bocina</text>
  </threadedComment>
  <threadedComment ref="AFK84" dT="2025-11-10T16:56:47.97" personId="{6B1F252F-B46A-4AF6-A9E5-E87FADFB85FD}" id="{8ECFD0C8-9B6E-4543-ACD5-329DA5F8B634}" parentId="{405A729A-9D80-48BD-A8A7-A6A99CA8CA9B}">
    <text>PE 05 : REPARACION DE HORQUILLA</text>
  </threadedComment>
  <threadedComment ref="AFN84" dT="2025-11-10T16:59:38.02" personId="{6B1F252F-B46A-4AF6-A9E5-E87FADFB85FD}" id="{3A7F9201-E5E9-4541-BF5A-F51959878F5A}">
    <text xml:space="preserve">PE 06: REEMPLAZO DE PISTON DE TIMON </text>
  </threadedComment>
  <threadedComment ref="AFN84" dT="2025-11-10T17:12:08.96" personId="{6B1F252F-B46A-4AF6-A9E5-E87FADFB85FD}" id="{20E6EECC-1B16-4A97-95A8-4BF2777B9F14}" parentId="{3A7F9201-E5E9-4541-BF5A-F51959878F5A}">
    <text>DESDE QUE TENEMOS EL EQUIPO  YA SE CAMBIO 3 VECES EL MISMO REPUESTO</text>
  </threadedComment>
  <threadedComment ref="AFW84" dT="2025-11-12T11:50:41.13" personId="{6B1F252F-B46A-4AF6-A9E5-E87FADFB85FD}" id="{EA469F5F-BE66-491A-9E7C-A5E8D808C567}">
    <text>APILADOR AE03: REEMPLAZO DE BULON DE RUEDA</text>
  </threadedComment>
  <threadedComment ref="AGL84" dT="2025-11-17T11:36:46.54" personId="{6B1F252F-B46A-4AF6-A9E5-E87FADFB85FD}" id="{AE1BC93A-0A81-4AFF-AC29-091EAABFA65E}">
    <text>paletera de inox manual: se salio eje de timon</text>
  </threadedComment>
  <threadedComment ref="AGU84" dT="2025-11-20T13:43:25.60" personId="{6B1F252F-B46A-4AF6-A9E5-E87FADFB85FD}" id="{4FB64DEF-0691-4CE3-A485-02EB3ADF50E6}">
    <text>zorra electrica de picadora: reemplazo de rueda</text>
  </threadedComment>
  <threadedComment ref="AHD84" dT="2025-11-25T12:19:21.15" personId="{6B1F252F-B46A-4AF6-A9E5-E87FADFB85FD}" id="{D928EAEC-D194-4AAB-9163-4CA65757C74F}">
    <text>AE 03: Rueda de apoyo reemplazo de eje</text>
  </threadedComment>
  <threadedComment ref="AHM84" dT="2025-12-02T20:40:18.37" personId="{6B1F252F-B46A-4AF6-A9E5-E87FADFB85FD}" id="{485F821E-14A6-4417-8EF6-FD551F6D226F}">
    <text xml:space="preserve">paletera entre piso </text>
  </threadedComment>
  <threadedComment ref="AHV84" dT="2025-12-02T20:42:07.23" personId="{6B1F252F-B46A-4AF6-A9E5-E87FADFB85FD}" id="{E0080B08-B2ED-4843-99FF-E7E21CCA1DE1}">
    <text>paletera PE05. golpe en el cubre motor</text>
  </threadedComment>
  <threadedComment ref="AHY84" dT="2025-12-02T20:44:06.82" personId="{6B1F252F-B46A-4AF6-A9E5-E87FADFB85FD}" id="{EC88CB90-3111-4DD4-B65F-AF6588BB63DC}">
    <text xml:space="preserve">AE03: se reemplazo cadena y tensor por el golpe </text>
  </threadedComment>
  <threadedComment ref="AIH84" dT="2025-12-02T20:46:03.24" personId="{6B1F252F-B46A-4AF6-A9E5-E87FADFB85FD}" id="{21599A31-C87B-48AE-81A6-5274C857F6CF}">
    <text>PE 05: Reparacion de bocina</text>
  </threadedComment>
  <threadedComment ref="AIK84" dT="2025-12-02T20:49:41.92" personId="{6B1F252F-B46A-4AF6-A9E5-E87FADFB85FD}" id="{00B5BA7F-B658-4258-A269-899FCFFDA1AA}">
    <text>PE 05: reemplazo de espiga de eje rueda delantera</text>
  </threadedComment>
  <threadedComment ref="AIK84" dT="2025-12-04T16:36:46.42" personId="{6B1F252F-B46A-4AF6-A9E5-E87FADFB85FD}" id="{A057CBDF-14B6-497C-8355-2F87EF261149}" parentId="{00B5BA7F-B658-4258-A269-899FCFFDA1AA}">
    <text>Pe 04: reparación de cableado en timon</text>
  </threadedComment>
  <threadedComment ref="AJF84" dT="2025-12-11T12:13:03.94" personId="{6B1F252F-B46A-4AF6-A9E5-E87FADFB85FD}" id="{EA7B3F50-1FCD-4AEB-9BB0-8B662BEADD63}">
    <text>AE04: ROTURA DE RUEDA ESTABILIZADORA</text>
  </threadedComment>
  <threadedComment ref="AJF84" dT="2025-12-11T12:15:52.21" personId="{6B1F252F-B46A-4AF6-A9E5-E87FADFB85FD}" id="{580939B7-BF7C-4BCC-BC7E-06DA8313235D}" parentId="{EA7B3F50-1FCD-4AEB-9BB0-8B662BEADD63}">
    <text>AE05: REPARACION DE BOCINA</text>
  </threadedComment>
  <threadedComment ref="AJI84" dT="2025-12-11T12:16:55.18" personId="{6B1F252F-B46A-4AF6-A9E5-E87FADFB85FD}" id="{F187FE85-695B-4E19-80AA-8A4F3588E76E}">
    <text>AE02: ROTURA DE RUEDA ESTABILIZADORA</text>
  </threadedComment>
  <threadedComment ref="AJL84" dT="2025-12-12T16:21:38.18" personId="{6B1F252F-B46A-4AF6-A9E5-E87FADFB85FD}" id="{7ED4C38E-1B35-460C-991F-98B3BCCA7243}">
    <text>PE 05: ROTURA DE RUEDA</text>
  </threadedComment>
  <threadedComment ref="AJO84" dT="2025-12-15T16:45:27.67" personId="{6B1F252F-B46A-4AF6-A9E5-E87FADFB85FD}" id="{90BCC74D-0373-405C-8047-C098B6AC7F68}">
    <text>PE 05 : PROBLEMA ELECTRICO</text>
  </threadedComment>
  <threadedComment ref="AJX84" dT="2025-12-18T11:53:11.27" personId="{6B1F252F-B46A-4AF6-A9E5-E87FADFB85FD}" id="{CD156453-0168-4ACF-B06F-8D7ABBE51F34}">
    <text>AE04 : SE REEMPLAZO RUEDA DE APOYO</text>
  </threadedComment>
  <threadedComment ref="AKG84" dT="2025-12-22T13:24:50.06" personId="{6B1F252F-B46A-4AF6-A9E5-E87FADFB85FD}" id="{CDBAFFDC-F07F-4E1E-9D8D-E5627B387159}">
    <text>PE 05 : Problemas con la bocina</text>
  </threadedComment>
  <threadedComment ref="AKM84" dT="2025-12-22T13:32:06.42" personId="{6B1F252F-B46A-4AF6-A9E5-E87FADFB85FD}" id="{693BD688-1544-4AC7-BF5E-E11F1D97552A}">
    <text>zorra manual: reemplazo de rueda</text>
  </threadedComment>
  <threadedComment ref="AKV84" dT="2025-12-26T13:24:08.15" personId="{6B1F252F-B46A-4AF6-A9E5-E87FADFB85FD}" id="{01E0D7D8-D4B0-486D-89F3-BEE3C13460A6}">
    <text>ZORRA MANUAL: REPARACION DE PERNO</text>
  </threadedComment>
  <threadedComment ref="ALK84" dT="2025-12-29T05:13:46.32" personId="{E9451608-B4AD-4371-BAAB-18323A60B473}" id="{4AFEAD42-7A33-4316-A9F1-A7FCCF2CDBCC}">
    <text>HANGCHA DE 1ER PISO , CUESTA LEVANTAR LOS PALLETS</text>
  </threadedComment>
  <threadedComment ref="ALT84" dT="2026-01-02T15:13:48.29" personId="{6B1F252F-B46A-4AF6-A9E5-E87FADFB85FD}" id="{981B20D2-578C-4A8A-A929-C564D3898BA4}">
    <text>PE05 : ROTURA DE TIMON SE REEMPLAZO EL TIMON</text>
  </threadedComment>
  <threadedComment ref="AML84" dT="2026-01-08T21:34:47.16" personId="{E9451608-B4AD-4371-BAAB-18323A60B473}" id="{9ACBA2B4-15CA-4405-978F-E97C05987AFB}">
    <text>se realiza lubricación y se eliminan restos de film en AE04</text>
  </threadedComment>
  <threadedComment ref="AMO84" dT="2026-01-08T17:45:39.58" personId="{6B1F252F-B46A-4AF6-A9E5-E87FADFB85FD}" id="{9D36C1BF-F249-43A7-9B02-21A26FD349DB}">
    <text>APILADOR AE04: SE REEMPLAZO BOTONERA DE TIMON</text>
  </threadedComment>
  <threadedComment ref="ANA84" dT="2026-01-12T06:19:58.37" personId="{E9451608-B4AD-4371-BAAB-18323A60B473}" id="{8DD91CD6-45FF-4832-BE37-407FE9351182}">
    <text>apilador se inclina en cámara 05</text>
  </threadedComment>
  <threadedComment ref="ANA84" dT="2026-01-12T06:25:16.71" personId="{E9451608-B4AD-4371-BAAB-18323A60B473}" id="{1EB2452B-339A-4933-B4FD-A0D1E1116D0B}" parentId="{8DD91CD6-45FF-4832-BE37-407FE9351182}">
    <text>paletera eléctrica PE05 con golpe lateral. Provoca rotura de bocina.</text>
  </threadedComment>
  <threadedComment ref="AND84" dT="2026-01-16T04:13:04.53" personId="{E9451608-B4AD-4371-BAAB-18323A60B473}" id="{F0D77AA9-96DC-471F-9416-E177C5584FC2}">
    <text>se sale perno de rueda de apilador</text>
  </threadedComment>
  <threadedComment ref="AND84" dT="2026-01-16T04:15:14.50" personId="{E9451608-B4AD-4371-BAAB-18323A60B473}" id="{92295668-6F1F-4BF0-A95D-330033B128B8}" parentId="{F0D77AA9-96DC-471F-9416-E177C5584FC2}">
    <text>se corta cable de paletera</text>
  </threadedComment>
  <threadedComment ref="ANG84" dT="2026-01-16T04:09:46.62" personId="{E9451608-B4AD-4371-BAAB-18323A60B473}" id="{306D81BC-98C2-47CE-853A-E861B88138D2}">
    <text>se reemplaza botonera de timón de AE04</text>
  </threadedComment>
  <threadedComment ref="ANJ84" dT="2026-01-16T04:11:47.66" personId="{E9451608-B4AD-4371-BAAB-18323A60B473}" id="{B7C13A41-C18A-4543-9335-6770EE8BB4C9}">
    <text>Botón de subir no para y anda lenta</text>
  </threadedComment>
  <threadedComment ref="ANP84" dT="2026-01-19T14:23:19.66" personId="{6B1F252F-B46A-4AF6-A9E5-E87FADFB85FD}" id="{A077E9FB-C1F4-4021-9D53-04BDB55B16B6}">
    <text>AE04 :REEMPLAZO DE SENSOR DE UÑAS</text>
  </threadedComment>
  <threadedComment ref="ANP84" dT="2026-01-19T14:26:10.21" personId="{6B1F252F-B46A-4AF6-A9E5-E87FADFB85FD}" id="{C883D735-99B7-480B-814D-4D30A0497BFE}" parentId="{A077E9FB-C1F4-4021-9D53-04BDB55B16B6}">
    <text>PE 05 : REVISION DE CONEXIONES  DE BOCINA</text>
  </threadedComment>
  <threadedComment ref="ANY84" dT="2026-01-19T16:17:24.16" personId="{6B1F252F-B46A-4AF6-A9E5-E87FADFB85FD}" id="{7D3F8A98-FD8F-46E1-8667-E67BDBD83276}">
    <text>PE 04: Soporte de bateria flojo</text>
  </threadedComment>
  <threadedComment ref="AOH84" dT="2026-01-22T16:57:41.07" personId="{6B1F252F-B46A-4AF6-A9E5-E87FADFB85FD}" id="{803B693A-FD7B-4692-BF17-BC15A1EA5EFA}">
    <text>AE 03 :ROTURA DE HORQUILLA Y REEMPLAZO DE RUEDAS DE APOYO</text>
  </threadedComment>
  <threadedComment ref="AOK84" dT="2026-01-23T19:37:58.46" personId="{E9451608-B4AD-4371-BAAB-18323A60B473}" id="{089B8A5C-8B2A-443B-8AE4-BFEA9110FCC2}">
    <text>Reemplazo de ruedas de apoyo traccion</text>
  </threadedComment>
  <threadedComment ref="AOW84" dT="2026-01-29T17:30:12.41" personId="{6B1F252F-B46A-4AF6-A9E5-E87FADFB85FD}" id="{2DB9BE5D-C556-4247-9234-350D80993803}">
    <text>PALETERA MANUAL : REEMPLAZO DE RUEDAS</text>
  </threadedComment>
  <threadedComment ref="AOZ84" dT="2026-01-29T17:27:31.97" personId="{6B1F252F-B46A-4AF6-A9E5-E87FADFB85FD}" id="{80722EDB-F5C9-417D-9C9D-3195885A6149}">
    <text>PE 06 : PROBLEMA EN EL TIMON</text>
  </threadedComment>
  <threadedComment ref="APF84" dT="2026-02-03T17:19:34.23" personId="{E9451608-B4AD-4371-BAAB-18323A60B473}" id="{3D30BF98-07D5-4E67-91C3-D02993D265C1}">
    <text>Golpe en PE05 se rompe plástico</text>
  </threadedComment>
  <threadedComment ref="APO84" dT="2026-02-03T17:17:46.33" personId="{E9451608-B4AD-4371-BAAB-18323A60B473}" id="{F049D4F5-429C-4803-A430-331EC34A948C}">
    <text>Rotura de perno de horquilla delantera de zorra manual ZM6</text>
  </threadedComment>
  <threadedComment ref="APR84" dT="2026-02-03T17:12:32.04" personId="{E9451608-B4AD-4371-BAAB-18323A60B473}" id="{2C899E8A-418E-4EEF-87AA-2355FE7AB84F}">
    <text>Rotura de bulón de rueda estabilizadora de Apilador AE04</text>
  </threadedComment>
  <threadedComment ref="APU84" dT="2026-02-05T14:12:02.69" personId="{E9451608-B4AD-4371-BAAB-18323A60B473}" id="{33903583-BC7E-4832-ADDF-CB027613F8D9}">
    <text>PE03 FALLA POR FALTA DE CARGA DE BATERIA.</text>
  </threadedComment>
  <threadedComment ref="APX84" dT="2026-02-06T23:47:05.78" personId="{E9451608-B4AD-4371-BAAB-18323A60B473}" id="{E9A76E8C-6558-413C-AA9B-2851CC272370}">
    <text>se repara eje lateral de PM2</text>
  </threadedComment>
  <threadedComment ref="AQA84" dT="2026-02-06T23:48:10.17" personId="{E9451608-B4AD-4371-BAAB-18323A60B473}" id="{2D9BF1FE-B7F4-43F1-BD36-D1244A55CBDD}">
    <text>Remplazo de ruedas rodillo de paletera Hangcha de primer piso</text>
  </threadedComment>
  <threadedComment ref="AQS84" dT="2026-02-12T18:27:45.13" personId="{E9451608-B4AD-4371-BAAB-18323A60B473}" id="{1832D6CD-5CCA-447B-A962-F3BE485E03BB}">
    <text>apilador AE03 cambio en rueda estabilizadora</text>
  </threadedComment>
  <threadedComment ref="AQV84" dT="2026-02-19T12:19:02.48" personId="{6B1F252F-B46A-4AF6-A9E5-E87FADFB85FD}" id="{BE558023-AC33-49CC-8A83-84624F51EB0C}">
    <text>AE04 :REEMPLAZO DE FRENO 
AE02: ROTURA DE BULON DE RUEDA DE APOYO</text>
  </threadedComment>
  <threadedComment ref="ASX84" dT="2026-03-04T16:22:00.29" personId="{6B1F252F-B46A-4AF6-A9E5-E87FADFB85FD}" id="{7BA89943-50AB-4231-A034-453096B61961}">
    <text>1:APILADOR  AE04 : FUERA DE SERVICIO POR REPARACION DE UÑA
2:PE 06 : REPARACION DE PROBLEMA ELECTRICO</text>
  </threadedComment>
  <threadedComment ref="ATG84" dT="2026-03-09T11:08:27.87" personId="{6B1F252F-B46A-4AF6-A9E5-E87FADFB85FD}" id="{942D510F-C9A3-4A22-89A7-33AFDB5061FE}">
    <text xml:space="preserve">1:AE04 Instalación de uña </text>
  </threadedComment>
  <threadedComment ref="ATJ84" dT="2026-03-09T11:38:00.04" personId="{6B1F252F-B46A-4AF6-A9E5-E87FADFB85FD}" id="{1F8547E0-BCEB-4679-BEF9-355A3AF117F4}">
    <text>1:PE06  PROBLEMAS EN EL TIMON</text>
  </threadedComment>
  <threadedComment ref="ATS84" dT="2026-03-11T01:38:40.68" personId="{E9451608-B4AD-4371-BAAB-18323A60B473}" id="{8F481A06-25F7-404B-A924-94924BDA7A85}">
    <text>cambio de amortiguador de timón de PE06</text>
  </threadedComment>
  <threadedComment ref="AUK84" dT="2026-03-17T21:16:45.31" personId="{E9451608-B4AD-4371-BAAB-18323A60B473}" id="{109F36AB-1E86-4394-A550-8BFCA9900B2B}">
    <text>se le cambia eje a zorra manual de PB</text>
  </threadedComment>
  <threadedComment ref="AUQ84" dT="2026-03-19T03:43:41.96" personId="{E9451608-B4AD-4371-BAAB-18323A60B473}" id="{8D96A35B-5512-4FFD-A31D-F1A3240DF3E3}">
    <text>Se repara rueda de tracción en PE5</text>
  </threadedComment>
  <threadedComment ref="F85" dT="2025-02-03T09:41:03.55" personId="{6B1F252F-B46A-4AF6-A9E5-E87FADFB85FD}" id="{FE099D35-5028-4F21-87C3-214380471E5D}">
    <text>rueda floja, vino el tecnico de carbone y reemplazo la rueda</text>
  </threadedComment>
  <threadedComment ref="I85" dT="2025-02-03T09:46:24.52" personId="{6B1F252F-B46A-4AF6-A9E5-E87FADFB85FD}" id="{1A6E8813-0E6E-4AF0-B33F-8E03A7595937}">
    <text>problemas de temperatura de agua</text>
  </threadedComment>
  <threadedComment ref="O85" dT="2025-02-04T14:39:26.16" personId="{6B1F252F-B46A-4AF6-A9E5-E87FADFB85FD}" id="{5914719A-27DB-46AA-AEA3-AEE4A883FBCB}">
    <text xml:space="preserve">vino el proveedor y cambio el radiador
</text>
  </threadedComment>
  <threadedComment ref="CC85" dT="2025-02-28T11:16:30.84" personId="{6B1F252F-B46A-4AF6-A9E5-E87FADFB85FD}" id="{2335E11C-D0BE-4825-A731-7AC502FDAD51}">
    <text>problema con el freno de mano</text>
  </threadedComment>
  <threadedComment ref="EW85" dT="2025-03-22T15:00:25.74" personId="{6B1F252F-B46A-4AF6-A9E5-E87FADFB85FD}" id="{E828EFE2-575D-4912-939C-97FB36AAE88E}">
    <text>se aflojaron los bulones, segun el proveedor pasa eso porque nosotros usamos esa parrilla para tirar los pallet (mal uso)</text>
  </threadedComment>
  <threadedComment ref="GD85" dT="2025-04-03T09:56:36.50" personId="{6B1F252F-B46A-4AF6-A9E5-E87FADFB85FD}" id="{20AB30BF-C630-4F43-8888-0CC1EB2D7764}">
    <text>problemas con la parrilla : se rompe porque nosotros lo usamos para tirar los pallet en la descarga de materia prima</text>
  </threadedComment>
  <threadedComment ref="GJ85" dT="2025-04-04T16:26:57.05" personId="{6B1F252F-B46A-4AF6-A9E5-E87FADFB85FD}" id="{A9523918-FDED-44EE-950F-E46A12349DA2}">
    <text>vino el proveedor carbone a reparar la parrila (defensa) por tirar los pallet para descargar</text>
  </threadedComment>
  <threadedComment ref="HT85" dT="2025-04-17T18:37:14.28" personId="{6B1F252F-B46A-4AF6-A9E5-E87FADFB85FD}" id="{C985E4E5-58D2-4612-9337-D69771695D1F}">
    <text xml:space="preserve">se repara parrilla y se coloca bulon
</text>
  </threadedComment>
  <threadedComment ref="MP85" dT="2025-05-30T12:41:05.39" personId="{6B1F252F-B46A-4AF6-A9E5-E87FADFB85FD}" id="{6E06C912-4CCC-4612-A836-3856AF25375E}">
    <text>clark nuevo: se pincho la rueda</text>
  </threadedComment>
  <threadedComment ref="RI85" dT="2025-07-07T17:16:59.22" personId="{6B1F252F-B46A-4AF6-A9E5-E87FADFB85FD}" id="{6E4C8F2B-B3E3-4C66-8CAA-1463416A4D07}">
    <text>AE04 : REPARACION DE BOMBA HIDRAULICA</text>
  </threadedComment>
  <threadedComment ref="XX85" dT="2025-09-04T17:39:40.69" personId="{6B1F252F-B46A-4AF6-A9E5-E87FADFB85FD}" id="{3D7980BE-1E42-4287-A2AE-3E26AFB80F85}">
    <text>problemas con el arranque</text>
  </threadedComment>
  <threadedComment ref="YA85" dT="2025-09-04T17:39:52.38" personId="{6B1F252F-B46A-4AF6-A9E5-E87FADFB85FD}" id="{672074B7-E8E0-4B79-889E-C53CBF9BE842}">
    <text>problemas en el arranque</text>
  </threadedComment>
  <threadedComment ref="YV85" dT="2025-09-11T12:58:05.58" personId="{6B1F252F-B46A-4AF6-A9E5-E87FADFB85FD}" id="{D26BADF7-BF85-48EF-8478-05E0E66902F4}">
    <text>clark alquilado : problema con el arranque y rotura de bulones de parrilla</text>
  </threadedComment>
  <threadedComment ref="AAI85" dT="2025-09-23T16:17:38.25" personId="{6B1F252F-B46A-4AF6-A9E5-E87FADFB85FD}" id="{E07C288C-4283-41A1-A8E7-62B7BFEA5E08}">
    <text>clark nuevo: queda fuera de servicio por el cambio de rueda</text>
  </threadedComment>
  <threadedComment ref="ACE85" dT="2025-10-09T17:09:42.96" personId="{6B1F252F-B46A-4AF6-A9E5-E87FADFB85FD}" id="{61B9359E-D954-488B-AC4E-A33A667B02BD}">
    <text>rotura de parrilla</text>
  </threadedComment>
  <threadedComment ref="AGI85" dT="2025-11-17T11:22:32.59" personId="{6B1F252F-B46A-4AF6-A9E5-E87FADFB85FD}" id="{F7EF516A-0DB6-4D45-94A5-A90BA9973053}">
    <text>rotura de bulones de las ruedas</text>
  </threadedComment>
  <threadedComment ref="AIK85" dT="2025-12-04T16:42:20.11" personId="{6B1F252F-B46A-4AF6-A9E5-E87FADFB85FD}" id="{DF0B110A-72B0-4857-9B46-7881536D5FB9}">
    <text>luz rota de retroceso y luz delantera cables cortados: se aviso a carbone para que lo solucione lo antes posible</text>
  </threadedComment>
  <threadedComment ref="AMR85" dT="2026-01-08T17:46:12.08" personId="{6B1F252F-B46A-4AF6-A9E5-E87FADFB85FD}" id="{6F784DB8-171C-4EB5-9A96-05B8C36C0DFD}">
    <text>PROBLEMAS CON LA PARRILLA DE LAS UÑAS</text>
  </threadedComment>
  <threadedComment ref="AMX85" dT="2026-01-12T06:26:28.80" personId="{E9451608-B4AD-4371-BAAB-18323A60B473}" id="{CE79CB10-E841-4A31-8ACC-BB4292DAD04D}">
    <text>se reparo desplazador y parrilla</text>
  </threadedComment>
  <threadedComment ref="ANY85" dT="2026-01-19T16:17:53.64" personId="{6B1F252F-B46A-4AF6-A9E5-E87FADFB85FD}" id="{57D49385-FB9B-4B06-9039-EE30A4C4805D}">
    <text>freno de mano: regulación de freno</text>
  </threadedComment>
  <threadedComment ref="AOK85" dT="2026-01-23T19:36:37.63" personId="{E9451608-B4AD-4371-BAAB-18323A60B473}" id="{AF14B4A7-18F1-4BEE-8AB6-A9D667C75376}">
    <text>Se sale tornillo defensa de maquina</text>
  </threadedComment>
  <threadedComment ref="AOW85" dT="2026-01-29T17:30:38.52" personId="{6B1F252F-B46A-4AF6-A9E5-E87FADFB85FD}" id="{C7A89E7B-BE4E-46F5-80D3-7EBD1D41485C}">
    <text>ROTURA  BULON DE PARRILLA</text>
  </threadedComment>
  <threadedComment ref="AQS85" dT="2026-02-12T18:26:28.88" personId="{E9451608-B4AD-4371-BAAB-18323A60B473}" id="{33952C47-5223-40EC-AC6F-509FCB586C14}">
    <text>Problema en bateria</text>
  </threadedComment>
  <threadedComment ref="AUW85" dT="2026-03-20T19:07:03.03" personId="{E9451608-B4AD-4371-BAAB-18323A60B473}" id="{F8F3217C-BBA0-4B87-AECF-F6C35C4D1F3A}">
    <text>se regula tensor de freno</text>
  </threadedComment>
  <threadedComment ref="F86" dT="2025-02-03T09:43:50.95" personId="{6B1F252F-B46A-4AF6-A9E5-E87FADFB85FD}" id="{F0185FF7-9B7A-47AA-B9AD-812ABF98251D}">
    <text xml:space="preserve">en una rotura hubo un problema electrico y se reemplazó una contactora </text>
  </threadedComment>
  <threadedComment ref="U86" dT="2025-02-06T09:20:23.91" personId="{6B1F252F-B46A-4AF6-A9E5-E87FADFB85FD}" id="{359D4AEB-C345-4496-8897-9047447C0019}">
    <text>2 veces se reinició y 1 fue porque estaba la parada de emergencia en el piso 2</text>
  </threadedComment>
  <threadedComment ref="X86" dT="2025-02-07T14:23:11.13" personId="{6B1F252F-B46A-4AF6-A9E5-E87FADFB85FD}" id="{54C0E582-2FBA-44D7-BC8C-B6415B0A4352}">
    <text>3 falla el de pasteur y 1 el de peron</text>
  </threadedComment>
  <threadedComment ref="AP86" dT="2025-02-13T15:32:55.45" personId="{6B1F252F-B46A-4AF6-A9E5-E87FADFB85FD}" id="{5AAF03CD-D67E-4FF1-AA57-FA45523AFFAE}">
    <text xml:space="preserve">problema electrico ,
se cambio un relee </text>
  </threadedComment>
  <threadedComment ref="AY86" dT="2025-02-17T10:21:09.11" personId="{6B1F252F-B46A-4AF6-A9E5-E87FADFB85FD}" id="{D5BA6C25-F78C-4FC4-A146-81437115C9AB}">
    <text>problema electrico, reemplazo de placa general</text>
  </threadedComment>
  <threadedComment ref="CC86" dT="2025-02-28T11:15:30.58" personId="{6B1F252F-B46A-4AF6-A9E5-E87FADFB85FD}" id="{149BDA4A-1F61-42F7-A7FB-578E58AE2C1D}">
    <text>deposito peron</text>
  </threadedComment>
  <threadedComment ref="CF86" dT="2025-02-28T11:18:48.36" personId="{6B1F252F-B46A-4AF6-A9E5-E87FADFB85FD}" id="{9204D38E-935C-4055-90A2-DBE88022F57C}">
    <text xml:space="preserve">problema con la cortina de piso 1 </text>
  </threadedComment>
  <threadedComment ref="CI86" dT="2025-02-28T11:21:30.80" personId="{6B1F252F-B46A-4AF6-A9E5-E87FADFB85FD}" id="{BE30770A-8C2F-4290-9AF9-32E0A17DBB8F}">
    <text>1 falla en deposito peron, 1 falla en pasteur</text>
  </threadedComment>
  <threadedComment ref="CL86" dT="2025-03-04T10:22:10.54" personId="{6B1F252F-B46A-4AF6-A9E5-E87FADFB85FD}" id="{36856513-997E-47BD-B742-087123917787}">
    <text>montacarga pasteur</text>
  </threadedComment>
  <threadedComment ref="CO86" dT="2025-03-04T10:25:59.04" personId="{6B1F252F-B46A-4AF6-A9E5-E87FADFB85FD}" id="{23888FE3-F2BF-4717-9663-B9B829719F1F}">
    <text>montacargas pasteur</text>
  </threadedComment>
  <threadedComment ref="DD86" dT="2025-03-07T12:19:27.80" personId="{6B1F252F-B46A-4AF6-A9E5-E87FADFB85FD}" id="{AE82301A-2400-499A-B7DD-F9932518FC48}">
    <text>se reinicia montacargas pasteur mp</text>
  </threadedComment>
  <threadedComment ref="DJ86" dT="2025-03-10T12:43:42.33" personId="{6B1F252F-B46A-4AF6-A9E5-E87FADFB85FD}" id="{52048867-0111-4927-8374-5F81A29D4537}">
    <text xml:space="preserve">montacarga mp pasteur se reinicia </text>
  </threadedComment>
  <threadedComment ref="DP86" dT="2025-03-11T11:19:02.60" personId="{6B1F252F-B46A-4AF6-A9E5-E87FADFB85FD}" id="{BB343CDF-3803-4632-AF5D-DEDD9161E6FD}">
    <text>salto la termica del tablero montacargas pasteur mp</text>
  </threadedComment>
  <threadedComment ref="DS86" dT="2025-03-13T17:34:12.66" personId="{6B1F252F-B46A-4AF6-A9E5-E87FADFB85FD}" id="{B939AACD-5C65-466C-9EFE-CBD5EBB3AAAF}">
    <text>montacargar mp pasteur se reinicia</text>
  </threadedComment>
  <threadedComment ref="EB86" dT="2025-03-17T11:16:14.48" personId="{6B1F252F-B46A-4AF6-A9E5-E87FADFB85FD}" id="{10D8E477-AC0F-44A6-8C37-7ADDA2932D26}">
    <text>montacargas pasteur mp. 1: se reinicia .2: estaba con la parada de emergencia en entre piso</text>
  </threadedComment>
  <threadedComment ref="EB86" dT="2025-03-17T11:17:33.51" personId="{6B1F252F-B46A-4AF6-A9E5-E87FADFB85FD}" id="{3F90F330-D464-4322-AC0D-846CB6BFF320}" parentId="{10D8E477-AC0F-44A6-8C37-7ADDA2932D26}">
    <text xml:space="preserve">3: se reinicia montacargas pasteur   </text>
  </threadedComment>
  <threadedComment ref="EK86" dT="2025-03-18T11:04:03.38" personId="{6B1F252F-B46A-4AF6-A9E5-E87FADFB85FD}" id="{F4AA3227-56DF-4FA3-8D22-25942ED22D9D}">
    <text xml:space="preserve">montacargas peron : se reemplazo linga </text>
  </threadedComment>
  <threadedComment ref="EN86" dT="2025-03-19T15:30:51.88" personId="{6B1F252F-B46A-4AF6-A9E5-E87FADFB85FD}" id="{E5B46787-4328-456B-A6EB-CD5B7305EC68}">
    <text xml:space="preserve">montacargas pasteur : se reinicia </text>
  </threadedComment>
  <threadedComment ref="ET86" dT="2025-03-21T11:26:05.85" personId="{6B1F252F-B46A-4AF6-A9E5-E87FADFB85FD}" id="{5858DDBF-0A90-4FBF-A414-65062C1E6391}">
    <text>montacargas pasteur , se reinicia</text>
  </threadedComment>
  <threadedComment ref="FF86" dT="2025-03-25T10:47:52.39" personId="{6B1F252F-B46A-4AF6-A9E5-E87FADFB85FD}" id="{72C6D4B7-4414-45F8-9FA3-78F726671CD5}">
    <text>montacargas pasteur : se reinicia</text>
  </threadedComment>
  <threadedComment ref="FI86" dT="2025-03-26T15:13:17.18" personId="{6B1F252F-B46A-4AF6-A9E5-E87FADFB85FD}" id="{0489E614-B50B-4C5F-91C2-BB3A62A7A007}">
    <text>montacargas peron: se reinicia</text>
  </threadedComment>
  <threadedComment ref="FL86" dT="2025-03-27T11:09:00.06" personId="{6B1F252F-B46A-4AF6-A9E5-E87FADFB85FD}" id="{4AE70752-2133-4A99-90B7-0C23BA134080}">
    <text>montacarga pasteur: se reinicia</text>
  </threadedComment>
  <threadedComment ref="FO86" dT="2025-03-28T10:23:32.80" personId="{6B1F252F-B46A-4AF6-A9E5-E87FADFB85FD}" id="{DFE93D0A-F4B4-4DE1-BAFA-F4CFBF443559}">
    <text>montacarga pasteur : se reinicia</text>
  </threadedComment>
  <threadedComment ref="FR86" dT="2025-03-31T10:14:44.67" personId="{6B1F252F-B46A-4AF6-A9E5-E87FADFB85FD}" id="{5461303F-8361-4C42-B926-16DFDF3F6BF8}">
    <text>montacargas pasteur: 2 veces se reinicio y despues de las 16:00 vino ian a reparar un problema electrico y lo dejo operativo</text>
  </threadedComment>
  <threadedComment ref="GA86" dT="2025-04-03T09:48:57.44" personId="{6B1F252F-B46A-4AF6-A9E5-E87FADFB85FD}" id="{1FED98DF-DEC9-4997-BD6C-8577FFBD44D1}">
    <text xml:space="preserve">montacargas pasteur :se reinicia 
montacargas deposito : se reinicia </text>
  </threadedComment>
  <threadedComment ref="GD86" dT="2025-04-03T09:51:12.65" personId="{6B1F252F-B46A-4AF6-A9E5-E87FADFB85FD}" id="{142D9998-E5AB-42DD-8846-AD9D11435429}">
    <text>montacargas deposito :se regula final de carrera para que se detenga a nivel</text>
  </threadedComment>
  <threadedComment ref="GD86" dT="2025-04-03T09:53:57.23" personId="{6B1F252F-B46A-4AF6-A9E5-E87FADFB85FD}" id="{305BA603-E9C1-4ACE-98DF-1A4CB5208744}" parentId="{142D9998-E5AB-42DD-8846-AD9D11435429}">
    <text>montacargas depostivo: subiendo con carga se salio de la guia y se doblo un lateral</text>
  </threadedComment>
  <threadedComment ref="GM86" dT="2025-04-07T12:02:19.19" personId="{6B1F252F-B46A-4AF6-A9E5-E87FADFB85FD}" id="{BF376D0C-5F4A-4BD3-8AF1-B97BD1D330FC}">
    <text>montacargas pasteur, se reinicia</text>
  </threadedComment>
  <threadedComment ref="GP86" dT="2025-04-07T12:03:40.90" personId="{6B1F252F-B46A-4AF6-A9E5-E87FADFB85FD}" id="{BE02F284-9CB1-4053-81B9-57BCE1695CF2}">
    <text>montacargas pasteur se reinicia</text>
  </threadedComment>
  <threadedComment ref="HB86" dT="2025-04-10T13:10:57.52" personId="{6B1F252F-B46A-4AF6-A9E5-E87FADFB85FD}" id="{FFB87CB3-48B7-4767-A601-8046F6790151}">
    <text>montacarga pasteur : se reinicia</text>
  </threadedComment>
  <threadedComment ref="HH86" dT="2025-04-14T10:56:12.96" personId="{6B1F252F-B46A-4AF6-A9E5-E87FADFB85FD}" id="{F05EC7A2-DDA4-43D1-AA53-193C489F4CAA}">
    <text>motacargas pasteur: se repara cortina y se reemplaza 2 contactores</text>
  </threadedComment>
  <threadedComment ref="HT86" dT="2025-04-17T18:37:45.38" personId="{6B1F252F-B46A-4AF6-A9E5-E87FADFB85FD}" id="{37D57594-2615-45D2-97C0-14CBE5CC807A}">
    <text>se reinicia montacargar pasteur</text>
  </threadedComment>
  <threadedComment ref="HW86" dT="2025-04-17T18:40:08.58" personId="{6B1F252F-B46A-4AF6-A9E5-E87FADFB85FD}" id="{8095D2DF-7BDB-43AB-A9EF-DD01D4856C62}">
    <text>1: se reinicia montacargas 
2: problemas con el final de carrera entre piso</text>
  </threadedComment>
  <threadedComment ref="HZ86" dT="2025-04-22T10:05:59.53" personId="{6B1F252F-B46A-4AF6-A9E5-E87FADFB85FD}" id="{063034E8-4A49-4ADE-8787-07BE0D9D9D44}">
    <text>montacargas pasteur: se reinicia</text>
  </threadedComment>
  <threadedComment ref="IO86" dT="2025-04-23T10:41:15.68" personId="{6B1F252F-B46A-4AF6-A9E5-E87FADFB85FD}" id="{0201AF3E-222F-4D32-B3D5-B296F893B994}">
    <text>montacargas Pasteur: se reinicia</text>
  </threadedComment>
  <threadedComment ref="IR86" dT="2025-04-25T11:34:59.77" personId="{6B1F252F-B46A-4AF6-A9E5-E87FADFB85FD}" id="{34DE18A7-69CB-460C-BDE6-E3555B616D08}">
    <text>montacargas pasteur: se reinicia</text>
  </threadedComment>
  <threadedComment ref="IX86" dT="2025-04-26T19:51:24.06" personId="{6B1F252F-B46A-4AF6-A9E5-E87FADFB85FD}" id="{11CAC489-8665-41AA-854C-32E90D9344BC}">
    <text xml:space="preserve">montacargas pasteur: problemas con el final de carrera </text>
  </threadedComment>
  <threadedComment ref="IX86" dT="2025-04-26T19:51:34.36" personId="{6B1F252F-B46A-4AF6-A9E5-E87FADFB85FD}" id="{19B3461B-4BDA-4694-A19F-3BE0A75D5618}" parentId="{11CAC489-8665-41AA-854C-32E90D9344BC}">
    <text>planta baja</text>
  </threadedComment>
  <threadedComment ref="JA86" dT="2025-04-28T17:09:44.18" personId="{6B1F252F-B46A-4AF6-A9E5-E87FADFB85FD}" id="{091F6BEF-3189-4C70-ACA1-DCAF0B2301A2}">
    <text>montacargas pasteur: se reinicia</text>
  </threadedComment>
  <threadedComment ref="JD86" dT="2025-04-28T17:09:49.02" personId="{6B1F252F-B46A-4AF6-A9E5-E87FADFB85FD}" id="{6100D4B0-9C5D-4B29-A95F-A1A2DFB38802}">
    <text>montacargas pasteur: se reinicia</text>
  </threadedComment>
  <threadedComment ref="JG86" dT="2025-05-02T14:43:53.69" personId="{6B1F252F-B46A-4AF6-A9E5-E87FADFB85FD}" id="{E9921A61-0743-4EB2-811A-113EC143BCFF}">
    <text xml:space="preserve">montacargas pasteur: se reinicia
</text>
  </threadedComment>
  <threadedComment ref="JV86" dT="2025-05-05T17:00:00.05" personId="{6B1F252F-B46A-4AF6-A9E5-E87FADFB85FD}" id="{FB41C959-9B76-498E-9160-A0CA4A11454A}">
    <text>montacargas pasteur: se reinicia</text>
  </threadedComment>
  <threadedComment ref="KE86" dT="2025-05-08T10:58:13.85" personId="{6B1F252F-B46A-4AF6-A9E5-E87FADFB85FD}" id="{FA2B25C4-E202-489E-BF78-6373956B792B}">
    <text>montacargas pasteur: se regulo final de carrera y se ajusto soporte de motor</text>
  </threadedComment>
  <threadedComment ref="KK86" dT="2025-05-09T14:03:20.68" personId="{6B1F252F-B46A-4AF6-A9E5-E87FADFB85FD}" id="{47731BBF-D427-46FE-8FB8-36C218901EEC}">
    <text>montacargas peron: chapon desoldado, se soluciona</text>
  </threadedComment>
  <threadedComment ref="KQ86" dT="2025-05-12T10:31:28.00" personId="{6B1F252F-B46A-4AF6-A9E5-E87FADFB85FD}" id="{0267BA86-EBC4-4B0F-BFF6-A793ADC32925}">
    <text>montacargas pasteur: problema con la cortina  el final de carrera PB</text>
  </threadedComment>
  <threadedComment ref="KZ86" dT="2025-05-13T12:32:59.41" personId="{6B1F252F-B46A-4AF6-A9E5-E87FADFB85FD}" id="{66E8DA5C-E14E-48BC-8640-9997CAE1FEA0}">
    <text>montacarga peron: problema regular nivel de cabina</text>
  </threadedComment>
  <threadedComment ref="MA86" dT="2025-05-23T14:41:07.48" personId="{6B1F252F-B46A-4AF6-A9E5-E87FADFB85FD}" id="{FB89BA27-DC2E-4CFC-A8EB-8CB61103EDEA}">
    <text>montacargas pasteur : problemas en final de carrera</text>
  </threadedComment>
  <threadedComment ref="MM86" dT="2025-05-27T16:55:40.80" personId="{6B1F252F-B46A-4AF6-A9E5-E87FADFB85FD}" id="{EBB91E1D-5AA7-4EDD-9606-C7924883580C}">
    <text>montacargas pasteur: 1 no se encontro nada y lo reiniciaron 
2: estaba operativo pero en entre piso accionaron la parada de emergencia</text>
  </threadedComment>
  <threadedComment ref="MM86" dT="2025-05-27T16:59:53.10" personId="{6B1F252F-B46A-4AF6-A9E5-E87FADFB85FD}" id="{53199AAA-73E7-4C6C-9916-8B58F877A228}" parentId="{EBB91E1D-5AA7-4EDD-9606-C7924883580C}">
    <text xml:space="preserve">montacargas peron: se encontro suelto un cable en la cabina </text>
  </threadedComment>
  <threadedComment ref="MP86" dT="2025-05-29T15:47:28.60" personId="{6B1F252F-B46A-4AF6-A9E5-E87FADFB85FD}" id="{BF941411-C6FE-47C4-A772-665371A4D927}">
    <text xml:space="preserve">montacargas pasteur: piso 1 problemas con la cortina, era el
final de carrera </text>
  </threadedComment>
  <threadedComment ref="MS86" dT="2025-05-30T12:55:43.84" personId="{6B1F252F-B46A-4AF6-A9E5-E87FADFB85FD}" id="{3E1C3DE3-22C9-4F4C-B11F-FE6105D22CC6}">
    <text>montacargas pasteur: reemplazo de final de carrera. primer piso</text>
  </threadedComment>
  <threadedComment ref="MV86" dT="2025-05-30T12:48:45.15" personId="{6B1F252F-B46A-4AF6-A9E5-E87FADFB85FD}" id="{D70F14E6-0995-4F18-AF28-E45074CE476A}">
    <text>montacargas pasteur: primer piso flojo los cables del final de carrera</text>
  </threadedComment>
  <threadedComment ref="MY86" dT="2025-06-02T14:25:27.17" personId="{6B1F252F-B46A-4AF6-A9E5-E87FADFB85FD}" id="{37D1EC2D-B417-4AE3-9A9C-E4C71BDF911E}">
    <text>montacargas pasteur: problemas con el engranaje del motor</text>
  </threadedComment>
  <threadedComment ref="MY86" dT="2025-06-02T14:28:55.61" personId="{6B1F252F-B46A-4AF6-A9E5-E87FADFB85FD}" id="{1D4DC622-0694-43DA-9723-A59018CA2A92}" parentId="{37D1EC2D-B417-4AE3-9A9C-E4C71BDF911E}">
    <text>montacargas pasteur: final de carrera roto</text>
  </threadedComment>
  <threadedComment ref="NB86" dT="2025-06-02T14:30:24.63" personId="{6B1F252F-B46A-4AF6-A9E5-E87FADFB85FD}" id="{133AE841-203A-4F9B-9D7D-2114E3C47FDC}">
    <text xml:space="preserve">montacargas peron: se reinicia </text>
  </threadedComment>
  <threadedComment ref="NH86" dT="2025-06-03T16:02:09.13" personId="{6B1F252F-B46A-4AF6-A9E5-E87FADFB85FD}" id="{B8F4A5BA-B531-43CF-B649-EBA197046286}">
    <text xml:space="preserve">montacargas pasteur: avisaron al grupo que no funciona, pero estaba operativo </text>
  </threadedComment>
  <threadedComment ref="NT86" dT="2025-06-09T16:48:21.02" personId="{6B1F252F-B46A-4AF6-A9E5-E87FADFB85FD}" id="{3B9FDACF-A8B1-4AE3-8292-081C74070E0F}">
    <text>montacargas pasteur: avisaron al grupo que no funcionaba pero estaba operativo</text>
  </threadedComment>
  <threadedComment ref="OL86" dT="2025-06-13T16:23:14.61" personId="{6B1F252F-B46A-4AF6-A9E5-E87FADFB85FD}" id="{D3DB2551-518E-4C56-BCBB-2C2913C7D586}">
    <text>montacargas pasteur: problemas con el boton de llamada piso 1</text>
  </threadedComment>
  <threadedComment ref="PY86" dT="2025-06-27T11:29:05.06" personId="{6B1F252F-B46A-4AF6-A9E5-E87FADFB85FD}" id="{846DF70B-E6F2-4959-BE61-3B34D382D15E}">
    <text>montacargas pasteur _ rotura de persiana PB</text>
  </threadedComment>
  <threadedComment ref="QB86" dT="2025-06-27T11:39:42.49" personId="{6B1F252F-B46A-4AF6-A9E5-E87FADFB85FD}" id="{0AB72B81-EC32-4F94-81C9-F5C7B70104F8}">
    <text>montacargas pasteur : se reinicia</text>
  </threadedComment>
  <threadedComment ref="QH86" dT="2025-06-30T12:00:31.63" personId="{6B1F252F-B46A-4AF6-A9E5-E87FADFB85FD}" id="{0C122CB0-DDB7-4C39-BCBF-E79D985E174B}">
    <text>montacargas peron: se regulo final de carrera de persiana</text>
  </threadedComment>
  <threadedComment ref="QN86" dT="2025-07-01T17:54:32.49" personId="{6B1F252F-B46A-4AF6-A9E5-E87FADFB85FD}" id="{544AF0C6-D7FD-49B3-9453-2C335199A110}">
    <text>montacargas pasteur</text>
  </threadedComment>
  <threadedComment ref="QT86" dT="2025-07-04T14:02:13.36" personId="{6B1F252F-B46A-4AF6-A9E5-E87FADFB85FD}" id="{AF3A1D33-7170-4BED-8655-2778380B0DC6}">
    <text>montacargas pasteur: parada de emergencia activada</text>
  </threadedComment>
  <threadedComment ref="RI86" dT="2025-07-07T17:15:32.41" personId="{6B1F252F-B46A-4AF6-A9E5-E87FADFB85FD}" id="{A522C31B-CB8F-4250-BD3F-3B16629D4BEF}">
    <text>MONTACARGAS PASTEUR: reparación de cortina piso 1</text>
  </threadedComment>
  <threadedComment ref="SP86" dT="2025-07-22T16:24:26.61" personId="{6B1F252F-B46A-4AF6-A9E5-E87FADFB85FD}" id="{D0935979-F4DD-4656-8BDC-25D3C46B4351}">
    <text>1:problemas con la cortina de piso1 se trabo y se desplazó motor de lugar
2:problemas con el final de carrera de piso 1 y PB</text>
  </threadedComment>
  <threadedComment ref="SS86" dT="2025-07-22T16:20:01.63" personId="{6B1F252F-B46A-4AF6-A9E5-E87FADFB85FD}" id="{73B2FE9C-C48D-4B04-A773-4367D1A1E70B}">
    <text>montacargas materia prima: problemas con la cortina de PB</text>
  </threadedComment>
  <threadedComment ref="TE86" dT="2025-07-24T12:05:11.33" personId="{6B1F252F-B46A-4AF6-A9E5-E87FADFB85FD}" id="{081DA8FB-F310-46FF-A883-BD5E87AF3FDA}">
    <text>MONTACARGAS PASTEUR
1:PROBLEMA CON LOS FINALES DE CARRERA
2:LIMPIEZA DE SENSOR DE CABINA</text>
  </threadedComment>
  <threadedComment ref="TK86" dT="2025-07-28T17:24:53.06" personId="{6B1F252F-B46A-4AF6-A9E5-E87FADFB85FD}" id="{281D1494-71BE-46F1-B0F9-BAD639412F04}">
    <text>cortina piso 1 , problemas con el motor</text>
  </threadedComment>
  <threadedComment ref="TW86" dT="2025-08-01T15:56:22.74" personId="{6B1F252F-B46A-4AF6-A9E5-E87FADFB85FD}" id="{5A65AB33-99B9-46EA-A35F-7407F5050B37}">
    <text>montacarga de peron: reparacion de final de carrera PB</text>
  </threadedComment>
  <threadedComment ref="VA86" dT="2025-08-08T11:41:58.41" personId="{6B1F252F-B46A-4AF6-A9E5-E87FADFB85FD}" id="{8775F129-7025-4BF6-BFD6-967914BA46A0}">
    <text xml:space="preserve">MONTACARGAS MP: SE REINICIA </text>
  </threadedComment>
  <threadedComment ref="WH86" dT="2025-08-22T12:18:36.38" personId="{6B1F252F-B46A-4AF6-A9E5-E87FADFB85FD}" id="{19A2BFD0-99F5-4888-BD5F-187424C193ED}">
    <text>1: final de carrera interno trabado piso 1</text>
  </threadedComment>
  <threadedComment ref="YP86" dT="2025-09-11T12:46:21.26" personId="{6B1F252F-B46A-4AF6-A9E5-E87FADFB85FD}" id="{B7E254CA-2310-4D3E-A7E0-52BDCEA4E39E}">
    <text>montacargas de pasteur: regulacion de sensor de cabina</text>
  </threadedComment>
  <threadedComment ref="YV86" dT="2025-09-11T13:02:24.38" personId="{6B1F252F-B46A-4AF6-A9E5-E87FADFB85FD}" id="{590238BF-9E9B-4A5A-BD80-7575FE302F88}">
    <text>1: montacargas pasteur : reparacion de cortina piso 1
2:montacargas peron : reparacion de rueda de cabina</text>
  </threadedComment>
  <threadedComment ref="YY86" dT="2025-09-17T12:29:12.23" personId="{6B1F252F-B46A-4AF6-A9E5-E87FADFB85FD}" id="{70DCB92F-43E2-4939-87D7-F3860C715FEB}">
    <text>montacargas pasteur: reparacion de soporte del motor</text>
  </threadedComment>
  <threadedComment ref="ZB86" dT="2025-09-17T12:35:40.40" personId="{6B1F252F-B46A-4AF6-A9E5-E87FADFB85FD}" id="{40225A81-C7C1-45BE-8A89-576365095303}">
    <text>apilador electrico : reparación de boton de elevacion de torre</text>
  </threadedComment>
  <threadedComment ref="ZE86" dT="2025-09-17T12:37:59.32" personId="{6B1F252F-B46A-4AF6-A9E5-E87FADFB85FD}" id="{37C6B2E7-7F86-42F7-ADCC-01A45CAE36AC}">
    <text>zorra manual inox:  reemplazo de espina elastica y se enderezo horquilla</text>
  </threadedComment>
  <threadedComment ref="ZQ86" dT="2025-09-17T12:42:25.82" personId="{6B1F252F-B46A-4AF6-A9E5-E87FADFB85FD}" id="{E27376EF-99C6-47CA-B98F-55143942E93B}">
    <text xml:space="preserve">montacargas de pasteur: se reviso y no tenia problemas. se dio aviso al grupo de producción- reforzar que en ese grupo no esta personal de edilicio. </text>
  </threadedComment>
  <threadedComment ref="AAR86" dT="2025-09-28T13:35:16.44" personId="{7289C7CC-35A7-45D1-AED1-71A11659A488}" id="{5E28FDAE-7806-4D89-91EA-4E70329D22D8}">
    <text>motor de persiana entre piso.</text>
  </threadedComment>
  <threadedComment ref="ABA86" dT="2025-10-02T17:30:00.03" personId="{7289C7CC-35A7-45D1-AED1-71A11659A488}" id="{30AD687D-2EC8-4CF5-8BF4-D7F0EB9A536A}">
    <text>Traba puesta en entre piso.</text>
  </threadedComment>
  <threadedComment ref="ABG86" dT="2025-10-02T17:33:24.29" personId="{7289C7CC-35A7-45D1-AED1-71A11659A488}" id="{94C58A26-212C-4286-9392-168B838F4382}">
    <text>Botón de parada puesto en el entre piso.</text>
  </threadedComment>
  <threadedComment ref="ABY86" dT="2025-10-09T17:01:26.40" personId="{6B1F252F-B46A-4AF6-A9E5-E87FADFB85FD}" id="{A0FE3771-913B-4EFF-9FAC-74EFEBF55DCB}">
    <text xml:space="preserve">montacargas Pasteur: rotura de final de carrera </text>
  </threadedComment>
  <threadedComment ref="ACW86" dT="2025-10-16T17:25:37.59" personId="{6B1F252F-B46A-4AF6-A9E5-E87FADFB85FD}" id="{3F99B91D-6301-452C-A3B3-8BD8F7A90F31}">
    <text>montacargas de peron ajuste de final de carrera</text>
  </threadedComment>
  <threadedComment ref="AEG86" dT="2025-10-29T10:23:31.52" personId="{6B1F252F-B46A-4AF6-A9E5-E87FADFB85FD}" id="{404D7DD8-A4A3-4D0C-981A-59F995151132}">
    <text>montacargas  pasteur: regulación de sensor de cabina</text>
  </threadedComment>
  <threadedComment ref="AGI86" dT="2025-11-17T11:29:59.80" personId="{6B1F252F-B46A-4AF6-A9E5-E87FADFB85FD}" id="{6484294F-47FA-480B-AB54-B5D6A989C40C}">
    <text xml:space="preserve">montacargas Pasteur: avisaron que no funcionaba, pero estaba operativo </text>
  </threadedComment>
  <threadedComment ref="AIB86" dT="2025-12-02T20:44:56.31" personId="{6B1F252F-B46A-4AF6-A9E5-E87FADFB85FD}" id="{0D844FA4-B067-4221-AC2E-45AC299B0D16}">
    <text>montacargas de pero y pasteur se reinicia y quedan operativos</text>
  </threadedComment>
  <threadedComment ref="AIN86" dT="2025-12-04T16:47:11.98" personId="{6B1F252F-B46A-4AF6-A9E5-E87FADFB85FD}" id="{1ADEE4E0-2E85-4674-BAE9-233C692B3EC4}">
    <text>montacargas peron: se regula final de carrera</text>
  </threadedComment>
  <threadedComment ref="AJX86" dT="2025-12-18T11:50:55.51" personId="{6B1F252F-B46A-4AF6-A9E5-E87FADFB85FD}" id="{7B713AAE-90E3-4D56-B9E0-D4DCBAF898A6}">
    <text>MONTACARGA PERON: PROBLEMA CON EL SENSOR FINAL DE CARRERA</text>
  </threadedComment>
  <threadedComment ref="AKG86" dT="2025-12-22T13:26:55.03" personId="{6B1F252F-B46A-4AF6-A9E5-E87FADFB85FD}" id="{A5C9AA3F-8C17-449E-987F-FD72EC99D2F3}">
    <text>montacargas peron: cambio de freno</text>
  </threadedComment>
  <threadedComment ref="ALK86" dT="2025-12-29T05:11:00.67" personId="{E9451608-B4AD-4371-BAAB-18323A60B473}" id="{30C4FE4E-2CDC-416E-9981-DC65C4C8F320}">
    <text>Se regula sensor de final de carrera</text>
  </threadedComment>
  <threadedComment ref="ALZ86" dT="2026-01-02T15:16:25.51" personId="{6B1F252F-B46A-4AF6-A9E5-E87FADFB85FD}" id="{D65DA7B1-C4BA-4F57-A78C-B04AAD719D75}">
    <text>Montacargas peron: se reinicia montacargas</text>
  </threadedComment>
  <threadedComment ref="AMI86" dT="2026-01-08T21:32:53.52" personId="{E9451608-B4AD-4371-BAAB-18323A60B473}" id="{11142948-6B4A-4672-9AA9-23EC572FCB34}">
    <text>montacargas de perón , se regula sensor de final de carrera.</text>
  </threadedComment>
  <threadedComment ref="AMO86" dT="2026-01-08T17:41:05.25" personId="{6B1F252F-B46A-4AF6-A9E5-E87FADFB85FD}" id="{28A12AA8-89E5-4F13-8F19-EFF932A51E25}">
    <text>montacargas pasteur: problemas con  un contactor</text>
  </threadedComment>
  <threadedComment ref="ANA86" dT="2026-01-12T06:22:10.53" personId="{E9451608-B4AD-4371-BAAB-18323A60B473}" id="{A475B7FC-5D7F-4BB3-9B77-6E2E49B482ED}">
    <text>rotura de traba de puerta en montacargas de perón</text>
  </threadedComment>
  <threadedComment ref="ANP86" dT="2026-01-19T14:22:30.33" personId="{6B1F252F-B46A-4AF6-A9E5-E87FADFB85FD}" id="{935EEFDA-18CD-402C-963C-CF1580DE8400}">
    <text>montacargas de peron :regulacion de  final de carrera</text>
  </threadedComment>
  <threadedComment ref="ASL86" dT="2026-03-02T11:27:47.44" personId="{6B1F252F-B46A-4AF6-A9E5-E87FADFB85FD}" id="{7CCD012B-BB67-4DA4-8360-B3A2296F1D0F}">
    <text>montacargas deposito peron</text>
  </threadedComment>
  <threadedComment ref="AUW86" dT="2026-03-20T19:11:03.71" personId="{E9451608-B4AD-4371-BAAB-18323A60B473}" id="{76056022-45A5-4335-B254-D865315366D5}">
    <text>Contactor en falla , se realiza reset.</text>
  </threadedComment>
  <threadedComment ref="AVF86" dT="2026-03-26T17:41:30.01" personId="{6B1F252F-B46A-4AF6-A9E5-E87FADFB85FD}" id="{7CC77C6B-1D31-443E-AF90-FE603535E736}">
    <text>montacargas pasteur: se reinició el tablero</text>
  </threadedComment>
  <threadedComment ref="AVI86" dT="2026-03-26T17:42:18.54" personId="{6B1F252F-B46A-4AF6-A9E5-E87FADFB85FD}" id="{98740E34-4CD3-4E82-B472-F3E7BC631EA1}">
    <text>montacargas pasteur: problemas con el final de carrera de PB</text>
  </threadedComment>
  <threadedComment ref="AVL86" dT="2026-03-26T17:44:14.35" personId="{6B1F252F-B46A-4AF6-A9E5-E87FADFB85FD}" id="{A8367694-CCDC-4758-82CA-09D9F1345D08}">
    <text xml:space="preserve">montacargas de pasteur: reemplazo de rele </text>
  </threadedComment>
  <threadedComment ref="AY87" dT="2025-02-17T10:22:01.35" personId="{6B1F252F-B46A-4AF6-A9E5-E87FADFB85FD}" id="{34496726-3A0C-49C7-BE82-F1E09548102C}">
    <text>problema electrico, se cortaron los cables</text>
  </threadedComment>
  <threadedComment ref="CX87" dT="2025-03-06T09:34:30.79" personId="{6B1F252F-B46A-4AF6-A9E5-E87FADFB85FD}" id="{403968AA-05FD-4E8F-B6EC-80C05E3DB2D5}">
    <text>no tenia tension por el inconveniente de la mezcladora con el motor</text>
  </threadedComment>
  <threadedComment ref="EQ87" dT="2025-03-20T09:50:03.56" personId="{6B1F252F-B46A-4AF6-A9E5-E87FADFB85FD}" id="{E0FEA2A8-33F1-42C0-8F43-F9E16BFE5ADC}">
    <text>falla en el variador, se reinicia queda operativo</text>
  </threadedComment>
  <threadedComment ref="FL87" dT="2025-03-27T11:11:37.28" personId="{6B1F252F-B46A-4AF6-A9E5-E87FADFB85FD}" id="{1D0A1BE4-78D8-4AE8-8EF0-A532755289AA}">
    <text>se lubrico guías queda operativo</text>
  </threadedComment>
  <threadedComment ref="LX87" dT="2025-05-23T14:35:22.22" personId="{6B1F252F-B46A-4AF6-A9E5-E87FADFB85FD}" id="{9540F395-10F0-4F6D-9E88-C3BBCCA509E1}">
    <text>se tildo variador, puede ser que sea el problema que abrieron antes la puerta</text>
  </threadedComment>
  <threadedComment ref="NN87" dT="2025-06-05T10:20:10.08" personId="{6B1F252F-B46A-4AF6-A9E5-E87FADFB85FD}" id="{B322F84F-F00B-42F7-8015-C0CB2B281B3F}">
    <text>problema electrico</text>
  </threadedComment>
  <threadedComment ref="VM87" dT="2025-08-15T15:13:37.59" personId="{6B1F252F-B46A-4AF6-A9E5-E87FADFB85FD}" id="{07E23880-4AFA-4DA8-A173-2B4115EF7932}">
    <text>regulación de freno</text>
  </threadedComment>
  <threadedComment ref="ACH87" dT="2025-10-16T15:33:49.07" personId="{6B1F252F-B46A-4AF6-A9E5-E87FADFB85FD}" id="{F0BFA83A-C12B-4F0A-8230-756EAD068018}">
    <text xml:space="preserve">se reinicia </text>
  </threadedComment>
  <threadedComment ref="ACZ87" dT="2025-10-18T15:46:25.48" personId="{6B1F252F-B46A-4AF6-A9E5-E87FADFB85FD}" id="{D05BDD89-5AAD-4817-AE4B-263184B6C2B8}">
    <text>REPARACION DE LUZ DE CABINA</text>
  </threadedComment>
  <threadedComment ref="AGC87" dT="2025-11-13T16:34:53.83" personId="{6B1F252F-B46A-4AF6-A9E5-E87FADFB85FD}" id="{796854AD-0E4F-4CBD-BD03-64DA3E49FB97}">
    <text>problemas con los sensores de puerta: se verifico y quedo operativo . dimos aviso al tecnico del ascensor para que verifique el equipo</text>
  </threadedComment>
  <threadedComment ref="AGX87" dT="2025-11-20T13:45:30.15" personId="{6B1F252F-B46A-4AF6-A9E5-E87FADFB85FD}" id="{EF0395E1-EC8A-4046-8CF4-8D35EE2D7B1B}">
    <text xml:space="preserve">puerta mal cerrada </text>
  </threadedComment>
  <threadedComment ref="AIW87" dT="2025-12-09T18:09:55.02" personId="{6B1F252F-B46A-4AF6-A9E5-E87FADFB85FD}" id="{8BBCAE90-43AD-4717-A794-E09A798D5A45}">
    <text>puerta abierta en el piso 2</text>
  </threadedComment>
  <threadedComment ref="AKS87" dT="2025-12-26T13:19:59.30" personId="{6B1F252F-B46A-4AF6-A9E5-E87FADFB85FD}" id="{F2CFEAAC-265F-4F94-814B-D9AB61935B45}">
    <text>problema con las guias de las puertas , se soldo</text>
  </threadedComment>
  <threadedComment ref="ALE87" dT="2025-12-29T05:12:22.36" personId="{E9451608-B4AD-4371-BAAB-18323A60B473}" id="{C99BD3E1-942B-4803-9D2B-0A51791C1676}">
    <text>Se regula sensor de puerta y posición de frenado</text>
  </threadedComment>
  <threadedComment ref="AOE87" dT="2026-01-22T16:55:41.93" personId="{6B1F252F-B46A-4AF6-A9E5-E87FADFB85FD}" id="{00B5EB62-527C-4667-B562-14E19309E376}">
    <text>display no funciona</text>
  </threadedComment>
  <threadedComment ref="AQA87" dT="2026-02-06T23:48:38.61" personId="{E9451608-B4AD-4371-BAAB-18323A60B473}" id="{45CC5885-D047-4A2D-AD43-0C433AC2E6BD}">
    <text>Se carga aceite SAE 140 a reductor</text>
  </threadedComment>
  <threadedComment ref="AQJ87" dT="2026-02-13T00:08:05.34" personId="{E9451608-B4AD-4371-BAAB-18323A60B473}" id="{C072C3E1-6322-4D39-B0ED-6831D4B6093D}">
    <text>se agrega aceite a reductor</text>
  </threadedComment>
  <threadedComment ref="ASF87" dT="2026-02-26T16:19:52.04" personId="{6B1F252F-B46A-4AF6-A9E5-E87FADFB85FD}" id="{04BB0C4E-1317-47AA-A4C0-F1DFA0F384F4}">
    <text>lubricación de contra peso</text>
  </threadedComment>
  <threadedComment ref="ASI87" dT="2026-02-26T16:21:46.26" personId="{6B1F252F-B46A-4AF6-A9E5-E87FADFB85FD}" id="{8FAB43FE-74A3-4807-BF0E-C1BD8C206FB0}">
    <text>regulación de eje y polea</text>
  </threadedComment>
  <threadedComment ref="ATA87" dT="2026-03-05T23:37:20.05" personId="{E9451608-B4AD-4371-BAAB-18323A60B473}" id="{72375898-821D-4366-9D0C-274A5D4BA025}">
    <text xml:space="preserve">MOTOR EN REPARACION </text>
  </threadedComment>
  <threadedComment ref="ATD87" dT="2026-03-05T23:37:50.77" personId="{E9451608-B4AD-4371-BAAB-18323A60B473}" id="{9B3F91EE-2A7D-4E89-B404-D173A69686CC}">
    <text>MOTOR EN REPARACION</text>
  </threadedComment>
  <threadedComment ref="ATP87" dT="2026-03-10T03:20:28.63" personId="{E9451608-B4AD-4371-BAAB-18323A60B473}" id="{64E62A26-DDA3-480C-B8AD-9CF52FE28F91}">
    <text>sigue en reparacion</text>
  </threadedComment>
  <threadedComment ref="ATV87" dT="2026-03-11T20:36:58.23" personId="{E9451608-B4AD-4371-BAAB-18323A60B473}" id="{8488A6C6-41EC-40FA-9C4D-3A858C29E733}">
    <text>Asensor en funcionamiento</text>
  </threadedComment>
  <threadedComment ref="AUZ87" dT="2026-03-22T17:28:50.50" personId="{E9451608-B4AD-4371-BAAB-18323A60B473}" id="{5DF1CE38-0219-4FE0-9FD0-15AC26BEB1ED}">
    <text>asensor fuera de servicio , falla en las seguridades de cabina y pisos.</text>
  </threadedComment>
  <threadedComment ref="AVC87" dT="2026-03-22T17:29:33.04" personId="{E9451608-B4AD-4371-BAAB-18323A60B473}" id="{B397E378-A242-4C0A-A534-2E5FA453CBE1}">
    <text>Se resuelve el problema , queda operativo.</text>
  </threadedComment>
  <threadedComment ref="AVL87" dT="2026-03-26T17:43:03.02" personId="{6B1F252F-B46A-4AF6-A9E5-E87FADFB85FD}" id="{5A5B86B1-3E59-47DF-90CE-03AE25DDE8AF}">
    <text>reparacion de panel de control piso 2</text>
  </threadedComment>
  <threadedComment ref="FO89" dT="2025-03-28T16:10:21.12" personId="{6B1F252F-B46A-4AF6-A9E5-E87FADFB85FD}" id="{646D4665-0974-41B2-A1F0-5295E8891B29}">
    <text xml:space="preserve">estuchadora 1 rotura de cadena </text>
  </threadedComment>
  <threadedComment ref="GM89" dT="2025-04-07T13:34:11.66" personId="{6B1F252F-B46A-4AF6-A9E5-E87FADFB85FD}" id="{CB8E8D9B-3B64-42B1-A4A1-1705D2AB95CA}">
    <text>FORMAX: ROTURA DE BARRA DE EXPULSION(COPAS)</text>
  </threadedComment>
  <threadedComment ref="GV89" dT="2025-04-08T16:54:11.34" personId="{6B1F252F-B46A-4AF6-A9E5-E87FADFB85FD}" id="{597AC4E0-CCB7-4200-8010-D6EB96DFF428}">
    <text>gyro freezer: rotura de cinta (cadena)</text>
  </threadedComment>
  <threadedComment ref="HB89" dT="2025-04-11T11:26:00.41" personId="{6B1F252F-B46A-4AF6-A9E5-E87FADFB85FD}" id="{4AC090EE-DE96-47C3-B29B-B3D2F6478662}">
    <text>problemas de frio en el arranque del T.T</text>
  </threadedComment>
  <threadedComment ref="HN89" dT="2025-04-15T13:15:50.56" personId="{6B1F252F-B46A-4AF6-A9E5-E87FADFB85FD}" id="{9507F17A-6B76-4AB5-9BB2-DE1E2613D236}">
    <text>cinta de picadora a mezcladora: rotura de piñon y malla modular</text>
  </threadedComment>
  <threadedComment ref="HT89" dT="2025-04-22T17:28:04.67" personId="{6B1F252F-B46A-4AF6-A9E5-E87FADFB85FD}" id="{FA520788-6B32-4C92-82B5-E59B054004D5}">
    <text>gyro freezer: rotura de cinta inox</text>
  </threadedComment>
  <threadedComment ref="IL89" dT="2025-04-22T17:41:17.22" personId="{6B1F252F-B46A-4AF6-A9E5-E87FADFB85FD}" id="{F8C50BC0-CC5F-4432-8BFB-68601000C8FE}">
    <text>1)problemas con la cadena de gyro
2)tiempo en dar frio al gyro
3)problema electrico en mezcladora
4) se demora el arranque por reunión sindical</text>
  </threadedComment>
  <threadedComment ref="JD89" dT="2025-04-28T17:14:34.07" personId="{6B1F252F-B46A-4AF6-A9E5-E87FADFB85FD}" id="{EE43D0CE-22A0-4CFC-8B0B-DD067C44E7EC}">
    <text>formax: rotura de caja reductora lado izquierdo</text>
  </threadedComment>
  <threadedComment ref="MM89" dT="2025-05-27T16:45:09.91" personId="{6B1F252F-B46A-4AF6-A9E5-E87FADFB85FD}" id="{27DAEA7C-D6AA-421C-9DBD-D4D5D2209CA9}">
    <text>cambio de cuchillas ulma 1: tiempo 1:50:00 , sigue produccion con 2 lineas</text>
  </threadedComment>
  <threadedComment ref="NH89" dT="2025-06-03T17:11:53.90" personId="{6B1F252F-B46A-4AF6-A9E5-E87FADFB85FD}" id="{F4F7B586-41E8-4985-ABAD-E9E6DDA7D7D6}">
    <text>hubo 42 minutos de intervención en empaque (no paro  la producción)</text>
  </threadedComment>
  <threadedComment ref="NN89" dT="2025-06-09T16:44:37.12" personId="{6B1F252F-B46A-4AF6-A9E5-E87FADFB85FD}" id="{04702B82-F59E-4EE6-94D5-8EE4082E5748}">
    <text>GYRO FREEZER: PROBLEMAS CON LA BOMBA DE LIQUIDO 0:34:00</text>
  </threadedComment>
  <threadedComment ref="OI89" dT="2025-06-17T16:14:08.25" personId="{6B1F252F-B46A-4AF6-A9E5-E87FADFB85FD}" id="{5319F47F-ABBB-4A02-BBA3-1D4C32F0AC45}">
    <text>FORMAX: ROTURA DE BARRA 00:39:00</text>
  </threadedComment>
  <threadedComment ref="OO89" dT="2025-06-17T16:07:37.61" personId="{6B1F252F-B46A-4AF6-A9E5-E87FADFB85FD}" id="{D30EF84C-5563-4C70-8650-120F38557E8F}">
    <text>MEZCLADORA: problema en el cañon se trabo con hielo 01:47:00</text>
  </threadedComment>
  <threadedComment ref="PD89" dT="2025-06-27T12:23:47.55" personId="{6B1F252F-B46A-4AF6-A9E5-E87FADFB85FD}" id="{52CBD835-1490-4B87-B116-269E95D2CDAD}">
    <text>rotura barra de formax 02:09:00</text>
  </threadedComment>
  <threadedComment ref="PY89" dT="2025-06-27T12:33:10.96" personId="{6B1F252F-B46A-4AF6-A9E5-E87FADFB85FD}" id="{35AEE225-18AF-4ABB-B7EE-A547066DB76A}">
    <text>EL TURNO MAÑANA NO TRABAJO.ARRANQUE DE PRODUCCION TURNO TARDE</text>
  </threadedComment>
  <threadedComment ref="QW89" dT="2025-07-04T15:06:19.79" personId="{6B1F252F-B46A-4AF6-A9E5-E87FADFB85FD}" id="{50CD7485-641C-43F0-B999-A5DE3AD1FECE}">
    <text>FORMAX: rotura de reductor izquierdo tornillo de tolva 01:49:00</text>
  </threadedComment>
  <threadedComment ref="RR89" dT="2025-07-22T16:47:38.96" personId="{6B1F252F-B46A-4AF6-A9E5-E87FADFB85FD}" id="{E516F5F5-2AF2-4958-B69E-E5CA42664259}">
    <text xml:space="preserve">gyro freezer: rotura de cinta  </text>
  </threadedComment>
  <threadedComment ref="TK89" dT="2025-07-28T17:39:27.07" personId="{6B1F252F-B46A-4AF6-A9E5-E87FADFB85FD}" id="{2F427EB6-5AD7-4B76-B320-8796C5383ADD}">
    <text>rotura : cinta apilador 1 y cinta azul gyro freezer</text>
  </threadedComment>
  <threadedComment ref="TQ89" dT="2025-07-28T17:42:50.01" personId="{6B1F252F-B46A-4AF6-A9E5-E87FADFB85FD}" id="{6E89B1E0-F008-4089-92EB-F3B3E951C3BE}">
    <text>cadena de gyro trabada</text>
  </threadedComment>
  <threadedComment ref="TT89" dT="2025-08-01T16:57:07.72" personId="{6B1F252F-B46A-4AF6-A9E5-E87FADFB85FD}" id="{857D5D16-FFD5-4E8E-9314-C4B9468BD3EF}">
    <text>FORMAX :SE CORTO CABLE DE CINTA DE SALIDA DE FORMAX .  
ULMA N°3 : ROTURA DE RODAMIENTO</text>
  </threadedComment>
  <threadedComment ref="TZ89" dT="2025-08-01T16:59:19.87" personId="{6B1F252F-B46A-4AF6-A9E5-E87FADFB85FD}" id="{D3D91952-B8CD-43D2-9950-312B1E7628D5}">
    <text xml:space="preserve"> PICADORA:REPARACION DE CINTA
APILADOR 1 : REPARACION DE CINTA
ULMA 1: CAMBIO DE CUCHILLAS</text>
  </threadedComment>
  <threadedComment ref="ABD89" dT="2025-10-09T17:20:53.78" personId="{6B1F252F-B46A-4AF6-A9E5-E87FADFB85FD}" id="{03A2C940-B921-4CBA-BAB1-D25459B887F8}">
    <text>formax: problemas con el sensor
Gyro: roce de hamburguesas
mezcladora: se tapo el disco.hubo problemas con el gusano sin fin</text>
  </threadedComment>
  <threadedComment ref="ADX89" dT="2025-10-29T10:41:52.18" personId="{6B1F252F-B46A-4AF6-A9E5-E87FADFB85FD}" id="{7622BD60-24C7-4B74-B6EF-EC98AF23880A}">
    <text>FORMAX: ROTURA Y CAMBIO DE DISCO</text>
  </threadedComment>
  <threadedComment ref="AEA89" dT="2025-10-29T10:42:32.15" personId="{6B1F252F-B46A-4AF6-A9E5-E87FADFB85FD}" id="{EFEC8EC9-89B3-4003-A7AB-F42B48EF3F3D}">
    <text>FORMAX : ROTURA DE EXPULSOR</text>
  </threadedComment>
  <threadedComment ref="AEG89" dT="2025-10-29T10:41:09.82" personId="{6B1F252F-B46A-4AF6-A9E5-E87FADFB85FD}" id="{A27F4303-A539-4C41-8330-BF1815F891F2}">
    <text>PROBLEMAS DE METAL : 1:25:00</text>
  </threadedComment>
  <threadedComment ref="AEV89" dT="2025-11-03T16:14:52.88" personId="{6B1F252F-B46A-4AF6-A9E5-E87FADFB85FD}" id="{46C42C46-E479-4003-A9A8-5F630BFE46FE}">
    <text xml:space="preserve">GYRO FREEZER: Problemas con la bomba de liquido freon </text>
  </threadedComment>
  <threadedComment ref="AFW89" dT="2025-11-12T11:58:46.01" personId="{6B1F252F-B46A-4AF6-A9E5-E87FADFB85FD}" id="{02EF0E07-9C8E-4E2E-9728-3D3E124DC45F}">
    <text>43 minutos demorado el arranque del turno tarde por problemas con la bomba del mycom y valvula de etapas</text>
  </threadedComment>
  <threadedComment ref="AGC89" dT="2025-11-13T16:29:58.11" personId="{6B1F252F-B46A-4AF6-A9E5-E87FADFB85FD}" id="{54E1753B-BD0C-4C91-8C98-B47A5E51BDA9}">
    <text>FORMAX: PROBLEMA CON LA RESISTENCIA DE EXPULSION</text>
  </threadedComment>
  <threadedComment ref="AGI89" dT="2025-11-21T16:58:17.63" personId="{6B1F252F-B46A-4AF6-A9E5-E87FADFB85FD}" id="{CE81407F-03C9-4E57-8BBD-0ED40C102EB1}">
    <text>@Romina Di Pietro solucionado el tiempo que faltaba la rotura del gyro</text>
    <mentions>
      <mention mentionpersonId="{602D786D-6875-43D5-A882-808C569593C1}" mentionId="{1FB50A3D-C598-451B-BD8C-E8016272B31C}" startIndex="0" length="17"/>
    </mentions>
  </threadedComment>
  <threadedComment ref="AGR89" dT="2025-11-20T13:59:29.33" personId="{6B1F252F-B46A-4AF6-A9E5-E87FADFB85FD}" id="{D1252799-D37F-4B64-B9D8-277FDAFBB375}">
    <text xml:space="preserve">formax: 43 minutos por problemas por problemas electricos </text>
  </threadedComment>
  <threadedComment ref="AHV89" dT="2025-12-02T15:44:22.22" personId="{6B1F252F-B46A-4AF6-A9E5-E87FADFB85FD}" id="{C70C4CE3-15EA-4979-A43E-9A9974977A8A}">
    <text xml:space="preserve">ulma 1: problema con los programas 02:33:00 </text>
  </threadedComment>
  <threadedComment ref="AHY89" dT="2025-12-02T15:41:55.41" personId="{6B1F252F-B46A-4AF6-A9E5-E87FADFB85FD}" id="{AF4BB4C9-2972-4CC4-A455-84D66616D62E}">
    <text>ROTURA DE CINTA BLANCA (PICADORA A MEZCLADORA)</text>
  </threadedComment>
  <threadedComment ref="AIB89" dT="2025-12-02T15:38:08.21" personId="{6B1F252F-B46A-4AF6-A9E5-E87FADFB85FD}" id="{39C0D74F-4748-437D-97B4-06F04EC5A8B1}">
    <text xml:space="preserve">space: regulacion 00:41:00 </text>
  </threadedComment>
  <threadedComment ref="AIH89" dT="2025-12-04T17:11:57.34" personId="{6B1F252F-B46A-4AF6-A9E5-E87FADFB85FD}" id="{542AD191-FBD2-47A1-808E-1F1755EC8A56}">
    <text>REGULACION DE SPACE 00:46:00</text>
  </threadedComment>
  <threadedComment ref="AIH89" dT="2025-12-11T13:04:31.18" personId="{6B1F252F-B46A-4AF6-A9E5-E87FADFB85FD}" id="{918471AF-F680-4AC8-B19A-9441B14319E9}" parentId="{542AD191-FBD2-47A1-808E-1F1755EC8A56}">
    <text>FORMAX: REEMPLAZO DE MOTOR Y REDUCTOR TORNILLOS DE TOLVA 1:07:00</text>
  </threadedComment>
  <threadedComment ref="AIK89" dT="2025-12-04T17:14:08.43" personId="{6B1F252F-B46A-4AF6-A9E5-E87FADFB85FD}" id="{828006E3-A395-4AEB-96CB-00379733A1D8}">
    <text>REGULACION DE SPACE :  00:16:00</text>
  </threadedComment>
  <threadedComment ref="AIN89" dT="2025-12-04T17:15:00.65" personId="{6B1F252F-B46A-4AF6-A9E5-E87FADFB85FD}" id="{DEF05340-7650-4660-83E5-BF6618E82ECD}">
    <text>REGULACION DE SPACE  00:09:00  </text>
  </threadedComment>
  <threadedComment ref="AIQ89" dT="2025-12-11T13:01:15.04" personId="{6B1F252F-B46A-4AF6-A9E5-E87FADFB85FD}" id="{46569DB8-0898-4453-9BA2-3634C99E709B}">
    <text>REGULACION SPACE:  00:24:00</text>
  </threadedComment>
  <threadedComment ref="AIT89" dT="2025-12-11T13:02:06.90" personId="{6B1F252F-B46A-4AF6-A9E5-E87FADFB85FD}" id="{49831598-2C24-4899-8E8E-24DAEA08CED7}">
    <text>REGULACION DE SPACE:  00:03:00</text>
  </threadedComment>
  <threadedComment ref="AIW89" dT="2025-12-11T13:02:51.21" personId="{6B1F252F-B46A-4AF6-A9E5-E87FADFB85FD}" id="{BD4250C7-9D66-49B7-9D5C-643A8B7F4A22}">
    <text>FORMAX: REEMPLAZO DE CAJA REDUCTORA 3:16:00</text>
  </threadedComment>
  <threadedComment ref="AJL89" dT="2025-12-12T16:46:34.07" personId="{6B1F252F-B46A-4AF6-A9E5-E87FADFB85FD}" id="{BE8A8B0D-E963-406C-8E91-597C58896842}">
    <text>REGULACION DE SPACE:  00:21:00</text>
  </threadedComment>
  <threadedComment ref="AJL89" dT="2025-12-12T16:51:08.33" personId="{6B1F252F-B46A-4AF6-A9E5-E87FADFB85FD}" id="{B1309F73-04C5-463A-9941-6EBF0E01E52E}" parentId="{BE8A8B0D-E963-406C-8E91-597C58896842}">
    <text>MYCOM: PROBLEMAS CON LA CAPACIDAD .3:20:00</text>
  </threadedComment>
  <threadedComment ref="AJO89" dT="2025-12-12T16:43:52.00" personId="{6B1F252F-B46A-4AF6-A9E5-E87FADFB85FD}" id="{077E5C74-5166-4FA0-A6C3-DC911E744D1C}">
    <text>space: problema con la bomba de vacio 4:19:00</text>
  </threadedComment>
  <threadedComment ref="AJO89" dT="2025-12-12T16:44:41.29" personId="{6B1F252F-B46A-4AF6-A9E5-E87FADFB85FD}" id="{B77D8FBC-D581-4DB4-9F5D-A750EB231A87}" parentId="{077E5C74-5166-4FA0-A6C3-DC911E744D1C}">
    <text>REGULACION DE SPACE : 0:13:00</text>
  </threadedComment>
  <threadedComment ref="AJR89" dT="2025-12-15T16:57:21.38" personId="{6B1F252F-B46A-4AF6-A9E5-E87FADFB85FD}" id="{D31462DB-9C05-4AA4-86E7-946AB87DA723}">
    <text xml:space="preserve"> PROBLEMA CON CABEZAL DE ULMA Nª1  00:41:00</text>
  </threadedComment>
  <threadedComment ref="AJU89" dT="2025-12-15T16:53:03.54" personId="{6B1F252F-B46A-4AF6-A9E5-E87FADFB85FD}" id="{B461512A-5FC2-42F1-8744-CDC54ABEADFE}">
    <text>REGULACION DE SPACE : 00:04:00</text>
  </threadedComment>
  <threadedComment ref="AJU89" dT="2025-12-15T16:56:48.34" personId="{6B1F252F-B46A-4AF6-A9E5-E87FADFB85FD}" id="{0BEAFC90-F925-4493-894B-F1C2E348D3AB}" parentId="{B461512A-5FC2-42F1-8744-CDC54ABEADFE}">
    <text xml:space="preserve"> ULMA Nª1 DETENIDA PROBLEMA ELECTRICO  00:44:00</text>
  </threadedComment>
  <threadedComment ref="AJX89" dT="2025-12-22T16:20:21.66" personId="{6B1F252F-B46A-4AF6-A9E5-E87FADFB85FD}" id="{C292CF92-1AF4-4B36-91FB-C458CA70BF7A}">
    <text>CINTA DE PICADORA: Rotura de cinta 0:31:00</text>
  </threadedComment>
  <threadedComment ref="AKA89" dT="2025-12-22T15:05:32.92" personId="{6B1F252F-B46A-4AF6-A9E5-E87FADFB85FD}" id="{1DAAF1E5-0DBB-4803-858A-C4DBC3DD32A4}">
    <text>REGULACION SPACE : 00:19:00</text>
  </threadedComment>
  <threadedComment ref="AKD89" dT="2025-12-22T15:06:18.61" personId="{6B1F252F-B46A-4AF6-A9E5-E87FADFB85FD}" id="{97210A6E-5917-4E3F-BDCA-0E81B67BC3F1}">
    <text>REGULACION SPACE : 00:29:00</text>
  </threadedComment>
  <threadedComment ref="AKD89" dT="2025-12-22T16:46:07.23" personId="{6B1F252F-B46A-4AF6-A9E5-E87FADFB85FD}" id="{8063E118-B2B2-4470-8989-51B499B366E1}" parentId="{97210A6E-5917-4E3F-BDCA-0E81B67BC3F1}">
    <text>GIRO FREEZER ROTURA DE ALETA DE CINTA INOX 00:43:00</text>
  </threadedComment>
  <threadedComment ref="AKD89" dT="2025-12-22T16:55:19.82" personId="{6B1F252F-B46A-4AF6-A9E5-E87FADFB85FD}" id="{06FBF468-76C1-43E9-AF15-1D7A125F02D2}" parentId="{97210A6E-5917-4E3F-BDCA-0E81B67BC3F1}">
    <text>FORMAX ROTURA DE ENFRIADOR DE SERVO 0:18:00</text>
  </threadedComment>
  <threadedComment ref="AKD89" dT="2025-12-22T17:03:36.74" personId="{6B1F252F-B46A-4AF6-A9E5-E87FADFB85FD}" id="{74FAA3E4-C81F-4019-AD13-F900ECA82BBB}" parentId="{97210A6E-5917-4E3F-BDCA-0E81B67BC3F1}">
    <text>PROBLEMAS EN EL ARRANQUE POR LIMPIEZA DE EQUIPOS SE ENCONTRO COMPONENTES ELECTRONICOS EN LA PICADA</text>
  </threadedComment>
  <threadedComment ref="AKG89" dT="2025-12-22T17:18:19.62" personId="{6B1F252F-B46A-4AF6-A9E5-E87FADFB85FD}" id="{8A756A3E-7BCB-49FE-991F-22DC2D2E2B54}">
    <text>PICADORA ROTURA DE CINTA : 0:24:00</text>
  </threadedComment>
  <threadedComment ref="AKJ89" dT="2025-12-22T17:20:50.45" personId="{6B1F252F-B46A-4AF6-A9E5-E87FADFB85FD}" id="{79E23899-D5FD-41DD-BD12-631F31451288}">
    <text>PICADORA: ROTURA DE CINTA  0:10:00</text>
  </threadedComment>
  <threadedComment ref="AKM89" dT="2025-12-26T14:41:16.57" personId="{6B1F252F-B46A-4AF6-A9E5-E87FADFB85FD}" id="{7BE8A8B8-AFC5-4CCD-82DB-6027B5F8DCB6}">
    <text>REGULACION DE SPACE :  00:16:00</text>
  </threadedComment>
  <threadedComment ref="AKV89" dT="2025-12-26T14:44:26.44" personId="{6B1F252F-B46A-4AF6-A9E5-E87FADFB85FD}" id="{27D69006-EC6F-4759-872B-5D049FE07415}">
    <text>ESTUCHADORA 1: FUERA DE PUNTO HABIA CARTON EN LA CADENA  00:32:00</text>
  </threadedComment>
  <threadedComment ref="ALE89" dT="2025-12-29T14:14:15.34" personId="{6B1F252F-B46A-4AF6-A9E5-E87FADFB85FD}" id="{4C84DC63-E925-4793-93E9-2C2B5EE40293}">
    <text>GIRO TRABADO ( CARNE EN CADENA LA PASTA BLANDA)</text>
  </threadedComment>
  <threadedComment ref="ALK89" dT="2026-01-02T17:49:51.47" personId="{6B1F252F-B46A-4AF6-A9E5-E87FADFB85FD}" id="{97977DB8-3138-485A-9C23-BFD32C73DA06}">
    <text>FORMAX: ROTURA MOTOR DE SALIDA 1:25:00</text>
  </threadedComment>
  <threadedComment ref="AOE89" dT="2026-01-22T17:28:14.71" personId="{6B1F252F-B46A-4AF6-A9E5-E87FADFB85FD}" id="{09BF36D7-FD94-42D3-BF7A-B92693DCCE51}">
    <text>FORMAX: ROTURA DE BARRA DE EXPULSION 1:08:00</text>
  </threadedComment>
  <threadedComment ref="APO89" dT="2026-02-24T16:07:23.21" personId="{6B1F252F-B46A-4AF6-A9E5-E87FADFB85FD}" id="{32FDE21C-E33B-408D-8920-91057ED809EA}">
    <text xml:space="preserve">1:PROBLEMA CON EXPULSORES   2:GYRO TRABADO CON CARNE   3:FORMAX DETENIDA REGULACION DE EXPULSORES   
4:ROTURA DE EXPULSOR PLACA DE 83 GRS   
5:GYRO TRABADO CON CARNE   6:REGULACION DE EXPULSORES </text>
  </threadedComment>
  <threadedComment ref="APX89" dT="2026-02-24T16:14:26.28" personId="{6B1F252F-B46A-4AF6-A9E5-E87FADFB85FD}" id="{E0385313-464D-41FD-930C-04ABC2AD3283}">
    <text xml:space="preserve">1: PROBLEMA EN  EL ARRANQUE CON EL MOTOR DE ALBONDIGAS  </text>
  </threadedComment>
  <threadedComment ref="ARH89" dT="2026-02-24T12:17:50.36" personId="{6B1F252F-B46A-4AF6-A9E5-E87FADFB85FD}" id="{682E06E0-4BE8-4F1C-9D13-D6E5F089AD50}">
    <text xml:space="preserve">1:GYRO FREEZER TRABADO CON CARNE 00:06:00  
2:GYRO FREEZER TRABADO EN LA SALIDA CON HAMBURGUESAS 00:08:00   
3:GYRO FREEZER TRABADO CON CARNE 00:02:00   
4:GYRO FREEZER TRABADO CON CARNE 00:18:00  </text>
  </threadedComment>
  <threadedComment ref="ARN89" dT="2026-02-24T12:10:35.68" personId="{6B1F252F-B46A-4AF6-A9E5-E87FADFB85FD}" id="{7A1159A1-8851-45CB-9A27-D0D634C4ABE9}">
    <text xml:space="preserve">1:FORMAX PRESENCIA DE METAL  00:21:00   
2:GYRO FREEZER FALTA DE FRIO  00:17:00   
</text>
  </threadedComment>
  <threadedComment ref="ART89" dT="2026-02-24T12:12:46.50" personId="{6B1F252F-B46A-4AF6-A9E5-E87FADFB85FD}" id="{780DF675-39CB-4BC9-B4F4-73EA96975688}">
    <text>1: FORMAX:PRODUCCION DETENIDA POR PRESENCIA DE PLASTICO EN MEZCLADORA 00:44:00  T.T</text>
  </threadedComment>
  <threadedComment ref="ASI89" dT="2026-03-02T12:40:37.09" personId="{6B1F252F-B46A-4AF6-A9E5-E87FADFB85FD}" id="{687ED18E-BC1B-496C-B3EE-4CC705120ABF}">
    <text>1: ROTURA CINTA DE PICADORA T.M
2: PROBLEMAS CON MANCHON DE BOMBA DE FREON T.T</text>
  </threadedComment>
  <threadedComment ref="ATA89" dT="2026-03-10T11:29:02.18" personId="{6B1F252F-B46A-4AF6-A9E5-E87FADFB85FD}" id="{A60AFDB5-C632-4AB6-B5F0-E2131188DF72}">
    <text>1: falta de aire comprimido, falla en el compresor</text>
  </threadedComment>
  <threadedComment ref="ATJ89" dT="2026-03-10T11:10:25.44" personId="{6B1F252F-B46A-4AF6-A9E5-E87FADFB85FD}" id="{EFB09907-0040-4257-BC41-B9F1A1A8CA96}">
    <text xml:space="preserve">1:PROBLEMA ELECTRICO CON EL VARIADOR DE GYRO FREEZER   01:10:00  
2: FALTA DE FRIO FALLA EN BOMBA DE FREON 00:06:00 </text>
  </threadedComment>
  <threadedComment ref="ATS89" dT="2026-03-18T04:37:01.14" personId="{E9451608-B4AD-4371-BAAB-18323A60B473}" id="{72EC77CA-042F-4DE4-B345-2423B279E2E2}">
    <text>giro trabado con carne</text>
  </threadedComment>
  <threadedComment ref="ATS89" dT="2026-03-18T04:38:27.11" personId="{E9451608-B4AD-4371-BAAB-18323A60B473}" id="{1A15E15B-C843-4A94-B99C-7A9AC53F9312}" parentId="{72EC77CA-042F-4DE4-B345-2423B279E2E2}">
    <text>problemas con expulsion en placa 82g</text>
  </threadedComment>
  <threadedComment ref="ATV89" dT="2026-03-18T04:48:27.86" personId="{E9451608-B4AD-4371-BAAB-18323A60B473}" id="{8319A59F-EEE2-415A-B278-CE11D4F23A53}">
    <text>Cae temperatura del giro. Retorno de liquido.</text>
  </threadedComment>
  <threadedComment ref="AUK89" dT="2026-03-18T01:39:12.98" personId="{E9451608-B4AD-4371-BAAB-18323A60B473}" id="{C3736C13-893D-4791-9191-152FCD7658D0}">
    <text>Falta de frio</text>
  </threadedComment>
  <threadedComment ref="AUK89" dT="2026-03-23T16:04:06.44" personId="{6B1F252F-B46A-4AF6-A9E5-E87FADFB85FD}" id="{64487FCA-EB47-4EC5-97EA-DE7929818D1E}" parentId="{C3736C13-893D-4791-9191-152FCD7658D0}">
    <text>se trabo nivel de liquido</text>
  </threadedComment>
  <threadedComment ref="AUN89" dT="2026-03-18T01:40:31.78" personId="{E9451608-B4AD-4371-BAAB-18323A60B473}" id="{C351BCE8-B04F-4CD5-ABB5-1186029FFB49}">
    <text>falta de aire en producción , falla en el compresor.</text>
  </threadedComment>
  <threadedComment ref="AUQ89" dT="2026-03-23T15:30:49.93" personId="{6B1F252F-B46A-4AF6-A9E5-E87FADFB85FD}" id="{3E961837-80D9-48C1-B28C-544CBBA20F78}">
    <text>CINTA DE ENTRADA GYRO FREEZER SE CONGELO T.M</text>
  </threadedComment>
  <threadedComment ref="AUT89" dT="2026-03-23T15:38:41.88" personId="{6B1F252F-B46A-4AF6-A9E5-E87FADFB85FD}" id="{1F15BD8E-3516-497B-86B9-B88DE995A11C}">
    <text>1:CAÑONERA CONGELADA T.M
2:ROTURA DE PURGA PULMON DE AIRE  T.M
3:GIRO TRABADO CON CARNE T.T</text>
  </threadedComment>
  <threadedComment ref="AVI89" dT="2026-03-26T17:52:36.44" personId="{6B1F252F-B46A-4AF6-A9E5-E87FADFB85FD}" id="{FC191829-CC8F-43BA-AEAD-2AA222BD0313}">
    <text>SE CORTO BARRA DE PLACA MOLDE (IZQUIERDO) 0:48:00</text>
  </threadedComment>
  <threadedComment ref="AVL89" dT="2026-03-26T18:02:18.37" personId="{6B1F252F-B46A-4AF6-A9E5-E87FADFB85FD}" id="{09FBF71F-EF1E-4CF5-812C-8640F35323E7}">
    <text>GYRO FREEZER : TRABADO CON CARNE</text>
  </threadedComment>
  <threadedComment ref="E90" dT="2025-12-29T22:07:26.88" personId="{43B434BF-79E3-466D-B3A3-88E19A430C27}" id="{E6EE8FF8-3F4F-433D-9480-3EF9739CA706}">
    <text>A partir del 29/12 en funcionamiento</text>
  </threadedComment>
  <threadedComment ref="ALN90" dT="2026-01-03T12:19:50.72" personId="{6B1F252F-B46A-4AF6-A9E5-E87FADFB85FD}" id="{B19B2D2B-042D-4823-AA6B-64C3444F300C}">
    <text xml:space="preserve">SPACE : ROTURA DE RESISTENCIA DE RODILLOS 00:55:00 TM </text>
  </threadedComment>
  <threadedComment ref="ALN90" dT="2026-01-03T12:20:07.30" personId="{6B1F252F-B46A-4AF6-A9E5-E87FADFB85FD}" id="{ED47FB2E-06D7-4F57-AED9-99CAAAA997EE}" parentId="{B19B2D2B-042D-4823-AA6B-64C3444F300C}">
    <text>SPACE: REGULACION 00:52:00 TM</text>
  </threadedComment>
  <threadedComment ref="ALQ90" dT="2026-01-03T12:22:05.34" personId="{6B1F252F-B46A-4AF6-A9E5-E87FADFB85FD}" id="{4B641001-B619-4D49-949A-E0443B921E2E}">
    <text>SPACE: PROBLEMAS CON LA RESISTENCIA DE LOS RODILLOS 1:52:00 T.T</text>
  </threadedComment>
  <threadedComment ref="ALQ90" dT="2026-01-03T12:22:22.10" personId="{6B1F252F-B46A-4AF6-A9E5-E87FADFB85FD}" id="{9A627C06-1223-4D53-B482-FD03212AAD94}" parentId="{4B641001-B619-4D49-949A-E0443B921E2E}">
    <text>SPACE: REGULACION 00:08:00 T.M</text>
  </threadedComment>
  <threadedComment ref="ALT90" dT="2026-01-03T12:22:49.55" personId="{6B1F252F-B46A-4AF6-A9E5-E87FADFB85FD}" id="{7DD8373C-4A4E-49BD-8D11-67F906D83C41}">
    <text>SPACE: REGULACION 00:15:00</text>
  </threadedComment>
  <threadedComment ref="ALZ90" dT="2026-01-03T12:23:14.21" personId="{6B1F252F-B46A-4AF6-A9E5-E87FADFB85FD}" id="{444925A0-37D3-48AA-88FC-AF079ACEFF80}">
    <text>SPACE: REGULACION 00:21:00 T.M</text>
  </threadedComment>
  <threadedComment ref="AMC90" dT="2026-01-09T12:40:29.37" personId="{6B1F252F-B46A-4AF6-A9E5-E87FADFB85FD}" id="{187CA956-C24D-492E-A488-6E288524D7BF}">
    <text>REGULACION DE SPACE : 00:10:00 T.M
REGULACION DE SPACE 00:22:00 TM</text>
  </threadedComment>
  <threadedComment ref="AMI90" dT="2026-01-09T12:41:41.40" personId="{6B1F252F-B46A-4AF6-A9E5-E87FADFB85FD}" id="{224B0B5E-6F3F-4855-A1B5-110E1955001A}">
    <text>REGULACION DE SPACE  00:44:00 T.M</text>
  </threadedComment>
  <threadedComment ref="AML90" dT="2026-01-09T12:47:19.85" personId="{6B1F252F-B46A-4AF6-A9E5-E87FADFB85FD}" id="{00D59657-27D4-4507-932E-BF2054F46348}">
    <text>ULMA 1 , CAMBIO DE CUCHILLAS: 01:14:00 T.M</text>
  </threadedComment>
  <threadedComment ref="AMO90" dT="2026-01-09T12:45:20.35" personId="{6B1F252F-B46A-4AF6-A9E5-E87FADFB85FD}" id="{8C53DCB8-6DAE-4873-A28B-301FA6AA5508}">
    <text>REGULACION DE SPACE : 00:15:00 T.M
REGULACION DE SPACE: 00:27:00 T.M</text>
  </threadedComment>
  <threadedComment ref="AMR90" dT="2026-01-09T12:49:15.43" personId="{6B1F252F-B46A-4AF6-A9E5-E87FADFB85FD}" id="{0C06E1D1-257E-481B-A025-3D76CB9753D2}">
    <text>REGULACION DE RODILLOS DE RESISTENCIA DE ULMA Nª2:  01:25:00 T.M</text>
  </threadedComment>
  <threadedComment ref="AMU90" dT="2026-01-15T17:32:44.31" personId="{6B1F252F-B46A-4AF6-A9E5-E87FADFB85FD}" id="{4B4C31ED-9DE7-4086-B503-C70D06F34722}">
    <text>REGULACION DE SPACE  00:31:00 T.M</text>
  </threadedComment>
  <threadedComment ref="ANA90" dT="2026-01-15T17:34:31.26" personId="{6B1F252F-B46A-4AF6-A9E5-E87FADFB85FD}" id="{9F4A1ABB-E392-4F92-8D09-92D46D9A98FC}">
    <text xml:space="preserve">ULMA 1 : ROTURA DE PALA  00:19:00
SPACE: PROBLEMA DE RESISTENCIA  00:09:00
</text>
  </threadedComment>
  <threadedComment ref="AND90" dT="2026-01-15T17:35:21.53" personId="{6B1F252F-B46A-4AF6-A9E5-E87FADFB85FD}" id="{DA41FBDD-DE2B-4F0B-818B-A88F3BC99F70}">
    <text>SPACE: PROBLEMA DE RESISTENCIA  02:28:00</text>
  </threadedComment>
  <threadedComment ref="ANJ90" dT="2026-01-19T16:43:16.56" personId="{6B1F252F-B46A-4AF6-A9E5-E87FADFB85FD}" id="{8441550A-5133-45B7-BD5F-5E15D3EA11D1}">
    <text>ULMA 1 :PROBLEMA ELECTRICO 5:10:00</text>
  </threadedComment>
  <threadedComment ref="ANM90" dT="2026-01-19T16:36:55.84" personId="{6B1F252F-B46A-4AF6-A9E5-E87FADFB85FD}" id="{180BCD8E-E007-4E8D-8703-FB996B5F41F3}">
    <text>ULMA 2: PROBLEMAS CON EL SENSOR DE CADENAS,  00:10:00</text>
  </threadedComment>
  <threadedComment ref="ANP90" dT="2026-01-19T16:31:21.29" personId="{6B1F252F-B46A-4AF6-A9E5-E87FADFB85FD}" id="{5A559712-C652-4E17-8AEB-0D0FACC8F078}">
    <text>DETECTOR DE METALES LINEA 3 PRO DESNUDO FALSO POSITIVO</text>
  </threadedComment>
  <threadedComment ref="AOE90" dT="2026-01-22T17:27:12.82" personId="{6B1F252F-B46A-4AF6-A9E5-E87FADFB85FD}" id="{2A2346AB-AB82-4396-8B18-830750448541}">
    <text xml:space="preserve">1:ESTUCHADORA FUERA DE PUNTO ENCODER 00:13:00  
2:ESTUCHADORA FUERA DE PUNTO ENCODER 00:03:00 </text>
  </threadedComment>
  <threadedComment ref="AOH90" dT="2026-01-26T15:09:54.32" personId="{6B1F252F-B46A-4AF6-A9E5-E87FADFB85FD}" id="{36703FE9-5D4D-4E00-A0A6-D8F9BB6717EF}">
    <text xml:space="preserve">ESTUCHADORA 1 : estuches pegados  00:18:00 </text>
  </threadedComment>
  <threadedComment ref="AON90" dT="2026-01-26T15:16:15.85" personId="{6B1F252F-B46A-4AF6-A9E5-E87FADFB85FD}" id="{164D2B84-A368-4086-9594-BE5BFD6AC1D0}">
    <text>CINTA DE PICADORA: ROTURA DE CINTA</text>
  </threadedComment>
  <threadedComment ref="AOQ90" dT="2026-01-26T15:14:57.37" personId="{6B1F252F-B46A-4AF6-A9E5-E87FADFB85FD}" id="{027873E9-5C57-4A9B-A285-B1DE8346D9E5}">
    <text>GYRO FREEZER: problema electrico T.M
FORMAX: Rotura motor de cinta azul T.T</text>
  </threadedComment>
  <threadedComment ref="AOT90" dT="2026-01-29T17:50:14.53" personId="{6B1F252F-B46A-4AF6-A9E5-E87FADFB85FD}" id="{67C3A763-BA50-4321-B980-FBAEB02A35F7}">
    <text xml:space="preserve"> ESTUCHADORA FUERA DE PUNTO 00:15:00 T.M</text>
  </threadedComment>
  <threadedComment ref="AQP90" dT="2026-02-13T12:57:34.39" personId="{6B1F252F-B46A-4AF6-A9E5-E87FADFB85FD}" id="{9C010B86-E143-4441-B409-67E4AB7EE8C1}">
    <text>ESTUCHADORA 1:ROTURA DE CERRADOR DE ESTUCHES LATERAL</text>
  </threadedComment>
  <threadedComment ref="AQV90" dT="2026-02-19T13:30:59.45" personId="{6B1F252F-B46A-4AF6-A9E5-E87FADFB85FD}" id="{265AE88D-4596-4BA5-A6FE-E238F6DB7970}">
    <text xml:space="preserve">ESTUCHADORA 1 :ROTURA DE CADENA DE CANGILONES </text>
  </threadedComment>
  <threadedComment ref="AQY90" dT="2026-02-19T13:33:00.36" personId="{6B1F252F-B46A-4AF6-A9E5-E87FADFB85FD}" id="{4D3277DB-0D2E-4283-9F69-0E2B22CCD9F1}">
    <text>ESTUCHADORA 1 : FUERA DE PUNTO T.M</text>
  </threadedComment>
  <threadedComment ref="AQY90" dT="2026-02-19T13:36:20.60" personId="{6B1F252F-B46A-4AF6-A9E5-E87FADFB85FD}" id="{7B10AA93-75FD-4175-A3CD-72EAFF850C25}" parentId="{4D3277DB-0D2E-4283-9F69-0E2B22CCD9F1}">
    <text>ULMA 2: PROBLEMAS CON EL FECHADOR, SE REGULA RIBBONS</text>
  </threadedComment>
  <threadedComment ref="ARH90" dT="2026-02-19T13:39:11.53" personId="{6B1F252F-B46A-4AF6-A9E5-E87FADFB85FD}" id="{A153EAD7-6C4F-4D38-9004-FF947DD5E556}">
    <text>ULMA 1: REEMPLAZO DE FECHADOR X40 02:00:00 T.M
ULMA 3: REGULACION DE SENSOR DE MACULA T.T</text>
  </threadedComment>
  <threadedComment ref="ARZ90" dT="2026-02-26T17:01:35.43" personId="{6B1F252F-B46A-4AF6-A9E5-E87FADFB85FD}" id="{AB78B6BF-3E0B-4DC0-945F-0817B6E8ECDE}">
    <text>1:CINTA DE PICADORA ROTURA DE CINTA DE PICADORA (NO SE DETIENE PRODUCCION) T.M
2: ESTUCHADORA 1 ROTURA DE CADENA DE CANGIOLONES T.T
3: ESTUCHADORA 1 ROTURA DE CADENA DE CANGIOLONES T.T</text>
  </threadedComment>
  <threadedComment ref="ASC90" dT="2026-02-26T16:59:53.68" personId="{6B1F252F-B46A-4AF6-A9E5-E87FADFB85FD}" id="{16282034-D2C7-4824-B5B6-6619FC19F9BF}">
    <text xml:space="preserve">1: ULMA Nª3 PROBLEMAS CON EL FECHADOR X40 (MAL PUESTO EL SOPORTE DE LA BOBINA) T.M
</text>
  </threadedComment>
  <threadedComment ref="ASF90" dT="2026-02-26T17:00:18.14" personId="{6B1F252F-B46A-4AF6-A9E5-E87FADFB85FD}" id="{D4B6E7ED-0230-415B-AF6E-B42A951AE841}">
    <text>1: ULMA Nª1 CAMBIO DE RODAMIENTOS MOTOR DE ULMA(NO DETIENE PRODUCCION)</text>
  </threadedComment>
  <threadedComment ref="ASX90" dT="2026-03-05T16:19:54.44" personId="{6B1F252F-B46A-4AF6-A9E5-E87FADFB85FD}" id="{FB04ECA2-031C-4B43-8C11-70DF3469C079}">
    <text xml:space="preserve"> 1: ESTUCHADORA Nª1  ESTUCHADORA DETENIDA PROBLEMA CON BAJADA DE ESTUCHES T.T
2: PROBLEMA MEZCLADORA (MALA COMUNICACIÓN CON LA REFORMA DEL TIEMPO DE CAÑON) T.M</text>
  </threadedComment>
  <threadedComment ref="ATD90" dT="2026-03-10T11:04:00.19" personId="{6B1F252F-B46A-4AF6-A9E5-E87FADFB85FD}" id="{88D7621F-43AB-42B7-82A9-0D09E2980B41}">
    <text>ESTUCHADORA Nª1  SE DOBLO LATERAL DE CONGILON PIKET</text>
  </threadedComment>
  <threadedComment ref="ATG90" dT="2026-03-10T11:04:52.33" personId="{6B1F252F-B46A-4AF6-A9E5-E87FADFB85FD}" id="{92DE6C4B-2D0D-457D-AE22-209D987D8BF7}">
    <text>MEZCLADORA :  PASTA CONGELADA</text>
  </threadedComment>
  <threadedComment ref="ATV90" dT="2026-03-18T04:41:40.80" personId="{E9451608-B4AD-4371-BAAB-18323A60B473}" id="{09C3E3E3-674C-41B5-ACA5-98B9A8BE3BA4}">
    <text>Mezcladora , no funciona botón de arranque.</text>
  </threadedComment>
  <threadedComment ref="ATY90" dT="2026-03-18T04:43:38.19" personId="{E9451608-B4AD-4371-BAAB-18323A60B473}" id="{41F1E3E7-95D5-4BAA-986D-5D279CB9A8D9}">
    <text>Se regula banda transportadora de estuchadora 1</text>
  </threadedComment>
  <threadedComment ref="AUN90" dT="2026-03-23T15:43:08.85" personId="{6B1F252F-B46A-4AF6-A9E5-E87FADFB85FD}" id="{DF426389-1039-4196-BCBE-EA8DDD4700AF}">
    <text xml:space="preserve">ESTUCHADORA 1 : PROBLEMA EN PIKET </text>
  </threadedComment>
  <threadedComment ref="AUQ90" dT="2026-03-23T15:43:50.57" personId="{6B1F252F-B46A-4AF6-A9E5-E87FADFB85FD}" id="{BAA82B5F-43DE-4BB2-9C35-30D0962B8EEA}">
    <text>ULMA Nª2 :PROBLEMA EN EL COMANDO</text>
  </threadedComment>
  <threadedComment ref="AUQ90" dT="2026-03-23T15:47:51.29" personId="{6B1F252F-B46A-4AF6-A9E5-E87FADFB85FD}" id="{7139624A-1946-46C8-A43E-9DADC539FEC3}" parentId="{BAA82B5F-43DE-4BB2-9C35-30D0962B8EEA}">
    <text xml:space="preserve">ULMA Nª2: PROBLEMA ELECTRICO T.M </text>
  </threadedComment>
  <threadedComment ref="AVC90" dT="2026-03-23T15:52:25.30" personId="{6B1F252F-B46A-4AF6-A9E5-E87FADFB85FD}" id="{B0F981DC-9890-4093-894D-523B5B95F6E1}">
    <text>1:STUCHADORA Nª1 : SE OLVIDARON DE COLOCAR ADHESIVO T.M
2:CINTA HIDRATADORA DE SOJA : PROBLEMAS EN LA CADENA T.M</text>
  </threadedComment>
  <threadedComment ref="AVI90" dT="2026-03-26T17:51:56.84" personId="{6B1F252F-B46A-4AF6-A9E5-E87FADFB85FD}" id="{D7F35023-68D4-401E-9766-0FC48C740E2F}">
    <text xml:space="preserve"> 1:SE CONGELO CAÑON DE MEZCLADORA   T.M
2:SE CORTO CORREA DE ULMA Nª3 (CINTA DE SALIDA) T.T</text>
  </threadedComment>
  <threadedComment ref="IR93" dT="2025-04-24T17:41:06.35" personId="{598ED824-4EF6-479C-8DE9-6C3570B05010}" id="{CDE8B828-A116-448F-9D4F-6F43E4796DE3}">
    <text>Tuvimos un rechazo de dos camiones de INC que salieron desde Catter por 26.18 Tons</text>
  </threadedComment>
  <threadedComment ref="FF94" dT="2025-03-25T19:23:11.75" personId="{598ED824-4EF6-479C-8DE9-6C3570B05010}" id="{F567AB3A-CC8D-42BB-96C4-2C8D1C9D5328}">
    <text xml:space="preserve">Se adelantaron las entregas de un pedido de Winter y dos pedidos de Extremas
</text>
  </threadedComment>
  <threadedComment ref="FI94" dT="2025-03-26T17:46:55.91" personId="{598ED824-4EF6-479C-8DE9-6C3570B05010}" id="{F207E5A4-AB12-4034-BA93-45927C033131}">
    <text>En el volumen están contempladas las segundas vueltas para ir generando espacio (Winter - Morres y Amba Food)</text>
  </threadedComment>
  <threadedComment ref="GM94" dT="2025-04-07T18:43:34.66" personId="{598ED824-4EF6-479C-8DE9-6C3570B05010}" id="{4CB55082-AB32-4A48-91A9-D8872E1F322C}">
    <text xml:space="preserve">Se descontó el camión de DIA Burzaco que terminó descargando en Froneri
</text>
  </threadedComment>
  <threadedComment ref="I97" dT="2025-02-12T18:44:07.07" personId="{598ED824-4EF6-479C-8DE9-6C3570B05010}" id="{9A33A91F-5EA9-4E33-B47B-A4954511E103}">
    <text>1 Froneri - 3 Americold</text>
  </threadedComment>
  <threadedComment ref="O97" dT="2025-02-12T18:45:25.34" personId="{598ED824-4EF6-479C-8DE9-6C3570B05010}" id="{0CAEFAAB-34E4-48E8-B325-F1E8E487E42D}">
    <text xml:space="preserve">1 Americold
</text>
  </threadedComment>
  <threadedComment ref="R97" dT="2025-02-12T18:46:02.09" personId="{598ED824-4EF6-479C-8DE9-6C3570B05010}" id="{B97A69D2-8AF6-43B4-ACB1-39189CEA8740}">
    <text>3 Froneri</text>
  </threadedComment>
  <threadedComment ref="U97" dT="2025-02-12T18:46:34.26" personId="{598ED824-4EF6-479C-8DE9-6C3570B05010}" id="{6EBA5078-6708-4E04-A17B-A1029308602C}">
    <text>1 Froneri</text>
  </threadedComment>
  <threadedComment ref="X97" dT="2025-02-12T18:47:42.95" personId="{598ED824-4EF6-479C-8DE9-6C3570B05010}" id="{A07DC18A-F27F-4DA1-BFD6-BB7432A1A69F}">
    <text>3 Americold</text>
  </threadedComment>
  <threadedComment ref="AA97" dT="2025-02-12T18:49:15.20" personId="{598ED824-4EF6-479C-8DE9-6C3570B05010}" id="{6987B0D9-A573-414E-A178-96AF197B3FFC}">
    <text xml:space="preserve">1 Americold y 2 Froneri
</text>
  </threadedComment>
  <threadedComment ref="AD97" dT="2025-02-12T18:51:03.43" personId="{598ED824-4EF6-479C-8DE9-6C3570B05010}" id="{859866A9-04EB-4FEB-8DE4-2509C508DED3}">
    <text>1 Froneri y 2 Americold</text>
  </threadedComment>
  <threadedComment ref="AJ97" dT="2025-02-12T18:56:23.01" personId="{598ED824-4EF6-479C-8DE9-6C3570B05010}" id="{97531B41-AEF0-45DE-8A81-D5EE6655AE3E}">
    <text>1 Froneri</text>
  </threadedComment>
  <threadedComment ref="AM97" dT="2025-02-12T18:59:16.32" personId="{598ED824-4EF6-479C-8DE9-6C3570B05010}" id="{5DFE7D82-4FF5-4937-B451-01D0D044FFFB}">
    <text xml:space="preserve">1 Froneri y 1 Americold
</text>
  </threadedComment>
  <threadedComment ref="AP97" dT="2025-02-12T19:00:29.24" personId="{598ED824-4EF6-479C-8DE9-6C3570B05010}" id="{F721087C-9E21-4CFC-B7CD-FC1E16A31691}">
    <text>2 Froneri</text>
  </threadedComment>
  <threadedComment ref="AS97" dT="2025-02-14T20:47:20.14" personId="{598ED824-4EF6-479C-8DE9-6C3570B05010}" id="{8C1F1358-47FC-44B1-9446-959CF2F57E6D}">
    <text>1 Americold  + 1 Froneri</text>
  </threadedComment>
  <threadedComment ref="AV97" dT="2025-02-14T20:47:37.14" personId="{598ED824-4EF6-479C-8DE9-6C3570B05010}" id="{7F654FA5-4712-4923-BC52-3F60654B8EAF}">
    <text>3 Froneri</text>
  </threadedComment>
  <threadedComment ref="GM97" dT="2025-04-07T18:44:36.41" personId="{598ED824-4EF6-479C-8DE9-6C3570B05010}" id="{FC69B7DA-FD17-4C50-B443-1F7859BFC0D3}">
    <text xml:space="preserve">Se descontó el camión de DIA Burzaco que no nos recibieron y terminó descargando el 05/04 en Froneri
</text>
  </threadedComment>
  <threadedComment ref="APX97" dT="2026-02-09T18:34:50.71" personId="{43B434BF-79E3-466D-B3A3-88E19A430C27}" id="{707B67DE-C1F8-4B62-8692-FDA35DE43CE7}">
    <text>@Henny Bermudez  es correcto este valor?</text>
    <mentions>
      <mention mentionpersonId="{E656936D-3FEB-480D-90FD-8F05572A99B2}" mentionId="{55BC35D4-B4B8-4D49-9689-CCCA77D305C4}" startIndex="0" length="15"/>
    </mentions>
  </threadedComment>
  <threadedComment ref="BE101" dT="2025-02-18T14:04:20.60" personId="{37AF5AEE-CD07-4EB0-9297-B2BE037F2A46}" id="{EE73903B-2830-4E5A-B564-F41C5131E915}">
    <text>Carga Froneri 16/02</text>
  </threadedComment>
  <threadedComment ref="GA101" dT="2025-04-01T17:17:03.21" personId="{598ED824-4EF6-479C-8DE9-6C3570B05010}" id="{E45D6D55-1D68-4DF8-ADE4-E136901B6AB5}">
    <text>Primer ingreso de Exhambar a Froneri</text>
  </threadedComment>
  <threadedComment ref="JV101" dT="2025-05-04T22:02:36.77" personId="{598ED824-4EF6-479C-8DE9-6C3570B05010}" id="{1ECAF1E9-AEF1-4DA7-B26C-288D988AE499}">
    <text>Se envío a Froneri la entrega de INC Casanova que no se pudo entregar por fuera de horario. Demoras en las cargar en Americold.</text>
  </threadedComment>
  <threadedComment ref="AKS107" dT="2025-12-29T18:49:43.31" personId="{F782486C-9BA9-4075-A377-73A7B08E7C3E}" id="{EB823BE3-BB9C-44A6-AB2E-7CE02B5E3499}">
    <text xml:space="preserve">filete de cerdo
</text>
  </threadedComment>
  <threadedComment ref="KN115" dT="2025-05-11T20:20:06.18" personId="{598ED824-4EF6-479C-8DE9-6C3570B05010}" id="{E302DCF8-0864-495F-956C-E49CB0DA47D6}">
    <text xml:space="preserve">Un semi se cargó para hacer lugar de caras al fin de semana
</text>
  </threadedComment>
  <threadedComment ref="KQ115" dT="2025-05-11T20:20:06.18" personId="{598ED824-4EF6-479C-8DE9-6C3570B05010}" id="{FD8F101E-B10E-4607-98B1-6CDF6AC91E47}">
    <text>Dos semis se cargaron para hacer lugar de caras al fin de semana</text>
  </threadedComment>
  <threadedComment ref="KZ115" dT="2025-05-13T16:42:15.08" personId="{598ED824-4EF6-479C-8DE9-6C3570B05010}" id="{6962B8BC-DF05-422E-8DA1-98F26163AD52}">
    <text xml:space="preserve">Se cargó durante el día un semi a Froneri p/hacer lugar
</text>
  </threadedComment>
  <threadedComment ref="LC115" dT="2025-05-13T16:42:15.08" personId="{598ED824-4EF6-479C-8DE9-6C3570B05010}" id="{DDCE608F-B17E-4EC7-94DD-C8345FAD10F7}">
    <text>Se cargó durante el día un semi a Froneri p/hacer lugar</text>
  </threadedComment>
  <threadedComment ref="LU115" dT="2025-05-13T16:42:15.08" personId="{598ED824-4EF6-479C-8DE9-6C3570B05010}" id="{52B1311C-AF96-48EC-8394-D14E284C9691}">
    <text>Se cargó durante el día un semi a Froneri p/hacer lugar</text>
  </threadedComment>
  <threadedComment ref="LX115" dT="2025-05-13T16:42:15.08" personId="{598ED824-4EF6-479C-8DE9-6C3570B05010}" id="{E6DCF93E-8C50-4D64-9405-33EB85EF3062}">
    <text>Se cargó durante el día un semi a Froneri p/hacer lugar</text>
  </threadedComment>
  <threadedComment ref="MA115" dT="2025-05-13T16:42:15.08" personId="{598ED824-4EF6-479C-8DE9-6C3570B05010}" id="{2C1CE76A-F4FB-425F-8FEB-30000026F040}">
    <text>Se cargaron durante la noche dos semis a Americold p/hacer lugar</text>
  </threadedComment>
  <threadedComment ref="MD115" dT="2025-05-13T16:42:15.08" personId="{598ED824-4EF6-479C-8DE9-6C3570B05010}" id="{672BB1C7-DB16-496E-A84F-CE23177E2049}">
    <text>Se cargaron dos semis, uno a Froneri y otro a Americold p/hacer lugar</text>
  </threadedComment>
  <threadedComment ref="MG115" dT="2025-05-13T16:42:15.08" personId="{598ED824-4EF6-479C-8DE9-6C3570B05010}" id="{AB0126D9-517E-47B5-BB16-8772339AE6F9}">
    <text>Se cargaron 4 semis p/hacer lugar (1 Froneri - 1 Americold - 1 Gema - 1 cámara para el lunes Americold)</text>
  </threadedComment>
  <threadedComment ref="MM115" dT="2025-05-13T16:42:15.08" personId="{598ED824-4EF6-479C-8DE9-6C3570B05010}" id="{50E1A6CD-46AA-432B-BA51-2F9191248B5A}">
    <text>Se cargó anoche un semi a Americold p/hacer lugar</text>
  </threadedComment>
  <threadedComment ref="MP115" dT="2025-05-13T16:42:15.08" personId="{598ED824-4EF6-479C-8DE9-6C3570B05010}" id="{87648D1B-4FC6-48D2-A6B1-FEAA41890CD3}">
    <text xml:space="preserve">Se cargó un semi a Froneri durante el día 
</text>
  </threadedComment>
  <threadedComment ref="MS115" dT="2025-05-13T16:42:15.08" personId="{598ED824-4EF6-479C-8DE9-6C3570B05010}" id="{25DCFCA8-1950-4905-B4DB-70ECD4C2D351}">
    <text>Se cargó anoche un semi a Americold p/hacer lugar</text>
  </threadedComment>
  <threadedComment ref="MV115" dT="2025-05-13T16:42:15.08" personId="{598ED824-4EF6-479C-8DE9-6C3570B05010}" id="{C977EEA8-5787-4C52-966B-8B7A4A506C01}">
    <text>Se cargó anoche un semi a Americold p/hacer lugar</text>
  </threadedComment>
  <threadedComment ref="MY115" dT="2025-05-13T16:42:15.08" personId="{598ED824-4EF6-479C-8DE9-6C3570B05010}" id="{7C924982-9F86-4529-ADCA-35A5ADE8896E}">
    <text>Se cargaron 2 semis p/hacer lugar (1 Froneri - 1 Americold)</text>
  </threadedComment>
  <threadedComment ref="NB115" dT="2025-05-13T16:42:15.08" personId="{598ED824-4EF6-479C-8DE9-6C3570B05010}" id="{2620C48A-8749-4F4F-B5BB-D6C3969D2915}">
    <text>Se cargó 1 semi p/hacer lugar (1 Froneri)</text>
  </threadedComment>
  <threadedComment ref="NH115" dT="2025-05-13T16:42:15.08" personId="{598ED824-4EF6-479C-8DE9-6C3570B05010}" id="{4A24F165-B9DE-43E6-AFB7-23C7B02AE34C}">
    <text>Se cargó 1 semi p/hacer lugar (1 Froneri)</text>
  </threadedComment>
  <threadedComment ref="NK115" dT="2025-06-03T12:49:45.83" personId="{598ED824-4EF6-479C-8DE9-6C3570B05010}" id="{F29964D5-B007-47CE-9288-649AB8FBE73A}">
    <text xml:space="preserve">Se cargó por la noche un semi con destino Americold p/hacer lugar
</text>
  </threadedComment>
  <threadedComment ref="NN115" dT="2025-06-03T12:49:45.83" personId="{598ED824-4EF6-479C-8DE9-6C3570B05010}" id="{1340528C-2426-4506-9FBC-612BCD76F5B2}">
    <text>Se cargó por la noche un semi con destino Americold p/hacer lugar y otro durante el día a Froneri</text>
  </threadedComment>
  <threadedComment ref="NQ115" dT="2025-06-03T12:49:45.83" personId="{598ED824-4EF6-479C-8DE9-6C3570B05010}" id="{7E33AB12-FCFE-4D5C-B982-BC4B8C047178}">
    <text>Se cargó por la noche un semi con destino Froneri p/hacer lugar</text>
  </threadedComment>
  <threadedComment ref="NT115" dT="2025-06-03T12:49:45.83" personId="{598ED824-4EF6-479C-8DE9-6C3570B05010}" id="{F864164D-DF3F-40FC-A12D-D266E813EA9C}">
    <text>Se cargaron dos semis con destino Americold y Froneri p/hacer lugar</text>
  </threadedComment>
  <threadedComment ref="OL115" dT="2025-06-12T13:01:15.97" personId="{598ED824-4EF6-479C-8DE9-6C3570B05010}" id="{2BE8D635-3EB2-4013-9E57-6057733AE9B5}">
    <text>Se cargó durante la noche un semi con destino Froneri</text>
  </threadedComment>
  <threadedComment ref="OO115" dT="2025-06-15T17:24:18.72" personId="{598ED824-4EF6-479C-8DE9-6C3570B05010}" id="{2E2E5907-5D4D-4584-98C6-AF13493DE118}">
    <text xml:space="preserve">Se cargó durante el día un semi p/hacer lugar con destino Froneri
</text>
  </threadedComment>
  <threadedComment ref="PJ115" dT="2025-06-20T14:27:16.57" personId="{598ED824-4EF6-479C-8DE9-6C3570B05010}" id="{9526831B-DDA6-4866-8CD9-B716EEF039C6}">
    <text>Se cargó por la mañana un semi hacia Froneri p/hacer lugar</text>
  </threadedComment>
  <threadedComment ref="PV115" dT="2025-06-24T14:53:42.90" personId="{598ED824-4EF6-479C-8DE9-6C3570B05010}" id="{5B881201-01BF-4E73-B441-DAF4D962F6F6}">
    <text>Se cargó por la noche un semi a Froneri p/hacer lugar</text>
  </threadedComment>
  <threadedComment ref="TN115" dT="2025-07-26T17:40:45.02" personId="{1AC6D319-1EEB-479A-A819-7ACAD5A69D4F}" id="{845E7E9F-2C26-40E3-B526-3FB4F092413F}">
    <text>se cargaron dos semis, paso el cliente por el pedido</text>
  </threadedComment>
  <threadedComment ref="KW116" dT="2025-05-13T16:11:18.77" personId="{598ED824-4EF6-479C-8DE9-6C3570B05010}" id="{FE99698A-6E17-47E3-B937-71A68C2F3FFA}">
    <text xml:space="preserve">Se cargó un semi durante el día p/enviar PT a Froneri p/hacer lugar
</text>
  </threadedComment>
  <threadedComment ref="MP116" dT="2025-05-27T14:46:10.10" personId="{598ED824-4EF6-479C-8DE9-6C3570B05010}" id="{58693FEE-A064-4966-B94B-F8C873B93832}">
    <text xml:space="preserve">Se despachó cliente Morres en 2° vuelta p/hacer lugar
</text>
  </threadedComment>
  <threadedComment ref="BH117" dT="2025-02-19T18:46:38.89" personId="{37AF5AEE-CD07-4EB0-9297-B2BE037F2A46}" id="{7B5CDB4E-3D16-4998-99CB-E500C6E53CA0}">
    <text>El camión AB233 no se presento</text>
  </threadedComment>
  <threadedComment ref="DG117" dT="2025-03-11T14:00:26.03" personId="{598ED824-4EF6-479C-8DE9-6C3570B05010}" id="{DD43F42D-928F-478F-A25D-AC3D4F95695C}">
    <text>Se agregó durante el día una entrega a la Municipalidad de San Fernando solicitado por Jorge Rimoldi</text>
  </threadedComment>
  <threadedComment ref="KW117" dT="2025-05-13T16:12:02.57" personId="{598ED824-4EF6-479C-8DE9-6C3570B05010}" id="{741A2F01-EDAC-400B-A011-D6943BFDB1C7}">
    <text>Se cargó un balancín durante el día a Froneri p/hacer lugar</text>
  </threadedComment>
  <threadedComment ref="LC117" dT="2025-05-15T18:25:57.09" personId="{598ED824-4EF6-479C-8DE9-6C3570B05010}" id="{597DBB74-9456-4EB2-AAD3-06028BD7618E}">
    <text>Se cargó un segunda con un chasis para adelantar entregas y hacer lugar</text>
  </threadedComment>
  <threadedComment ref="LF117" dT="2025-05-15T18:30:20.33" personId="{598ED824-4EF6-479C-8DE9-6C3570B05010}" id="{62F479CE-F657-4A11-907C-4A350775EE64}">
    <text xml:space="preserve">Se sacó durante el día un camión en segunda vuelta para hacer lugar
</text>
  </threadedComment>
  <threadedComment ref="AUK124" dT="2026-03-18T01:32:22.03" personId="{1AC6D319-1EEB-479A-A819-7ACAD5A69D4F}" id="{EF1C85F5-B3D5-4E8C-9C0F-60E79906E2AF}">
    <text>Hasta acá, fue Escobar, desde el 17/03, es Ituzaingó</text>
  </threadedComment>
  <threadedComment ref="B125" dT="2025-12-09T15:22:35.97" personId="{E5CF185B-0DC3-48FD-81EC-930FD97014B1}" id="{B52FDDF2-1070-43D2-B0DB-C95B0C77ABC6}">
    <text>Antes del 6/12 el dato que se muestra es el de calidad de carga logística</text>
  </threadedComment>
  <threadedComment ref="FI125" dT="2025-03-28T14:37:57.49" personId="{43B434BF-79E3-466D-B3A3-88E19A430C27}" id="{7587091D-FDE0-40B3-8C27-894517E653B4}">
    <text xml:space="preserve">Temp Caja - 35.71%
Temp Prod - 35.71%
</text>
  </threadedComment>
  <threadedComment ref="FL125" dT="2025-03-28T14:36:54.88" personId="{43B434BF-79E3-466D-B3A3-88E19A430C27}" id="{076D71C6-998F-49BB-A123-B38114A27E2B}">
    <text>Temp Caja - 21.05%
Temp Prod - 42.11%</text>
  </threadedComment>
  <threadedComment ref="FO125" dT="2025-03-28T14:36:23.28" personId="{43B434BF-79E3-466D-B3A3-88E19A430C27}" id="{6BBFE4A6-0347-4D4B-AF67-E58AA528487E}">
    <text>Temp Caja - 25%
Temp Prod - 47.22%</text>
  </threadedComment>
  <threadedComment ref="FR125" dT="2025-03-28T14:39:40.37" personId="{43B434BF-79E3-466D-B3A3-88E19A430C27}" id="{DAB584FF-7847-49C0-BBD5-87BADE353065}">
    <text>Temp Caja - 30.43%
Temp Prod - 30.43%
Higiene - 69.57%
Chofer - 69.57%</text>
  </threadedComment>
  <threadedComment ref="FR125" dT="2025-03-28T14:40:01.22" personId="{43B434BF-79E3-466D-B3A3-88E19A430C27}" id="{3FCF586A-A3E6-450B-9CD8-6AFCE5D2FE9C}" parentId="{DAB584FF-7847-49C0-BBD5-87BADE353065}">
    <text>Tomado a las 11:30am</text>
  </threadedComment>
  <threadedComment ref="GD125" dT="2025-04-11T20:22:23.52" personId="{43B434BF-79E3-466D-B3A3-88E19A430C27}" id="{839DD42E-C165-461F-BDF7-01A500F92AA6}">
    <text>TC - 50%
TP - 50%</text>
  </threadedComment>
  <threadedComment ref="GM125" dT="2025-04-11T20:23:37.76" personId="{43B434BF-79E3-466D-B3A3-88E19A430C27}" id="{8BE67708-551F-4B66-8115-4DB3846385D4}">
    <text>TC - 41.18%
TP - 47.06%
CH - 94.12%</text>
  </threadedComment>
  <threadedComment ref="GP125" dT="2025-04-11T20:24:12.96" personId="{43B434BF-79E3-466D-B3A3-88E19A430C27}" id="{4A2DBD92-3E8D-44E8-9F13-AF1980F55EFC}">
    <text>TC - 53.57%
TP - 57.14%</text>
  </threadedComment>
  <threadedComment ref="GY125" dT="2025-04-11T20:25:06.86" personId="{43B434BF-79E3-466D-B3A3-88E19A430C27}" id="{3AA0ECA3-C038-46FF-A1E1-40C80CDB323D}">
    <text>TC - 31.82%
TP - 50%</text>
  </threadedComment>
  <threadedComment ref="HB125" dT="2025-04-11T20:25:46.65" personId="{43B434BF-79E3-466D-B3A3-88E19A430C27}" id="{52BCE2DE-C98F-41AE-9F1F-60C479BAB3DE}">
    <text>TC - 41.67%
TP - 45.83%
CH - 91.675</text>
  </threadedComment>
  <threadedComment ref="HE125" dT="2025-04-11T20:26:18.78" personId="{43B434BF-79E3-466D-B3A3-88E19A430C27}" id="{1721E4F4-5ED5-4C61-B598-F99AA43A63AB}">
    <text>TC - 26.92%
TP - 50%</text>
  </threadedComment>
  <threadedComment ref="HH125" dT="2025-04-11T20:26:48.25" personId="{43B434BF-79E3-466D-B3A3-88E19A430C27}" id="{FE224064-FFC5-4A99-9F40-7EC7BA3E9090}">
    <text>TC - 26.92%
TP - 50%</text>
  </threadedComment>
  <threadedComment ref="HK125" dT="2025-04-15T16:12:35.50" personId="{598ED824-4EF6-479C-8DE9-6C3570B05010}" id="{844D4B56-B4BA-4967-9F68-0385AEB1F11A}">
    <text>TC= 10 %
TP = 30 %
H = 80%
CH = 40 %</text>
  </threadedComment>
  <threadedComment ref="HQ125" dT="2025-04-15T16:14:15.10" personId="{598ED824-4EF6-479C-8DE9-6C3570B05010}" id="{411F77E1-9378-4AFD-B308-E72CB48FD226}">
    <text>TC 0 46.43 %
TP = 71.43 %
H = 100 %
CH = 100 %</text>
  </threadedComment>
  <threadedComment ref="HT125" dT="2025-04-15T16:16:37.60" personId="{598ED824-4EF6-479C-8DE9-6C3570B05010}" id="{A38AA7D9-8925-40D4-96B9-C612B72703D5}">
    <text>TC = 41.67 %
TP = 22.22 %
H = 38.89 %
CH = 38.89 %</text>
  </threadedComment>
  <threadedComment ref="HT125" dT="2025-04-15T18:42:15.93" personId="{43B434BF-79E3-466D-B3A3-88E19A430C27}" id="{A8CF6588-819C-4275-8EE4-DB58B5A13E50}" parentId="{A38AA7D9-8925-40D4-96B9-C612B72703D5}">
    <text>TC - 28.57%
TP - 57.14%
H- 100%
CH -100%</text>
  </threadedComment>
  <threadedComment ref="HW125" dT="2025-04-17T16:38:56.70" personId="{598ED824-4EF6-479C-8DE9-6C3570B05010}" id="{2F7C2C9C-0366-4F2E-9D9D-19C69C9A8753}">
    <text xml:space="preserve">TC = 44.74%
TP = 63.16 %
H = 100 %
CH = 100 %
</text>
  </threadedComment>
  <threadedComment ref="HZ125" dT="2025-04-17T16:40:17.73" personId="{598ED824-4EF6-479C-8DE9-6C3570B05010}" id="{B3B17B04-E177-462E-9F68-948DF3C0519A}">
    <text>TC = 38.8 %
TP = 50 %
H = 100 %
CH = 77.78 %</text>
  </threadedComment>
  <threadedComment ref="IO125" dT="2025-04-25T12:50:08.48" personId="{598ED824-4EF6-479C-8DE9-6C3570B05010}" id="{3E592B70-5DF9-40FE-ABA4-BA9712F53D51}">
    <text>TC: 46.88%
TP: 81.25%
H: 100 %
CH: 87.50%</text>
  </threadedComment>
  <threadedComment ref="IR125" dT="2025-04-25T12:50:42.77" personId="{598ED824-4EF6-479C-8DE9-6C3570B05010}" id="{53DFFD3E-7D5E-46CA-B609-2B06BB8813D5}">
    <text>TC: 61.11%
TP: 94.44%
H: 100 %
CH: 100%</text>
  </threadedComment>
  <threadedComment ref="IU125" dT="2025-04-25T12:51:43.83" personId="{598ED824-4EF6-479C-8DE9-6C3570B05010}" id="{28D517ED-E26A-48D0-BE26-0E70F0A873DA}">
    <text>TC: 42.86 %
TP: 50 %
H: 100 %
CH: 85.71%</text>
  </threadedComment>
  <threadedComment ref="IX125" dT="2025-04-25T12:52:21.06" personId="{598ED824-4EF6-479C-8DE9-6C3570B05010}" id="{EED26A8F-F582-4302-8540-55DD277F604F}">
    <text>TC: 50 %
TP: 73.81 %
H: 95.24 %
CH: 95.24 %</text>
  </threadedComment>
  <threadedComment ref="JA125" dT="2025-04-27T21:19:54.93" personId="{598ED824-4EF6-479C-8DE9-6C3570B05010}" id="{AC4C59CA-7E4D-4A1E-9E70-A8CBFC31F51C}">
    <text>TC: 28.57 %
TP: 71.73 %
H: 100 %
CH: 92.86 %</text>
  </threadedComment>
  <threadedComment ref="JG125" dT="2025-04-28T19:27:38.89" personId="{598ED824-4EF6-479C-8DE9-6C3570B05010}" id="{8AA4CA10-EE21-49E1-B5A2-75245E928F0D}">
    <text>TC: 57.14 %
TP: 92.86 %
H: 100 %
CH: 100 %</text>
  </threadedComment>
  <threadedComment ref="JJ125" dT="2025-04-29T15:46:08.67" personId="{598ED824-4EF6-479C-8DE9-6C3570B05010}" id="{472217B7-6E0F-46F8-8C57-07106FDC2889}">
    <text>TC: 43.33 %
TP: 76.67 %
H: 100 %
CH: 100 %</text>
  </threadedComment>
  <threadedComment ref="JM125" dT="2025-04-30T18:01:51.43" personId="{598ED824-4EF6-479C-8DE9-6C3570B05010}" id="{C9CF0FB2-DF45-472A-A149-0DC18430EAFD}">
    <text>TC: 35,71 %
TP: 67,86 %
H: 100 %
CH: 85,71 %</text>
  </threadedComment>
  <threadedComment ref="JV125" dT="2025-05-04T21:53:14.80" personId="{598ED824-4EF6-479C-8DE9-6C3570B05010}" id="{8EB14DD5-F847-4102-9DB3-15A3B55075E5}">
    <text>TC = 41.18 %
TP = 67.65 %
H = 94.12 %
CH = 88.24 %</text>
  </threadedComment>
  <threadedComment ref="KE125" dT="2025-05-06T14:42:40.64" personId="{598ED824-4EF6-479C-8DE9-6C3570B05010}" id="{A1C52BBB-EC68-4FB2-BD36-03B081476955}">
    <text>TC = 33.33 %
TP = 50%
H = 100 %
CH = 91.67 %</text>
  </threadedComment>
  <threadedComment ref="KH125" dT="2025-05-06T14:42:40.64" personId="{598ED824-4EF6-479C-8DE9-6C3570B05010}" id="{4F4C1C9C-B34B-4DBD-B00D-C9170F4BBED5}">
    <text>TC = 37.50 %
TP = 33.33 %
H = 91.67 %
CH = 91.67 %</text>
  </threadedComment>
  <threadedComment ref="KK125" dT="2025-05-06T14:42:40.64" personId="{598ED824-4EF6-479C-8DE9-6C3570B05010}" id="{7E9BB782-CB53-45EE-8C66-F29E74A2BC2F}">
    <text>TC = 20 %
TP = 30 %
H = 100 %
CH = 70 %</text>
  </threadedComment>
  <threadedComment ref="KN125" dT="2025-05-06T14:42:40.64" personId="{598ED824-4EF6-479C-8DE9-6C3570B05010}" id="{07639CC8-0DEC-4092-B9CE-D35D789AD9FD}">
    <text>TC = 46.43 %
TP = 50 %
H = 100 %
CH = 85.71 %</text>
  </threadedComment>
  <threadedComment ref="KW125" dT="2025-05-06T14:42:40.64" personId="{598ED824-4EF6-479C-8DE9-6C3570B05010}" id="{340075C8-CF9F-44C8-AF48-62DC3F380239}">
    <text>TC = 50 %
TP = 85.29 %
H = 100%
CH = 88.24 %</text>
  </threadedComment>
  <threadedComment ref="KZ125" dT="2025-05-06T14:42:40.64" personId="{598ED824-4EF6-479C-8DE9-6C3570B05010}" id="{D0D02188-DCA1-44C7-A5D7-82E45B26D6EA}">
    <text>TC = 42.86 %
TP = 67.86 %
H = 100%
CH = 92.86 %</text>
  </threadedComment>
  <threadedComment ref="LC125" dT="2025-05-06T14:42:40.64" personId="{598ED824-4EF6-479C-8DE9-6C3570B05010}" id="{AE794251-48EF-4744-A08F-A77C3BA7CECD}">
    <text>TC = 56.67 %
TP = 56.67 %
H = 100%
CH = 100 %</text>
  </threadedComment>
  <threadedComment ref="LF125" dT="2025-05-06T14:42:40.64" personId="{598ED824-4EF6-479C-8DE9-6C3570B05010}" id="{548741BB-B7E5-4893-BE78-DCE0DF389EF2}">
    <text>TC = 35.71 %
TP = 53.57 %
H = 100%
CH = 92.86 %</text>
  </threadedComment>
  <threadedComment ref="LI125" dT="2025-05-06T14:42:40.64" personId="{598ED824-4EF6-479C-8DE9-6C3570B05010}" id="{170D56AB-BCCB-43E3-A540-EEAE2C7DEA33}">
    <text>TC = 33.33 %
TP = 50 %
H = 100%
CH = 83.33 %</text>
  </threadedComment>
  <threadedComment ref="LL125" dT="2025-05-06T14:42:40.64" personId="{598ED824-4EF6-479C-8DE9-6C3570B05010}" id="{3A005F50-5B8E-4CDA-98F5-94BCB48A3953}">
    <text>TC = 30 %
TP = 50 %
H = 100%
CH = 80 %</text>
  </threadedComment>
  <threadedComment ref="LR125" dT="2025-05-06T14:42:40.64" personId="{598ED824-4EF6-479C-8DE9-6C3570B05010}" id="{1440529E-3251-4947-9CC2-152414498775}">
    <text>TC = 30 %
TP = 50 %
H = 100%
CH = 80 %</text>
  </threadedComment>
  <threadedComment ref="LU125" dT="2025-05-06T14:42:40.64" personId="{598ED824-4EF6-479C-8DE9-6C3570B05010}" id="{7E4BD000-48E0-48B4-BEDC-41D0CCE4A351}">
    <text>TC = 73.08 %
TP = 57.69 %
H = 100%
CH = 100 %</text>
  </threadedComment>
  <threadedComment ref="LX125" dT="2025-05-06T14:42:40.64" personId="{598ED824-4EF6-479C-8DE9-6C3570B05010}" id="{83CA3CFD-397C-46E1-BA8A-5DB9CC879AC0}">
    <text>TC = 50 %
TP = 55 %
H = 100%
CH = 91.67 %</text>
  </threadedComment>
  <threadedComment ref="MA125" dT="2025-05-06T14:42:40.64" personId="{598ED824-4EF6-479C-8DE9-6C3570B05010}" id="{C004E548-CE7F-457F-8182-F04AE1CC1CD6}">
    <text>TC = 57.14 %
TP = 50 %
H = 100%
CH = 85.71 %</text>
  </threadedComment>
  <threadedComment ref="MD125" dT="2025-05-06T14:42:40.64" personId="{598ED824-4EF6-479C-8DE9-6C3570B05010}" id="{787D170C-3B29-4C7D-AA72-F4C17890AFD8}">
    <text>TC = 59.09 %
TP = 59.09 %
H = 100%
CH = 100 %</text>
  </threadedComment>
  <threadedComment ref="MG125" dT="2025-05-06T14:42:40.64" personId="{598ED824-4EF6-479C-8DE9-6C3570B05010}" id="{CEF170ED-3763-451F-8A21-D378BB762AF1}">
    <text>TC = 50 %
TP = 45 %
H = 100%
CH = 100 %</text>
  </threadedComment>
  <threadedComment ref="MP125" dT="2025-05-06T14:42:40.64" personId="{598ED824-4EF6-479C-8DE9-6C3570B05010}" id="{66845316-72E5-44DC-A9EB-AD721A47EA1E}">
    <text>TC = 32.14 %
TP = 60.71 %
H = 100 %
CH = 92.86 %</text>
  </threadedComment>
  <threadedComment ref="MS125" dT="2025-05-06T14:42:40.64" personId="{598ED824-4EF6-479C-8DE9-6C3570B05010}" id="{C29CA4B0-9B91-4063-B00C-622A229AFFFA}">
    <text>TC = 53.33 %
TP = 53.33 %
H = 100 %
CH = 93.33 %</text>
  </threadedComment>
  <threadedComment ref="NB125" dT="2025-05-06T14:42:40.64" personId="{598ED824-4EF6-479C-8DE9-6C3570B05010}" id="{C5A0BFEC-ED9B-4751-A800-8DBCE2F21738}">
    <text>TC = 66.67 %
TP = 50 %
H = 66.67 %
CH = 33.33 %</text>
  </threadedComment>
  <threadedComment ref="NK125" dT="2025-06-03T12:49:16.03" personId="{598ED824-4EF6-479C-8DE9-6C3570B05010}" id="{451AA288-A72B-43D1-B97B-B16457B2B4E9}">
    <text>TC: 50 %
TP: 54.17 %
H: 100 %
CH: 83.33 %</text>
  </threadedComment>
  <threadedComment ref="NN125" dT="2025-06-03T12:49:16.03" personId="{598ED824-4EF6-479C-8DE9-6C3570B05010}" id="{AD05D8F5-1DCD-47FC-8E5B-663AA5E4AE84}">
    <text>TC: 64.71 %
TP: 70.59 %
H: 100 %
CH: 82.35 %</text>
  </threadedComment>
  <threadedComment ref="NQ125" dT="2025-06-03T12:49:16.03" personId="{598ED824-4EF6-479C-8DE9-6C3570B05010}" id="{3380130E-00EE-486B-A301-779E105811F8}">
    <text>TC: 60 %
TP: 60 %
H: 100 %
CH: 90 %</text>
  </threadedComment>
  <threadedComment ref="NT125" dT="2025-06-03T12:49:16.03" personId="{598ED824-4EF6-479C-8DE9-6C3570B05010}" id="{0890F3D8-FE88-4127-9155-4E79BAF11712}">
    <text>TC: 69.23 %
TP: 65.38 %
H: 100 %
CH: 92.31 %</text>
  </threadedComment>
  <threadedComment ref="NW125" dT="2025-06-03T12:49:16.03" personId="{598ED824-4EF6-479C-8DE9-6C3570B05010}" id="{4119CAFF-26BB-42E7-855A-F1E4BED0678A}">
    <text>TC: 32.14 %
TP: 50 %
H: 100 %
CH: 92.86 %</text>
  </threadedComment>
  <threadedComment ref="OC125" dT="2025-06-03T12:49:16.03" personId="{598ED824-4EF6-479C-8DE9-6C3570B05010}" id="{29DB865F-8277-4FBE-A42A-8075E069CC09}">
    <text>TC: 62.50 %
TP: 54.17 %
H: 100 %
CH: 91.67 %</text>
  </threadedComment>
  <threadedComment ref="OF125" dT="2025-06-03T12:49:16.03" personId="{598ED824-4EF6-479C-8DE9-6C3570B05010}" id="{A581442C-C486-4E52-9DBB-E1DFD2F2E777}">
    <text>TC: 77.27 %
TP: 72.73 %
H: 100 %
CH: 95.45 %</text>
  </threadedComment>
  <threadedComment ref="AIW125" dT="2025-12-09T15:22:17.58" personId="{E5CF185B-0DC3-48FD-81EC-930FD97014B1}" id="{EAD9FE1A-E9D6-46CD-9064-3AB058C77C2D}">
    <text>Hasta acá fue el dato de calidad de carga logística, desde ahora será puntaje de transportes</text>
  </threadedComment>
  <threadedComment ref="B126" dT="2025-09-10T21:24:53.24" personId="{E5CF185B-0DC3-48FD-81EC-930FD97014B1}" id="{F8298071-B9A9-4F05-8109-FBCAB0D2B60C}">
    <text>- 2 de -5 °C para abajo
- 1 entre -5 °C y 5 °C
- 0 por encima de este último valor. 
Lo ideal es tener un intervalo más estricto (por debajo de -10°C) y que la temperatura llegue a -18 °C a la salida, pero hoy es todavía muy difícil que se cumpla este requerimiento.</text>
  </threadedComment>
  <threadedComment ref="ASU126" dT="2026-03-09T22:33:21.85" personId="{1AC6D319-1EEB-479A-A819-7ACAD5A69D4F}" id="{854D7FF1-C468-47D5-802C-BC47614DBE78}">
    <text>El analista de calidad, encargado de esta tarea, esta cubriendo otras tareas, porque hay una persona de su equipo de vacaciones.</text>
  </threadedComment>
  <threadedComment ref="ASX126" dT="2026-03-09T22:33:28.46" personId="{1AC6D319-1EEB-479A-A819-7ACAD5A69D4F}" id="{4F527CE3-F5B5-477B-880B-C8391584C274}">
    <text>El analista de calidad, encargado de esta tarea, esta cubriendo otras tareas, porque hay una persona de su equipo de vacaciones.</text>
  </threadedComment>
  <threadedComment ref="ATA126" dT="2026-03-09T22:33:34.91" personId="{1AC6D319-1EEB-479A-A819-7ACAD5A69D4F}" id="{50193C71-5298-4441-9C1E-7AEEF40A15D5}">
    <text>El analista de calidad, encargado de esta tarea, esta cubriendo otras tareas, porque hay una persona de su equipo de vacaciones.</text>
  </threadedComment>
  <threadedComment ref="ATD126" dT="2026-03-09T22:33:41.57" personId="{1AC6D319-1EEB-479A-A819-7ACAD5A69D4F}" id="{6C4CABBC-7C40-4F66-A786-E457BDAB8103}">
    <text>El analista de calidad, encargado de esta tarea, esta cubriendo otras tareas, porque hay una persona de su equipo de vacaciones.</text>
  </threadedComment>
  <threadedComment ref="ATG126" dT="2026-03-09T22:33:48.79" personId="{1AC6D319-1EEB-479A-A819-7ACAD5A69D4F}" id="{B48AF703-8713-4662-8A60-603F3365DC24}">
    <text>El analista de calidad, encargado de esta tarea, esta cubriendo otras tareas, porque hay una persona de su equipo de vacaciones.</text>
  </threadedComment>
  <threadedComment ref="ATJ126" dT="2026-03-09T22:33:54.99" personId="{1AC6D319-1EEB-479A-A819-7ACAD5A69D4F}" id="{8282D386-D68C-4BF7-BF45-E81481F2350A}">
    <text>El analista de calidad, encargado de esta tarea, esta cubriendo otras tareas, porque hay una persona de su equipo de vacaciones.</text>
  </threadedComment>
  <threadedComment ref="ATP126" dT="2026-03-09T22:34:05.91" personId="{1AC6D319-1EEB-479A-A819-7ACAD5A69D4F}" id="{7B7EA0B8-8FD2-4797-9701-F5CF7BFF092D}">
    <text>El analista de calidad, encargado de esta tarea, esta cubriendo otras tareas, porque hay una persona de su equipo de vacaciones.</text>
  </threadedComment>
  <threadedComment ref="AUE126" dT="2026-03-14T19:44:39.87" personId="{1AC6D319-1EEB-479A-A819-7ACAD5A69D4F}" id="{AB74A3C0-9F24-45A7-83D2-94E564679BE2}">
    <text>No hay datos en la App de temperaturas</text>
  </threadedComment>
  <threadedComment ref="AUK126" dT="2026-03-18T01:16:33.27" personId="{1AC6D319-1EEB-479A-A819-7ACAD5A69D4F}" id="{2D4C23A8-8701-45BF-8825-D8F755ECC7C1}">
    <text>No hay datos en la App de temperaturas</text>
  </threadedComment>
  <threadedComment ref="B129" dT="2025-09-10T21:24:37.55" personId="{E5CF185B-0DC3-48FD-81EC-930FD97014B1}" id="{E5E6E747-5B1C-40A1-BC74-09D626628CE6}">
    <text xml:space="preserve">- 2 de -18 °C para abajo
- 1 entre -18 °C y -16 °C
- 0 por encima de este último valor. 
Se toma el valor más alto como referencia, esto es, si hay un producto con temperatura por encima de -16 °C, el valor es 0. </text>
  </threadedComment>
  <threadedComment ref="AGF129" dT="2025-11-13T18:41:32.45" personId="{E5CF185B-0DC3-48FD-81EC-930FD97014B1}" id="{6225F89C-221C-4601-861A-EC4D9E4E0F08}">
    <text>Cambió el método de cálculo</text>
  </threadedComment>
  <threadedComment ref="AKG129" dT="2025-12-18T14:17:22.08" personId="{50988EDD-6B47-41AF-ACDF-E7CDA77122B0}" id="{857BA97E-FCAD-4F8A-B331-D9117CB4D2EC}">
    <text>En 10 unidades de las 16 analizadas, los promedios de temp. están por encima de -18° C.</text>
  </threadedComment>
  <threadedComment ref="AKG129" dT="2025-12-18T14:19:31.83" personId="{50988EDD-6B47-41AF-ACDF-E7CDA77122B0}" id="{F0F4FA63-3321-45DC-A849-353B1406A5E8}" parentId="{857BA97E-FCAD-4F8A-B331-D9117CB4D2EC}">
    <text xml:space="preserve">La temperatura más elevada es de -12° C y corresponde al código UG0044. </text>
  </threadedComment>
  <threadedComment ref="AKM129" dT="2025-12-22T15:42:26.27" personId="{50988EDD-6B47-41AF-ACDF-E7CDA77122B0}" id="{1F09F01F-0BC6-4D94-BD0B-22447B52842E}">
    <text>De los productos analizados, sólo para dos unidades las mediciones arrojan un promedio por debajo de -18° C</text>
  </threadedComment>
  <threadedComment ref="AKV129" dT="2025-12-23T14:55:28.49" personId="{50988EDD-6B47-41AF-ACDF-E7CDA77122B0}" id="{F206D61E-F1D5-4A13-A2A1-CF5DEADF069D}">
    <text>La temperatura más elevada es de -16° C y corresponde a nuggets</text>
  </threadedComment>
  <threadedComment ref="AKM131" dT="2025-12-22T15:17:31.34" personId="{50988EDD-6B47-41AF-ACDF-E7CDA77122B0}" id="{C08DB5AE-93E9-48C9-BA60-51B538873A3B}">
    <text>Las pocas unidades controladas son consecuencia de las demoras en la preparación, que demoran a su vez el despacho.</text>
  </threadedComment>
  <threadedComment ref="AMX131" dT="2026-01-10T13:13:59.47" personId="{50988EDD-6B47-41AF-ACDF-E7CDA77122B0}" id="{2EA4BAD1-F6E0-4FCE-8FA6-6FE835AF4D3D}">
    <text>Sólo para 4 de las 15 unidades los valores promedios están por debajo -18° C.</text>
  </threadedComment>
  <threadedComment ref="AND131" dT="2026-01-12T16:59:50.09" personId="{50988EDD-6B47-41AF-ACDF-E7CDA77122B0}" id="{8DB669A0-DE8B-410F-B58C-77CE23EC69C5}">
    <text>4 unidades con promedios por encima de -18° C.</text>
  </threadedComment>
  <threadedComment ref="AM132" dT="2025-02-12T15:54:37.40" personId="{598ED824-4EF6-479C-8DE9-6C3570B05010}" id="{A49BF473-E274-451B-AD04-CC74998B74B2}">
    <text xml:space="preserve">Se cortó la luz durante el despacho lo que demoró la carga
</text>
  </threadedComment>
  <threadedComment ref="AP132" dT="2025-02-12T18:58:55.36" personId="{598ED824-4EF6-479C-8DE9-6C3570B05010}" id="{2FD64187-5AC3-48EB-9898-95A845E78119}">
    <text xml:space="preserve">La carga comenzó retrasada por corte de calle por Partido
</text>
  </threadedComment>
  <threadedComment ref="PS132" dT="2025-11-25T22:10:48.59" personId="{43B434BF-79E3-466D-B3A3-88E19A430C27}" id="{BFE7FC5F-0D46-4F37-BCDB-5F8F1D82D547}">
    <text>Decia 00:56, RARO</text>
  </threadedComment>
  <threadedComment ref="RX132" dT="2025-07-14T12:10:51.70" personId="{1AC6D319-1EEB-479A-A819-7ACAD5A69D4F}" id="{FECCE92D-A803-4593-AEFD-9885F245D463}">
    <text xml:space="preserve">Varios camiones se presentaron tarde  a cargar </text>
  </threadedComment>
  <threadedComment ref="SD132" dT="2025-07-14T12:17:58.14" personId="{1AC6D319-1EEB-479A-A819-7ACAD5A69D4F}" id="{E974BF4D-5D2D-4A6D-B029-A9A6CC7AEF8D}">
    <text>Hasta agosto Alejandro va a estar con una persona menos, periodo vacacional de Fernandez y Brizuela</text>
  </threadedComment>
  <threadedComment ref="SJ132" dT="2025-07-17T10:55:11.55" personId="{1AC6D319-1EEB-479A-A819-7ACAD5A69D4F}" id="{A2060B1B-DF4E-4632-AC4F-0987AA845160}">
    <text>Hasta agosto Alejandro va a estar con una persona menos, periodo vacacional de Fernandez y Brizuela</text>
  </threadedComment>
  <threadedComment ref="SM132" dT="2025-07-17T10:56:15.35" personId="{1AC6D319-1EEB-479A-A819-7ACAD5A69D4F}" id="{A93061FE-671E-4654-BDF9-6F201AE81F41}">
    <text>Hasta agosto Alejandro va a estar con una persona menos, periodo vacacional de Fernandez y Brizuela</text>
  </threadedComment>
  <threadedComment ref="SP132" dT="2025-07-21T13:56:06.93" personId="{1AC6D319-1EEB-479A-A819-7ACAD5A69D4F}" id="{6BE9C63C-BEF5-461A-A591-C20A34BA95B8}">
    <text>Hasta agosto Alejandro va a estar con una persona menos, periodo vacacional de Fernandez y Brizuela</text>
  </threadedComment>
  <threadedComment ref="SY132" dT="2025-07-21T13:59:07.21" personId="{1AC6D319-1EEB-479A-A819-7ACAD5A69D4F}" id="{D0976577-8921-4595-B656-859452C6DD81}">
    <text xml:space="preserve">Hasta agosto Alejandro va a estar con una persona menos, periodo vacacional de Fernandez y Brizuela
</text>
  </threadedComment>
  <threadedComment ref="TB132" dT="2025-07-22T11:22:26.03" personId="{1AC6D319-1EEB-479A-A819-7ACAD5A69D4F}" id="{9F229AA3-C8A0-4CE9-A1FF-F8C71BACF070}">
    <text>Hasta agosto Alejandro va a estar con una persona menos, periodo vacacional de Fernandez y Brizuela</text>
  </threadedComment>
  <threadedComment ref="TE132" dT="2025-07-23T12:50:55.38" personId="{1AC6D319-1EEB-479A-A819-7ACAD5A69D4F}" id="{4137AFB0-9DE4-4812-97BC-C2EAD0C08662}">
    <text>Hasta agosto Alejandro va a estar con una persona menos, periodo vacacional de Fernandez y Brizuela</text>
  </threadedComment>
  <threadedComment ref="TH132" dT="2025-07-24T14:35:31.71" personId="{1AC6D319-1EEB-479A-A819-7ACAD5A69D4F}" id="{AE951CA3-23A6-47E9-B452-1791BA3ECB42}">
    <text>Hasta agosto Alejandro va a estar con una persona menos, periodo vacacional de Fernandez y Brizuela</text>
  </threadedComment>
  <threadedComment ref="TK132" dT="2025-07-25T15:43:07.33" personId="{1AC6D319-1EEB-479A-A819-7ACAD5A69D4F}" id="{12555EAE-F10D-4F5F-A7E2-49E33DF97C4B}">
    <text>Hasta agosto Alejandro va a estar con una persona menos, periodo vacacional de Fernandez y Brizuela</text>
  </threadedComment>
  <threadedComment ref="TN132" dT="2025-07-26T17:41:32.48" personId="{1AC6D319-1EEB-479A-A819-7ACAD5A69D4F}" id="{E6ED1F1A-284B-4649-8E7B-8759A9A01A29}">
    <text>Hasta agosto Alejandro va a estar con una persona menos, periodo vacacional de Fernandez y Brizuela</text>
  </threadedComment>
  <threadedComment ref="TT132" dT="2025-07-28T10:40:43.01" personId="{1AC6D319-1EEB-479A-A819-7ACAD5A69D4F}" id="{5919A16E-93C9-43B0-993B-B656F3001C19}">
    <text xml:space="preserve">Hasta agosto Alejandro va a estar con una persona menos, periodo vacacional de Fernandez y Brizuela
</text>
  </threadedComment>
  <threadedComment ref="TW132" dT="2025-07-29T13:14:39.21" personId="{1AC6D319-1EEB-479A-A819-7ACAD5A69D4F}" id="{EA653A6B-37CC-48E9-AA90-D5941EB11BE4}">
    <text>Hasta agosto Alejandro va a estar con una persona menos, periodo vacacional de Fernandez y Brizuela</text>
  </threadedComment>
  <threadedComment ref="TZ132" dT="2025-07-30T14:08:01.08" personId="{1AC6D319-1EEB-479A-A819-7ACAD5A69D4F}" id="{0528001B-3CEB-4DF7-B9EA-8E7267A36DAA}">
    <text>Hasta agosto Alejandro va a estar con una persona menos, periodo vacacional de Fernandez y Brizuela</text>
  </threadedComment>
  <threadedComment ref="UF132" dT="2025-08-01T11:37:50.93" personId="{1AC6D319-1EEB-479A-A819-7ACAD5A69D4F}" id="{33508101-BD9E-4309-849E-964491D53204}">
    <text xml:space="preserve">Anoche hubo problemas de emisión de facturas, demorando la carga de los camiones </text>
  </threadedComment>
  <threadedComment ref="UR132" dT="2025-08-05T11:03:27.71" personId="{1AC6D319-1EEB-479A-A819-7ACAD5A69D4F}" id="{9F0CC99F-1154-488A-84B5-2B16FF0D0F2F}">
    <text>Alejandro aun tiene una persona de su equipo de vacaciones, hasta la semana próxima</text>
  </threadedComment>
  <threadedComment ref="UU132" dT="2025-08-06T11:11:28.29" personId="{1AC6D319-1EEB-479A-A819-7ACAD5A69D4F}" id="{148A4CED-04F4-4217-8493-1E185077C450}">
    <text>Alejandro aun tiene una persona de su equipo de vacaciones, hasta la semana próxima</text>
  </threadedComment>
  <threadedComment ref="UX132" dT="2025-08-07T14:35:47.39" personId="{1AC6D319-1EEB-479A-A819-7ACAD5A69D4F}" id="{91190834-F9BF-43EE-8DD4-38A06E648156}">
    <text>Alejandro aun tiene una persona de su equipo de vacaciones, hasta la semana próxima</text>
  </threadedComment>
  <threadedComment ref="VA132" dT="2025-08-09T00:17:21.53" personId="{1AC6D319-1EEB-479A-A819-7ACAD5A69D4F}" id="{C63BF976-1B56-40AA-AC1E-440BDD4663CF}">
    <text>Alejandro aun tiene una persona de su equipo de vacaciones, hasta la semana próxima</text>
  </threadedComment>
  <threadedComment ref="VD132" dT="2025-08-11T11:41:36.46" personId="{1AC6D319-1EEB-479A-A819-7ACAD5A69D4F}" id="{71CCB7ED-D4C5-49E1-A380-BBE01FE9BCF6}">
    <text>Se presentaron varias unidades fuera del horario asignado, generando demoras en la carga.</text>
  </threadedComment>
  <threadedComment ref="VS132" dT="2025-08-14T12:23:42.05" personId="{1AC6D319-1EEB-479A-A819-7ACAD5A69D4F}" id="{46DCA1F0-5C78-4C44-A20E-BDA48AF406C0}">
    <text>El motivo del retraso fue porque anoche tuvo 3 semis, y 5 balancines de eso se carga por fuera, teniendo que asignar una persona de la operación para que acomode los pallet arriba del camion</text>
  </threadedComment>
  <threadedComment ref="VV132" dT="2025-08-15T22:54:59.81" personId="{1AC6D319-1EEB-479A-A819-7ACAD5A69D4F}" id="{03632393-D843-4CF9-BDA0-E07DA6EAC1A6}">
    <text>Tuvimos retraso porque anoche hubo hamburgueseada  y 35 camiones para despachar</text>
  </threadedComment>
  <threadedComment ref="WK132" dT="2025-08-21T11:46:01.18" personId="{1AC6D319-1EEB-479A-A819-7ACAD5A69D4F}" id="{399171EC-9A75-46C5-AA05-27A87097257C}">
    <text>Hubo problemas operativos, con el espacio de las cámara para preparar los pedidos, y muchos camiones tuvieron que agrupar pallet porque no daban con el volumen asignado</text>
  </threadedComment>
  <threadedComment ref="WN132" dT="2025-08-21T11:53:21.36" personId="{1AC6D319-1EEB-479A-A819-7ACAD5A69D4F}" id="{83B4DC0C-B81F-4DDD-97D1-0C81885D52C5}">
    <text xml:space="preserve">Problemas en el piso de la cámara 04, eso retraso mucho el movimiento operativo de las paleteras y eso retraso la carga, ya se solicito la limpieza de los pisos </text>
  </threadedComment>
  <threadedComment ref="XF132" dT="2025-08-27T22:10:37.23" personId="{1AC6D319-1EEB-479A-A819-7ACAD5A69D4F}" id="{6065CD0B-F085-4B51-9B4E-8F426F0C7FD0}">
    <text>anoche tuvimos complicaciones con el espacio en las cámaras, eso genero demoras en la preparación de los pedidos</text>
  </threadedComment>
  <threadedComment ref="XI132" dT="2025-08-28T15:37:24.81" personId="{1AC6D319-1EEB-479A-A819-7ACAD5A69D4F}" id="{7C47C9DE-BACA-4241-B750-F4C7B3DF643B}">
    <text>Estamos con la ocupación de las cámaras al limite, y eso nos genera complicaciones en el armado y posterior al despacho</text>
  </threadedComment>
  <threadedComment ref="YA132" dT="2025-09-04T11:06:32.96" personId="{1AC6D319-1EEB-479A-A819-7ACAD5A69D4F}" id="{40577ECF-C941-40D6-82FF-62112AE316DE}">
    <text>Durante toda esta semana, el despacho se esta realizando con una sola rampa de carga, ya que la otra esta restringida con los pallets de ensamble</text>
  </threadedComment>
  <threadedComment ref="YD132" dT="2025-09-04T11:09:01.94" personId="{1AC6D319-1EEB-479A-A819-7ACAD5A69D4F}" id="{6D9B8BD3-71DB-4DBF-87BD-6A568A78C99D}">
    <text>Durante toda esta semana, el despacho se esta realizando con una sola rampa de carga, ya que la otra esta restringida con los pallets de ensamble</text>
  </threadedComment>
  <threadedComment ref="YG132" dT="2025-09-05T22:03:43.99" personId="{1AC6D319-1EEB-479A-A819-7ACAD5A69D4F}" id="{FAF44892-18EB-4383-8474-F3FA3FC75B0C}">
    <text>Anoche hubo complicaciones con algunos camiones, los cuales demoraron toda la operacion de armado y despacho</text>
  </threadedComment>
  <threadedComment ref="YY132" dT="2025-09-12T19:47:25.41" personId="{1AC6D319-1EEB-479A-A819-7ACAD5A69D4F}" id="{74E62D3E-55A7-43DD-801E-9508231A7750}">
    <text>la salida de este dia tuvo casi 800 lineas de pickeo, muchos pedidos con pocas cajas</text>
  </threadedComment>
  <threadedComment ref="ZB132" dT="2025-09-12T19:47:40.69" personId="{1AC6D319-1EEB-479A-A819-7ACAD5A69D4F}" id="{5CE4617C-2DF0-427A-A5C7-6DB6697800E4}">
    <text>la salida de este dia tuvo casi 800 lineas de pickeo, muchos pedidos con pocas cajas</text>
  </threadedComment>
  <threadedComment ref="ZK132" dT="2025-09-15T12:04:21.75" personId="{1AC6D319-1EEB-479A-A819-7ACAD5A69D4F}" id="{6F17A50C-FF8B-4C87-85C1-A38A80B36EE1}">
    <text xml:space="preserve">La carga anoche comenzó a las 00:00, porque jugo Tigre
</text>
  </threadedComment>
  <threadedComment ref="ET137" dT="2025-03-21T15:38:29.97" personId="{598ED824-4EF6-479C-8DE9-6C3570B05010}" id="{1665A9C2-73BD-4419-BC8C-E48B44FC334E}">
    <text xml:space="preserve">Los 10208 kg del proveedor Pilotti fueron recepcionados a partir de las 21:00 hr
</text>
  </threadedComment>
  <threadedComment ref="ATV137" dT="2026-03-16T17:35:33.37" personId="{43B434BF-79E3-466D-B3A3-88E19A430C27}" id="{BCB467DD-4EF7-4CCE-B487-00A3DADF7AC4}">
    <text xml:space="preserve">@Henny Bermudez </text>
    <mentions>
      <mention mentionpersonId="{E656936D-3FEB-480D-90FD-8F05572A99B2}" mentionId="{8341BA9A-6356-459C-95E1-A6670E19795E}" startIndex="0" length="15"/>
    </mentions>
  </threadedComment>
  <threadedComment ref="BE138" dT="2025-02-18T14:23:40.63" personId="{37AF5AEE-CD07-4EB0-9297-B2BE037F2A46}" id="{DF050993-E653-4EF4-9A71-43B9A0D5E4ED}">
    <text>1416 Kg corresponden a recepción de depósitos externos (Nuggets)</text>
  </threadedComment>
  <threadedComment ref="BK138" dT="2025-02-20T19:13:16.79" personId="{37AF5AEE-CD07-4EB0-9297-B2BE037F2A46}" id="{37900EF1-D8FE-460A-98B0-8310FC8FAA50}">
    <text>Incluye Nuggets desde Americold</text>
  </threadedComment>
  <threadedComment ref="BN138" dT="2025-02-21T17:23:52.77" personId="{37AF5AEE-CD07-4EB0-9297-B2BE037F2A46}" id="{EFD4FA4A-6853-4010-897B-1B29004050EB}">
    <text>Incluye recepción Nugget Americold</text>
  </threadedComment>
  <threadedComment ref="AP139" dT="2025-02-12T15:46:42.82" personId="{598ED824-4EF6-479C-8DE9-6C3570B05010}" id="{CC1E5813-C23B-4453-AEDF-8E6B73E3E2D1}">
    <text xml:space="preserve">Devolución del cliente MIX
</text>
  </threadedComment>
  <threadedComment ref="ET139" dT="2025-03-21T15:35:49.19" personId="{598ED824-4EF6-479C-8DE9-6C3570B05010}" id="{7B3935F3-F357-46ED-BDEB-F8C4D1D41FD3}">
    <text>Son paquetes no kilos</text>
  </threadedComment>
  <threadedComment ref="ET139" dT="2025-03-21T18:27:40.83" personId="{43B434BF-79E3-466D-B3A3-88E19A430C27}" id="{E62811D5-AFCB-4138-91B6-9C69978B987A}" parentId="{7B3935F3-F357-46ED-BDEB-F8C4D1D41FD3}">
    <text>De salchichas</text>
  </threadedComment>
  <threadedComment ref="I140" dT="2025-02-03T14:43:38.80" personId="{598ED824-4EF6-479C-8DE9-6C3570B05010}" id="{8557B94F-398D-4B4D-A002-4C1CA4FA0FFF}">
    <text>10636.56 fue una devolución completa del INC Casanova por OC no pedida</text>
  </threadedComment>
  <threadedComment ref="AP140" dT="2025-09-05T14:33:17.04" personId="{43B434BF-79E3-466D-B3A3-88E19A430C27}" id="{0E9EDE06-049E-4432-A26F-FD49D5809475}">
    <text>20482 devolución MIX</text>
  </threadedComment>
  <threadedComment ref="BH140" dT="2025-02-19T18:53:20.65" personId="{37AF5AEE-CD07-4EB0-9297-B2BE037F2A46}" id="{F965DDD5-8F75-4135-9086-997FB4962C18}">
    <text>Incluye le AB233 que no se presento</text>
  </threadedComment>
  <threadedComment ref="ASX158" dT="2026-03-16T17:35:14.88" personId="{43B434BF-79E3-466D-B3A3-88E19A430C27}" id="{7A44EF55-A0B8-42FE-B4D7-EF75975DC656}">
    <text xml:space="preserve">@Hernan Martirena </text>
    <mentions>
      <mention mentionpersonId="{B180E0C1-F283-420F-90B9-44212D40DF50}" mentionId="{C30D6BA7-BD48-43E2-B89F-7563A6441759}" startIndex="0" length="17"/>
    </mentions>
  </threadedComment>
  <threadedComment ref="ATS158" dT="2026-03-23T17:39:14.57" personId="{43B434BF-79E3-466D-B3A3-88E19A430C27}" id="{65F30BC8-6B38-48D0-8834-98E1BC8E81D4}">
    <text xml:space="preserve">@Hernan Martirena </text>
    <mentions>
      <mention mentionpersonId="{B180E0C1-F283-420F-90B9-44212D40DF50}" mentionId="{6FABE149-F6A7-47FB-90D3-E5D3C986635F}" startIndex="0" length="17"/>
    </mentions>
  </threadedComment>
  <threadedComment ref="AVO158" dT="2026-03-26T15:32:51.94" personId="{A24ACDF2-3D72-4731-9026-B5A9FF337649}" id="{B14020B5-F02F-47FD-B028-0DBD21DFAB50}">
    <text>@Justina Genes listo jus, actualizado.</text>
    <mentions>
      <mention mentionpersonId="{8683BE3F-2C05-404B-8AC0-7DE1E4AD2C62}" mentionId="{4D07A8B1-42A9-45AC-A437-EE6C4C6E4818}" startIndex="0" length="14"/>
    </mentions>
  </threadedComment>
  <threadedComment ref="ZW159" dT="2025-09-22T13:18:47.22" personId="{43B434BF-79E3-466D-B3A3-88E19A430C27}" id="{1C4A6CB8-A36A-43F8-829E-2C846E5C3E2B}">
    <text>Se llevaron a tigre</text>
  </threadedComment>
  <threadedComment ref="AAF159" dT="2025-09-23T15:54:48.61" personId="{43B434BF-79E3-466D-B3A3-88E19A430C27}" id="{78916518-07F1-4716-939C-1377DA30CCAC}">
    <text>Se llevaron a Tigre</text>
  </threadedComment>
  <threadedComment ref="AEG160" dT="2025-10-28T11:45:38.88" personId="{43B434BF-79E3-466D-B3A3-88E19A430C27}" id="{A6A9236A-DDB8-4DA5-9A5A-ECE420A7033D}">
    <text>aprox ( 2 camiones)</text>
  </threadedComment>
  <threadedComment ref="CC166" dT="2025-03-05T16:13:44.60" personId="{43B434BF-79E3-466D-B3A3-88E19A430C27}" id="{0748AB1F-87AA-4021-A01D-0DAC60E1007B}">
    <text>Rebusatte Amadeo Martin: Llegada tarde.
Ramos Juan Daris: Agresión a compañero.</text>
  </threadedComment>
  <threadedComment ref="CF166" dT="2025-03-05T16:14:39.35" personId="{43B434BF-79E3-466D-B3A3-88E19A430C27}" id="{F7E1E3D4-E9DE-4901-A544-396C3F3FCCC2}">
    <text>Ortiz Diego Federico: acostado en el piso de la oficina con ropa de trabajo.</text>
  </threadedComment>
  <threadedComment ref="DD166" dT="2025-04-03T20:47:20.72" personId="{43B434BF-79E3-466D-B3A3-88E19A430C27}" id="{6E21F255-9504-40B0-B913-D09D29EA1430}">
    <text xml:space="preserve">Soria Walter Edgardo - AUSENCIA INJUSTIFICADA 1 día
</text>
  </threadedComment>
  <threadedComment ref="EQ166" dT="2025-03-25T16:45:18.91" personId="{43B434BF-79E3-466D-B3A3-88E19A430C27}" id="{18B36BD9-1CE0-497B-9B0C-C6F8F3A7A130}">
    <text>Mongelos Ivana Gisele - Agresión a un compañero</text>
  </threadedComment>
  <threadedComment ref="GA166" dT="2025-04-03T19:18:07.36" personId="{43B434BF-79E3-466D-B3A3-88E19A430C27}" id="{2A6FA0A0-C0F7-48BA-A2E9-6EA9DC0B6A1C}">
    <text>Bogado Carlos Alberto - Ingresó a trabajar en estado de ebriedad 2 días.</text>
  </threadedComment>
  <threadedComment ref="MD166" dT="2025-05-23T16:35:19.12" personId="{43B434BF-79E3-466D-B3A3-88E19A430C27}" id="{20FF1772-6849-471A-ADD8-78728CBC07B1}">
    <text>Quirico Jose Adolfo - llegada tarde sin justificación ni aviso
Silva Franco Maximiliano - llegada tarde y nuevamente omitir registrar ingreso a planta para ocultar la impuntualidad.</text>
  </threadedComment>
  <threadedComment ref="ANJ166" dT="2026-01-14T12:36:36.57" personId="{43B434BF-79E3-466D-B3A3-88E19A430C27}" id="{0B5EDF02-14F0-460E-9369-A52725EE1700}">
    <text>Rivero Mauro Escobar y Ledesma Silvio Antonio: por ausencia injustificada y sin avisar</text>
  </threadedComment>
  <threadedComment ref="ANM166" dT="2026-01-14T12:36:36.57" personId="{43B434BF-79E3-466D-B3A3-88E19A430C27}" id="{09870D8C-C582-44A3-B296-6873F8386008}">
    <text>Ledesma Silvio Antonio: por ausencia injustificada y sin avisar
Lopez Diego: se lo encontró durmiendo en el vestuario el 14/01</text>
  </threadedComment>
  <threadedComment ref="AOZ166" dT="2026-02-03T19:44:46.58" personId="{43B434BF-79E3-466D-B3A3-88E19A430C27}" id="{D589D15A-8E4B-4602-8735-18BC5F0D09A8}">
    <text>Pineda Arnaldo Matias - no respetar acuerdo de confidencialidad (difundir video en redes sociales)</text>
  </threadedComment>
  <threadedComment ref="APX166" dT="2026-02-10T13:53:19.34" personId="{43B434BF-79E3-466D-B3A3-88E19A430C27}" id="{B34F4FF3-AFCD-4B2F-B43E-A6512E57E90F}">
    <text>Walter Caceres - difundir un video de la empresa por redes sociales</text>
  </threadedComment>
  <threadedComment ref="BZ167" dT="2025-03-05T16:01:46.62" personId="{43B434BF-79E3-466D-B3A3-88E19A430C27}" id="{D41CEAF8-DF2D-4287-9361-D377277138F6}">
    <text>Quirico Jose Adolfo, Irala Ian Luca y Caceres Oscar Walter por llegadas tarde.</text>
  </threadedComment>
  <threadedComment ref="DA167" dT="2025-04-03T20:46:22.91" personId="{43B434BF-79E3-466D-B3A3-88E19A430C27}" id="{99E25F50-84AC-4FB4-A374-EC6A00C032E6}">
    <text>LLEGADAS TARDE
- Lopez Cesar Adrian
- Campos Angel Fernando
- Garcete Jose Luis</text>
  </threadedComment>
  <threadedComment ref="EB167" dT="2025-03-18T17:58:46.02" personId="{43B434BF-79E3-466D-B3A3-88E19A430C27}" id="{7919701D-B37B-44CB-BE4C-C829B525F627}">
    <text>Brizuela Jonatan Alan, uso de anillos y cadenas dentro de planta.</text>
  </threadedComment>
  <threadedComment ref="EN167" dT="2025-03-25T16:41:43.87" personId="{43B434BF-79E3-466D-B3A3-88E19A430C27}" id="{6A9BB1C0-75A7-4C4A-8126-C5A782E0E86C}">
    <text>Juarez Rodrigo Nicolas - BPM Remera de futbol y no utiliza filtro N2.
Mongelos Ivana Gisele - BPM Buzo negro debajo de buzo blanco en estuchadora.
Corbalan Luis Lorenzo - BPM bolsa con comida C02</text>
  </threadedComment>
  <threadedComment ref="EQ167" dT="2025-03-25T16:42:37.23" personId="{43B434BF-79E3-466D-B3A3-88E19A430C27}" id="{15A508F6-E5F1-4EE4-8777-0F66DAD80BB3}">
    <text xml:space="preserve">Lage Fernando German - BPM Olvidar buzo con mal olor y carne en aditivos
</text>
  </threadedComment>
  <threadedComment ref="EW167" dT="2025-03-25T16:43:31.25" personId="{43B434BF-79E3-466D-B3A3-88E19A430C27}" id="{90EC10D1-FFF8-4BC4-8F38-CDE3BAE44DC5}">
    <text>Calo Cristian Leandro - Ausencia injustificada (10/03 y 12/03)</text>
  </threadedComment>
  <threadedComment ref="FL167" dT="2025-03-26T19:32:09.11" personId="{43B434BF-79E3-466D-B3A3-88E19A430C27}" id="{3D2CAF5D-3D47-4C58-AAC5-7976ADC8B16E}">
    <text>Cabral Hernan Nicolas - BPM caminando sin cofia por antecámara, llegando a picadora sin EPP.
Cabral Hernan Nicolas - AUSENCIA INJUSTIFICADA
Brest Ruben Daniel - BPM enviando producto con doble etiqueta (una errónea)
LLEGADAS TARDE:
- Diaz Hernan Alfredo
- Campos Angel Fernando
- Figueroa Marcelo Gabriel
- Gonzalez Angel Leonel
- Gonzalez Lucas Matias
- Quirico José Adolfo
- Sorhanet Agustin Nicolas</text>
  </threadedComment>
  <threadedComment ref="FO167" dT="2025-04-03T19:09:23.81" personId="{43B434BF-79E3-466D-B3A3-88E19A430C27}" id="{2AA2A1D8-E656-4B4B-A026-AC89B5186F47}">
    <text xml:space="preserve">Rivas Maximiliano Martin - BPM, uso inadecuado del celular.
</text>
  </threadedComment>
  <threadedComment ref="FR167" dT="2025-03-28T16:57:00.32" personId="{43B434BF-79E3-466D-B3A3-88E19A430C27}" id="{7CADA6CE-95C9-4FC1-B4C4-805057C3E463}">
    <text xml:space="preserve">LLEGADAS TARDE:
- Aranda Agustin Gabriel
- Brandan Carlos Javier
- Brito Kevin Nicolas
- Cespedes Cristian David
- Dorado Martin Alberto
- Irala Ian Luca
</text>
  </threadedComment>
  <threadedComment ref="GD167" dT="2025-04-03T19:04:09.14" personId="{43B434BF-79E3-466D-B3A3-88E19A430C27}" id="{DBAA57E3-1306-49C7-9433-9BDAD400DA34}">
    <text>Huertas Ricardo Fernando - AUSENCIA INJUSTIFICADA
Brito Kevin Nicolas - AUSENCIA INJUSTIFICADA
Colman Braian Nahuel - LLEGADA TARDE</text>
  </threadedComment>
  <threadedComment ref="HE167" dT="2025-04-10T19:11:59.52" personId="{43B434BF-79E3-466D-B3A3-88E19A430C27}" id="{306B4128-448D-4BB5-9D25-7455D4317784}">
    <text>Brandan Carlos Javier - BPM Utilizar reiteradas veces el telefono a la hora de formar.
Cabrera Juan José - BPM Masticar chicle en empaque secundario
Calo Crisitan Leandro - BPM Masticar chicle en empaque secundario</text>
  </threadedComment>
  <threadedComment ref="IO167" dT="2025-04-24T20:22:25.29" personId="{43B434BF-79E3-466D-B3A3-88E19A430C27}" id="{24509A3B-6A02-42D1-90C7-21037A7288DB}">
    <text>Saggini Sergio - por pasar por puerta de emergencia</text>
  </threadedComment>
  <threadedComment ref="IU167" dT="2025-04-24T20:21:25.85" personId="{43B434BF-79E3-466D-B3A3-88E19A430C27}" id="{7D6DABCB-408B-4057-A055-123DCC3D9DDE}">
    <text>Silva Franco Maximiliano - AUSENCIA INJUSTIFICADA</text>
  </threadedComment>
  <threadedComment ref="JM167" dT="2025-05-13T16:42:21.34" personId="{43B434BF-79E3-466D-B3A3-88E19A430C27}" id="{6574766F-7B72-4EDE-B8E4-4CF3735106AA}">
    <text>LLEGADA TARDE:
-Rebusatte Amadeo Martin
-Silva Franco Maximiliano
-Brandan Carlos Javier
-Lage Fernando German
-Cabrera Juan José</text>
  </threadedComment>
  <threadedComment ref="MA167" dT="2025-05-23T16:37:58.36" personId="{43B434BF-79E3-466D-B3A3-88E19A430C27}" id="{BB3C9B48-6C48-44F5-9CF5-F8666912CDCF}">
    <text>BPM - Rivas Maximiliano Martin no usa barbijo teniendo barba. Gomez Franco Agustin mastica chicle dentro de producción.
LLEGADA TARDE:
-Rebusatte Leonardo Gabriel
-Sorhanet Agustin Nicolas
-Martinez Diego Adrian
-Gimenez Thiago Valentin
-Brito Kevin Nicolas
-Figueroa Marcelo Gabriel</text>
  </threadedComment>
  <threadedComment ref="NH167" dT="2025-06-03T15:53:41.33" personId="{43B434BF-79E3-466D-B3A3-88E19A430C27}" id="{79454DAD-9348-4B16-A691-1B823C9E710E}">
    <text>Brito Kevin Nicolas - BPM auricular en empaque el 28/05</text>
  </threadedComment>
  <threadedComment ref="QE167" dT="2025-07-21T12:59:39.86" personId="{43B434BF-79E3-466D-B3A3-88E19A430C27}" id="{45EC0848-181A-4AA1-94BB-CE0107CB1D95}">
    <text>Gomez Franco Agustin - se lo encuentra con comida en el vestuario el 17/06</text>
  </threadedComment>
  <threadedComment ref="QH167" dT="2025-07-21T13:00:10.16" personId="{43B434BF-79E3-466D-B3A3-88E19A430C27}" id="{A64F9A04-1CB4-4C34-AD11-4EEB768834F3}">
    <text>Silva Franco Maximiliano - uso de celular mientras  trabajaba en la formax</text>
  </threadedComment>
  <threadedComment ref="QQ167" dT="2025-07-03T21:10:32.58" personId="{43B434BF-79E3-466D-B3A3-88E19A430C27}" id="{19109D9C-91CB-41C0-A8D4-D4238B7C3B0A}">
    <text>Colman Brian: utilizó de manera indebida el auto elevador.
Cosimi Juan: utilizó de manera indebida el auto elevador.
Silva Franco: uso del celular mientras trabajaba en la formax</text>
  </threadedComment>
  <threadedComment ref="SP167" dT="2025-08-11T16:12:45.68" personId="{43B434BF-79E3-466D-B3A3-88E19A430C27}" id="{35C3EB85-AECA-4B95-9887-76E94261D04C}">
    <text>BPM: Escobar Juan de Dios (uso de uniforme fuera del establecimiento, uso inadecuado de los EPP y uso de celular en su puesto)</text>
  </threadedComment>
  <threadedComment ref="TB167" dT="2025-07-28T16:05:16.79" personId="{43B434BF-79E3-466D-B3A3-88E19A430C27}" id="{32FE8408-EF65-4ABC-8936-9212D45643FF}">
    <text>BPM:
-Lopez Alan Emanuel: uniforme en locker personal
-Demenes: celular cargando en estuchadora
-Rebusatte Amadeo: en la ulma con el celular el día de la auditoría
-Guzman Franco: ingresar a producción sin cofia
Salir a la terraza por la puerta de emergencia: Reyes David, Brandan Carlos, Gomez Hernan, Maidana Agustin, Caceres Oscar, Leguizamon Alejandro.</text>
  </threadedComment>
  <threadedComment ref="TH167" dT="2025-08-11T16:15:35.06" personId="{43B434BF-79E3-466D-B3A3-88E19A430C27}" id="{E1EBA1D2-5FB9-446F-B298-512667341007}">
    <text>BPM: Gomez Franco Agustin y Silva Franco Maximiliano - ingresar al sector producción sin pasar por filtro sanitario</text>
  </threadedComment>
  <threadedComment ref="UF167" dT="2025-08-11T16:14:36.06" personId="{43B434BF-79E3-466D-B3A3-88E19A430C27}" id="{FEE6815D-7B3D-46B4-BD2F-F3A37F76BC3E}">
    <text>LLEGADAS TARDE: Ruiz Diaz Walter Orlando, Rebusatte Amadeo Martin</text>
  </threadedComment>
  <threadedComment ref="UU167" dT="2025-08-11T16:17:44.86" personId="{43B434BF-79E3-466D-B3A3-88E19A430C27}" id="{E008174E-F4E1-45A6-A41F-DA808C0D8465}">
    <text>BPM: Cespedes Cristian David - uso de auriculares en sector empaque</text>
  </threadedComment>
  <threadedComment ref="VA167" dT="2025-08-11T16:19:50.48" personId="{43B434BF-79E3-466D-B3A3-88E19A430C27}" id="{43A31C39-DA5C-4A2A-8220-5D923C68B7E4}">
    <text>BPM: Miranda Roberto Miguel, Soria Evelyn Tamara, Brito Benjamin Ezequiel - uso de la puerta de emergencia.
BPM: Campos Mathias Gabriel - por arrojar cajas al suelo
LLEGADA TARDE: Monsalvo Victor Hugo - por fichar con ropa de calle</text>
  </threadedComment>
  <threadedComment ref="VV167" dT="2025-08-18T12:27:45.37" personId="{43B434BF-79E3-466D-B3A3-88E19A430C27}" id="{1BD9CCB5-354C-4CE6-8C74-AECBD807E882}">
    <text>BPM: Ingreso con uniforme ya puesto
-Maldonado Pedro Abel
-Maidana Agustin
-Gonzalez Angel Leonel</text>
  </threadedComment>
  <threadedComment ref="YG167" dT="2025-09-22T13:07:36.83" personId="{43B434BF-79E3-466D-B3A3-88E19A430C27}" id="{25BE4C9D-116A-40C2-BB6A-4D1709B5031C}">
    <text>Error en el despacho:
- Fernandez Ramon Esteban se equivoca al controlar el despacho.
- Cosimi Juan Carlos se equivoca al identificar los pallets.</text>
  </threadedComment>
  <threadedComment ref="YS167" dT="2025-09-22T13:08:26.79" personId="{43B434BF-79E3-466D-B3A3-88E19A430C27}" id="{CD1E2783-0B21-4404-A345-90920205D900}">
    <text>Gomez Rito Jose: exceso de materia prima en picadora, lo que generó decomisar un poco de carne</text>
  </threadedComment>
  <threadedComment ref="AAR167" dT="2025-10-13T15:35:11.87" personId="{43B434BF-79E3-466D-B3A3-88E19A430C27}" id="{4A735BA9-A00F-49C3-A579-3FFE5C25E0EB}">
    <text>Rebusatte Amadeo - deja campera colgada en el detector n3 el 18/09
Dorado Martin - deja el celular cargando en el piso sobre balanza de aditivos
Gomez Rito - parlante en el sector de aditivos con cargador
Bordón Victor - deja el celular cargando en el piso sobre la balanza de aditivos</text>
  </threadedComment>
  <threadedComment ref="ACB167" dT="2025-10-13T15:35:54.61" personId="{43B434BF-79E3-466D-B3A3-88E19A430C27}" id="{F0040A63-88D7-4FD3-B2A9-83B8971463DC}">
    <text>Mongelos Ivana - usar celular en producción manipulando hamburguesas con los mismos guantes</text>
  </threadedComment>
  <threadedComment ref="ANG167" dT="2026-01-14T12:34:51.83" personId="{43B434BF-79E3-466D-B3A3-88E19A430C27}" id="{6FFA2C47-50FD-4401-84E1-496B38B7AA23}">
    <text>Lopez Diego - No utilizar filtro sanitario 2 y fichar sin cofia</text>
  </threadedComment>
  <threadedComment ref="APR167" dT="2026-02-03T19:50:33.06" personId="{43B434BF-79E3-466D-B3A3-88E19A430C27}" id="{2955C1D9-76B2-4BD7-BF4B-69565DE3467F}">
    <text>Bordon Orlando - simuló lavarse las manos y desatendió lo que le marcó calidad
Gomez Hernan - ingresó a la sala de bobinas a través de la abertura de sala de bobinas</text>
  </threadedComment>
  <threadedComment ref="APU167" dT="2026-02-10T13:51:54.21" personId="{43B434BF-79E3-466D-B3A3-88E19A430C27}" id="{14631F2A-4900-4495-A0BC-753949573D48}">
    <text>Rivas Maximiliano - entrar al sector productivo con auricular</text>
  </threadedComment>
  <threadedComment ref="AQJ167" dT="2026-02-10T13:52:36.40" personId="{43B434BF-79E3-466D-B3A3-88E19A430C27}" id="{219C82B5-42F0-4137-9F00-44D0DE9810A5}">
    <text>Aguilar Leonel - realizar maniobras inseguras al introducir parte de su cuerpo por la tronera de sala de bobinas</text>
  </threadedComment>
  <threadedComment ref="ASL167" dT="2026-03-10T13:53:31.10" personId="{43B434BF-79E3-466D-B3A3-88E19A430C27}" id="{C3EB0C26-189F-4131-B2C1-173E99AF19E4}">
    <text>5 por no utilizar el filtro sanitario
6 por no lavarse las manos en el filtro sanitario
Gomez Andres y Pedrozo - por irse en uniforme post fichar
Lopez Julio - por fichar con paquete de galletitas en la mano y responder cuando le hicieron dicha observación de parte de calidad</text>
  </threadedComment>
  <threadedComment ref="ATA167" dT="2026-03-19T18:21:38.24" personId="{43B434BF-79E3-466D-B3A3-88E19A430C27}" id="{6550DEC5-98C7-45D7-8AA9-727111841365}">
    <text>Hernan Diaz - mal utiliza los recursos de la empresa (se sube a un apilador en funcionamiento)</text>
  </threadedComment>
  <threadedComment ref="AUB167" dT="2026-03-19T18:15:13.88" personId="{43B434BF-79E3-466D-B3A3-88E19A430C27}" id="{290980DE-4F97-4026-9953-38747C429CB8}">
    <text>Enzo Cisterna - irse del establecimiento con parte del uniforme puesto.
Bordon - por entrar a la producción con auriculares puestos.</text>
  </threadedComment>
  <threadedComment ref="VY168" dT="2025-09-09T18:49:04.33" personId="{43B434BF-79E3-466D-B3A3-88E19A430C27}" id="{6B3EA4B7-FE2B-4FA3-A0EE-2D507A05A426}">
    <text>Juan Ramos - fichar sin pasar por el filtro</text>
  </threadedComment>
  <threadedComment ref="WK168" dT="2025-09-22T13:10:05.70" personId="{43B434BF-79E3-466D-B3A3-88E19A430C27}" id="{D14D9DB6-2FA4-4F60-9B54-A514C33C43EB}">
    <text>Aguilar Leonel Marcos: por envolver flowpack sobre cabeza de compañero</text>
  </threadedComment>
  <threadedComment ref="ZQ168" dT="2025-10-13T15:31:00.56" personId="{43B434BF-79E3-466D-B3A3-88E19A430C27}" id="{3F463D0C-F715-4357-A6CA-BCFAB8D0B2E3}">
    <text>Graells Leandro + Brandan Carlos: Dejan botines arriba de los lockers y con carne</text>
  </threadedComment>
  <threadedComment ref="ABY168" dT="2025-10-28T18:08:00.99" personId="{43B434BF-79E3-466D-B3A3-88E19A430C27}" id="{A625D1EA-6D20-49B8-9EF3-70ADDB9E5338}">
    <text>Maciel Lisandro - afilar cuchillo con la mesada y luego usarlo en carne sin antes esterilizarlo</text>
  </threadedComment>
  <threadedComment ref="ACE168" dT="2025-10-28T18:09:10.44" personId="{43B434BF-79E3-466D-B3A3-88E19A430C27}" id="{2DAA7A09-32BF-43C3-85F4-95ADD1CA8C04}">
    <text>Tardaguila Ayrton - llenar demasiado la pciadora</text>
  </threadedComment>
  <threadedComment ref="ACQ168" dT="2025-10-28T18:08:32.19" personId="{43B434BF-79E3-466D-B3A3-88E19A430C27}" id="{F4D3132E-4409-43A9-8719-020E595A4AAB}">
    <text>Silva Franco - ingresar a producción con las uñas largas</text>
  </threadedComment>
  <threadedComment ref="ACZ168" dT="2025-10-28T18:11:39.96" personId="{43B434BF-79E3-466D-B3A3-88E19A430C27}" id="{8ECE92FF-6E01-4874-A1DD-5D687186F5BE}">
    <text>Rodriguez Mauro - Avanza por el filtro 2 sin cofia. No entra a la producción</text>
  </threadedComment>
  <threadedComment ref="ADR168" dT="2025-10-28T18:09:46.30" personId="{43B434BF-79E3-466D-B3A3-88E19A430C27}" id="{8B02D939-38E2-4247-AD82-B6EF2733875C}">
    <text>Gomez Franco - dejar cofia tirada en el nicho hidratante
Guzman Marcelo - destraba la picadora mientras está en funcionamiento</text>
  </threadedComment>
  <threadedComment ref="ADX168" dT="2025-10-28T18:12:21.94" personId="{43B434BF-79E3-466D-B3A3-88E19A430C27}" id="{F97EF308-8368-4674-BFDC-80E798BE79B7}">
    <text>Montero Leonel - Destraba la picadora mientras está en funcionamiento</text>
  </threadedComment>
  <threadedComment ref="AFN168" dT="2025-12-15T14:29:23.11" personId="{43B434BF-79E3-466D-B3A3-88E19A430C27}" id="{978F5AB3-D2A2-4E28-8690-7D496070A0B3}">
    <text>Ndure Julian - arroja papel en el nicho hidrante
Pitton Karina - pasar con alimentos por línea de producción</text>
  </threadedComment>
  <threadedComment ref="AGF168" dT="2025-12-15T14:29:23.11" personId="{43B434BF-79E3-466D-B3A3-88E19A430C27}" id="{24FB4F0D-A8B0-4781-A488-EBDD5B3C1271}">
    <text>Aguilar Leonel y Miranda Luis - por no comunicarse con su compañero y dejar su sector descubierto sin supervisión</text>
  </threadedComment>
  <threadedComment ref="AHV168" dT="2025-12-15T14:28:02.82" personId="{43B434BF-79E3-466D-B3A3-88E19A430C27}" id="{3688AF0D-0BE7-49DC-928B-B10062D61DEE}">
    <text>Diego Lopez - No utilizar cubre barba en el sector productivo (empaque)</text>
  </threadedComment>
  <threadedComment ref="AJO168" dT="2025-12-23T14:55:30.18" personId="{43B434BF-79E3-466D-B3A3-88E19A430C27}" id="{44B11CD2-FD9F-470F-ABAF-807483491202}">
    <text>Hernan Díaz y Emanuel Florentin - utilizar incorrectamente el apilador electrico</text>
  </threadedComment>
  <threadedComment ref="AKA168" dT="2025-12-23T13:58:49.50" personId="{43B434BF-79E3-466D-B3A3-88E19A430C27}" id="{2AF0E237-4F01-4CF6-82E0-8A3FD18CB3DE}">
    <text>Hector Barca - pote de helado en cámara 1.5, y falta de cofia en sector productivo.</text>
  </threadedComment>
  <threadedComment ref="ANY168" dT="2026-02-03T19:46:32.80" personId="{43B434BF-79E3-466D-B3A3-88E19A430C27}" id="{C2340978-F519-4B05-AE62-4E36A126857B}">
    <text>Hernan Gomez - campera colgada en estuchadora</text>
  </threadedComment>
  <threadedComment ref="AOE168" dT="2026-02-03T19:47:16.36" personId="{43B434BF-79E3-466D-B3A3-88E19A430C27}" id="{D2778D31-591A-4F33-8517-0F99D16AF4B6}">
    <text>Juan Zapana - simuló lavarse las manos y cuando le pidieron que lo haga correctamente, no dió bola</text>
  </threadedComment>
  <threadedComment ref="AOK168" dT="2026-02-03T19:47:44.67" personId="{43B434BF-79E3-466D-B3A3-88E19A430C27}" id="{8C72B8E6-594B-47B8-95A7-DC8A5E42009D}">
    <text>Rebusatte Martin- usar remera de civil debajo de uniforme</text>
  </threadedComment>
  <threadedComment ref="AOZ168" dT="2026-02-03T19:48:25.44" personId="{43B434BF-79E3-466D-B3A3-88E19A430C27}" id="{C66E6385-7CED-46C9-AD96-9913AD065CE8}">
    <text>Gomez Franco y Tardaguila Ayrton - por dejar utensillos de picadora en la bacha</text>
  </threadedComment>
  <threadedComment ref="ATA168" dT="2026-03-19T18:22:22.98" personId="{43B434BF-79E3-466D-B3A3-88E19A430C27}" id="{E89BC177-3976-4B55-976F-F63FC3BB99C5}">
    <text>Matias Fernandez - mal utiliza recursos de la empresa (maneja un apilador mientras un compañero se sube)</text>
  </threadedComment>
  <threadedComment ref="ATY168" dT="2026-03-19T18:19:41.28" personId="{43B434BF-79E3-466D-B3A3-88E19A430C27}" id="{AB3114A5-33D3-4911-82D3-598C54009455}">
    <text>Hernan Gomez - fichar e ingresar a procesos sin cofia.
Federico Ledezma - sentado en escalera mezcladora con telefono
Dylan ledesma - escuchando audios en su puesto de trabajo</text>
  </threadedComment>
  <threadedComment ref="AUB168" dT="2026-03-19T18:15:31.24" personId="{43B434BF-79E3-466D-B3A3-88E19A430C27}" id="{F800A3D5-3012-4F0B-AB03-6D3AC8E44345}">
    <text>Rito gomez - fichar sin cofia</text>
  </threadedComment>
  <threadedComment ref="HB169" dT="2025-04-15T16:47:59.04" personId="{43B434BF-79E3-466D-B3A3-88E19A430C27}" id="{316102A6-C35C-4F5F-BF96-95F4A5F71BCE}">
    <text xml:space="preserve">Gomez Francisco Javier - dolor de cintura y piernas Alta el 12/4, realiza tareas livianas por el momento.
</text>
  </threadedComment>
  <threadedComment ref="KH169" dT="2025-05-13T16:57:04.91" personId="{43B434BF-79E3-466D-B3A3-88E19A430C27}" id="{E6507846-0440-4DD6-8F16-357DD0A00B1D}">
    <text>Pineda Arnaldo Matias, estaba yendo a trabajar y chocaa contra un auto que frena de golpe, y no llega a frenar.</text>
  </threadedComment>
  <threadedComment ref="MD169" dT="2025-06-03T00:18:36.70" personId="{43B434BF-79E3-466D-B3A3-88E19A430C27}" id="{26D34B95-1AD8-4389-9B58-7968C1FECBD7}">
    <text>Aguirre javier - levanta una chapa y le queda doliendo el brazo izquierdo</text>
  </threadedComment>
  <threadedComment ref="MV169" dT="2025-06-06T13:35:20.22" personId="{43B434BF-79E3-466D-B3A3-88E19A430C27}" id="{C43F46A6-5EC7-40B5-9FE8-979314F06774}">
    <text xml:space="preserve">GRAELLS ACEVEDO LEANDRO AGUSTIN - queriendo cortar un bonel de carne, se corta dedo indice izquierdo. Le hicieron 3 puntos </text>
  </threadedComment>
  <threadedComment ref="PA169" dT="2025-06-19T12:50:24.93" personId="{43B434BF-79E3-466D-B3A3-88E19A430C27}" id="{9A864531-23A6-4904-B670-2314508A84AA}">
    <text xml:space="preserve">VISENTIN ARNOLDO ALBERTO - Ensamblando una armadora de caja se produce un corte en dedo mayor de la mano derecha.
</text>
  </threadedComment>
  <threadedComment ref="RL169" dT="2025-07-21T12:58:43.08" personId="{43B434BF-79E3-466D-B3A3-88E19A430C27}" id="{A127582C-76A6-47C6-80F8-08D4557CC8A8}">
    <text>Ledesma Dylan Sebastian - pisa aceite en moto, resbala ya cae</text>
  </threadedComment>
  <threadedComment ref="WZ169" dT="2025-09-09T18:53:50.05" personId="{43B434BF-79E3-466D-B3A3-88E19A430C27}" id="{8DB77A1C-7595-47AE-8A7A-9D94148FF296}">
    <text>Demenes, Luis Fernando: de camino a su lugar de trabajo, al bajar del colectivo se dobla el tobillo izquierdo</text>
  </threadedComment>
  <threadedComment ref="XF169" dT="2025-09-09T18:53:02.58" personId="{43B434BF-79E3-466D-B3A3-88E19A430C27}" id="{DE3081E2-B85F-4C6C-BED4-1DE074563A2C}">
    <text>Garcia, Cesar: Descontando una máquina de línea de producción siente un tirón en la zona lumbar (era una contractura)</text>
  </threadedComment>
  <threadedComment ref="XL169" dT="2025-09-09T18:51:31.47" personId="{43B434BF-79E3-466D-B3A3-88E19A430C27}" id="{EC0D1585-379A-474A-B869-B446FE803286}">
    <text>Aguirre, Javier: un apilador le aprisiona el pie derecho</text>
  </threadedComment>
  <threadedComment ref="YY169" dT="2025-09-22T19:56:39.83" personId="{43B434BF-79E3-466D-B3A3-88E19A430C27}" id="{F85D8249-CD81-477C-822D-60573AE52009}">
    <text>Gomez Juan tomas - cae de la moto regresando al domicilio. 43 días?</text>
  </threadedComment>
  <threadedComment ref="ZK169" dT="2025-09-22T19:55:26.14" personId="{43B434BF-79E3-466D-B3A3-88E19A430C27}" id="{2BE47441-11FE-4377-9B8C-27B1F549412D}">
    <text>Moscoso Edwin - yendo de la casa al trabajo tiene accidente con la moto. 2 días</text>
  </threadedComment>
  <threadedComment ref="ADC169" dT="2025-10-28T18:15:56.21" personId="{43B434BF-79E3-466D-B3A3-88E19A430C27}" id="{77BA0A68-25CA-4952-9ABE-1463AB039E94}">
    <text>Diego Ortiz - Duchándose, se resbaló y sintió un tirón al intentar no caerse en la rodilla derecha. Sigue en evaluación el caso.</text>
  </threadedComment>
  <threadedComment ref="AIH169" dT="2025-12-19T14:29:37.10" personId="{43B434BF-79E3-466D-B3A3-88E19A430C27}" id="{3D8E25EF-51E6-4467-B0F8-F75FB9C26A01}">
    <text>Sorhanet Agustin Nicolas - volviendo al domicilio lo choca un auto, lastimandose la pierna derecha</text>
  </threadedComment>
  <threadedComment ref="AJO169" dT="2025-12-19T14:30:58.85" personId="{43B434BF-79E3-466D-B3A3-88E19A430C27}" id="{F426D814-6014-43B8-8C3A-C546644395EB}">
    <text>Walter Soria - varices bilaterales
Rito Gomez - reingresa por ART para que puedan realizar la cirugía que no pudieron realizar en el primer ingreso ya que le habia dado mal el prequirurgico</text>
  </threadedComment>
  <threadedComment ref="AKY169" dT="2025-12-30T17:58:23.94" personId="{43B434BF-79E3-466D-B3A3-88E19A430C27}" id="{2F7502F2-7EAD-492A-B69B-8E4429B41CA3}">
    <text>Pineda, Matias Arnaldo - se le cae un disco de una máquina en el empeine izquierdo</text>
  </threadedComment>
  <threadedComment ref="AMO169" dT="2026-01-12T15:53:20.59" personId="{43B434BF-79E3-466D-B3A3-88E19A430C27}" id="{7B73BCEC-F7B0-4548-B6BC-A5D24398865D}">
    <text>Rebusatte, Emanuel - regresaba en moto y choca con auto de costado</text>
  </threadedComment>
  <threadedComment ref="AMU169" dT="2026-01-14T12:38:49.85" personId="{43B434BF-79E3-466D-B3A3-88E19A430C27}" id="{11C4A7F3-6DD0-476D-86F7-6266A464FFE7}">
    <text>Cesar Garcia - sufre salpicadura en ojo derecho de una sustancia haciendo limpieza de máquinas</text>
  </threadedComment>
  <threadedComment ref="ANS169" dT="2026-01-21T12:45:35.59" personId="{43B434BF-79E3-466D-B3A3-88E19A430C27}" id="{4FE4EAB0-EF6B-48FB-BFEF-A77716D6EFC1}">
    <text>Leal, Matias Nicolas - yendo al trabajo en moto, lo embiste un camión</text>
  </threadedComment>
  <threadedComment ref="BZ170" dT="2025-03-05T16:00:50.55" personId="{43B434BF-79E3-466D-B3A3-88E19A430C27}" id="{9E613541-BCF8-4685-A322-E2930FDAC7D1}">
    <text>Calo Cristian: Caída en producción.
Barrera Ramiro: Caída en producción.</text>
  </threadedComment>
  <threadedComment ref="FR170" dT="2025-04-03T19:06:13.71" personId="{43B434BF-79E3-466D-B3A3-88E19A430C27}" id="{83246FCD-F7ED-4963-8DF6-6F86B20D58D6}">
    <text>Graells Agustin - se lastimó´el dedo derecho con la estuchadora.</text>
  </threadedComment>
  <threadedComment ref="HB170" dT="2025-04-15T16:48:57.77" personId="{43B434BF-79E3-466D-B3A3-88E19A430C27}" id="{E5093710-CFE7-44E9-B803-6B8F3F7D1639}">
    <text>Pereyra Ariel - cae lavando la producción.</text>
  </threadedComment>
  <threadedComment ref="HH170" dT="2025-04-15T16:49:57.43" personId="{43B434BF-79E3-466D-B3A3-88E19A430C27}" id="{3751C13D-C102-4B4F-B82E-E29A94706304}">
    <text>Romero Ramón - se cayó pero se va indicando que no era nada (se fue apurado a un tramite)</text>
  </threadedComment>
  <threadedComment ref="HQ170" dT="2025-04-15T16:50:57.07" personId="{43B434BF-79E3-466D-B3A3-88E19A430C27}" id="{18599296-2808-420E-B7AC-CACAD8A5DCB0}">
    <text>Romero Ramón - se corta brazo con chapa que tiene filo en el sector estuchado. Lo curan y sigue trabajando.
Campos Mathias Gabriel - se golpea dedo en sector balanza (48hs reposo)</text>
  </threadedComment>
  <threadedComment ref="LI170" dT="2025-05-21T16:56:27.58" personId="{43B434BF-79E3-466D-B3A3-88E19A430C27}" id="{4A0E3DD5-EF65-43E6-927E-66125F9BAD71}">
    <text>Calo Cristian - se cae por la escalera del entre piso</text>
  </threadedComment>
  <threadedComment ref="LL170" dT="2025-05-21T16:55:47.28" personId="{43B434BF-79E3-466D-B3A3-88E19A430C27}" id="{FAE93280-FDD6-4BF2-BCF4-4CCB343FB1B6}">
    <text>Gonzalez Lucas - limpiando cinta de producción se aprieta el dedo y se corta arriba de la uña</text>
  </threadedComment>
  <threadedComment ref="MP170" dT="2025-06-03T00:19:29.45" personId="{43B434BF-79E3-466D-B3A3-88E19A430C27}" id="{7BA00B5B-474D-4640-B932-A243CE019C24}">
    <text>Gonzalez Lucas - se va al doctor porque se le sale la uña que se lastimó el 17/5</text>
  </threadedComment>
  <threadedComment ref="NQ170" dT="2025-06-06T13:36:12.18" personId="{43B434BF-79E3-466D-B3A3-88E19A430C27}" id="{ED2F90F4-4E40-43FE-9549-2F62B75BD7B2}">
    <text>GOMEZ HERNAN FRANCISCO - se le zafa de la mano el cuchillo y se corta. Lo curaron y continuó trabajando</text>
  </threadedComment>
  <threadedComment ref="PA170" dT="2025-06-19T12:53:25.09" personId="{43B434BF-79E3-466D-B3A3-88E19A430C27}" id="{761A5777-7430-45D3-97A9-9E2EAAE0E683}">
    <text>CARLOS EDUARDO PAIS - se cortó con la chapa de formax, se le otorgó vendaje y desinfectante.</text>
  </threadedComment>
  <threadedComment ref="AAR170" dT="2025-12-16T18:45:43.59" personId="{43B434BF-79E3-466D-B3A3-88E19A430C27}" id="{A25FA936-41F7-4D8F-827E-E3FED572CE89}">
    <text>Lopez Alan - se cortó con la flejadora, se le puso una gasa y siguió trabajando.</text>
  </threadedComment>
  <threadedComment ref="AAU170" dT="2025-12-16T18:45:12.52" personId="{43B434BF-79E3-466D-B3A3-88E19A430C27}" id="{BD9037D8-09F9-483B-8552-4EBA6BF6F47C}">
    <text>Pereyra Rodrigo - se cortó con un estuche, se le puso una gasa y siguió trabajando.</text>
  </threadedComment>
  <threadedComment ref="ABJ170" dT="2025-12-16T18:44:16.84" personId="{43B434BF-79E3-466D-B3A3-88E19A430C27}" id="{3DF28B9B-F85B-48AE-ABF6-541C2B284AB8}">
    <text>Lage Fernando - se lastimó la mano con la C04, se le puso una gasa y siguió trabajando.</text>
  </threadedComment>
  <threadedComment ref="ACT170" dT="2025-12-16T18:43:40.13" personId="{43B434BF-79E3-466D-B3A3-88E19A430C27}" id="{36C0BE4B-F2A8-40F9-8366-54482F446701}">
    <text>Amena Gabriel - se agarró la mano con la puerta del comedor, se lastimó el dedo indice.</text>
  </threadedComment>
  <threadedComment ref="ADC170" dT="2025-12-16T18:43:01.73" personId="{43B434BF-79E3-466D-B3A3-88E19A430C27}" id="{84070D8E-D5CE-448A-831F-FCFD61393D8D}">
    <text>Lopez Alan - se raspa con flejadora, se le puso gasa y siguió trabajando.</text>
  </threadedComment>
  <threadedComment ref="ADU170" dT="2025-12-16T18:41:59.21" personId="{43B434BF-79E3-466D-B3A3-88E19A430C27}" id="{532806FC-15EC-4E9D-B1C4-AF65888A34E2}">
    <text>Iglesias Camila - se cortó con un estuche, se le puso gasa y siguió trabajando.
Visentin Tomas - se raspó con una caja, se le puso una gasa y siguió trabajando.</text>
  </threadedComment>
  <threadedComment ref="AEJ170" dT="2025-10-28T18:16:54.16" personId="{43B434BF-79E3-466D-B3A3-88E19A430C27}" id="{D9CEC680-5E1E-448B-B235-D8EA7B41B1C3}">
    <text>Caceres Walter - hoy hace denuncia de que el 16/10 bajando una pila de cajas de un estante, la agarra mal y se le va la mano para atras.</text>
  </threadedComment>
  <threadedComment ref="AES170" dT="2025-12-16T18:40:58.86" personId="{43B434BF-79E3-466D-B3A3-88E19A430C27}" id="{08DB0B9D-FD09-4F0C-9B4E-506EE0160956}">
    <text>Iglesias Camila - se le cayó la pala que utilizan para la soja en aditivos en la mano, le dolía, se puso hielo y siguió trabajando.</text>
  </threadedComment>
  <threadedComment ref="AGI170" dT="2025-12-16T18:40:07.70" personId="{43B434BF-79E3-466D-B3A3-88E19A430C27}" id="{2130D8E3-19B3-4BCB-A3E8-D583BFFB4E5D}">
    <text>Elisio Jonathan - se cortó con un estuche, se le puso gasa y siguió trabajando.
Romero Ramon - se cortó con la flejadora, se le puso gasa y siguió trabajando</text>
  </threadedComment>
  <threadedComment ref="AGR170" dT="2025-12-16T18:39:11.08" personId="{43B434BF-79E3-466D-B3A3-88E19A430C27}" id="{CFCDDB77-6D89-4505-A60B-FF5BC84C99F1}">
    <text>Iglesias Camila - se cayó de la escalera del detector n2 y n3, solo le dolía un poco la mano. Siguió trabajando</text>
  </threadedComment>
  <threadedComment ref="AGU170" dT="2025-12-16T18:38:24.37" personId="{43B434BF-79E3-466D-B3A3-88E19A430C27}" id="{5FD76650-1924-40E7-869D-F1CEA9584DE3}">
    <text>Rebusatte Martin - se cayó en escalera del detector n2 y n3, cayó sentado y se lastimo la mano derecha y espalda. Un día de reposo</text>
  </threadedComment>
  <threadedComment ref="AND170" dT="2026-01-21T12:48:32.45" personId="{43B434BF-79E3-466D-B3A3-88E19A430C27}" id="{D70616A7-7EE3-4E5B-BB09-AD19F19C7B94}">
    <text>Gomez Ramón Hernan - se cayó de la plataforma de la ulma, le dolía la mano y la rodilla</text>
  </threadedComment>
  <threadedComment ref="ANG170" dT="2026-01-21T12:47:40.83" personId="{43B434BF-79E3-466D-B3A3-88E19A430C27}" id="{496B2731-D397-4074-BB87-ABE4EAB87992}">
    <text>Ivana Mongelos - se cayó de la plataforma de la ulma, se lastimó la pierna</text>
  </threadedComment>
  <threadedComment ref="ANP170" dT="2026-01-21T12:46:18.64" personId="{43B434BF-79E3-466D-B3A3-88E19A430C27}" id="{589D0298-909B-432B-B8BA-6D6DA0C9559B}">
    <text>Luna Agustina - se cortó el dedo</text>
  </threadedComment>
</ThreadedComments>
</file>

<file path=xl/threadedComments/threadedComment8.xml><?xml version="1.0" encoding="utf-8"?>
<ThreadedComments xmlns="http://schemas.microsoft.com/office/spreadsheetml/2018/threadedcomments" xmlns:x="http://schemas.openxmlformats.org/spreadsheetml/2006/main">
  <threadedComment ref="R1" dT="2026-01-20T17:07:39.32" personId="{1AC6D319-1EEB-479A-A819-7ACAD5A69D4F}" id="{3F52D486-BA0C-4226-AE5E-D18C67CE26E1}">
    <text xml:space="preserve">% por patentes de los últimos tres meses controlados </text>
  </threadedComment>
</ThreadedComments>
</file>

<file path=xl/threadedComments/threadedComment9.xml><?xml version="1.0" encoding="utf-8"?>
<ThreadedComments xmlns="http://schemas.microsoft.com/office/spreadsheetml/2018/threadedcomments" xmlns:x="http://schemas.openxmlformats.org/spreadsheetml/2006/main">
  <threadedComment ref="J39" dT="2025-10-29T20:04:07.18" personId="{43B434BF-79E3-466D-B3A3-88E19A430C27}" id="{E35593B7-5E8D-4B15-8837-AB2220C3FE8B}">
    <text>Faltaría ver qué hay en el piso</text>
  </threadedComment>
  <threadedComment ref="J42" dT="2025-10-29T20:05:36.24" personId="{43B434BF-79E3-466D-B3A3-88E19A430C27}" id="{E020E195-A3B5-433E-8BD1-9A91DD610E1D}">
    <text>Habría que ver qué es lo sucio</text>
  </threadedComment>
  <threadedComment ref="T46" dT="2025-10-29T20:09:24.76" personId="{43B434BF-79E3-466D-B3A3-88E19A430C27}" id="{8F07C1FC-9C2D-4F5A-B93A-F68D026A9E1C}">
    <text>Por la cinta en el mingitorio</text>
  </threadedComment>
  <threadedComment ref="M56" dT="2025-10-29T20:14:56.51" personId="{43B434BF-79E3-466D-B3A3-88E19A430C27}" id="{E8132D51-5B44-4E91-A135-BE0807BD2E61}">
    <text>Quién lo sube?</text>
  </threadedComment>
  <threadedComment ref="J88" dT="2025-10-29T20:26:05.73" personId="{43B434BF-79E3-466D-B3A3-88E19A430C27}" id="{8BCDDACA-C540-41F6-A5E6-AC0431F4AC9E}">
    <text>Aclarar qué tipo de guante es para entender a quién le corresponde</text>
  </threadedComment>
  <threadedComment ref="N149" dT="2025-10-31T13:48:15.03" personId="{43B434BF-79E3-466D-B3A3-88E19A430C27}" id="{F680EC0B-77D6-42D0-A2F3-6A57780FF379}">
    <text>VER</text>
  </threadedComment>
  <threadedComment ref="J158" dT="2025-10-31T13:53:12.67" personId="{43B434BF-79E3-466D-B3A3-88E19A430C27}" id="{689C79DB-277E-4765-B7A8-1CAF5BE5B4EC}">
    <text>VER</text>
  </threadedComment>
  <threadedComment ref="J278" dT="2025-11-10T20:12:27.99" personId="{43B434BF-79E3-466D-B3A3-88E19A430C27}" id="{3F2344F0-1C4E-4E80-A4EC-AB9FCD95770C}">
    <text>@Rodrigo Viana  hay más detalle?</text>
    <mentions>
      <mention mentionpersonId="{84FA3A41-1FA2-46DF-A781-8DA66B44DB31}" mentionId="{92011B82-D127-46AA-BB3E-BA7F6BDC5E31}" startIndex="0" length="14"/>
    </mentions>
  </threadedComment>
</ThreadedComments>
</file>

<file path=xl/threadedComments/threadedComment10.xml><?xml version="1.0" encoding="utf-8"?>
<ThreadedComments xmlns="http://schemas.microsoft.com/office/spreadsheetml/2018/threadedcomments" xmlns:x="http://schemas.openxmlformats.org/spreadsheetml/2006/main">
  <threadedComment ref="V13" dT="2025-11-06T19:40:59.86" personId="{43B434BF-79E3-466D-B3A3-88E19A430C27}" id="{4EBAD8AD-1C18-4D5E-BE10-68B60C490902}">
    <text>@Rodrigo Viana  recordar que todo tiene que estar en 2 cuando termine la semana!</text>
    <mentions>
      <mention mentionpersonId="{84FA3A41-1FA2-46DF-A781-8DA66B44DB31}" mentionId="{97FD9BEE-3848-4477-B928-B6E4917172D1}" startIndex="0" length="14"/>
    </mentions>
  </threadedComment>
  <threadedComment ref="AB33" dT="2025-09-18T11:53:56.12" personId="{50988EDD-6B47-41AF-ACDF-E7CDA77122B0}" id="{2CEE4B7E-2E52-488C-A3B1-CABD57A5E2B3}">
    <text>Tablero de electricidad suelto, con cables al aire</text>
  </threadedComment>
  <threadedComment ref="AB34" dT="2025-09-18T11:53:56.12" personId="{50988EDD-6B47-41AF-ACDF-E7CDA77122B0}" id="{B8134BDD-16C6-49B6-9360-AB363E12434E}">
    <text>Tablero de electricidad suelto, con cables al aire</text>
  </threadedComment>
  <threadedComment ref="AB35" dT="2025-09-17T17:17:54.21" personId="{20DF8AF6-9A0E-4F9C-87DE-CBC9D113DA08}" id="{A7AAC64A-62AE-4E6B-9C7A-B60AE4E98ADA}">
    <text>Etiquetas de Fraccionado en los cables y soporte de ingreso</text>
  </threadedComment>
  <threadedComment ref="AB36" dT="2025-09-17T17:17:54.21" personId="{20DF8AF6-9A0E-4F9C-87DE-CBC9D113DA08}" id="{89CD405F-70D8-43E3-AD59-EBA6E8E619B3}">
    <text>Etiquetas de Fraccionado en los cables y soporte de ingreso</text>
  </threadedComment>
  <threadedComment ref="AB40" dT="2025-09-17T17:26:47.47" personId="{20DF8AF6-9A0E-4F9C-87DE-CBC9D113DA08}" id="{21323EFF-F190-4C7E-9F89-CFAE92CFC634}">
    <text>Cofias arriba de los loker y en el piso</text>
  </threadedComment>
  <threadedComment ref="AB41" dT="2025-09-18T11:55:45.38" personId="{50988EDD-6B47-41AF-ACDF-E7CDA77122B0}" id="{5B3049C5-4CDE-4401-890C-DA4AAFC92EBC}">
    <text>Botellas de Jugo, papeles en el piso y arriba de los locker</text>
  </threadedComment>
  <threadedComment ref="AB42" dT="2025-09-18T11:56:03.55" personId="{50988EDD-6B47-41AF-ACDF-E7CDA77122B0}" id="{4A7FC835-4728-4E28-8374-430BF8B4367C}">
    <text>Zapatillas de calle en el sector de ropa de trabajo.</text>
  </threadedComment>
  <threadedComment ref="AB43" dT="2025-09-18T11:56:03.55" personId="{50988EDD-6B47-41AF-ACDF-E7CDA77122B0}" id="{0E44E56E-BCBC-4D81-8BBE-355D69F888F9}">
    <text>Zapatillas de calle en el sector de ropa de trabajo.</text>
  </threadedComment>
  <threadedComment ref="AB45" dT="2025-09-17T18:28:38.39" personId="{20DF8AF6-9A0E-4F9C-87DE-CBC9D113DA08}" id="{E5E174F2-784F-44FA-AD7C-4B2A0DBB3277}">
    <text>Mucho desorden</text>
  </threadedComment>
  <threadedComment ref="AB47" dT="2025-09-18T11:56:03.55" personId="{50988EDD-6B47-41AF-ACDF-E7CDA77122B0}" id="{BB69234B-4131-41ED-A33A-8F387716CDF6}">
    <text>Zapatillas de calle en el sector de ropa de trabajo.</text>
  </threadedComment>
  <threadedComment ref="AB47" dT="2025-09-18T16:47:01.82" personId="{20DF8AF6-9A0E-4F9C-87DE-CBC9D113DA08}" id="{B08F20F6-90CB-46E7-A07D-286FDA4C063C}" parentId="{BB69234B-4131-41ED-A33A-8F387716CDF6}">
    <text>Y cofias papeles en el piso</text>
  </threadedComment>
  <threadedComment ref="AB48" dT="2025-09-18T16:38:01.76" personId="{20DF8AF6-9A0E-4F9C-87DE-CBC9D113DA08}" id="{55AA7046-8A17-4FF6-A04F-4B3BAD376969}">
    <text>Hamburguesas en el piso</text>
  </threadedComment>
  <threadedComment ref="AB50" dT="2025-09-18T18:24:07.44" personId="{BAE1EA9A-A59D-4973-B198-AC7340E8D5B0}" id="{AB553E30-0240-483A-84A4-1EB0D0A67721}">
    <text>Se habla con camarista del depósito varios para dejar el piso libre de astillas de madera al finalizar su turno.</text>
  </threadedComment>
  <threadedComment ref="AB51" dT="2025-09-18T18:27:22.19" personId="{BAE1EA9A-A59D-4973-B198-AC7340E8D5B0}" id="{F408F06A-0A7D-4812-BD3E-E91B9E249C47}">
    <text>Se debe dejar el piso libre de astillas de madera al finalizar el turno a las 16 o 17 hs. Como los chicos de higiene están en producción a esa hora, deberían mantener limpia la entrada entre los camaristas. Y sería justo que reciban su lugar de trabajo en las mismas condiciones al otro día.</text>
  </threadedComment>
  <threadedComment ref="AB52" dT="2025-09-18T18:27:57.47" personId="{BAE1EA9A-A59D-4973-B198-AC7340E8D5B0}" id="{07014DD6-1270-4C86-A342-F5517DC34270}">
    <text>Se encuentra piso roto en la entrada de la cámara 04, lado izquierdo al entrar.</text>
  </threadedComment>
  <threadedComment ref="AB53" dT="2025-09-18T18:33:02.07" personId="{BAE1EA9A-A59D-4973-B198-AC7340E8D5B0}" id="{F3947A38-7656-4AAC-9388-E07CD63289B8}">
    <text>Casi todos las cajas atrapa roedores no están amuradas y en el día a día se desacomodan. Me gustaría tener un plano de donde deberían ir para poner pedir amurarlas y saber si falta alguna</text>
  </threadedComment>
  <threadedComment ref="AB53" dT="2025-09-22T14:11:17.82" personId="{43B434BF-79E3-466D-B3A3-88E19A430C27}" id="{67CD9362-40D3-4345-86F8-36C006A9E28F}" parentId="{F3947A38-7656-4AAC-9388-E07CD63289B8}">
    <text>@Martin Argañaraz  Podrás brindárselos? Graciaas!</text>
    <mentions>
      <mention mentionpersonId="{82A29950-36CC-4BBC-BDA5-79A06BC6FA41}" mentionId="{7122A7D1-1748-41BD-9870-E219D756493D}" startIndex="0" length="17"/>
    </mentions>
  </threadedComment>
  <threadedComment ref="AB53" dT="2025-09-22T14:18:19.42" personId="{7289C7CC-35A7-45D1-AED1-71A11659A488}" id="{9921B5CA-D756-498C-BB72-0FBE49AFB0D6}" parentId="{F3947A38-7656-4AAC-9388-E07CD63289B8}">
    <text>buenos días, perfecto ya te envió vía mail los planos solicitados!</text>
  </threadedComment>
  <threadedComment ref="AB53" dT="2025-09-22T14:51:32.84" personId="{BAE1EA9A-A59D-4973-B198-AC7340E8D5B0}" id="{62C56BAC-D6BE-4B37-8890-878438BE4865}" parentId="{F3947A38-7656-4AAC-9388-E07CD63289B8}">
    <text>Recibido, muchas gracias!</text>
  </threadedComment>
  <threadedComment ref="AB54" dT="2025-09-22T23:59:21.37" personId="{20DF8AF6-9A0E-4F9C-87DE-CBC9D113DA08}" id="{F245C68E-1906-479E-BEE0-E282F0B2A6BE}">
    <text>Cofias arriba de los loker.</text>
  </threadedComment>
  <threadedComment ref="AB54" dT="2025-09-23T00:06:06.05" personId="{20DF8AF6-9A0E-4F9C-87DE-CBC9D113DA08}" id="{B1F7F18B-D56D-4ACB-AD57-F11645B01C15}" parentId="{F245C68E-1906-479E-BEE0-E282F0B2A6BE}">
    <text>Se suma un cesto de basura en el sector de Ropa de calle.</text>
  </threadedComment>
  <threadedComment ref="AB57" dT="2025-09-25T18:08:14.45" personId="{20DF8AF6-9A0E-4F9C-87DE-CBC9D113DA08}" id="{08C649E4-056C-42C4-9C3F-7DC0244D881D}">
    <text>cofias arriba de los loquer</text>
  </threadedComment>
  <threadedComment ref="AB61" dT="2025-09-25T18:38:15.47" personId="{20DF8AF6-9A0E-4F9C-87DE-CBC9D113DA08}" id="{4B25A3CC-6AAA-4C5D-9C75-CF71A0FF1098}">
    <text>Maderas papeles, tierra</text>
  </threadedComment>
  <threadedComment ref="AC63" dT="2025-09-26T16:54:29.92" personId="{20DF8AF6-9A0E-4F9C-87DE-CBC9D113DA08}" id="{814F62C1-668E-4EFB-8FC3-3599AF77D4FD}">
    <text>Habían estuches sin producto de UG0053, los mismos se ordenaron.</text>
  </threadedComment>
  <threadedComment ref="AC66" dT="2025-09-26T17:01:40.68" personId="{20DF8AF6-9A0E-4F9C-87DE-CBC9D113DA08}" id="{2C89685E-9587-4E00-AE86-F4CB0D848BF8}">
    <text>Tachos de papales llenos y mingitorios con un pedazo de cinta.</text>
  </threadedComment>
</ThreadedComments>
</file>

<file path=xl/threadedComments/threadedComment11.xml><?xml version="1.0" encoding="utf-8"?>
<ThreadedComments xmlns="http://schemas.microsoft.com/office/spreadsheetml/2018/threadedcomments" xmlns:x="http://schemas.openxmlformats.org/spreadsheetml/2006/main">
  <threadedComment ref="Q4" dT="2025-11-06T13:56:37.38" personId="{50988EDD-6B47-41AF-ACDF-E7CDA77122B0}" id="{9C6E94CD-FC0C-4C07-B6F7-C0ED04B86FAB}">
    <text>Viene para la recepción de MP, los días sábado. No es tenida en cuenta para control de procesos.</text>
  </threadedComment>
  <threadedComment ref="S4" dT="2025-11-06T13:59:12.49" personId="{50988EDD-6B47-41AF-ACDF-E7CDA77122B0}" id="{AB139AF8-903F-4603-B158-6CD8A8CECF30}">
    <text>Analista de Aseguramiento de la Calidad</text>
  </threadedComment>
  <threadedComment ref="Q5" dT="2025-11-06T13:56:49.61" personId="{50988EDD-6B47-41AF-ACDF-E7CDA77122B0}" id="{0AAD395B-3378-4596-AB6A-999BC2C726FF}">
    <text>Reemplazo</text>
  </threadedComment>
  <threadedComment ref="S6" dT="2025-11-06T13:58:56.44" personId="{50988EDD-6B47-41AF-ACDF-E7CDA77122B0}" id="{C3AAE620-273C-4D5B-9D23-26AABA871F5C}">
    <text>Analista de Control de Calidad</text>
  </threadedComment>
  <threadedComment ref="Q8" dT="2025-11-06T13:57:02.29" personId="{50988EDD-6B47-41AF-ACDF-E7CDA77122B0}" id="{2AF02618-007E-4837-84C9-60A4E2DE2F2C}">
    <text>Reemplazo</text>
  </threadedComment>
  <threadedComment ref="S8" dT="2025-11-06T13:58:30.44" personId="{50988EDD-6B47-41AF-ACDF-E7CDA77122B0}" id="{50F6A1DB-6F90-4B87-A9C9-09C8050B43ED}">
    <text>Supervisor</text>
  </threadedComment>
  <threadedComment ref="Q9" dT="2025-11-06T13:57:15.69" personId="{50988EDD-6B47-41AF-ACDF-E7CDA77122B0}" id="{DFABF715-E69B-494C-9764-EDB162ED358D}">
    <text>Reemplazo</text>
  </threadedComment>
  <threadedComment ref="Q12" dT="2025-11-06T13:58:05.96" personId="{50988EDD-6B47-41AF-ACDF-E7CDA77122B0}" id="{844321C2-843F-4CF3-A895-798B64B1B4CE}">
    <text>Puede llevar a cabo control de procesos, pero se prioriza el despacho del domingo a la noche / lunes a la madrugada.</text>
  </threadedComment>
  <threadedComment ref="P13" dT="2025-11-06T19:59:26.89" personId="{1AC6D319-1EEB-479A-A819-7ACAD5A69D4F}" id="{CDF7A43A-245F-4FF3-A51E-A3E9AB80D230}">
    <text xml:space="preserve">Lo pongo en verde, pero tiene muchas veces se lo convoca y no viene, predisposición siempre tiene </text>
  </threadedComment>
  <threadedComment ref="P20" dT="2025-11-06T20:01:21.64" personId="{1AC6D319-1EEB-479A-A819-7ACAD5A69D4F}" id="{611D391D-A201-4753-BC82-188198BAB01E}">
    <text xml:space="preserve">al tener fijo el domingo en su jornada, utiliza el sábado para descansar </text>
  </threadedComment>
  <threadedComment ref="P21" dT="2025-11-06T20:00:40.73" personId="{1AC6D319-1EEB-479A-A819-7ACAD5A69D4F}" id="{80308C1F-B182-42F4-9CD7-EF74F1006839}">
    <text xml:space="preserve">vive lejos, aparte en su jornada ya tienen fijo el domingo </text>
  </threadedComment>
  <threadedComment ref="P58" dT="2025-11-06T20:02:58.79" personId="{1AC6D319-1EEB-479A-A819-7ACAD5A69D4F}" id="{9D4BB336-56E9-4E13-A99E-91E2051158E3}">
    <text>Ya no trabaja para Unión</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1" xr10:uid="{9F13200D-D889-4ADE-A37D-D165A8AB7494}" sourceName="FECHA">
  <pivotTables>
    <pivotTable tabId="30" name="TablaDinámica2"/>
    <pivotTable tabId="30" name="TablaDinámica1"/>
  </pivotTables>
  <state minimalRefreshVersion="6" lastRefreshVersion="6" pivotCacheId="216499651" filterType="dateEqual">
    <selection startDate="2025-10-20T00:00:00" endDate="2025-10-2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6CE2A7DA-6128-44B3-8285-CC0B4192536B}" cache="NativeTimeline_FECHA1" caption="FECHA" level="3" selectionLevel="3" scrollPosition="2025-10-11T00:00:00"/>
</timeline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 Id="rId4" Type="http://schemas.microsoft.com/office/2017/10/relationships/threadedComment" Target="../threadedComments/threadedComment8.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pivotTable" Target="../pivotTables/pivotTable5.xml"/><Relationship Id="rId7" Type="http://schemas.microsoft.com/office/2011/relationships/timeline" Target="../timelines/timeline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2.xml"/><Relationship Id="rId5" Type="http://schemas.openxmlformats.org/officeDocument/2006/relationships/vmlDrawing" Target="../drawings/vmlDrawing6.vml"/><Relationship Id="rId10" Type="http://schemas.microsoft.com/office/2019/04/relationships/documenttask" Target="../documenttasks/documenttask3.xml"/><Relationship Id="rId4" Type="http://schemas.openxmlformats.org/officeDocument/2006/relationships/drawing" Target="../drawings/drawing2.xml"/><Relationship Id="rId9" Type="http://schemas.microsoft.com/office/2017/10/relationships/threadedComment" Target="../threadedComments/threadedComment10.xml"/></Relationships>
</file>

<file path=xl/worksheets/_rels/sheet13.xml.rels><?xml version="1.0" encoding="UTF-8" standalone="yes"?>
<Relationships xmlns="http://schemas.openxmlformats.org/package/2006/relationships"><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9" Type="http://schemas.openxmlformats.org/officeDocument/2006/relationships/table" Target="../tables/table40.xml"/><Relationship Id="rId21" Type="http://schemas.openxmlformats.org/officeDocument/2006/relationships/table" Target="../tables/table22.xml"/><Relationship Id="rId34" Type="http://schemas.openxmlformats.org/officeDocument/2006/relationships/table" Target="../tables/table35.xml"/><Relationship Id="rId42" Type="http://schemas.openxmlformats.org/officeDocument/2006/relationships/table" Target="../tables/table43.xml"/><Relationship Id="rId7" Type="http://schemas.openxmlformats.org/officeDocument/2006/relationships/table" Target="../tables/table8.xml"/><Relationship Id="rId2" Type="http://schemas.openxmlformats.org/officeDocument/2006/relationships/table" Target="../tables/table3.xml"/><Relationship Id="rId16" Type="http://schemas.openxmlformats.org/officeDocument/2006/relationships/table" Target="../tables/table17.xml"/><Relationship Id="rId29" Type="http://schemas.openxmlformats.org/officeDocument/2006/relationships/table" Target="../tables/table30.xml"/><Relationship Id="rId1" Type="http://schemas.openxmlformats.org/officeDocument/2006/relationships/vmlDrawing" Target="../drawings/vmlDrawing7.vml"/><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microsoft.com/office/2017/10/relationships/threadedComment" Target="../threadedComments/threadedComment11.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10" Type="http://schemas.openxmlformats.org/officeDocument/2006/relationships/table" Target="../tables/table11.xml"/><Relationship Id="rId19" Type="http://schemas.openxmlformats.org/officeDocument/2006/relationships/table" Target="../tables/table20.xml"/><Relationship Id="rId31" Type="http://schemas.openxmlformats.org/officeDocument/2006/relationships/table" Target="../tables/table32.xml"/><Relationship Id="rId44" Type="http://schemas.openxmlformats.org/officeDocument/2006/relationships/comments" Target="../comments7.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8" Type="http://schemas.openxmlformats.org/officeDocument/2006/relationships/table" Target="../tables/table9.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20" Type="http://schemas.openxmlformats.org/officeDocument/2006/relationships/table" Target="../tables/table21.xml"/><Relationship Id="rId41" Type="http://schemas.openxmlformats.org/officeDocument/2006/relationships/table" Target="../tables/table4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1D1F3-422F-4A20-9924-39180257EAA1}">
  <sheetPr>
    <tabColor theme="0"/>
  </sheetPr>
  <dimension ref="A2:P77"/>
  <sheetViews>
    <sheetView showGridLines="0" workbookViewId="0">
      <pane ySplit="2" topLeftCell="A27" activePane="bottomLeft" state="frozen"/>
      <selection pane="bottomLeft" activeCell="A36" sqref="A36:XFD36"/>
    </sheetView>
  </sheetViews>
  <sheetFormatPr baseColWidth="10" defaultColWidth="8.83203125" defaultRowHeight="15"/>
  <cols>
    <col min="1" max="1" width="2.5" customWidth="1"/>
    <col min="2" max="2" width="18.33203125" customWidth="1"/>
    <col min="3" max="3" width="12.6640625" customWidth="1"/>
    <col min="4" max="4" width="7.33203125" customWidth="1"/>
    <col min="5" max="5" width="56.83203125" customWidth="1"/>
    <col min="6" max="6" width="14.83203125" customWidth="1"/>
    <col min="7" max="7" width="12.83203125" customWidth="1"/>
    <col min="8" max="8" width="17.33203125" customWidth="1"/>
    <col min="9" max="10" width="13.1640625" customWidth="1"/>
    <col min="11" max="11" width="11.83203125" customWidth="1"/>
    <col min="12" max="12" width="36.5" customWidth="1"/>
    <col min="13" max="13" width="7.1640625" style="3" customWidth="1"/>
  </cols>
  <sheetData>
    <row r="2" spans="1:15" s="943" customFormat="1" ht="66" customHeight="1">
      <c r="B2" s="941" t="s">
        <v>0</v>
      </c>
      <c r="C2" s="941" t="s">
        <v>1</v>
      </c>
      <c r="D2" s="946" t="s">
        <v>2</v>
      </c>
      <c r="E2" s="941" t="s">
        <v>3</v>
      </c>
      <c r="F2" s="941" t="s">
        <v>4</v>
      </c>
      <c r="G2" s="944" t="s">
        <v>5</v>
      </c>
      <c r="H2" s="944" t="s">
        <v>6</v>
      </c>
      <c r="I2" s="944" t="s">
        <v>7</v>
      </c>
      <c r="J2" s="944" t="s">
        <v>8</v>
      </c>
      <c r="K2" s="81" t="s">
        <v>9</v>
      </c>
      <c r="L2" s="944" t="s">
        <v>10</v>
      </c>
      <c r="M2" s="945" t="s">
        <v>11</v>
      </c>
      <c r="N2" s="942"/>
      <c r="O2" s="942"/>
    </row>
    <row r="3" spans="1:15" s="943" customFormat="1" ht="16">
      <c r="A3" s="2"/>
      <c r="B3" s="947" t="s">
        <v>12</v>
      </c>
      <c r="C3" s="947" t="s">
        <v>13</v>
      </c>
      <c r="D3" s="39">
        <v>1</v>
      </c>
      <c r="E3" s="2" t="s">
        <v>14</v>
      </c>
      <c r="F3" s="948" t="s">
        <v>15</v>
      </c>
      <c r="G3" s="949">
        <v>45992</v>
      </c>
      <c r="H3" s="950">
        <f t="shared" ref="H3:H34" ca="1" si="0">+IF(M3="SI","CERRADO",IF(G3="-","NO INICIADO",IF(I3="-","SIN FECHA OBJ.",IF(I3="--","EN PAUSA",TODAY()-G3))))</f>
        <v>115</v>
      </c>
      <c r="I3" s="949">
        <v>46081</v>
      </c>
      <c r="J3" s="950">
        <v>0</v>
      </c>
      <c r="K3" s="950">
        <f t="shared" ref="K3:K34" ca="1" si="1">IF(I3="DEFINIR","DEFINIR",IF(M3="SI","CERRADO",IF(I3="-","-",IF(I3="--","EN PAUSA",I3-TODAY()))))</f>
        <v>-26</v>
      </c>
      <c r="L3" s="951">
        <v>0.5</v>
      </c>
      <c r="M3" s="17" t="s">
        <v>16</v>
      </c>
      <c r="N3" s="2"/>
      <c r="O3" s="2"/>
    </row>
    <row r="4" spans="1:15" s="943" customFormat="1" ht="16">
      <c r="A4" s="2"/>
      <c r="B4" s="947" t="s">
        <v>12</v>
      </c>
      <c r="C4" s="947" t="s">
        <v>13</v>
      </c>
      <c r="D4" s="39">
        <v>1</v>
      </c>
      <c r="E4" s="2" t="s">
        <v>17</v>
      </c>
      <c r="F4" s="948" t="s">
        <v>18</v>
      </c>
      <c r="G4" s="949">
        <v>46023</v>
      </c>
      <c r="H4" s="950">
        <f t="shared" ca="1" si="0"/>
        <v>84</v>
      </c>
      <c r="I4" s="949">
        <v>46202</v>
      </c>
      <c r="J4" s="950">
        <v>0</v>
      </c>
      <c r="K4" s="950">
        <f t="shared" ca="1" si="1"/>
        <v>95</v>
      </c>
      <c r="L4" s="951">
        <v>0.2</v>
      </c>
      <c r="M4" s="17" t="s">
        <v>16</v>
      </c>
      <c r="N4" s="2"/>
      <c r="O4" s="2"/>
    </row>
    <row r="5" spans="1:15" s="943" customFormat="1" ht="16">
      <c r="A5" s="2"/>
      <c r="B5" s="947" t="s">
        <v>12</v>
      </c>
      <c r="C5" s="947" t="s">
        <v>13</v>
      </c>
      <c r="D5" s="39">
        <v>2</v>
      </c>
      <c r="E5" s="2" t="s">
        <v>19</v>
      </c>
      <c r="F5" s="948" t="s">
        <v>15</v>
      </c>
      <c r="G5" s="949">
        <v>45962</v>
      </c>
      <c r="H5" s="950" t="str">
        <f t="shared" ca="1" si="0"/>
        <v>SIN FECHA OBJ.</v>
      </c>
      <c r="I5" s="949" t="s">
        <v>20</v>
      </c>
      <c r="J5" s="950">
        <v>0</v>
      </c>
      <c r="K5" s="950" t="str">
        <f t="shared" ca="1" si="1"/>
        <v>-</v>
      </c>
      <c r="L5" s="951">
        <v>0.4</v>
      </c>
      <c r="M5" s="17" t="s">
        <v>16</v>
      </c>
      <c r="N5" s="2"/>
      <c r="O5" s="2"/>
    </row>
    <row r="6" spans="1:15" s="2" customFormat="1">
      <c r="B6" s="947" t="s">
        <v>12</v>
      </c>
      <c r="C6" s="947" t="s">
        <v>13</v>
      </c>
      <c r="D6" s="39">
        <v>2</v>
      </c>
      <c r="E6" s="2" t="s">
        <v>21</v>
      </c>
      <c r="F6" s="948" t="s">
        <v>15</v>
      </c>
      <c r="G6" s="949">
        <v>46002</v>
      </c>
      <c r="H6" s="950" t="str">
        <f t="shared" ca="1" si="0"/>
        <v>SIN FECHA OBJ.</v>
      </c>
      <c r="I6" s="949" t="s">
        <v>20</v>
      </c>
      <c r="J6" s="950">
        <v>0</v>
      </c>
      <c r="K6" s="950" t="str">
        <f t="shared" ca="1" si="1"/>
        <v>-</v>
      </c>
      <c r="L6" s="951">
        <v>0.5</v>
      </c>
      <c r="M6" s="17" t="s">
        <v>16</v>
      </c>
    </row>
    <row r="7" spans="1:15" s="2" customFormat="1">
      <c r="B7" s="947" t="s">
        <v>12</v>
      </c>
      <c r="C7" s="947" t="s">
        <v>13</v>
      </c>
      <c r="D7" s="39">
        <v>3</v>
      </c>
      <c r="E7" s="2" t="s">
        <v>22</v>
      </c>
      <c r="F7" s="948" t="s">
        <v>15</v>
      </c>
      <c r="G7" s="949">
        <v>46002</v>
      </c>
      <c r="H7" s="950" t="str">
        <f t="shared" ca="1" si="0"/>
        <v>SIN FECHA OBJ.</v>
      </c>
      <c r="I7" s="949" t="s">
        <v>20</v>
      </c>
      <c r="J7" s="950">
        <v>0</v>
      </c>
      <c r="K7" s="950" t="str">
        <f t="shared" ca="1" si="1"/>
        <v>-</v>
      </c>
      <c r="L7" s="951">
        <v>0.2</v>
      </c>
      <c r="M7" s="17" t="s">
        <v>16</v>
      </c>
    </row>
    <row r="8" spans="1:15" s="2" customFormat="1">
      <c r="B8" s="1070" t="s">
        <v>12</v>
      </c>
      <c r="C8" s="1070" t="s">
        <v>13</v>
      </c>
      <c r="D8" s="1071" t="s">
        <v>20</v>
      </c>
      <c r="E8" s="1072" t="s">
        <v>23</v>
      </c>
      <c r="F8" s="1073" t="s">
        <v>15</v>
      </c>
      <c r="G8" s="1074">
        <v>45962</v>
      </c>
      <c r="H8" s="1075" t="str">
        <f t="shared" ca="1" si="0"/>
        <v>CERRADO</v>
      </c>
      <c r="I8" s="1074">
        <v>46041</v>
      </c>
      <c r="J8" s="1076">
        <v>1</v>
      </c>
      <c r="K8" s="1076" t="str">
        <f t="shared" ca="1" si="1"/>
        <v>CERRADO</v>
      </c>
      <c r="L8" s="1077">
        <v>0.9</v>
      </c>
      <c r="M8" s="1078" t="s">
        <v>24</v>
      </c>
    </row>
    <row r="9" spans="1:15" s="2" customFormat="1">
      <c r="B9" s="1079" t="s">
        <v>12</v>
      </c>
      <c r="C9" s="1079" t="s">
        <v>13</v>
      </c>
      <c r="D9" s="1080" t="s">
        <v>20</v>
      </c>
      <c r="E9" s="1081" t="s">
        <v>25</v>
      </c>
      <c r="F9" s="1082" t="s">
        <v>15</v>
      </c>
      <c r="G9" s="1083">
        <v>46002</v>
      </c>
      <c r="H9" s="1087" t="str">
        <f t="shared" ca="1" si="0"/>
        <v>CERRADO</v>
      </c>
      <c r="I9" s="1083">
        <v>46037</v>
      </c>
      <c r="J9" s="1084">
        <v>1</v>
      </c>
      <c r="K9" s="1084" t="str">
        <f t="shared" ca="1" si="1"/>
        <v>CERRADO</v>
      </c>
      <c r="L9" s="1085">
        <v>1</v>
      </c>
      <c r="M9" s="1086" t="s">
        <v>24</v>
      </c>
    </row>
    <row r="10" spans="1:15" s="2" customFormat="1">
      <c r="B10" s="947" t="s">
        <v>26</v>
      </c>
      <c r="C10" s="947" t="s">
        <v>27</v>
      </c>
      <c r="D10" s="39">
        <v>1</v>
      </c>
      <c r="E10" s="2" t="s">
        <v>28</v>
      </c>
      <c r="F10" s="948" t="s">
        <v>18</v>
      </c>
      <c r="G10" s="949">
        <v>45976</v>
      </c>
      <c r="H10" s="950" t="str">
        <f t="shared" ca="1" si="0"/>
        <v>SIN FECHA OBJ.</v>
      </c>
      <c r="I10" s="949" t="s">
        <v>20</v>
      </c>
      <c r="J10" s="950">
        <v>0</v>
      </c>
      <c r="K10" s="950" t="str">
        <f t="shared" ca="1" si="1"/>
        <v>-</v>
      </c>
      <c r="L10" s="951">
        <v>0.6</v>
      </c>
      <c r="M10" s="17" t="s">
        <v>16</v>
      </c>
    </row>
    <row r="11" spans="1:15" s="2" customFormat="1">
      <c r="B11" s="947" t="s">
        <v>26</v>
      </c>
      <c r="C11" s="947" t="s">
        <v>27</v>
      </c>
      <c r="D11" s="39">
        <v>1</v>
      </c>
      <c r="E11" s="2" t="s">
        <v>29</v>
      </c>
      <c r="F11" s="948" t="s">
        <v>18</v>
      </c>
      <c r="G11" s="949">
        <v>46037</v>
      </c>
      <c r="H11" s="950" t="str">
        <f t="shared" ca="1" si="0"/>
        <v>SIN FECHA OBJ.</v>
      </c>
      <c r="I11" s="949" t="s">
        <v>20</v>
      </c>
      <c r="J11" s="950">
        <v>0</v>
      </c>
      <c r="K11" s="950" t="str">
        <f t="shared" ca="1" si="1"/>
        <v>-</v>
      </c>
      <c r="L11" s="951">
        <v>0.5</v>
      </c>
      <c r="M11" s="17" t="s">
        <v>16</v>
      </c>
    </row>
    <row r="12" spans="1:15" s="2" customFormat="1">
      <c r="B12" s="947" t="s">
        <v>26</v>
      </c>
      <c r="C12" s="947" t="s">
        <v>27</v>
      </c>
      <c r="D12" s="39">
        <v>1</v>
      </c>
      <c r="E12" s="2" t="s">
        <v>30</v>
      </c>
      <c r="F12" s="948" t="s">
        <v>18</v>
      </c>
      <c r="G12" s="949">
        <v>46001</v>
      </c>
      <c r="H12" s="950" t="str">
        <f t="shared" ca="1" si="0"/>
        <v>SIN FECHA OBJ.</v>
      </c>
      <c r="I12" s="949" t="s">
        <v>20</v>
      </c>
      <c r="J12" s="950">
        <v>0</v>
      </c>
      <c r="K12" s="950" t="str">
        <f t="shared" ca="1" si="1"/>
        <v>-</v>
      </c>
      <c r="L12" s="951">
        <v>0</v>
      </c>
      <c r="M12" s="17" t="s">
        <v>16</v>
      </c>
    </row>
    <row r="13" spans="1:15" s="2" customFormat="1">
      <c r="B13" s="947" t="s">
        <v>26</v>
      </c>
      <c r="C13" s="947" t="s">
        <v>27</v>
      </c>
      <c r="D13" s="39">
        <v>1</v>
      </c>
      <c r="E13" s="2" t="s">
        <v>31</v>
      </c>
      <c r="F13" s="948" t="s">
        <v>15</v>
      </c>
      <c r="G13" s="949">
        <v>46001</v>
      </c>
      <c r="H13" s="950" t="str">
        <f t="shared" ca="1" si="0"/>
        <v>SIN FECHA OBJ.</v>
      </c>
      <c r="I13" s="949" t="s">
        <v>20</v>
      </c>
      <c r="J13" s="950">
        <v>0</v>
      </c>
      <c r="K13" s="950" t="str">
        <f t="shared" ca="1" si="1"/>
        <v>-</v>
      </c>
      <c r="L13" s="951">
        <v>0</v>
      </c>
      <c r="M13" s="17" t="s">
        <v>16</v>
      </c>
    </row>
    <row r="14" spans="1:15" s="2" customFormat="1">
      <c r="B14" s="947" t="s">
        <v>26</v>
      </c>
      <c r="C14" s="947" t="s">
        <v>27</v>
      </c>
      <c r="D14" s="39">
        <v>2</v>
      </c>
      <c r="E14" s="2" t="s">
        <v>32</v>
      </c>
      <c r="F14" s="948" t="s">
        <v>15</v>
      </c>
      <c r="G14" s="949">
        <v>46054</v>
      </c>
      <c r="H14" s="950">
        <f t="shared" ca="1" si="0"/>
        <v>53</v>
      </c>
      <c r="I14" s="959">
        <v>46142</v>
      </c>
      <c r="J14" s="950">
        <v>0</v>
      </c>
      <c r="K14" s="950">
        <f t="shared" ca="1" si="1"/>
        <v>35</v>
      </c>
      <c r="L14" s="951">
        <v>0.3</v>
      </c>
      <c r="M14" s="17" t="s">
        <v>16</v>
      </c>
    </row>
    <row r="15" spans="1:15" s="2" customFormat="1">
      <c r="B15" s="1175" t="s">
        <v>26</v>
      </c>
      <c r="C15" s="1175" t="s">
        <v>27</v>
      </c>
      <c r="D15" s="1173" t="s">
        <v>33</v>
      </c>
      <c r="E15" s="1176" t="s">
        <v>34</v>
      </c>
      <c r="F15" s="1177" t="s">
        <v>15</v>
      </c>
      <c r="G15" s="1178">
        <v>45962</v>
      </c>
      <c r="H15" s="1179" t="str">
        <f t="shared" ca="1" si="0"/>
        <v>EN PAUSA</v>
      </c>
      <c r="I15" s="1182" t="s">
        <v>35</v>
      </c>
      <c r="J15" s="1179">
        <v>0</v>
      </c>
      <c r="K15" s="1179" t="str">
        <f t="shared" ca="1" si="1"/>
        <v>EN PAUSA</v>
      </c>
      <c r="L15" s="1180">
        <v>0</v>
      </c>
      <c r="M15" s="1181" t="s">
        <v>16</v>
      </c>
    </row>
    <row r="16" spans="1:15" s="2" customFormat="1">
      <c r="B16" s="1175" t="s">
        <v>26</v>
      </c>
      <c r="C16" s="1175" t="s">
        <v>27</v>
      </c>
      <c r="D16" s="1173" t="s">
        <v>33</v>
      </c>
      <c r="E16" s="1176" t="s">
        <v>36</v>
      </c>
      <c r="F16" s="1177" t="s">
        <v>15</v>
      </c>
      <c r="G16" s="1178">
        <v>45962</v>
      </c>
      <c r="H16" s="1179" t="str">
        <f t="shared" ca="1" si="0"/>
        <v>EN PAUSA</v>
      </c>
      <c r="I16" s="1182" t="s">
        <v>35</v>
      </c>
      <c r="J16" s="1179">
        <v>0</v>
      </c>
      <c r="K16" s="1179" t="str">
        <f t="shared" ca="1" si="1"/>
        <v>EN PAUSA</v>
      </c>
      <c r="L16" s="1180">
        <v>0</v>
      </c>
      <c r="M16" s="1181" t="s">
        <v>16</v>
      </c>
    </row>
    <row r="17" spans="2:13" s="2" customFormat="1">
      <c r="B17" s="1070" t="s">
        <v>26</v>
      </c>
      <c r="C17" s="1070" t="s">
        <v>27</v>
      </c>
      <c r="D17" s="1071" t="s">
        <v>20</v>
      </c>
      <c r="E17" s="1072" t="s">
        <v>37</v>
      </c>
      <c r="F17" s="1073" t="s">
        <v>15</v>
      </c>
      <c r="G17" s="1074">
        <v>45931</v>
      </c>
      <c r="H17" s="1075" t="str">
        <f t="shared" ca="1" si="0"/>
        <v>CERRADO</v>
      </c>
      <c r="I17" s="1174" t="s">
        <v>20</v>
      </c>
      <c r="J17" s="1076">
        <v>0</v>
      </c>
      <c r="K17" s="1076" t="str">
        <f t="shared" ca="1" si="1"/>
        <v>CERRADO</v>
      </c>
      <c r="L17" s="1077">
        <v>0.5</v>
      </c>
      <c r="M17" s="1078" t="s">
        <v>24</v>
      </c>
    </row>
    <row r="18" spans="2:13" s="2" customFormat="1">
      <c r="B18" s="1079" t="s">
        <v>26</v>
      </c>
      <c r="C18" s="1079" t="s">
        <v>27</v>
      </c>
      <c r="D18" s="1080" t="s">
        <v>20</v>
      </c>
      <c r="E18" s="1081" t="s">
        <v>38</v>
      </c>
      <c r="F18" s="1082" t="s">
        <v>18</v>
      </c>
      <c r="G18" s="1083">
        <v>45962</v>
      </c>
      <c r="H18" s="1087" t="str">
        <f t="shared" ca="1" si="0"/>
        <v>CERRADO</v>
      </c>
      <c r="I18" s="1083" t="s">
        <v>20</v>
      </c>
      <c r="J18" s="1084">
        <v>0</v>
      </c>
      <c r="K18" s="1084" t="str">
        <f t="shared" ca="1" si="1"/>
        <v>CERRADO</v>
      </c>
      <c r="L18" s="1085">
        <v>1</v>
      </c>
      <c r="M18" s="1086" t="s">
        <v>24</v>
      </c>
    </row>
    <row r="19" spans="2:13" s="2" customFormat="1">
      <c r="B19" s="947" t="s">
        <v>39</v>
      </c>
      <c r="C19" s="947" t="s">
        <v>40</v>
      </c>
      <c r="D19" s="39">
        <v>1</v>
      </c>
      <c r="E19" s="2" t="s">
        <v>41</v>
      </c>
      <c r="F19" s="948" t="s">
        <v>15</v>
      </c>
      <c r="G19" s="949">
        <v>45931</v>
      </c>
      <c r="H19" s="950">
        <f t="shared" ca="1" si="0"/>
        <v>176</v>
      </c>
      <c r="I19" s="949">
        <v>46022</v>
      </c>
      <c r="J19" s="950">
        <v>0</v>
      </c>
      <c r="K19" s="950">
        <f t="shared" ca="1" si="1"/>
        <v>-85</v>
      </c>
      <c r="L19" s="951">
        <v>0.7</v>
      </c>
      <c r="M19" s="17" t="s">
        <v>16</v>
      </c>
    </row>
    <row r="20" spans="2:13" s="2" customFormat="1">
      <c r="B20" s="947" t="s">
        <v>39</v>
      </c>
      <c r="C20" s="947" t="s">
        <v>40</v>
      </c>
      <c r="D20" s="39">
        <v>1</v>
      </c>
      <c r="E20" s="2" t="s">
        <v>42</v>
      </c>
      <c r="F20" s="948" t="s">
        <v>15</v>
      </c>
      <c r="G20" s="949">
        <v>45931</v>
      </c>
      <c r="H20" s="950" t="str">
        <f t="shared" ca="1" si="0"/>
        <v>SIN FECHA OBJ.</v>
      </c>
      <c r="I20" s="949" t="s">
        <v>20</v>
      </c>
      <c r="J20" s="950">
        <v>0</v>
      </c>
      <c r="K20" s="950" t="str">
        <f t="shared" ca="1" si="1"/>
        <v>-</v>
      </c>
      <c r="L20" s="951">
        <v>0</v>
      </c>
      <c r="M20" s="17" t="s">
        <v>16</v>
      </c>
    </row>
    <row r="21" spans="2:13" s="2" customFormat="1">
      <c r="B21" s="1070" t="s">
        <v>39</v>
      </c>
      <c r="C21" s="1070" t="s">
        <v>40</v>
      </c>
      <c r="D21" s="1071" t="s">
        <v>20</v>
      </c>
      <c r="E21" s="1072" t="s">
        <v>43</v>
      </c>
      <c r="F21" s="1073" t="s">
        <v>18</v>
      </c>
      <c r="G21" s="1074">
        <v>45962</v>
      </c>
      <c r="H21" s="1075" t="str">
        <f t="shared" ca="1" si="0"/>
        <v>CERRADO</v>
      </c>
      <c r="I21" s="1074">
        <v>46011</v>
      </c>
      <c r="J21" s="1076">
        <v>0</v>
      </c>
      <c r="K21" s="1076" t="str">
        <f t="shared" ca="1" si="1"/>
        <v>CERRADO</v>
      </c>
      <c r="L21" s="1077">
        <v>1</v>
      </c>
      <c r="M21" s="1078" t="s">
        <v>24</v>
      </c>
    </row>
    <row r="22" spans="2:13" s="2" customFormat="1">
      <c r="B22" s="1070" t="s">
        <v>39</v>
      </c>
      <c r="C22" s="1070" t="s">
        <v>40</v>
      </c>
      <c r="D22" s="1071" t="s">
        <v>20</v>
      </c>
      <c r="E22" s="1072" t="s">
        <v>44</v>
      </c>
      <c r="F22" s="1073" t="s">
        <v>15</v>
      </c>
      <c r="G22" s="1074">
        <v>45962</v>
      </c>
      <c r="H22" s="1075" t="str">
        <f t="shared" ca="1" si="0"/>
        <v>CERRADO</v>
      </c>
      <c r="I22" s="1074">
        <v>46022</v>
      </c>
      <c r="J22" s="1076">
        <v>0</v>
      </c>
      <c r="K22" s="1076" t="str">
        <f t="shared" ca="1" si="1"/>
        <v>CERRADO</v>
      </c>
      <c r="L22" s="1077">
        <v>1</v>
      </c>
      <c r="M22" s="1078" t="s">
        <v>24</v>
      </c>
    </row>
    <row r="23" spans="2:13" s="2" customFormat="1">
      <c r="B23" s="1079" t="s">
        <v>39</v>
      </c>
      <c r="C23" s="1079" t="s">
        <v>40</v>
      </c>
      <c r="D23" s="1080" t="s">
        <v>20</v>
      </c>
      <c r="E23" s="1081" t="s">
        <v>45</v>
      </c>
      <c r="F23" s="1082" t="s">
        <v>15</v>
      </c>
      <c r="G23" s="1083">
        <v>45962</v>
      </c>
      <c r="H23" s="1087" t="str">
        <f t="shared" ca="1" si="0"/>
        <v>CERRADO</v>
      </c>
      <c r="I23" s="1083">
        <v>46011</v>
      </c>
      <c r="J23" s="1084">
        <v>0</v>
      </c>
      <c r="K23" s="1084" t="str">
        <f t="shared" ca="1" si="1"/>
        <v>CERRADO</v>
      </c>
      <c r="L23" s="1085">
        <v>1</v>
      </c>
      <c r="M23" s="1086" t="s">
        <v>24</v>
      </c>
    </row>
    <row r="24" spans="2:13" s="2" customFormat="1">
      <c r="B24" s="947" t="s">
        <v>46</v>
      </c>
      <c r="C24" s="947" t="s">
        <v>47</v>
      </c>
      <c r="D24" s="39">
        <v>1</v>
      </c>
      <c r="E24" s="2" t="s">
        <v>48</v>
      </c>
      <c r="F24" s="948" t="s">
        <v>15</v>
      </c>
      <c r="G24" s="949">
        <v>45931</v>
      </c>
      <c r="H24" s="950">
        <f t="shared" ca="1" si="0"/>
        <v>176</v>
      </c>
      <c r="I24" s="949">
        <v>46081</v>
      </c>
      <c r="J24" s="950">
        <v>1</v>
      </c>
      <c r="K24" s="950">
        <f t="shared" ca="1" si="1"/>
        <v>-26</v>
      </c>
      <c r="L24" s="951">
        <v>0.2</v>
      </c>
      <c r="M24" s="17" t="s">
        <v>16</v>
      </c>
    </row>
    <row r="25" spans="2:13" s="2" customFormat="1">
      <c r="B25" s="947" t="s">
        <v>46</v>
      </c>
      <c r="C25" s="947" t="s">
        <v>47</v>
      </c>
      <c r="D25" s="39">
        <v>2</v>
      </c>
      <c r="E25" s="2" t="s">
        <v>49</v>
      </c>
      <c r="F25" s="948" t="s">
        <v>18</v>
      </c>
      <c r="G25" s="949">
        <v>45962</v>
      </c>
      <c r="H25" s="950">
        <f t="shared" ca="1" si="0"/>
        <v>145</v>
      </c>
      <c r="I25" s="949">
        <v>46052</v>
      </c>
      <c r="J25" s="950">
        <v>1</v>
      </c>
      <c r="K25" s="950">
        <f t="shared" ca="1" si="1"/>
        <v>-55</v>
      </c>
      <c r="L25" s="951">
        <v>0.9</v>
      </c>
      <c r="M25" s="17" t="s">
        <v>16</v>
      </c>
    </row>
    <row r="26" spans="2:13" s="2" customFormat="1">
      <c r="B26" s="947" t="s">
        <v>46</v>
      </c>
      <c r="C26" s="947" t="s">
        <v>47</v>
      </c>
      <c r="D26" s="39">
        <v>3</v>
      </c>
      <c r="E26" s="2" t="s">
        <v>50</v>
      </c>
      <c r="F26" s="948" t="s">
        <v>15</v>
      </c>
      <c r="G26" s="949">
        <v>46052</v>
      </c>
      <c r="H26" s="950" t="str">
        <f t="shared" ca="1" si="0"/>
        <v>SIN FECHA OBJ.</v>
      </c>
      <c r="I26" s="949" t="s">
        <v>20</v>
      </c>
      <c r="J26" s="950">
        <v>0</v>
      </c>
      <c r="K26" s="950" t="str">
        <f t="shared" ca="1" si="1"/>
        <v>-</v>
      </c>
      <c r="L26" s="951">
        <v>0.2</v>
      </c>
      <c r="M26" s="17" t="s">
        <v>16</v>
      </c>
    </row>
    <row r="27" spans="2:13" s="2" customFormat="1">
      <c r="B27" s="947" t="s">
        <v>46</v>
      </c>
      <c r="C27" s="947" t="s">
        <v>47</v>
      </c>
      <c r="D27" s="39">
        <v>3</v>
      </c>
      <c r="E27" s="2" t="s">
        <v>51</v>
      </c>
      <c r="F27" s="948" t="s">
        <v>15</v>
      </c>
      <c r="G27" s="949">
        <v>46077</v>
      </c>
      <c r="H27" s="950" t="str">
        <f t="shared" ca="1" si="0"/>
        <v>SIN FECHA OBJ.</v>
      </c>
      <c r="I27" s="949" t="s">
        <v>20</v>
      </c>
      <c r="J27" s="950">
        <v>0</v>
      </c>
      <c r="K27" s="950" t="str">
        <f t="shared" ca="1" si="1"/>
        <v>-</v>
      </c>
      <c r="L27" s="951">
        <v>0</v>
      </c>
      <c r="M27" s="17" t="s">
        <v>16</v>
      </c>
    </row>
    <row r="28" spans="2:13" s="2" customFormat="1">
      <c r="B28" s="947" t="s">
        <v>46</v>
      </c>
      <c r="C28" s="947" t="s">
        <v>47</v>
      </c>
      <c r="D28" s="39">
        <v>3</v>
      </c>
      <c r="E28" s="2" t="s">
        <v>52</v>
      </c>
      <c r="F28" s="948" t="s">
        <v>15</v>
      </c>
      <c r="G28" s="949">
        <v>45962</v>
      </c>
      <c r="H28" s="958">
        <f t="shared" ca="1" si="0"/>
        <v>145</v>
      </c>
      <c r="I28" s="949">
        <v>46053</v>
      </c>
      <c r="J28" s="950">
        <v>0</v>
      </c>
      <c r="K28" s="950">
        <f t="shared" ca="1" si="1"/>
        <v>-54</v>
      </c>
      <c r="L28" s="951">
        <v>0.99</v>
      </c>
      <c r="M28" s="17" t="s">
        <v>16</v>
      </c>
    </row>
    <row r="29" spans="2:13" s="2" customFormat="1">
      <c r="B29" s="1070" t="s">
        <v>46</v>
      </c>
      <c r="C29" s="1070" t="s">
        <v>47</v>
      </c>
      <c r="D29" s="1071" t="s">
        <v>20</v>
      </c>
      <c r="E29" s="1072" t="s">
        <v>53</v>
      </c>
      <c r="F29" s="1073" t="s">
        <v>15</v>
      </c>
      <c r="G29" s="1074">
        <v>45931</v>
      </c>
      <c r="H29" s="1075" t="str">
        <f t="shared" ca="1" si="0"/>
        <v>CERRADO</v>
      </c>
      <c r="I29" s="1074">
        <v>45976</v>
      </c>
      <c r="J29" s="1076">
        <v>0</v>
      </c>
      <c r="K29" s="1076" t="str">
        <f t="shared" ca="1" si="1"/>
        <v>CERRADO</v>
      </c>
      <c r="L29" s="1077">
        <v>1</v>
      </c>
      <c r="M29" s="1078" t="s">
        <v>24</v>
      </c>
    </row>
    <row r="30" spans="2:13" s="2" customFormat="1">
      <c r="B30" s="1070" t="s">
        <v>46</v>
      </c>
      <c r="C30" s="1070" t="s">
        <v>47</v>
      </c>
      <c r="D30" s="1071" t="s">
        <v>20</v>
      </c>
      <c r="E30" s="1072" t="s">
        <v>54</v>
      </c>
      <c r="F30" s="1073" t="s">
        <v>18</v>
      </c>
      <c r="G30" s="1074">
        <v>45931</v>
      </c>
      <c r="H30" s="1075" t="str">
        <f t="shared" ca="1" si="0"/>
        <v>CERRADO</v>
      </c>
      <c r="I30" s="1074">
        <v>45992</v>
      </c>
      <c r="J30" s="1076">
        <v>0</v>
      </c>
      <c r="K30" s="1076" t="str">
        <f t="shared" ca="1" si="1"/>
        <v>CERRADO</v>
      </c>
      <c r="L30" s="1077">
        <v>1</v>
      </c>
      <c r="M30" s="1078" t="s">
        <v>24</v>
      </c>
    </row>
    <row r="31" spans="2:13" s="2" customFormat="1">
      <c r="B31" s="1079" t="s">
        <v>46</v>
      </c>
      <c r="C31" s="1079" t="s">
        <v>47</v>
      </c>
      <c r="D31" s="1080" t="s">
        <v>20</v>
      </c>
      <c r="E31" s="1081" t="s">
        <v>55</v>
      </c>
      <c r="F31" s="1082" t="s">
        <v>18</v>
      </c>
      <c r="G31" s="1083">
        <v>45981</v>
      </c>
      <c r="H31" s="1087" t="str">
        <f t="shared" ca="1" si="0"/>
        <v>CERRADO</v>
      </c>
      <c r="I31" s="1083">
        <v>45991</v>
      </c>
      <c r="J31" s="1084">
        <v>0</v>
      </c>
      <c r="K31" s="1084" t="str">
        <f t="shared" ca="1" si="1"/>
        <v>CERRADO</v>
      </c>
      <c r="L31" s="1085">
        <v>1</v>
      </c>
      <c r="M31" s="1086" t="s">
        <v>24</v>
      </c>
    </row>
    <row r="32" spans="2:13" s="2" customFormat="1">
      <c r="B32" s="947" t="s">
        <v>56</v>
      </c>
      <c r="C32" s="947" t="s">
        <v>57</v>
      </c>
      <c r="D32" s="39">
        <v>1</v>
      </c>
      <c r="E32" s="2" t="s">
        <v>58</v>
      </c>
      <c r="F32" s="948" t="s">
        <v>15</v>
      </c>
      <c r="G32" s="949">
        <v>45931</v>
      </c>
      <c r="H32" s="950">
        <f t="shared" ca="1" si="0"/>
        <v>176</v>
      </c>
      <c r="I32" s="949">
        <v>46081</v>
      </c>
      <c r="J32" s="950">
        <v>1</v>
      </c>
      <c r="K32" s="950">
        <f t="shared" ca="1" si="1"/>
        <v>-26</v>
      </c>
      <c r="L32" s="951">
        <v>0.7</v>
      </c>
      <c r="M32" s="17" t="s">
        <v>16</v>
      </c>
    </row>
    <row r="33" spans="2:16" s="2" customFormat="1">
      <c r="B33" s="947" t="s">
        <v>56</v>
      </c>
      <c r="C33" s="947" t="s">
        <v>57</v>
      </c>
      <c r="D33" s="39">
        <v>1</v>
      </c>
      <c r="E33" s="2" t="s">
        <v>59</v>
      </c>
      <c r="F33" s="948" t="s">
        <v>15</v>
      </c>
      <c r="G33" s="949">
        <v>45931</v>
      </c>
      <c r="H33" s="950">
        <f t="shared" ca="1" si="0"/>
        <v>176</v>
      </c>
      <c r="I33" s="949">
        <v>46118</v>
      </c>
      <c r="J33" s="950">
        <v>1</v>
      </c>
      <c r="K33" s="950">
        <f t="shared" ca="1" si="1"/>
        <v>11</v>
      </c>
      <c r="L33" s="951">
        <v>0.98</v>
      </c>
      <c r="M33" s="17" t="s">
        <v>16</v>
      </c>
    </row>
    <row r="34" spans="2:16" s="2" customFormat="1">
      <c r="B34" s="947" t="s">
        <v>56</v>
      </c>
      <c r="C34" s="947" t="s">
        <v>57</v>
      </c>
      <c r="D34" s="39">
        <v>1</v>
      </c>
      <c r="E34" s="2" t="s">
        <v>60</v>
      </c>
      <c r="F34" s="948" t="s">
        <v>15</v>
      </c>
      <c r="G34" s="949">
        <v>45931</v>
      </c>
      <c r="H34" s="950">
        <f t="shared" ca="1" si="0"/>
        <v>176</v>
      </c>
      <c r="I34" s="959">
        <v>46111</v>
      </c>
      <c r="J34" s="950">
        <v>0</v>
      </c>
      <c r="K34" s="950">
        <f t="shared" ca="1" si="1"/>
        <v>4</v>
      </c>
      <c r="L34" s="951">
        <v>0.5</v>
      </c>
      <c r="M34" s="17" t="s">
        <v>16</v>
      </c>
    </row>
    <row r="35" spans="2:16" s="2" customFormat="1">
      <c r="B35" s="947" t="s">
        <v>56</v>
      </c>
      <c r="C35" s="947" t="s">
        <v>57</v>
      </c>
      <c r="D35" s="39">
        <v>1</v>
      </c>
      <c r="E35" s="2" t="s">
        <v>61</v>
      </c>
      <c r="F35" s="948" t="s">
        <v>15</v>
      </c>
      <c r="G35" s="949">
        <v>46002</v>
      </c>
      <c r="H35" s="950">
        <f t="shared" ref="H35:H66" ca="1" si="2">+IF(M35="SI","CERRADO",IF(G35="-","NO INICIADO",IF(I35="-","SIN FECHA OBJ.",IF(I35="--","EN PAUSA",TODAY()-G35))))</f>
        <v>105</v>
      </c>
      <c r="I35" s="959">
        <v>46111</v>
      </c>
      <c r="J35" s="950">
        <v>0</v>
      </c>
      <c r="K35" s="950">
        <f t="shared" ref="K35:K66" ca="1" si="3">IF(I35="DEFINIR","DEFINIR",IF(M35="SI","CERRADO",IF(I35="-","-",IF(I35="--","EN PAUSA",I35-TODAY()))))</f>
        <v>4</v>
      </c>
      <c r="L35" s="951">
        <v>0.2</v>
      </c>
      <c r="M35" s="17" t="s">
        <v>16</v>
      </c>
    </row>
    <row r="36" spans="2:16" s="2" customFormat="1">
      <c r="B36" s="947" t="s">
        <v>56</v>
      </c>
      <c r="C36" s="947" t="s">
        <v>57</v>
      </c>
      <c r="D36" s="39">
        <v>1</v>
      </c>
      <c r="E36" s="2" t="s">
        <v>62</v>
      </c>
      <c r="F36" s="948" t="s">
        <v>15</v>
      </c>
      <c r="G36" s="949">
        <v>46106</v>
      </c>
      <c r="H36" s="950" t="str">
        <f t="shared" ca="1" si="2"/>
        <v>SIN FECHA OBJ.</v>
      </c>
      <c r="I36" s="959" t="s">
        <v>20</v>
      </c>
      <c r="J36" s="950">
        <v>0</v>
      </c>
      <c r="K36" s="950" t="str">
        <f t="shared" ca="1" si="3"/>
        <v>-</v>
      </c>
      <c r="L36" s="951">
        <v>0</v>
      </c>
      <c r="M36" s="17" t="s">
        <v>16</v>
      </c>
    </row>
    <row r="37" spans="2:16" s="2" customFormat="1" ht="14.25" customHeight="1">
      <c r="B37" s="947" t="s">
        <v>56</v>
      </c>
      <c r="C37" s="947" t="s">
        <v>57</v>
      </c>
      <c r="D37" s="39">
        <v>2</v>
      </c>
      <c r="E37" s="2" t="s">
        <v>63</v>
      </c>
      <c r="F37" s="948" t="s">
        <v>18</v>
      </c>
      <c r="G37" s="949">
        <v>46054</v>
      </c>
      <c r="H37" s="950" t="str">
        <f t="shared" ca="1" si="2"/>
        <v>SIN FECHA OBJ.</v>
      </c>
      <c r="I37" s="949" t="s">
        <v>20</v>
      </c>
      <c r="J37" s="950">
        <v>0</v>
      </c>
      <c r="K37" s="950" t="str">
        <f t="shared" ca="1" si="3"/>
        <v>-</v>
      </c>
      <c r="L37" s="951">
        <v>0</v>
      </c>
      <c r="M37" s="17" t="s">
        <v>16</v>
      </c>
    </row>
    <row r="38" spans="2:16" s="2" customFormat="1">
      <c r="B38" s="947" t="s">
        <v>56</v>
      </c>
      <c r="C38" s="947" t="s">
        <v>57</v>
      </c>
      <c r="D38" s="39">
        <v>2</v>
      </c>
      <c r="E38" s="2" t="s">
        <v>64</v>
      </c>
      <c r="F38" s="948" t="s">
        <v>15</v>
      </c>
      <c r="G38" s="949">
        <v>45931</v>
      </c>
      <c r="H38" s="950">
        <f t="shared" ca="1" si="2"/>
        <v>176</v>
      </c>
      <c r="I38" s="949">
        <v>46081</v>
      </c>
      <c r="J38" s="950">
        <v>1</v>
      </c>
      <c r="K38" s="950">
        <f t="shared" ca="1" si="3"/>
        <v>-26</v>
      </c>
      <c r="L38" s="951">
        <v>0.8</v>
      </c>
      <c r="M38" s="17" t="s">
        <v>16</v>
      </c>
      <c r="P38" s="947"/>
    </row>
    <row r="39" spans="2:16" s="2" customFormat="1">
      <c r="B39" s="947" t="s">
        <v>56</v>
      </c>
      <c r="C39" s="947" t="s">
        <v>57</v>
      </c>
      <c r="D39" s="39">
        <v>2</v>
      </c>
      <c r="E39" s="2" t="s">
        <v>65</v>
      </c>
      <c r="F39" s="948" t="s">
        <v>15</v>
      </c>
      <c r="G39" s="949">
        <v>45962</v>
      </c>
      <c r="H39" s="950">
        <f t="shared" ca="1" si="2"/>
        <v>145</v>
      </c>
      <c r="I39" s="949">
        <v>46081</v>
      </c>
      <c r="J39" s="950">
        <v>0</v>
      </c>
      <c r="K39" s="950">
        <f t="shared" ca="1" si="3"/>
        <v>-26</v>
      </c>
      <c r="L39" s="951">
        <v>0.5</v>
      </c>
      <c r="M39" s="17" t="s">
        <v>16</v>
      </c>
      <c r="P39" s="947"/>
    </row>
    <row r="40" spans="2:16" s="2" customFormat="1">
      <c r="B40" s="947" t="s">
        <v>56</v>
      </c>
      <c r="C40" s="947" t="s">
        <v>57</v>
      </c>
      <c r="D40" s="39">
        <v>2</v>
      </c>
      <c r="E40" s="2" t="s">
        <v>66</v>
      </c>
      <c r="F40" s="948" t="s">
        <v>15</v>
      </c>
      <c r="G40" s="949">
        <v>46058</v>
      </c>
      <c r="H40" s="950" t="str">
        <f t="shared" ca="1" si="2"/>
        <v>SIN FECHA OBJ.</v>
      </c>
      <c r="I40" s="949" t="s">
        <v>20</v>
      </c>
      <c r="J40" s="950">
        <v>0</v>
      </c>
      <c r="K40" s="950" t="str">
        <f t="shared" ca="1" si="3"/>
        <v>-</v>
      </c>
      <c r="L40" s="951">
        <v>0.7</v>
      </c>
      <c r="M40" s="17" t="s">
        <v>16</v>
      </c>
    </row>
    <row r="41" spans="2:16" s="2" customFormat="1">
      <c r="B41" s="947" t="s">
        <v>56</v>
      </c>
      <c r="C41" s="947" t="s">
        <v>57</v>
      </c>
      <c r="D41" s="39">
        <v>2</v>
      </c>
      <c r="E41" s="2" t="s">
        <v>67</v>
      </c>
      <c r="F41" s="948" t="s">
        <v>18</v>
      </c>
      <c r="G41" s="949">
        <v>45962</v>
      </c>
      <c r="H41" s="950">
        <f t="shared" ca="1" si="2"/>
        <v>145</v>
      </c>
      <c r="I41" s="949">
        <v>46081</v>
      </c>
      <c r="J41" s="950">
        <v>0</v>
      </c>
      <c r="K41" s="950">
        <f t="shared" ca="1" si="3"/>
        <v>-26</v>
      </c>
      <c r="L41" s="951">
        <v>0.2</v>
      </c>
      <c r="M41" s="17" t="s">
        <v>16</v>
      </c>
    </row>
    <row r="42" spans="2:16" s="2" customFormat="1">
      <c r="B42" s="947" t="s">
        <v>56</v>
      </c>
      <c r="C42" s="947" t="s">
        <v>57</v>
      </c>
      <c r="D42" s="39">
        <v>2</v>
      </c>
      <c r="E42" s="2" t="s">
        <v>68</v>
      </c>
      <c r="F42" s="948" t="s">
        <v>15</v>
      </c>
      <c r="G42" s="949">
        <v>46106</v>
      </c>
      <c r="H42" s="950" t="str">
        <f t="shared" ca="1" si="2"/>
        <v>SIN FECHA OBJ.</v>
      </c>
      <c r="I42" s="959" t="s">
        <v>20</v>
      </c>
      <c r="J42" s="950">
        <v>0</v>
      </c>
      <c r="K42" s="950" t="str">
        <f t="shared" ca="1" si="3"/>
        <v>-</v>
      </c>
      <c r="L42" s="951">
        <v>0</v>
      </c>
      <c r="M42" s="17" t="s">
        <v>16</v>
      </c>
    </row>
    <row r="43" spans="2:16" s="2" customFormat="1">
      <c r="B43" s="947" t="s">
        <v>56</v>
      </c>
      <c r="C43" s="947" t="s">
        <v>57</v>
      </c>
      <c r="D43" s="39">
        <v>3</v>
      </c>
      <c r="E43" s="2" t="s">
        <v>69</v>
      </c>
      <c r="F43" s="948" t="s">
        <v>15</v>
      </c>
      <c r="G43" s="949">
        <v>46009</v>
      </c>
      <c r="H43" s="950">
        <f t="shared" ca="1" si="2"/>
        <v>98</v>
      </c>
      <c r="I43" s="949">
        <v>46111</v>
      </c>
      <c r="J43" s="950">
        <v>0</v>
      </c>
      <c r="K43" s="950">
        <f t="shared" ca="1" si="3"/>
        <v>4</v>
      </c>
      <c r="L43" s="951">
        <v>0</v>
      </c>
      <c r="M43" s="17" t="s">
        <v>16</v>
      </c>
    </row>
    <row r="44" spans="2:16" s="2" customFormat="1">
      <c r="B44" s="947" t="s">
        <v>56</v>
      </c>
      <c r="C44" s="947" t="s">
        <v>57</v>
      </c>
      <c r="D44" s="39" t="s">
        <v>70</v>
      </c>
      <c r="E44" s="2" t="s">
        <v>71</v>
      </c>
      <c r="F44" s="948" t="s">
        <v>15</v>
      </c>
      <c r="G44" s="949">
        <v>45962</v>
      </c>
      <c r="H44" s="950" t="str">
        <f t="shared" ca="1" si="2"/>
        <v>SIN FECHA OBJ.</v>
      </c>
      <c r="I44" s="949" t="s">
        <v>20</v>
      </c>
      <c r="J44" s="950">
        <v>0</v>
      </c>
      <c r="K44" s="950" t="str">
        <f t="shared" ca="1" si="3"/>
        <v>-</v>
      </c>
      <c r="L44" s="951">
        <v>0.9</v>
      </c>
      <c r="M44" s="17" t="s">
        <v>16</v>
      </c>
    </row>
    <row r="45" spans="2:16" s="2" customFormat="1">
      <c r="B45" s="947" t="s">
        <v>56</v>
      </c>
      <c r="C45" s="947" t="s">
        <v>57</v>
      </c>
      <c r="D45" s="39" t="s">
        <v>70</v>
      </c>
      <c r="E45" s="2" t="s">
        <v>72</v>
      </c>
      <c r="F45" s="948" t="s">
        <v>15</v>
      </c>
      <c r="G45" s="949">
        <v>45992</v>
      </c>
      <c r="H45" s="950" t="str">
        <f t="shared" ca="1" si="2"/>
        <v>SIN FECHA OBJ.</v>
      </c>
      <c r="I45" s="949" t="s">
        <v>20</v>
      </c>
      <c r="J45" s="950">
        <v>0</v>
      </c>
      <c r="K45" s="950" t="str">
        <f t="shared" ca="1" si="3"/>
        <v>-</v>
      </c>
      <c r="L45" s="951">
        <v>0.99</v>
      </c>
      <c r="M45" s="17" t="s">
        <v>16</v>
      </c>
    </row>
    <row r="46" spans="2:16" s="2" customFormat="1">
      <c r="B46" s="947" t="s">
        <v>56</v>
      </c>
      <c r="C46" s="947" t="s">
        <v>57</v>
      </c>
      <c r="D46" s="39" t="s">
        <v>70</v>
      </c>
      <c r="E46" s="2" t="s">
        <v>73</v>
      </c>
      <c r="F46" s="948" t="s">
        <v>15</v>
      </c>
      <c r="G46" s="949">
        <v>45931</v>
      </c>
      <c r="H46" s="950" t="str">
        <f t="shared" ca="1" si="2"/>
        <v>SIN FECHA OBJ.</v>
      </c>
      <c r="I46" s="949" t="s">
        <v>20</v>
      </c>
      <c r="J46" s="950">
        <v>0</v>
      </c>
      <c r="K46" s="950" t="str">
        <f t="shared" ca="1" si="3"/>
        <v>-</v>
      </c>
      <c r="L46" s="951">
        <v>0.99</v>
      </c>
      <c r="M46" s="17" t="s">
        <v>16</v>
      </c>
      <c r="N46" s="2" t="s">
        <v>74</v>
      </c>
    </row>
    <row r="47" spans="2:16" s="2" customFormat="1">
      <c r="B47" s="947" t="s">
        <v>56</v>
      </c>
      <c r="C47" s="947" t="s">
        <v>57</v>
      </c>
      <c r="D47" s="39" t="s">
        <v>70</v>
      </c>
      <c r="E47" s="2" t="s">
        <v>75</v>
      </c>
      <c r="F47" s="948" t="s">
        <v>15</v>
      </c>
      <c r="G47" s="949">
        <v>45992</v>
      </c>
      <c r="H47" s="950" t="str">
        <f t="shared" ca="1" si="2"/>
        <v>SIN FECHA OBJ.</v>
      </c>
      <c r="I47" s="949" t="s">
        <v>20</v>
      </c>
      <c r="J47" s="950">
        <v>0</v>
      </c>
      <c r="K47" s="950" t="str">
        <f t="shared" ca="1" si="3"/>
        <v>-</v>
      </c>
      <c r="L47" s="951">
        <v>0</v>
      </c>
      <c r="M47" s="17" t="s">
        <v>16</v>
      </c>
    </row>
    <row r="48" spans="2:16" s="2" customFormat="1">
      <c r="B48" s="947" t="s">
        <v>56</v>
      </c>
      <c r="C48" s="947" t="s">
        <v>57</v>
      </c>
      <c r="D48" s="39" t="s">
        <v>70</v>
      </c>
      <c r="E48" s="2" t="s">
        <v>76</v>
      </c>
      <c r="F48" s="948" t="s">
        <v>15</v>
      </c>
      <c r="G48" s="949">
        <v>45992</v>
      </c>
      <c r="H48" s="950" t="str">
        <f t="shared" ca="1" si="2"/>
        <v>SIN FECHA OBJ.</v>
      </c>
      <c r="I48" s="949" t="s">
        <v>20</v>
      </c>
      <c r="J48" s="950">
        <v>0</v>
      </c>
      <c r="K48" s="950" t="str">
        <f t="shared" ca="1" si="3"/>
        <v>-</v>
      </c>
      <c r="L48" s="951">
        <v>0</v>
      </c>
      <c r="M48" s="17" t="s">
        <v>16</v>
      </c>
    </row>
    <row r="49" spans="2:13" s="2" customFormat="1">
      <c r="B49" s="1175" t="s">
        <v>56</v>
      </c>
      <c r="C49" s="1175" t="s">
        <v>57</v>
      </c>
      <c r="D49" s="1173" t="s">
        <v>33</v>
      </c>
      <c r="E49" s="1176" t="s">
        <v>77</v>
      </c>
      <c r="F49" s="1177" t="s">
        <v>18</v>
      </c>
      <c r="G49" s="1178">
        <v>45962</v>
      </c>
      <c r="H49" s="1179" t="str">
        <f t="shared" ca="1" si="2"/>
        <v>EN PAUSA</v>
      </c>
      <c r="I49" s="1178" t="s">
        <v>35</v>
      </c>
      <c r="J49" s="1179">
        <v>0</v>
      </c>
      <c r="K49" s="1179" t="str">
        <f t="shared" ca="1" si="3"/>
        <v>EN PAUSA</v>
      </c>
      <c r="L49" s="1180">
        <v>0.3</v>
      </c>
      <c r="M49" s="1181" t="s">
        <v>16</v>
      </c>
    </row>
    <row r="50" spans="2:13" s="2" customFormat="1">
      <c r="B50" s="1175" t="s">
        <v>56</v>
      </c>
      <c r="C50" s="1175" t="s">
        <v>57</v>
      </c>
      <c r="D50" s="1173" t="s">
        <v>33</v>
      </c>
      <c r="E50" s="1176" t="s">
        <v>78</v>
      </c>
      <c r="F50" s="1177" t="s">
        <v>15</v>
      </c>
      <c r="G50" s="1178">
        <v>46002</v>
      </c>
      <c r="H50" s="1179" t="str">
        <f t="shared" ca="1" si="2"/>
        <v>EN PAUSA</v>
      </c>
      <c r="I50" s="1178" t="s">
        <v>35</v>
      </c>
      <c r="J50" s="1179">
        <v>0</v>
      </c>
      <c r="K50" s="1179" t="str">
        <f t="shared" ca="1" si="3"/>
        <v>EN PAUSA</v>
      </c>
      <c r="L50" s="1180">
        <v>0</v>
      </c>
      <c r="M50" s="1181" t="s">
        <v>16</v>
      </c>
    </row>
    <row r="51" spans="2:13" s="2" customFormat="1">
      <c r="B51" s="1070" t="s">
        <v>56</v>
      </c>
      <c r="C51" s="1070" t="s">
        <v>57</v>
      </c>
      <c r="D51" s="1071" t="s">
        <v>20</v>
      </c>
      <c r="E51" s="1072" t="s">
        <v>79</v>
      </c>
      <c r="F51" s="1073" t="s">
        <v>15</v>
      </c>
      <c r="G51" s="1074">
        <v>46054</v>
      </c>
      <c r="H51" s="1076" t="str">
        <f t="shared" ca="1" si="2"/>
        <v>CERRADO</v>
      </c>
      <c r="I51" s="1074">
        <v>46082</v>
      </c>
      <c r="J51" s="1076">
        <v>0</v>
      </c>
      <c r="K51" s="1076" t="str">
        <f t="shared" ca="1" si="3"/>
        <v>CERRADO</v>
      </c>
      <c r="L51" s="1077">
        <v>1</v>
      </c>
      <c r="M51" s="1078" t="s">
        <v>24</v>
      </c>
    </row>
    <row r="52" spans="2:13" s="2" customFormat="1">
      <c r="B52" s="1070" t="s">
        <v>56</v>
      </c>
      <c r="C52" s="1070" t="s">
        <v>57</v>
      </c>
      <c r="D52" s="1071" t="s">
        <v>20</v>
      </c>
      <c r="E52" s="1072" t="s">
        <v>80</v>
      </c>
      <c r="F52" s="1073" t="s">
        <v>15</v>
      </c>
      <c r="G52" s="1074">
        <v>45976</v>
      </c>
      <c r="H52" s="1076" t="str">
        <f t="shared" ca="1" si="2"/>
        <v>CERRADO</v>
      </c>
      <c r="I52" s="1074">
        <v>46081</v>
      </c>
      <c r="J52" s="1076">
        <v>1</v>
      </c>
      <c r="K52" s="1076" t="str">
        <f t="shared" ca="1" si="3"/>
        <v>CERRADO</v>
      </c>
      <c r="L52" s="1077">
        <v>1</v>
      </c>
      <c r="M52" s="1078" t="s">
        <v>24</v>
      </c>
    </row>
    <row r="53" spans="2:13" s="2" customFormat="1">
      <c r="B53" s="1070" t="s">
        <v>56</v>
      </c>
      <c r="C53" s="1070" t="s">
        <v>57</v>
      </c>
      <c r="D53" s="1071" t="s">
        <v>20</v>
      </c>
      <c r="E53" s="1072" t="s">
        <v>81</v>
      </c>
      <c r="F53" s="1073" t="s">
        <v>18</v>
      </c>
      <c r="G53" s="1074">
        <v>45992</v>
      </c>
      <c r="H53" s="1075" t="str">
        <f t="shared" ca="1" si="2"/>
        <v>CERRADO</v>
      </c>
      <c r="I53" s="1074">
        <v>46053</v>
      </c>
      <c r="J53" s="1076">
        <v>0</v>
      </c>
      <c r="K53" s="1076" t="str">
        <f t="shared" ca="1" si="3"/>
        <v>CERRADO</v>
      </c>
      <c r="L53" s="1077">
        <v>1</v>
      </c>
      <c r="M53" s="1078" t="s">
        <v>24</v>
      </c>
    </row>
    <row r="54" spans="2:13" s="2" customFormat="1">
      <c r="B54" s="1070" t="s">
        <v>56</v>
      </c>
      <c r="C54" s="1070" t="s">
        <v>57</v>
      </c>
      <c r="D54" s="1071" t="s">
        <v>20</v>
      </c>
      <c r="E54" s="1072" t="s">
        <v>82</v>
      </c>
      <c r="F54" s="1073" t="s">
        <v>18</v>
      </c>
      <c r="G54" s="1074">
        <v>45962</v>
      </c>
      <c r="H54" s="1075" t="str">
        <f t="shared" ca="1" si="2"/>
        <v>CERRADO</v>
      </c>
      <c r="I54" s="1074">
        <v>46053</v>
      </c>
      <c r="J54" s="1076">
        <v>0</v>
      </c>
      <c r="K54" s="1076" t="str">
        <f t="shared" ca="1" si="3"/>
        <v>CERRADO</v>
      </c>
      <c r="L54" s="1077">
        <v>1</v>
      </c>
      <c r="M54" s="1078" t="s">
        <v>24</v>
      </c>
    </row>
    <row r="55" spans="2:13" s="2" customFormat="1">
      <c r="B55" s="1079" t="s">
        <v>56</v>
      </c>
      <c r="C55" s="1079" t="s">
        <v>57</v>
      </c>
      <c r="D55" s="1080" t="s">
        <v>20</v>
      </c>
      <c r="E55" s="1081" t="s">
        <v>83</v>
      </c>
      <c r="F55" s="1082" t="s">
        <v>15</v>
      </c>
      <c r="G55" s="1083">
        <v>45992</v>
      </c>
      <c r="H55" s="1087" t="str">
        <f t="shared" ca="1" si="2"/>
        <v>CERRADO</v>
      </c>
      <c r="I55" s="1083">
        <v>46022</v>
      </c>
      <c r="J55" s="1084">
        <v>0</v>
      </c>
      <c r="K55" s="1084" t="str">
        <f t="shared" ca="1" si="3"/>
        <v>CERRADO</v>
      </c>
      <c r="L55" s="1085">
        <v>1</v>
      </c>
      <c r="M55" s="1086" t="s">
        <v>24</v>
      </c>
    </row>
    <row r="56" spans="2:13" s="2" customFormat="1">
      <c r="B56" s="947" t="s">
        <v>26</v>
      </c>
      <c r="C56" s="947" t="s">
        <v>84</v>
      </c>
      <c r="D56" s="39">
        <v>1</v>
      </c>
      <c r="E56" s="2" t="s">
        <v>85</v>
      </c>
      <c r="F56" s="948" t="s">
        <v>18</v>
      </c>
      <c r="G56" s="949">
        <v>45931</v>
      </c>
      <c r="H56" s="950" t="str">
        <f t="shared" ca="1" si="2"/>
        <v>SIN FECHA OBJ.</v>
      </c>
      <c r="I56" s="949" t="s">
        <v>20</v>
      </c>
      <c r="J56" s="950">
        <v>0</v>
      </c>
      <c r="K56" s="950" t="str">
        <f t="shared" ca="1" si="3"/>
        <v>-</v>
      </c>
      <c r="L56" s="951">
        <v>0.6</v>
      </c>
      <c r="M56" s="17" t="s">
        <v>16</v>
      </c>
    </row>
    <row r="57" spans="2:13" s="2" customFormat="1">
      <c r="B57" s="947" t="s">
        <v>26</v>
      </c>
      <c r="C57" s="947" t="s">
        <v>84</v>
      </c>
      <c r="D57" s="39">
        <v>1</v>
      </c>
      <c r="E57" s="2" t="s">
        <v>86</v>
      </c>
      <c r="F57" s="948" t="s">
        <v>18</v>
      </c>
      <c r="G57" s="949">
        <v>45931</v>
      </c>
      <c r="H57" s="950" t="str">
        <f t="shared" ca="1" si="2"/>
        <v>SIN FECHA OBJ.</v>
      </c>
      <c r="I57" s="949" t="s">
        <v>20</v>
      </c>
      <c r="J57" s="950">
        <v>0</v>
      </c>
      <c r="K57" s="950" t="str">
        <f t="shared" ca="1" si="3"/>
        <v>-</v>
      </c>
      <c r="L57" s="951">
        <v>0.6</v>
      </c>
      <c r="M57" s="17" t="s">
        <v>16</v>
      </c>
    </row>
    <row r="58" spans="2:13" s="2" customFormat="1">
      <c r="B58" s="947" t="s">
        <v>87</v>
      </c>
      <c r="C58" s="947" t="s">
        <v>84</v>
      </c>
      <c r="D58" s="39">
        <v>1</v>
      </c>
      <c r="E58" s="2" t="s">
        <v>88</v>
      </c>
      <c r="F58" s="948" t="s">
        <v>15</v>
      </c>
      <c r="G58" s="949">
        <v>46054</v>
      </c>
      <c r="H58" s="950" t="str">
        <f t="shared" ca="1" si="2"/>
        <v>SIN FECHA OBJ.</v>
      </c>
      <c r="I58" s="949" t="s">
        <v>20</v>
      </c>
      <c r="J58" s="950">
        <v>0</v>
      </c>
      <c r="K58" s="950" t="str">
        <f t="shared" ca="1" si="3"/>
        <v>-</v>
      </c>
      <c r="L58" s="951" t="s">
        <v>89</v>
      </c>
      <c r="M58" s="951" t="s">
        <v>89</v>
      </c>
    </row>
    <row r="59" spans="2:13" s="2" customFormat="1">
      <c r="B59" s="947" t="s">
        <v>26</v>
      </c>
      <c r="C59" s="947" t="s">
        <v>84</v>
      </c>
      <c r="D59" s="39">
        <v>1</v>
      </c>
      <c r="E59" s="2" t="s">
        <v>90</v>
      </c>
      <c r="F59" s="948" t="s">
        <v>15</v>
      </c>
      <c r="G59" s="949">
        <v>46054</v>
      </c>
      <c r="H59" s="950" t="str">
        <f t="shared" ca="1" si="2"/>
        <v>SIN FECHA OBJ.</v>
      </c>
      <c r="I59" s="949" t="s">
        <v>20</v>
      </c>
      <c r="J59" s="950">
        <v>0</v>
      </c>
      <c r="K59" s="950" t="str">
        <f t="shared" ca="1" si="3"/>
        <v>-</v>
      </c>
      <c r="L59" s="951" t="s">
        <v>89</v>
      </c>
      <c r="M59" s="951" t="s">
        <v>89</v>
      </c>
    </row>
    <row r="60" spans="2:13" s="2" customFormat="1">
      <c r="B60" s="947" t="s">
        <v>26</v>
      </c>
      <c r="C60" s="947" t="s">
        <v>84</v>
      </c>
      <c r="D60" s="39">
        <v>2</v>
      </c>
      <c r="E60" s="2" t="s">
        <v>91</v>
      </c>
      <c r="F60" s="948" t="s">
        <v>15</v>
      </c>
      <c r="G60" s="949">
        <v>46054</v>
      </c>
      <c r="H60" s="950" t="str">
        <f t="shared" ca="1" si="2"/>
        <v>SIN FECHA OBJ.</v>
      </c>
      <c r="I60" s="949" t="s">
        <v>20</v>
      </c>
      <c r="J60" s="950">
        <v>0</v>
      </c>
      <c r="K60" s="950" t="str">
        <f t="shared" ca="1" si="3"/>
        <v>-</v>
      </c>
      <c r="L60" s="951" t="s">
        <v>89</v>
      </c>
      <c r="M60" s="951" t="s">
        <v>89</v>
      </c>
    </row>
    <row r="61" spans="2:13" s="2" customFormat="1">
      <c r="B61" s="947" t="s">
        <v>26</v>
      </c>
      <c r="C61" s="947" t="s">
        <v>84</v>
      </c>
      <c r="D61" s="39">
        <v>2</v>
      </c>
      <c r="E61" s="2" t="s">
        <v>92</v>
      </c>
      <c r="F61" s="948" t="s">
        <v>15</v>
      </c>
      <c r="G61" s="949">
        <v>46054</v>
      </c>
      <c r="H61" s="950" t="str">
        <f t="shared" ca="1" si="2"/>
        <v>SIN FECHA OBJ.</v>
      </c>
      <c r="I61" s="949" t="s">
        <v>20</v>
      </c>
      <c r="J61" s="950">
        <v>0</v>
      </c>
      <c r="K61" s="950" t="str">
        <f t="shared" ca="1" si="3"/>
        <v>-</v>
      </c>
      <c r="L61" s="951" t="s">
        <v>89</v>
      </c>
      <c r="M61" s="951" t="s">
        <v>89</v>
      </c>
    </row>
    <row r="62" spans="2:13" s="2" customFormat="1">
      <c r="B62" s="947" t="s">
        <v>87</v>
      </c>
      <c r="C62" s="947" t="s">
        <v>84</v>
      </c>
      <c r="D62" s="39">
        <v>2</v>
      </c>
      <c r="E62" s="2" t="s">
        <v>93</v>
      </c>
      <c r="F62" s="948" t="s">
        <v>15</v>
      </c>
      <c r="G62" s="949">
        <v>45931</v>
      </c>
      <c r="H62" s="950" t="str">
        <f t="shared" ca="1" si="2"/>
        <v>SIN FECHA OBJ.</v>
      </c>
      <c r="I62" s="949" t="s">
        <v>20</v>
      </c>
      <c r="J62" s="950">
        <v>0</v>
      </c>
      <c r="K62" s="950" t="str">
        <f t="shared" ca="1" si="3"/>
        <v>-</v>
      </c>
      <c r="L62" s="951" t="s">
        <v>89</v>
      </c>
      <c r="M62" s="17" t="s">
        <v>16</v>
      </c>
    </row>
    <row r="63" spans="2:13" s="2" customFormat="1">
      <c r="B63" s="947" t="s">
        <v>87</v>
      </c>
      <c r="C63" s="947" t="s">
        <v>84</v>
      </c>
      <c r="D63" s="39">
        <v>2</v>
      </c>
      <c r="E63" s="2" t="s">
        <v>94</v>
      </c>
      <c r="F63" s="948" t="s">
        <v>15</v>
      </c>
      <c r="G63" s="949">
        <v>45931</v>
      </c>
      <c r="H63" s="950" t="str">
        <f t="shared" ca="1" si="2"/>
        <v>SIN FECHA OBJ.</v>
      </c>
      <c r="I63" s="949" t="s">
        <v>20</v>
      </c>
      <c r="J63" s="950">
        <v>0</v>
      </c>
      <c r="K63" s="950" t="str">
        <f t="shared" ca="1" si="3"/>
        <v>-</v>
      </c>
      <c r="L63" s="951" t="s">
        <v>89</v>
      </c>
      <c r="M63" s="17" t="s">
        <v>16</v>
      </c>
    </row>
    <row r="64" spans="2:13" s="2" customFormat="1">
      <c r="B64" s="947" t="s">
        <v>95</v>
      </c>
      <c r="C64" s="947" t="s">
        <v>84</v>
      </c>
      <c r="D64" s="39">
        <v>2</v>
      </c>
      <c r="E64" s="2" t="s">
        <v>96</v>
      </c>
      <c r="F64" s="948" t="s">
        <v>18</v>
      </c>
      <c r="G64" s="949">
        <v>45931</v>
      </c>
      <c r="H64" s="950" t="str">
        <f t="shared" ca="1" si="2"/>
        <v>SIN FECHA OBJ.</v>
      </c>
      <c r="I64" s="949" t="s">
        <v>20</v>
      </c>
      <c r="J64" s="950">
        <v>0</v>
      </c>
      <c r="K64" s="950" t="str">
        <f t="shared" ca="1" si="3"/>
        <v>-</v>
      </c>
      <c r="L64" s="951" t="s">
        <v>89</v>
      </c>
      <c r="M64" s="17" t="s">
        <v>16</v>
      </c>
    </row>
    <row r="65" spans="2:13" s="2" customFormat="1">
      <c r="B65" s="947" t="s">
        <v>95</v>
      </c>
      <c r="C65" s="947" t="s">
        <v>84</v>
      </c>
      <c r="D65" s="39">
        <v>3</v>
      </c>
      <c r="E65" s="2" t="s">
        <v>97</v>
      </c>
      <c r="F65" s="948" t="s">
        <v>15</v>
      </c>
      <c r="G65" s="949">
        <v>45931</v>
      </c>
      <c r="H65" s="950" t="str">
        <f t="shared" ca="1" si="2"/>
        <v>SIN FECHA OBJ.</v>
      </c>
      <c r="I65" s="949" t="s">
        <v>20</v>
      </c>
      <c r="J65" s="950">
        <v>0</v>
      </c>
      <c r="K65" s="950" t="str">
        <f t="shared" ca="1" si="3"/>
        <v>-</v>
      </c>
      <c r="L65" s="951" t="s">
        <v>89</v>
      </c>
      <c r="M65" s="17" t="s">
        <v>16</v>
      </c>
    </row>
    <row r="66" spans="2:13" s="2" customFormat="1">
      <c r="B66" s="947" t="s">
        <v>95</v>
      </c>
      <c r="C66" s="947" t="s">
        <v>84</v>
      </c>
      <c r="D66" s="39">
        <v>3</v>
      </c>
      <c r="E66" s="2" t="s">
        <v>98</v>
      </c>
      <c r="F66" s="948" t="s">
        <v>15</v>
      </c>
      <c r="G66" s="949">
        <v>45931</v>
      </c>
      <c r="H66" s="950" t="str">
        <f t="shared" ca="1" si="2"/>
        <v>SIN FECHA OBJ.</v>
      </c>
      <c r="I66" s="949" t="s">
        <v>20</v>
      </c>
      <c r="J66" s="950">
        <v>0</v>
      </c>
      <c r="K66" s="950" t="str">
        <f t="shared" ca="1" si="3"/>
        <v>-</v>
      </c>
      <c r="L66" s="951" t="s">
        <v>89</v>
      </c>
      <c r="M66" s="17" t="s">
        <v>16</v>
      </c>
    </row>
    <row r="67" spans="2:13" s="2" customFormat="1">
      <c r="B67" s="947" t="s">
        <v>87</v>
      </c>
      <c r="C67" s="947" t="s">
        <v>84</v>
      </c>
      <c r="D67" s="39" t="s">
        <v>70</v>
      </c>
      <c r="E67" s="2" t="s">
        <v>99</v>
      </c>
      <c r="F67" s="948" t="s">
        <v>15</v>
      </c>
      <c r="G67" s="949">
        <v>46046</v>
      </c>
      <c r="H67" s="950" t="str">
        <f t="shared" ref="H67:H98" ca="1" si="4">+IF(M67="SI","CERRADO",IF(G67="-","NO INICIADO",IF(I67="-","SIN FECHA OBJ.",IF(I67="--","EN PAUSA",TODAY()-G67))))</f>
        <v>SIN FECHA OBJ.</v>
      </c>
      <c r="I67" s="949" t="s">
        <v>20</v>
      </c>
      <c r="J67" s="950">
        <v>0</v>
      </c>
      <c r="K67" s="950" t="str">
        <f t="shared" ref="K67:K77" ca="1" si="5">IF(I67="DEFINIR","DEFINIR",IF(M67="SI","CERRADO",IF(I67="-","-",IF(I67="--","EN PAUSA",I67-TODAY()))))</f>
        <v>-</v>
      </c>
      <c r="L67" s="951" t="s">
        <v>89</v>
      </c>
      <c r="M67" s="951" t="s">
        <v>89</v>
      </c>
    </row>
    <row r="68" spans="2:13" s="2" customFormat="1">
      <c r="B68" s="947" t="s">
        <v>87</v>
      </c>
      <c r="C68" s="947" t="s">
        <v>84</v>
      </c>
      <c r="D68" s="39" t="s">
        <v>70</v>
      </c>
      <c r="E68" s="2" t="s">
        <v>100</v>
      </c>
      <c r="F68" s="948" t="s">
        <v>15</v>
      </c>
      <c r="G68" s="949">
        <v>46062</v>
      </c>
      <c r="H68" s="950" t="str">
        <f t="shared" ca="1" si="4"/>
        <v>SIN FECHA OBJ.</v>
      </c>
      <c r="I68" s="949" t="s">
        <v>20</v>
      </c>
      <c r="J68" s="950">
        <v>0</v>
      </c>
      <c r="K68" s="950" t="str">
        <f t="shared" ca="1" si="5"/>
        <v>-</v>
      </c>
      <c r="L68" s="951" t="s">
        <v>89</v>
      </c>
      <c r="M68" s="951" t="s">
        <v>89</v>
      </c>
    </row>
    <row r="69" spans="2:13" s="2" customFormat="1">
      <c r="B69" s="1079" t="s">
        <v>87</v>
      </c>
      <c r="C69" s="1079" t="s">
        <v>84</v>
      </c>
      <c r="D69" s="1080" t="s">
        <v>20</v>
      </c>
      <c r="E69" s="1081" t="s">
        <v>101</v>
      </c>
      <c r="F69" s="1082" t="s">
        <v>15</v>
      </c>
      <c r="G69" s="1083">
        <v>46002</v>
      </c>
      <c r="H69" s="1087" t="str">
        <f t="shared" ca="1" si="4"/>
        <v>CERRADO</v>
      </c>
      <c r="I69" s="1083">
        <v>46073</v>
      </c>
      <c r="J69" s="1084">
        <v>0</v>
      </c>
      <c r="K69" s="1084" t="str">
        <f t="shared" ca="1" si="5"/>
        <v>CERRADO</v>
      </c>
      <c r="L69" s="1085">
        <v>1</v>
      </c>
      <c r="M69" s="1086" t="s">
        <v>24</v>
      </c>
    </row>
    <row r="70" spans="2:13" s="2" customFormat="1">
      <c r="B70" s="947" t="s">
        <v>102</v>
      </c>
      <c r="C70" s="947" t="s">
        <v>103</v>
      </c>
      <c r="D70" s="39">
        <v>1</v>
      </c>
      <c r="E70" s="2" t="s">
        <v>104</v>
      </c>
      <c r="F70" s="948" t="s">
        <v>15</v>
      </c>
      <c r="G70" s="949">
        <v>46034</v>
      </c>
      <c r="H70" s="950" t="str">
        <f t="shared" ca="1" si="4"/>
        <v>SIN FECHA OBJ.</v>
      </c>
      <c r="I70" s="949" t="s">
        <v>20</v>
      </c>
      <c r="J70" s="950">
        <v>0</v>
      </c>
      <c r="K70" s="950" t="str">
        <f t="shared" ca="1" si="5"/>
        <v>-</v>
      </c>
      <c r="L70" s="951">
        <v>0</v>
      </c>
      <c r="M70" s="17" t="s">
        <v>16</v>
      </c>
    </row>
    <row r="71" spans="2:13" s="2" customFormat="1">
      <c r="B71" s="947" t="s">
        <v>102</v>
      </c>
      <c r="C71" s="947" t="s">
        <v>103</v>
      </c>
      <c r="D71" s="39">
        <v>2</v>
      </c>
      <c r="E71" s="2" t="s">
        <v>105</v>
      </c>
      <c r="F71" s="948" t="s">
        <v>15</v>
      </c>
      <c r="G71" s="949">
        <v>46034</v>
      </c>
      <c r="H71" s="950" t="str">
        <f t="shared" ca="1" si="4"/>
        <v>SIN FECHA OBJ.</v>
      </c>
      <c r="I71" s="949" t="s">
        <v>20</v>
      </c>
      <c r="J71" s="950">
        <v>0</v>
      </c>
      <c r="K71" s="950" t="str">
        <f t="shared" ca="1" si="5"/>
        <v>-</v>
      </c>
      <c r="L71" s="951">
        <v>0</v>
      </c>
      <c r="M71" s="17" t="s">
        <v>16</v>
      </c>
    </row>
    <row r="72" spans="2:13" s="2" customFormat="1">
      <c r="B72" s="947" t="s">
        <v>102</v>
      </c>
      <c r="C72" s="947" t="s">
        <v>103</v>
      </c>
      <c r="D72" s="39">
        <v>2</v>
      </c>
      <c r="E72" s="2" t="s">
        <v>106</v>
      </c>
      <c r="F72" s="948" t="s">
        <v>15</v>
      </c>
      <c r="G72" s="949">
        <v>46034</v>
      </c>
      <c r="H72" s="950" t="str">
        <f t="shared" ca="1" si="4"/>
        <v>SIN FECHA OBJ.</v>
      </c>
      <c r="I72" s="949" t="s">
        <v>20</v>
      </c>
      <c r="J72" s="950">
        <v>0</v>
      </c>
      <c r="K72" s="950" t="str">
        <f t="shared" ca="1" si="5"/>
        <v>-</v>
      </c>
      <c r="L72" s="951">
        <v>0</v>
      </c>
      <c r="M72" s="17" t="s">
        <v>16</v>
      </c>
    </row>
    <row r="73" spans="2:13" s="2" customFormat="1">
      <c r="B73" s="947" t="s">
        <v>102</v>
      </c>
      <c r="C73" s="947" t="s">
        <v>103</v>
      </c>
      <c r="D73" s="39">
        <v>3</v>
      </c>
      <c r="E73" s="2" t="s">
        <v>107</v>
      </c>
      <c r="F73" s="948" t="s">
        <v>15</v>
      </c>
      <c r="G73" s="949">
        <v>46034</v>
      </c>
      <c r="H73" s="950">
        <f t="shared" ca="1" si="4"/>
        <v>73</v>
      </c>
      <c r="I73" s="949">
        <v>46112</v>
      </c>
      <c r="J73" s="950">
        <v>1</v>
      </c>
      <c r="K73" s="950">
        <f t="shared" ca="1" si="5"/>
        <v>5</v>
      </c>
      <c r="L73" s="951">
        <v>0</v>
      </c>
      <c r="M73" s="17" t="s">
        <v>16</v>
      </c>
    </row>
    <row r="74" spans="2:13" s="2" customFormat="1">
      <c r="B74" s="947" t="s">
        <v>102</v>
      </c>
      <c r="C74" s="947" t="s">
        <v>103</v>
      </c>
      <c r="D74" s="39" t="s">
        <v>20</v>
      </c>
      <c r="E74" s="2" t="s">
        <v>108</v>
      </c>
      <c r="F74" s="948" t="s">
        <v>15</v>
      </c>
      <c r="G74" s="949">
        <v>45962</v>
      </c>
      <c r="H74" s="958" t="str">
        <f t="shared" ca="1" si="4"/>
        <v>CERRADO</v>
      </c>
      <c r="I74" s="949">
        <v>45991</v>
      </c>
      <c r="J74" s="950">
        <v>0</v>
      </c>
      <c r="K74" s="950" t="str">
        <f t="shared" ca="1" si="5"/>
        <v>CERRADO</v>
      </c>
      <c r="L74" s="951">
        <v>0.99</v>
      </c>
      <c r="M74" s="17" t="s">
        <v>24</v>
      </c>
    </row>
    <row r="75" spans="2:13" s="2" customFormat="1">
      <c r="B75" s="947" t="s">
        <v>102</v>
      </c>
      <c r="C75" s="947" t="s">
        <v>103</v>
      </c>
      <c r="D75" s="39" t="s">
        <v>20</v>
      </c>
      <c r="E75" s="2" t="s">
        <v>109</v>
      </c>
      <c r="F75" s="948" t="s">
        <v>15</v>
      </c>
      <c r="G75" s="949">
        <v>45992</v>
      </c>
      <c r="H75" s="958" t="str">
        <f t="shared" ca="1" si="4"/>
        <v>CERRADO</v>
      </c>
      <c r="I75" s="949">
        <v>46022</v>
      </c>
      <c r="J75" s="950">
        <v>0</v>
      </c>
      <c r="K75" s="950" t="str">
        <f t="shared" ca="1" si="5"/>
        <v>CERRADO</v>
      </c>
      <c r="L75" s="951">
        <v>0.99</v>
      </c>
      <c r="M75" s="17" t="s">
        <v>24</v>
      </c>
    </row>
    <row r="76" spans="2:13" s="2" customFormat="1">
      <c r="B76" s="947" t="s">
        <v>102</v>
      </c>
      <c r="C76" s="947" t="s">
        <v>103</v>
      </c>
      <c r="D76" s="39" t="s">
        <v>20</v>
      </c>
      <c r="E76" s="2" t="s">
        <v>110</v>
      </c>
      <c r="F76" s="948" t="s">
        <v>15</v>
      </c>
      <c r="G76" s="949">
        <v>45931</v>
      </c>
      <c r="H76" s="958" t="str">
        <f t="shared" ca="1" si="4"/>
        <v>CERRADO</v>
      </c>
      <c r="I76" s="949">
        <v>45961</v>
      </c>
      <c r="J76" s="950">
        <v>0</v>
      </c>
      <c r="K76" s="950" t="str">
        <f t="shared" ca="1" si="5"/>
        <v>CERRADO</v>
      </c>
      <c r="L76" s="951">
        <v>0.99</v>
      </c>
      <c r="M76" s="17" t="s">
        <v>24</v>
      </c>
    </row>
    <row r="77" spans="2:13" s="2" customFormat="1">
      <c r="B77" s="1079" t="s">
        <v>102</v>
      </c>
      <c r="C77" s="1079" t="s">
        <v>103</v>
      </c>
      <c r="D77" s="1080" t="s">
        <v>20</v>
      </c>
      <c r="E77" s="1081" t="s">
        <v>111</v>
      </c>
      <c r="F77" s="1082" t="s">
        <v>18</v>
      </c>
      <c r="G77" s="1083">
        <v>45931</v>
      </c>
      <c r="H77" s="1087" t="str">
        <f t="shared" ca="1" si="4"/>
        <v>CERRADO</v>
      </c>
      <c r="I77" s="1083">
        <v>46022</v>
      </c>
      <c r="J77" s="1084">
        <v>0</v>
      </c>
      <c r="K77" s="1084" t="str">
        <f t="shared" ca="1" si="5"/>
        <v>CERRADO</v>
      </c>
      <c r="L77" s="1085">
        <v>1</v>
      </c>
      <c r="M77" s="1086" t="s">
        <v>24</v>
      </c>
    </row>
  </sheetData>
  <autoFilter ref="B2:M77" xr:uid="{8551D1F3-422F-4A20-9924-39180257EAA1}"/>
  <conditionalFormatting sqref="D3:D77">
    <cfRule type="cellIs" dxfId="291" priority="9" operator="equal">
      <formula>3</formula>
    </cfRule>
    <cfRule type="cellIs" dxfId="290" priority="10" operator="equal">
      <formula>2</formula>
    </cfRule>
    <cfRule type="cellIs" dxfId="289" priority="11" operator="equal">
      <formula>1</formula>
    </cfRule>
  </conditionalFormatting>
  <conditionalFormatting sqref="F3:F77">
    <cfRule type="cellIs" dxfId="288" priority="28" operator="equal">
      <formula>"MESA"</formula>
    </cfRule>
    <cfRule type="cellIs" dxfId="287" priority="29" operator="equal">
      <formula>"INDIVIDUAL"</formula>
    </cfRule>
  </conditionalFormatting>
  <conditionalFormatting sqref="K3:K4 K6:K77">
    <cfRule type="cellIs" dxfId="286" priority="5" operator="equal">
      <formula>"CERRADO"</formula>
    </cfRule>
  </conditionalFormatting>
  <conditionalFormatting sqref="K3:K77">
    <cfRule type="cellIs" dxfId="285" priority="1" operator="equal">
      <formula>"EN PAUSA"</formula>
    </cfRule>
    <cfRule type="cellIs" dxfId="284" priority="3" operator="equal">
      <formula>"DEFINIR"</formula>
    </cfRule>
    <cfRule type="cellIs" dxfId="283" priority="8" operator="equal">
      <formula>"-"</formula>
    </cfRule>
    <cfRule type="cellIs" dxfId="282" priority="12" operator="greaterThan">
      <formula>10</formula>
    </cfRule>
    <cfRule type="cellIs" dxfId="281" priority="13" operator="between">
      <formula>1</formula>
      <formula>9</formula>
    </cfRule>
    <cfRule type="cellIs" dxfId="280" priority="14" operator="lessThan">
      <formula>1</formula>
    </cfRule>
  </conditionalFormatting>
  <conditionalFormatting sqref="L1:L1048576">
    <cfRule type="dataBar" priority="12195">
      <dataBar>
        <cfvo type="min"/>
        <cfvo type="max"/>
        <color rgb="FF63C384"/>
      </dataBar>
      <extLst>
        <ext xmlns:x14="http://schemas.microsoft.com/office/spreadsheetml/2009/9/main" uri="{B025F937-C7B1-47D3-B67F-A62EFF666E3E}">
          <x14:id>{0442E677-E68C-4053-AA5B-6DCB8235252A}</x14:id>
        </ext>
      </extLst>
    </cfRule>
  </conditionalFormatting>
  <conditionalFormatting sqref="M67:M68 M58:M61">
    <cfRule type="dataBar" priority="12182">
      <dataBar>
        <cfvo type="min"/>
        <cfvo type="max"/>
        <color rgb="FF63C384"/>
      </dataBar>
      <extLst>
        <ext xmlns:x14="http://schemas.microsoft.com/office/spreadsheetml/2009/9/main" uri="{B025F937-C7B1-47D3-B67F-A62EFF666E3E}">
          <x14:id>{0E268DC8-92DB-413A-8813-57B8CB7B8568}</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0442E677-E68C-4053-AA5B-6DCB8235252A}">
            <x14:dataBar minLength="0" maxLength="100" border="1" negativeBarBorderColorSameAsPositive="0">
              <x14:cfvo type="autoMin"/>
              <x14:cfvo type="autoMax"/>
              <x14:borderColor rgb="FF63C384"/>
              <x14:negativeFillColor rgb="FFFF0000"/>
              <x14:negativeBorderColor rgb="FFFF0000"/>
              <x14:axisColor rgb="FF000000"/>
            </x14:dataBar>
          </x14:cfRule>
          <xm:sqref>L1:L1048576</xm:sqref>
        </x14:conditionalFormatting>
        <x14:conditionalFormatting xmlns:xm="http://schemas.microsoft.com/office/excel/2006/main">
          <x14:cfRule type="dataBar" id="{0E268DC8-92DB-413A-8813-57B8CB7B8568}">
            <x14:dataBar minLength="0" maxLength="100" border="1" negativeBarBorderColorSameAsPositive="0">
              <x14:cfvo type="autoMin"/>
              <x14:cfvo type="autoMax"/>
              <x14:borderColor rgb="FF63C384"/>
              <x14:negativeFillColor rgb="FFFF0000"/>
              <x14:negativeBorderColor rgb="FFFF0000"/>
              <x14:axisColor rgb="FF000000"/>
            </x14:dataBar>
          </x14:cfRule>
          <xm:sqref>M67:M68 M58:M61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A66C-32A7-439E-BBE5-6A8D9C519069}">
  <sheetPr>
    <tabColor theme="1"/>
  </sheetPr>
  <dimension ref="A1:BD226"/>
  <sheetViews>
    <sheetView showGridLines="0" workbookViewId="0">
      <pane xSplit="3" ySplit="2" topLeftCell="AK188" activePane="bottomRight" state="frozen"/>
      <selection pane="topRight"/>
      <selection pane="bottomLeft"/>
      <selection pane="bottomRight" activeCell="AN2" sqref="AN2"/>
    </sheetView>
  </sheetViews>
  <sheetFormatPr baseColWidth="10" defaultColWidth="9.1640625" defaultRowHeight="15.75" customHeight="1" outlineLevelRow="1" outlineLevelCol="1"/>
  <cols>
    <col min="1" max="1" width="2.6640625" customWidth="1"/>
    <col min="2" max="2" width="48" style="95" customWidth="1"/>
    <col min="3" max="3" width="11.33203125" style="96" bestFit="1" customWidth="1"/>
    <col min="4" max="4" width="9.5" style="96" bestFit="1" customWidth="1"/>
    <col min="5" max="5" width="9.33203125" style="96" bestFit="1" customWidth="1"/>
    <col min="6" max="7" width="9.83203125" style="96" bestFit="1" customWidth="1"/>
    <col min="8" max="8" width="10.1640625" style="96" bestFit="1" customWidth="1"/>
    <col min="9" max="12" width="9.83203125" style="96" bestFit="1" customWidth="1"/>
    <col min="13" max="13" width="9.6640625" style="96" bestFit="1" customWidth="1"/>
    <col min="14" max="16" width="9.83203125" style="96" bestFit="1" customWidth="1"/>
    <col min="17" max="17" width="9.6640625" style="96" bestFit="1" customWidth="1"/>
    <col min="18" max="18" width="10" style="96" bestFit="1" customWidth="1"/>
    <col min="19" max="19" width="9.83203125" style="96" bestFit="1" customWidth="1"/>
    <col min="20" max="20" width="10.83203125" style="96" bestFit="1" customWidth="1"/>
    <col min="21" max="23" width="9.83203125" style="96" bestFit="1" customWidth="1"/>
    <col min="24" max="27" width="9.6640625" style="96" bestFit="1" customWidth="1"/>
    <col min="28" max="28" width="12.5" style="96" customWidth="1"/>
    <col min="29" max="29" width="13" style="96" customWidth="1"/>
    <col min="30" max="33" width="12.5" style="96" customWidth="1"/>
    <col min="34" max="34" width="12.5" style="95" customWidth="1"/>
    <col min="35" max="35" width="12.5" customWidth="1"/>
    <col min="36" max="36" width="12.33203125" customWidth="1"/>
    <col min="37" max="38" width="12.5" customWidth="1"/>
    <col min="39" max="39" width="13.1640625" customWidth="1"/>
    <col min="40" max="40" width="13" customWidth="1"/>
    <col min="41" max="41" width="17.5" customWidth="1"/>
    <col min="42" max="50" width="14.1640625" customWidth="1" outlineLevel="1"/>
    <col min="51" max="51" width="12" customWidth="1" outlineLevel="1"/>
    <col min="53" max="54" width="10.5" customWidth="1"/>
    <col min="55" max="55" width="12.1640625" bestFit="1" customWidth="1"/>
  </cols>
  <sheetData>
    <row r="1" spans="2:55" ht="9" customHeight="1">
      <c r="AH1" s="96"/>
      <c r="AI1" s="96"/>
      <c r="AJ1" s="96"/>
      <c r="AK1" s="96"/>
      <c r="AL1" s="96"/>
      <c r="AM1" s="96"/>
      <c r="AN1" s="96"/>
      <c r="AO1" s="96"/>
      <c r="AP1" s="96"/>
      <c r="AQ1" s="96"/>
      <c r="AR1" s="96"/>
      <c r="AS1" s="96"/>
      <c r="AT1" s="96"/>
      <c r="AU1" s="96"/>
      <c r="AV1" s="96"/>
      <c r="AW1" s="96"/>
      <c r="AX1" s="96"/>
      <c r="AY1" s="96"/>
      <c r="BA1" s="96"/>
      <c r="BB1" s="96"/>
      <c r="BC1" s="96"/>
    </row>
    <row r="2" spans="2:55" s="17" customFormat="1" ht="24.75" customHeight="1">
      <c r="B2" s="97"/>
      <c r="C2" s="97"/>
      <c r="D2" s="120">
        <v>44927</v>
      </c>
      <c r="E2" s="121">
        <v>44958</v>
      </c>
      <c r="F2" s="121">
        <v>44986</v>
      </c>
      <c r="G2" s="121">
        <v>45017</v>
      </c>
      <c r="H2" s="121">
        <v>45047</v>
      </c>
      <c r="I2" s="121">
        <v>45078</v>
      </c>
      <c r="J2" s="121">
        <v>45108</v>
      </c>
      <c r="K2" s="121">
        <v>45139</v>
      </c>
      <c r="L2" s="121">
        <v>45170</v>
      </c>
      <c r="M2" s="121">
        <v>45200</v>
      </c>
      <c r="N2" s="121">
        <v>45231</v>
      </c>
      <c r="O2" s="122">
        <v>45261</v>
      </c>
      <c r="P2" s="121">
        <v>45292</v>
      </c>
      <c r="Q2" s="121">
        <v>45323</v>
      </c>
      <c r="R2" s="121">
        <v>45352</v>
      </c>
      <c r="S2" s="121">
        <v>45383</v>
      </c>
      <c r="T2" s="121">
        <v>45413</v>
      </c>
      <c r="U2" s="121">
        <v>45444</v>
      </c>
      <c r="V2" s="121">
        <v>45474</v>
      </c>
      <c r="W2" s="121">
        <v>45505</v>
      </c>
      <c r="X2" s="121">
        <v>45536</v>
      </c>
      <c r="Y2" s="121">
        <v>45566</v>
      </c>
      <c r="Z2" s="121">
        <v>45597</v>
      </c>
      <c r="AA2" s="121">
        <v>45627</v>
      </c>
      <c r="AB2" s="120">
        <v>45658</v>
      </c>
      <c r="AC2" s="121">
        <v>45689</v>
      </c>
      <c r="AD2" s="121">
        <v>45717</v>
      </c>
      <c r="AE2" s="121">
        <v>45748</v>
      </c>
      <c r="AF2" s="121">
        <v>45778</v>
      </c>
      <c r="AG2" s="121">
        <v>45809</v>
      </c>
      <c r="AH2" s="121">
        <v>45839</v>
      </c>
      <c r="AI2" s="121">
        <v>45870</v>
      </c>
      <c r="AJ2" s="121">
        <v>45901</v>
      </c>
      <c r="AK2" s="121">
        <v>45931</v>
      </c>
      <c r="AL2" s="121">
        <v>45962</v>
      </c>
      <c r="AM2" s="121">
        <v>45992</v>
      </c>
      <c r="AN2" s="120">
        <v>46023</v>
      </c>
      <c r="AO2" s="121">
        <v>46054</v>
      </c>
      <c r="AP2" s="121"/>
      <c r="AQ2" s="121"/>
      <c r="AR2" s="121"/>
      <c r="AS2" s="121"/>
      <c r="AT2" s="121"/>
      <c r="AU2" s="121"/>
      <c r="AV2" s="121"/>
      <c r="AW2" s="121"/>
      <c r="AX2" s="121"/>
      <c r="AY2" s="121"/>
      <c r="AZ2" s="432"/>
      <c r="BA2" s="460" t="s">
        <v>112</v>
      </c>
      <c r="BB2" s="461">
        <v>2024</v>
      </c>
      <c r="BC2" s="408">
        <v>2025</v>
      </c>
    </row>
    <row r="3" spans="2:55" s="66" customFormat="1" ht="19.5" customHeight="1">
      <c r="B3" s="98" t="s">
        <v>113</v>
      </c>
      <c r="C3" s="99" t="s">
        <v>114</v>
      </c>
      <c r="D3" s="123">
        <v>992</v>
      </c>
      <c r="E3" s="102">
        <v>957</v>
      </c>
      <c r="F3" s="102">
        <v>1079</v>
      </c>
      <c r="G3" s="102">
        <v>1120</v>
      </c>
      <c r="H3" s="102">
        <v>1068</v>
      </c>
      <c r="I3" s="102">
        <v>983</v>
      </c>
      <c r="J3" s="102">
        <v>920</v>
      </c>
      <c r="K3" s="102">
        <v>987</v>
      </c>
      <c r="L3" s="102">
        <v>836</v>
      </c>
      <c r="M3" s="102">
        <v>887</v>
      </c>
      <c r="N3" s="102">
        <v>1034</v>
      </c>
      <c r="O3" s="124">
        <v>735</v>
      </c>
      <c r="P3" s="113">
        <v>863</v>
      </c>
      <c r="Q3" s="102">
        <v>654</v>
      </c>
      <c r="R3" s="102">
        <v>801</v>
      </c>
      <c r="S3" s="102">
        <v>826</v>
      </c>
      <c r="T3" s="102">
        <v>893</v>
      </c>
      <c r="U3" s="102">
        <v>691</v>
      </c>
      <c r="V3" s="102">
        <v>907</v>
      </c>
      <c r="W3" s="102">
        <v>953</v>
      </c>
      <c r="X3" s="102">
        <v>948</v>
      </c>
      <c r="Y3" s="102">
        <v>1074</v>
      </c>
      <c r="Z3" s="102">
        <v>1064</v>
      </c>
      <c r="AA3" s="145">
        <v>1082</v>
      </c>
      <c r="AB3" s="275">
        <v>1220</v>
      </c>
      <c r="AC3" s="175">
        <v>1151</v>
      </c>
      <c r="AD3" s="175">
        <v>1134</v>
      </c>
      <c r="AE3" s="175">
        <v>1126</v>
      </c>
      <c r="AF3" s="175">
        <v>1127.684</v>
      </c>
      <c r="AG3" s="175">
        <v>816.47400000000005</v>
      </c>
      <c r="AH3" s="175">
        <f>SUMIFS('TABLERO DIARIO'!$I$6:$ZZ$6,'TABLERO DIARIO'!$I$2:$ZZ$2,"&gt;="&amp;DATE(2025,MONTH(AH$2),1),'TABLERO DIARIO'!$I$2:$ZZ$2,"&lt;="&amp;EOMONTH(AH$2,0))/1000</f>
        <v>1119.4608000000001</v>
      </c>
      <c r="AI3" s="175">
        <f>SUMIFS('TABLERO DIARIO'!$I$6:$ZZ$6,'TABLERO DIARIO'!$I$2:$ZZ$2,"&gt;="&amp;DATE(2025,MONTH(AI$2),1),'TABLERO DIARIO'!$I$2:$ZZ$2,"&lt;="&amp;EOMONTH(AI$2,0))/1000</f>
        <v>947.08420000000001</v>
      </c>
      <c r="AJ3" s="175">
        <f>SUMIFS('TABLERO DIARIO'!$I$6:$ABL$6,'TABLERO DIARIO'!$I$2:$ABL$2,"&gt;="&amp;DATE(2025,MONTH(AJ$2),1),'TABLERO DIARIO'!$I$2:$ABL$2,"&lt;="&amp;EOMONTH(AJ$2,0))/1000</f>
        <v>1009.3253</v>
      </c>
      <c r="AK3" s="175">
        <f>SUMIFS('TABLERO DIARIO'!$I$6:$AEV$6,'TABLERO DIARIO'!$I$2:$AEV$2,"&gt;="&amp;DATE(2025,MONTH(AK$2),1),'TABLERO DIARIO'!$I$2:$AEV$2,"&lt;="&amp;EOMONTH(AK$2,0))/1000</f>
        <v>1079.8902</v>
      </c>
      <c r="AL3" s="175">
        <f>SUMIFS('TABLERO DIARIO'!$I$6:$AMA$6,'TABLERO DIARIO'!$I$2:$AMA$2,"&gt;="&amp;DATE(2025,MONTH(AL$2),1),'TABLERO DIARIO'!$I$2:$AMA$2,"&lt;="&amp;EOMONTH(AL$2,0))/1000</f>
        <v>984.77470000000005</v>
      </c>
      <c r="AM3" s="409">
        <f>SUMIFS('TABLERO DIARIO'!$I$6:$AMA$6,'TABLERO DIARIO'!$I$2:$AMA$2,"&gt;="&amp;DATE(2025,MONTH(AM$2),1),'TABLERO DIARIO'!$I$2:$AMA$2,"&lt;="&amp;EOMONTH(AM$2,0))/1000</f>
        <v>1089.6388999999999</v>
      </c>
      <c r="AN3" s="275">
        <f>SUMIFS('TABLERO DIARIO'!$ALW$6:$ASW$6,'TABLERO DIARIO'!$ALW$2:$ASW$2,"&gt;="&amp;DATE(2026,MONTH(AN$2),1),'TABLERO DIARIO'!$ALW$2:$ASW$2,"&lt;="&amp;EOMONTH(AN$2,0))/1000</f>
        <v>1163.6428859999999</v>
      </c>
      <c r="AO3" s="175">
        <f>SUMIFS('TABLERO DIARIO'!$ALW$6:$ASW$6,'TABLERO DIARIO'!$ALW$2:$ASW$2,"&gt;="&amp;DATE(2026,MONTH(AO$2),1),'TABLERO DIARIO'!$ALW$2:$ASW$2,"&lt;="&amp;EOMONTH(AO$2,0))/1000</f>
        <v>1070.7313000000001</v>
      </c>
      <c r="AP3" s="175"/>
      <c r="AQ3" s="175"/>
      <c r="AR3" s="175"/>
      <c r="AS3" s="175"/>
      <c r="AT3" s="175"/>
      <c r="AU3" s="175"/>
      <c r="AV3" s="175"/>
      <c r="AW3" s="175"/>
      <c r="AX3" s="175"/>
      <c r="AY3" s="409"/>
      <c r="AZ3" s="433"/>
      <c r="BA3" s="440">
        <f>IFERROR(AVERAGE(D3:O3),"-")</f>
        <v>966.5</v>
      </c>
      <c r="BB3" s="175">
        <f>IFERROR(AVERAGE(P3:AA3),"-")</f>
        <v>896.33333333333337</v>
      </c>
      <c r="BC3" s="426">
        <f t="shared" ref="BC3:BC22" si="0">IFERROR(SUMIFS(AB3:AM3,AB3:AM3,"&lt;&gt;0",AB3:AM3,"&lt;&gt;-",AB3:AM3,"&lt;&gt;",AB3:AM3,"&lt;&gt; ")/COUNTIFS(AB3:AM3,"&lt;&gt;0",AB3:AM3,"&lt;&gt;-",AB3:AM3,"&lt;&gt;",AB3:AM3,"&lt;&gt; "),"-")</f>
        <v>1067.1110083333333</v>
      </c>
    </row>
    <row r="4" spans="2:55" ht="19.5" customHeight="1">
      <c r="B4" s="100" t="s">
        <v>115</v>
      </c>
      <c r="C4" s="99" t="s">
        <v>114</v>
      </c>
      <c r="D4" s="125">
        <v>1141</v>
      </c>
      <c r="E4" s="103">
        <v>1047</v>
      </c>
      <c r="F4" s="103">
        <v>1119</v>
      </c>
      <c r="G4" s="103">
        <v>1071</v>
      </c>
      <c r="H4" s="103">
        <v>1096</v>
      </c>
      <c r="I4" s="103">
        <v>1065</v>
      </c>
      <c r="J4" s="103">
        <v>1108</v>
      </c>
      <c r="K4" s="103">
        <v>966</v>
      </c>
      <c r="L4" s="103">
        <v>882</v>
      </c>
      <c r="M4" s="103">
        <v>840</v>
      </c>
      <c r="N4" s="103">
        <v>1008</v>
      </c>
      <c r="O4" s="126">
        <v>798</v>
      </c>
      <c r="P4" s="114">
        <v>924</v>
      </c>
      <c r="Q4" s="103">
        <v>798</v>
      </c>
      <c r="R4" s="103">
        <v>777</v>
      </c>
      <c r="S4" s="103">
        <v>820</v>
      </c>
      <c r="T4" s="103">
        <v>902</v>
      </c>
      <c r="U4" s="103">
        <v>672</v>
      </c>
      <c r="V4" s="103">
        <v>940</v>
      </c>
      <c r="W4" s="103">
        <v>955</v>
      </c>
      <c r="X4" s="103">
        <v>1099</v>
      </c>
      <c r="Y4" s="103">
        <v>1107</v>
      </c>
      <c r="Z4" s="103">
        <v>1087</v>
      </c>
      <c r="AA4" s="146">
        <v>1037</v>
      </c>
      <c r="AB4" s="276">
        <v>1176</v>
      </c>
      <c r="AC4" s="277">
        <v>1126</v>
      </c>
      <c r="AD4" s="277">
        <v>1148</v>
      </c>
      <c r="AE4" s="277">
        <v>1110</v>
      </c>
      <c r="AF4" s="277">
        <v>1185</v>
      </c>
      <c r="AG4" s="277">
        <v>850</v>
      </c>
      <c r="AH4" s="277">
        <v>1140</v>
      </c>
      <c r="AI4" s="277">
        <f>+CALENDARIO!AV23</f>
        <v>945</v>
      </c>
      <c r="AJ4" s="277">
        <f>+CALENDARIO!BD23</f>
        <v>1070</v>
      </c>
      <c r="AK4" s="277">
        <f>+CALENDARIO!BL23</f>
        <v>1090</v>
      </c>
      <c r="AL4" s="277">
        <f>+CALENDARIO!BT23</f>
        <v>1015</v>
      </c>
      <c r="AM4" s="410">
        <f>+CALENDARIO!CB23</f>
        <v>1115</v>
      </c>
      <c r="AN4" s="276">
        <f>+CALENDARIO!CJ23</f>
        <v>1105</v>
      </c>
      <c r="AO4" s="277">
        <f>+CALENDARIO!CR23</f>
        <v>1050</v>
      </c>
      <c r="AP4" s="277"/>
      <c r="AQ4" s="277"/>
      <c r="AR4" s="277"/>
      <c r="AS4" s="277"/>
      <c r="AT4" s="277"/>
      <c r="AU4" s="277"/>
      <c r="AV4" s="277"/>
      <c r="AW4" s="277"/>
      <c r="AX4" s="277"/>
      <c r="AY4" s="410"/>
      <c r="AZ4" s="434"/>
      <c r="BA4" s="441">
        <f>IFERROR(AVERAGE(D4:O4),"-")</f>
        <v>1011.75</v>
      </c>
      <c r="BB4" s="277">
        <f>IFERROR(AVERAGE(P4:AA4),"-")</f>
        <v>926.5</v>
      </c>
      <c r="BC4" s="420">
        <f t="shared" si="0"/>
        <v>1080.8333333333333</v>
      </c>
    </row>
    <row r="5" spans="2:55" ht="19.5" customHeight="1">
      <c r="B5" s="100" t="s">
        <v>116</v>
      </c>
      <c r="C5" s="99" t="s">
        <v>117</v>
      </c>
      <c r="D5" s="127">
        <v>0.87</v>
      </c>
      <c r="E5" s="104">
        <v>0.91</v>
      </c>
      <c r="F5" s="104">
        <v>0.96</v>
      </c>
      <c r="G5" s="104">
        <v>1.05</v>
      </c>
      <c r="H5" s="104">
        <v>0.97</v>
      </c>
      <c r="I5" s="104">
        <v>0.92</v>
      </c>
      <c r="J5" s="104">
        <v>0.83</v>
      </c>
      <c r="K5" s="104">
        <v>1.02</v>
      </c>
      <c r="L5" s="104">
        <v>0.95</v>
      </c>
      <c r="M5" s="104">
        <v>1.06</v>
      </c>
      <c r="N5" s="104">
        <v>1.03</v>
      </c>
      <c r="O5" s="128">
        <v>0.92</v>
      </c>
      <c r="P5" s="115">
        <v>0.93</v>
      </c>
      <c r="Q5" s="104">
        <v>0.82</v>
      </c>
      <c r="R5" s="104">
        <v>1.03</v>
      </c>
      <c r="S5" s="104">
        <v>1.01</v>
      </c>
      <c r="T5" s="104">
        <v>0.99</v>
      </c>
      <c r="U5" s="104">
        <v>1.03</v>
      </c>
      <c r="V5" s="104">
        <v>0.97</v>
      </c>
      <c r="W5" s="104">
        <v>1</v>
      </c>
      <c r="X5" s="104">
        <v>0.86</v>
      </c>
      <c r="Y5" s="104">
        <v>0.97</v>
      </c>
      <c r="Z5" s="104">
        <v>0.98</v>
      </c>
      <c r="AA5" s="147">
        <v>1.04</v>
      </c>
      <c r="AB5" s="127">
        <v>1.04</v>
      </c>
      <c r="AC5" s="104">
        <f t="shared" ref="AC5:AI5" si="1">IFERROR(IF(AC3&lt;&gt;0,AC3/AC4,"-"),"FD")</f>
        <v>1.022202486678508</v>
      </c>
      <c r="AD5" s="104">
        <f t="shared" si="1"/>
        <v>0.98780487804878048</v>
      </c>
      <c r="AE5" s="104">
        <f t="shared" si="1"/>
        <v>1.0144144144144145</v>
      </c>
      <c r="AF5" s="104">
        <f t="shared" si="1"/>
        <v>0.95163206751054852</v>
      </c>
      <c r="AG5" s="104">
        <f t="shared" si="1"/>
        <v>0.96055764705882363</v>
      </c>
      <c r="AH5" s="104">
        <f t="shared" si="1"/>
        <v>0.98198315789473689</v>
      </c>
      <c r="AI5" s="104">
        <f t="shared" si="1"/>
        <v>1.0022055026455026</v>
      </c>
      <c r="AJ5" s="104">
        <f t="shared" ref="AJ5:AM5" si="2">IFERROR(IF(AJ3&lt;&gt;0,AJ3/AJ4,"-"),"FD")</f>
        <v>0.94329467289719626</v>
      </c>
      <c r="AK5" s="104">
        <f t="shared" si="2"/>
        <v>0.99072495412844042</v>
      </c>
      <c r="AL5" s="104">
        <f t="shared" si="2"/>
        <v>0.97022137931034491</v>
      </c>
      <c r="AM5" s="147">
        <f t="shared" si="2"/>
        <v>0.9772546188340806</v>
      </c>
      <c r="AN5" s="127">
        <f>IFERROR(IF(AN3&lt;&gt;0,AN3/AN4,"-"),"FD")</f>
        <v>1.0530704850678732</v>
      </c>
      <c r="AO5" s="104">
        <f>IFERROR(IF(AO3&lt;&gt;0,AO3/AO4,"-"),"FD")</f>
        <v>1.0197440952380954</v>
      </c>
      <c r="AP5" s="104"/>
      <c r="AQ5" s="104"/>
      <c r="AR5" s="104"/>
      <c r="AS5" s="104"/>
      <c r="AT5" s="104"/>
      <c r="AU5" s="104"/>
      <c r="AV5" s="104"/>
      <c r="AW5" s="104"/>
      <c r="AX5" s="104"/>
      <c r="AY5" s="147"/>
      <c r="AZ5" s="434"/>
      <c r="BA5" s="442">
        <f t="shared" ref="BA5:BB5" si="3">IFERROR(IF(BA3&lt;&gt;0,BA3/BA4,"-"),"FD")</f>
        <v>0.95527551272547562</v>
      </c>
      <c r="BB5" s="104">
        <f t="shared" si="3"/>
        <v>0.96744018708400792</v>
      </c>
      <c r="BC5" s="421">
        <f t="shared" si="0"/>
        <v>0.98685798161844807</v>
      </c>
    </row>
    <row r="6" spans="2:55" ht="19.5" customHeight="1">
      <c r="B6" s="100" t="s">
        <v>118</v>
      </c>
      <c r="C6" s="99" t="s">
        <v>114</v>
      </c>
      <c r="D6" s="129" t="s">
        <v>20</v>
      </c>
      <c r="E6" s="105" t="s">
        <v>20</v>
      </c>
      <c r="F6" s="105" t="s">
        <v>20</v>
      </c>
      <c r="G6" s="105" t="s">
        <v>20</v>
      </c>
      <c r="H6" s="105" t="s">
        <v>20</v>
      </c>
      <c r="I6" s="105" t="s">
        <v>20</v>
      </c>
      <c r="J6" s="105" t="s">
        <v>20</v>
      </c>
      <c r="K6" s="105" t="s">
        <v>20</v>
      </c>
      <c r="L6" s="105" t="s">
        <v>20</v>
      </c>
      <c r="M6" s="105" t="s">
        <v>20</v>
      </c>
      <c r="N6" s="105" t="s">
        <v>20</v>
      </c>
      <c r="O6" s="130"/>
      <c r="P6" s="116" t="s">
        <v>20</v>
      </c>
      <c r="Q6" s="105" t="s">
        <v>20</v>
      </c>
      <c r="R6" s="105" t="s">
        <v>20</v>
      </c>
      <c r="S6" s="105" t="s">
        <v>20</v>
      </c>
      <c r="T6" s="105" t="s">
        <v>20</v>
      </c>
      <c r="U6" s="105" t="s">
        <v>20</v>
      </c>
      <c r="V6" s="105" t="s">
        <v>20</v>
      </c>
      <c r="W6" s="105" t="s">
        <v>20</v>
      </c>
      <c r="X6" s="105" t="s">
        <v>20</v>
      </c>
      <c r="Y6" s="105" t="s">
        <v>20</v>
      </c>
      <c r="Z6" s="105" t="s">
        <v>20</v>
      </c>
      <c r="AA6" s="148" t="s">
        <v>20</v>
      </c>
      <c r="AB6" s="129" t="s">
        <v>20</v>
      </c>
      <c r="AC6" s="278">
        <f>(SUMIFS('TABLERO DIARIO'!$I$6:$ZZ$6,'TABLERO DIARIO'!$I$2:$ZZ$2,"&gt;="&amp;DATE(2025,MONTH(AC$2),1),'TABLERO DIARIO'!$I$2:$ZZ$2,"&lt;="&amp;EOMONTH(AC$2,0))/COUNTIFS('TABLERO DIARIO'!$I$2:$ZZ$2,"&gt;="&amp;DATE(2025,MONTH(AC$2),1),'TABLERO DIARIO'!$I$2:$ZZ$2,"&lt;="&amp;EOMONTH(AC$2,0),'TABLERO DIARIO'!$I$6:$ZZ$6,"&lt;&gt;0"))/1000</f>
        <v>41.102932142857149</v>
      </c>
      <c r="AD6" s="278">
        <f>(SUMIFS('TABLERO DIARIO'!$I$6:$ZZ$6,'TABLERO DIARIO'!$I$2:$ZZ$2,"&gt;="&amp;DATE(2025,MONTH(AD$2),1),'TABLERO DIARIO'!$I$2:$ZZ$2,"&lt;="&amp;EOMONTH(AD$2,0))/COUNTIFS('TABLERO DIARIO'!$I$2:$ZZ$2,"&gt;="&amp;DATE(2025,MONTH(AD$2),1),'TABLERO DIARIO'!$I$2:$ZZ$2,"&lt;="&amp;EOMONTH(AD$2,0),'TABLERO DIARIO'!$I$6:$ZZ$6,"&lt;&gt;0"))/1000</f>
        <v>40.50601107142856</v>
      </c>
      <c r="AE6" s="278">
        <f>(SUMIFS('TABLERO DIARIO'!$I$6:$ZZ$6,'TABLERO DIARIO'!$I$2:$ZZ$2,"&gt;="&amp;DATE(2025,MONTH(AE$2),1),'TABLERO DIARIO'!$I$2:$ZZ$2,"&lt;="&amp;EOMONTH(AE$2,0))/COUNTIFS('TABLERO DIARIO'!$I$2:$ZZ$2,"&gt;="&amp;DATE(2025,MONTH(AE$2),1),'TABLERO DIARIO'!$I$2:$ZZ$2,"&lt;="&amp;EOMONTH(AE$2,0),'TABLERO DIARIO'!$I$6:$ZZ$6,"&lt;&gt;0"))/1000</f>
        <v>43.317157692307688</v>
      </c>
      <c r="AF6" s="278">
        <f>(SUMIFS('TABLERO DIARIO'!$I$6:$ZZ$6,'TABLERO DIARIO'!$I$2:$ZZ$2,"&gt;="&amp;DATE(2025,MONTH(AF$2),1),'TABLERO DIARIO'!$I$2:$ZZ$2,"&lt;="&amp;EOMONTH(AF$2,0))/COUNTIFS('TABLERO DIARIO'!$I$2:$ZZ$2,"&gt;="&amp;DATE(2025,MONTH(AF$2),1),'TABLERO DIARIO'!$I$2:$ZZ$2,"&lt;="&amp;EOMONTH(AF$2,0),'TABLERO DIARIO'!$I$6:$ZZ$6,"&lt;&gt;0"))/1000</f>
        <v>45.107339999999994</v>
      </c>
      <c r="AG6" s="278">
        <f>(SUMIFS('TABLERO DIARIO'!$I$6:$ZZ$6,'TABLERO DIARIO'!$I$2:$ZZ$2,"&gt;="&amp;DATE(2025,MONTH(AG$2),1),'TABLERO DIARIO'!$I$2:$ZZ$2,"&lt;="&amp;EOMONTH(AG$2,0))/COUNTIFS('TABLERO DIARIO'!$I$2:$ZZ$2,"&gt;="&amp;DATE(2025,MONTH(AG$2),1),'TABLERO DIARIO'!$I$2:$ZZ$2,"&lt;="&amp;EOMONTH(AG$2,0),'TABLERO DIARIO'!$I$6:$ZZ$6,"&lt;&gt;0"))/1000</f>
        <v>42.966907157894738</v>
      </c>
      <c r="AH6" s="278">
        <f>(SUMIFS('TABLERO DIARIO'!$I$6:$ZZ$6,'TABLERO DIARIO'!$I$2:$ZZ$2,"&gt;="&amp;DATE(2025,MONTH(AH$2),1),'TABLERO DIARIO'!$I$2:$ZZ$2,"&lt;="&amp;EOMONTH(AH$2,0))/COUNTIFS('TABLERO DIARIO'!$I$2:$ZZ$2,"&gt;="&amp;DATE(2025,MONTH(AH$2),1),'TABLERO DIARIO'!$I$2:$ZZ$2,"&lt;="&amp;EOMONTH(AH$2,0),'TABLERO DIARIO'!$I$6:$ZZ$6,"&lt;&gt;0"))/1000</f>
        <v>43.056184615384623</v>
      </c>
      <c r="AI6" s="278">
        <f>IFERROR((SUMIFS('TABLERO DIARIO'!$I$6:$ZZ$6,'TABLERO DIARIO'!$I$2:$ZZ$2,"&gt;="&amp;DATE(2025,MONTH(AI$2),1),'TABLERO DIARIO'!$I$2:$ZZ$2,"&lt;="&amp;EOMONTH(AI$2,0))/COUNTIFS('TABLERO DIARIO'!$I$2:$ZZ$2,"&gt;="&amp;DATE(2025,MONTH(AI$2),1),'TABLERO DIARIO'!$I$2:$ZZ$2,"&lt;="&amp;EOMONTH(AI$2,0),'TABLERO DIARIO'!$I$6:$ZZ$6,"&lt;&gt;0"))/1000,"-")</f>
        <v>45.099247619047617</v>
      </c>
      <c r="AJ6" s="278">
        <f>IFERROR((SUMIFS('TABLERO DIARIO'!$I$6:$ABL$6,'TABLERO DIARIO'!$I$2:$ABL$2,"&gt;="&amp;DATE(2025,MONTH(AJ$2),1),'TABLERO DIARIO'!$I$2:$ABL$2,"&lt;="&amp;EOMONTH(AJ$2,0))/COUNTIFS('TABLERO DIARIO'!$I$2:$ABL$2,"&gt;="&amp;DATE(2025,MONTH(AJ$2),1),'TABLERO DIARIO'!$I$2:$ABL$2,"&lt;="&amp;EOMONTH(AJ$2,0),'TABLERO DIARIO'!$I$6:$ABL$6,"&lt;&gt;0"))/1000,"-")</f>
        <v>42.05522083333333</v>
      </c>
      <c r="AK6" s="278">
        <f>IFERROR((SUMIFS('TABLERO DIARIO'!$I$6:$AEV$6,'TABLERO DIARIO'!$I$2:$AEV$2,"&gt;="&amp;DATE(2025,MONTH(AK$2),1),'TABLERO DIARIO'!$I$2:$AEV$2,"&lt;="&amp;EOMONTH(AK$2,0))/COUNTIFS('TABLERO DIARIO'!$I$2:$AEV$2,"&gt;="&amp;DATE(2025,MONTH(AK$2),1),'TABLERO DIARIO'!$I$2:$AEV$2,"&lt;="&amp;EOMONTH(AK$2,0),'TABLERO DIARIO'!$I$6:$AEV$6,"&lt;&gt;0"))/1000,"-")</f>
        <v>38.567507142857139</v>
      </c>
      <c r="AL6" s="278">
        <f>IFERROR((SUMIFS('TABLERO DIARIO'!$AEV$6:$AMA$6,'TABLERO DIARIO'!$AEV$2:$AMA$2,"&gt;="&amp;DATE(2025,MONTH(AL$2),1),'TABLERO DIARIO'!$AEV$2:$AMA$2,"&lt;="&amp;EOMONTH(AL$2,0))/COUNTIFS('TABLERO DIARIO'!$AEV$2:$AMA$2,"&gt;="&amp;DATE(2025,MONTH(AL$2),1),'TABLERO DIARIO'!$AEV$2:$AMA$2,"&lt;="&amp;EOMONTH(AL$2,0),'TABLERO DIARIO'!$AEV$6:$AMA$6,"&lt;&gt;0"))/1000,"-")</f>
        <v>37.875950000000003</v>
      </c>
      <c r="AM6" s="411">
        <f>IFERROR((SUMIFS('TABLERO DIARIO'!$AEV$6:$AMA$6,'TABLERO DIARIO'!$AEV$2:$AMA$2,"&gt;="&amp;DATE(2025,MONTH(AM$2),1),'TABLERO DIARIO'!$AEV$2:$AMA$2,"&lt;="&amp;EOMONTH(AM$2,0))/COUNTIFS('TABLERO DIARIO'!$AEV$2:$AMA$2,"&gt;="&amp;DATE(2025,MONTH(AM$2),1),'TABLERO DIARIO'!$AEV$2:$AMA$2,"&lt;="&amp;EOMONTH(AM$2,0),'TABLERO DIARIO'!$AEV$6:$AMA$6,"&lt;&gt;0"))/1000,"-")</f>
        <v>38.915674999999993</v>
      </c>
      <c r="AN6" s="129">
        <f>IFERROR((SUMIFS('TABLERO DIARIO'!$AEV$6:$ASW$6,'TABLERO DIARIO'!$AEV$2:$ASW$2,"&gt;="&amp;DATE(2026,MONTH(AN$2),1),'TABLERO DIARIO'!$AEV$2:$ASW$2,"&lt;="&amp;EOMONTH(AN$2,0))/COUNTIFS('TABLERO DIARIO'!$AEV$2:$ASW$2,"&gt;="&amp;DATE(2026,MONTH(AN$2),1),'TABLERO DIARIO'!$AEV$2:$ASW$2,"&lt;="&amp;EOMONTH(AN$2,0),'TABLERO DIARIO'!$AEV$6:$ASW$6,"&lt;&gt;0"))/1000,"-")</f>
        <v>43.097884666666666</v>
      </c>
      <c r="AO6" s="278">
        <f>IFERROR((SUMIFS('TABLERO DIARIO'!$AEV$6:$ASW$6,'TABLERO DIARIO'!$AEV$2:$ASW$2,"&gt;="&amp;DATE(2026,MONTH(AO$2),1),'TABLERO DIARIO'!$AEV$2:$ASW$2,"&lt;="&amp;EOMONTH(AO$2,0))/COUNTIFS('TABLERO DIARIO'!$AEV$2:$ASW$2,"&gt;="&amp;DATE(2026,MONTH(AO$2),1),'TABLERO DIARIO'!$AEV$2:$ASW$2,"&lt;="&amp;EOMONTH(AO$2,0),'TABLERO DIARIO'!$AEV$6:$ASW$6,"&lt;&gt;0"))/1000,"-")</f>
        <v>44.613804166666668</v>
      </c>
      <c r="AP6" s="278"/>
      <c r="AQ6" s="278"/>
      <c r="AR6" s="278"/>
      <c r="AS6" s="278"/>
      <c r="AT6" s="278"/>
      <c r="AU6" s="278"/>
      <c r="AV6" s="278"/>
      <c r="AW6" s="278"/>
      <c r="AX6" s="278"/>
      <c r="AY6" s="411"/>
      <c r="AZ6" s="434"/>
      <c r="BA6" s="441" t="str">
        <f t="shared" ref="BA6:BA8" si="4">IFERROR(AVERAGE(D6:O6),"-")</f>
        <v>-</v>
      </c>
      <c r="BB6" s="277" t="str">
        <f t="shared" ref="BB6:BB8" si="5">IFERROR(AVERAGE(P6:AA6),"-")</f>
        <v>-</v>
      </c>
      <c r="BC6" s="462">
        <f t="shared" si="0"/>
        <v>41.688193934100987</v>
      </c>
    </row>
    <row r="7" spans="2:55" ht="19.5" customHeight="1">
      <c r="B7" s="100" t="s">
        <v>119</v>
      </c>
      <c r="C7" s="99" t="s">
        <v>114</v>
      </c>
      <c r="D7" s="348"/>
      <c r="E7" s="349"/>
      <c r="F7" s="349"/>
      <c r="G7" s="349"/>
      <c r="H7" s="349"/>
      <c r="I7" s="349"/>
      <c r="J7" s="349"/>
      <c r="K7" s="349"/>
      <c r="L7" s="349"/>
      <c r="M7" s="349"/>
      <c r="N7" s="349"/>
      <c r="O7" s="350"/>
      <c r="P7" s="351"/>
      <c r="Q7" s="349"/>
      <c r="R7" s="349"/>
      <c r="S7" s="349"/>
      <c r="T7" s="349"/>
      <c r="U7" s="349"/>
      <c r="V7" s="349"/>
      <c r="W7" s="349"/>
      <c r="X7" s="349"/>
      <c r="Y7" s="349"/>
      <c r="Z7" s="349"/>
      <c r="AA7" s="352"/>
      <c r="AB7" s="348"/>
      <c r="AC7" s="353">
        <f>(SUMIFS('TABLERO DIARIO'!$I$6:$ZZ$6,'TABLERO DIARIO'!$I$2:$ZZ$2,"&gt;="&amp;DATE(2025,MONTH(AC$2),1),'TABLERO DIARIO'!$I$2:$ZZ$2,"&lt;="&amp;EOMONTH(AC$2,0),'TABLERO DIARIO'!$I$5:$ZZ$5,"SDF")/COUNTIFS('TABLERO DIARIO'!$I$2:$ZZ$2,"&gt;="&amp;DATE(2025,MONTH(AC$2),1),'TABLERO DIARIO'!$I$2:$ZZ$2,"&lt;="&amp;EOMONTH(AC$2,0),'TABLERO DIARIO'!$I$5:$ZZ$5,"SDF",'TABLERO DIARIO'!$I$6:$ZZ$6,"&lt;&gt;0"))/1000</f>
        <v>32.164625000000001</v>
      </c>
      <c r="AD7" s="353">
        <f>(SUMIFS('TABLERO DIARIO'!$I$6:$ZZ$6,'TABLERO DIARIO'!$I$2:$ZZ$2,"&gt;="&amp;DATE(2025,MONTH(AD$2),1),'TABLERO DIARIO'!$I$2:$ZZ$2,"&lt;="&amp;EOMONTH(AD$2,0),'TABLERO DIARIO'!$I$5:$ZZ$5,"SDF")/COUNTIFS('TABLERO DIARIO'!$I$2:$ZZ$2,"&gt;="&amp;DATE(2025,MONTH(AD$2),1),'TABLERO DIARIO'!$I$2:$ZZ$2,"&lt;="&amp;EOMONTH(AD$2,0),'TABLERO DIARIO'!$I$5:$ZZ$5,"SDF",'TABLERO DIARIO'!$I$6:$ZZ$6,"&lt;&gt;0"))/1000</f>
        <v>35.487044285714283</v>
      </c>
      <c r="AE7" s="353">
        <f>(SUMIFS('TABLERO DIARIO'!$I$6:$ZZ$6,'TABLERO DIARIO'!$I$2:$ZZ$2,"&gt;="&amp;DATE(2025,MONTH(AE$2),1),'TABLERO DIARIO'!$I$2:$ZZ$2,"&lt;="&amp;EOMONTH(AE$2,0),'TABLERO DIARIO'!$I$5:$ZZ$5,"SDF")/COUNTIFS('TABLERO DIARIO'!$I$2:$ZZ$2,"&gt;="&amp;DATE(2025,MONTH(AE$2),1),'TABLERO DIARIO'!$I$2:$ZZ$2,"&lt;="&amp;EOMONTH(AE$2,0),'TABLERO DIARIO'!$I$5:$ZZ$5,"SDF",'TABLERO DIARIO'!$I$6:$ZZ$6,"&lt;&gt;0"))/1000</f>
        <v>32.404240000000001</v>
      </c>
      <c r="AF7" s="353">
        <f>(SUMIFS('TABLERO DIARIO'!$I$6:$ZZ$6,'TABLERO DIARIO'!$I$2:$ZZ$2,"&gt;="&amp;DATE(2025,MONTH(AF$2),1),'TABLERO DIARIO'!$I$2:$ZZ$2,"&lt;="&amp;EOMONTH(AF$2,0),'TABLERO DIARIO'!$I$5:$ZZ$5,"SDF")/COUNTIFS('TABLERO DIARIO'!$I$2:$ZZ$2,"&gt;="&amp;DATE(2025,MONTH(AF$2),1),'TABLERO DIARIO'!$I$2:$ZZ$2,"&lt;="&amp;EOMONTH(AF$2,0),'TABLERO DIARIO'!$I$5:$ZZ$5,"SDF",'TABLERO DIARIO'!$I$6:$ZZ$6,"&lt;&gt;0"))/1000</f>
        <v>41.107675</v>
      </c>
      <c r="AG7" s="353">
        <f>(SUMIFS('TABLERO DIARIO'!$I$6:$ZZ$6,'TABLERO DIARIO'!$I$2:$ZZ$2,"&gt;="&amp;DATE(2025,MONTH(AG$2),1),'TABLERO DIARIO'!$I$2:$ZZ$2,"&lt;="&amp;EOMONTH(AG$2,0),'TABLERO DIARIO'!$I$5:$ZZ$5,"SDF")/COUNTIFS('TABLERO DIARIO'!$I$2:$ZZ$2,"&gt;="&amp;DATE(2025,MONTH(AG$2),1),'TABLERO DIARIO'!$I$2:$ZZ$2,"&lt;="&amp;EOMONTH(AG$2,0),'TABLERO DIARIO'!$I$5:$ZZ$5,"SDF",'TABLERO DIARIO'!$I$6:$ZZ$6,"&lt;&gt;0"))/1000</f>
        <v>42.125999999999998</v>
      </c>
      <c r="AH7" s="353">
        <f>(SUMIFS('TABLERO DIARIO'!$I$6:$ZZ$6,'TABLERO DIARIO'!$I$2:$ZZ$2,"&gt;="&amp;DATE(2025,MONTH(AH$2),1),'TABLERO DIARIO'!$I$2:$ZZ$2,"&lt;="&amp;EOMONTH(AH$2,0),'TABLERO DIARIO'!$I$5:$ZZ$5,"SDF")/COUNTIFS('TABLERO DIARIO'!$I$2:$ZZ$2,"&gt;="&amp;DATE(2025,MONTH(AH$2),1),'TABLERO DIARIO'!$I$2:$ZZ$2,"&lt;="&amp;EOMONTH(AH$2,0),'TABLERO DIARIO'!$I$5:$ZZ$5,"SDF",'TABLERO DIARIO'!$I$6:$ZZ$6,"&lt;&gt;0"))/1000</f>
        <v>38.040649999999999</v>
      </c>
      <c r="AI7" s="353" t="str">
        <f>IFERROR((SUMIFS('TABLERO DIARIO'!$I$6:$ZZ$6,'TABLERO DIARIO'!$I$2:$ZZ$2,"&gt;="&amp;DATE(2025,MONTH(AI$2),1),'TABLERO DIARIO'!$I$2:$ZZ$2,"&lt;="&amp;EOMONTH(AI$2,0),'TABLERO DIARIO'!$I$5:$ZZ$5,"SDF")/COUNTIFS('TABLERO DIARIO'!$I$2:$ZZ$2,"&gt;="&amp;DATE(2025,MONTH(AI$2),1),'TABLERO DIARIO'!$I$2:$ZZ$2,"&lt;="&amp;EOMONTH(AI$2,0),'TABLERO DIARIO'!$I$5:$ZZ$5,"SDF",'TABLERO DIARIO'!$I$6:$ZZ$6,"&lt;&gt;0"))/1000,"-")</f>
        <v>-</v>
      </c>
      <c r="AJ7" s="353">
        <f>IFERROR((SUMIFS('TABLERO DIARIO'!$I$6:$ABL$6,'TABLERO DIARIO'!$I$2:$ABL$2,"&gt;="&amp;DATE(2025,MONTH(AJ$2),1),'TABLERO DIARIO'!$I$2:$ABL$2,"&lt;="&amp;EOMONTH(AJ$2,0),'TABLERO DIARIO'!$I$5:$ABL$5,"SDF")/COUNTIFS('TABLERO DIARIO'!$I$2:$ABL$2,"&gt;="&amp;DATE(2025,MONTH(AJ$2),1),'TABLERO DIARIO'!$I$2:$ABL$2,"&lt;="&amp;EOMONTH(AJ$2,0),'TABLERO DIARIO'!$I$5:$ABL$5,"SDF",'TABLERO DIARIO'!$I$6:$ABL$6,"&lt;&gt;0"))/1000,"-")</f>
        <v>37.438199999999995</v>
      </c>
      <c r="AK7" s="353">
        <f>IFERROR((SUMIFS('TABLERO DIARIO'!$I$6:$AEV$6,'TABLERO DIARIO'!$I$2:$AEV$2,"&gt;="&amp;DATE(2025,MONTH(AK$2),1),'TABLERO DIARIO'!$I$2:$AEV$2,"&lt;="&amp;EOMONTH(AK$2,0),'TABLERO DIARIO'!$I$5:$AEV$5,"SDF")/(-2+COUNTIFS('TABLERO DIARIO'!$I$2:$AEV$2,"&gt;="&amp;DATE(2025,MONTH(AK$2),1),'TABLERO DIARIO'!$I$2:$AEV$2,"&lt;="&amp;EOMONTH(AK$2,0),'TABLERO DIARIO'!$I$5:$AEV$5,"SDF",'TABLERO DIARIO'!$I$6:$AEV$6,"&lt;&gt;0")))/1000,"-")</f>
        <v>37.536000000000001</v>
      </c>
      <c r="AL7" s="353">
        <f>IFERROR(((SUMIFS('TABLERO DIARIO'!$AEV$7:$ALW$7,'TABLERO DIARIO'!$AEV$2:$ALW$2,"&gt;="&amp;DATE(2025,MONTH(AL$2),1),'TABLERO DIARIO'!$AEV$2:$ALW$2,"&lt;="&amp;EOMONTH(AL$2,0),'TABLERO DIARIO'!$AEV$5:$ALW$5,"SDF")+SUMIFS('TABLERO DIARIO'!$AEV$8:$ALW$8,'TABLERO DIARIO'!$AEV$2:$ALW$2,"&gt;="&amp;DATE(2025,MONTH(AL$2),1),'TABLERO DIARIO'!$AEV$2:$ALW$2,"&lt;="&amp;EOMONTH(AL$2,0),'TABLERO DIARIO'!$AEV$5:$ALW$5,"SDF"))/(COUNTIFS('TABLERO DIARIO'!$AEV$2:$ALW$2,"&gt;="&amp;DATE(2025,MONTH(AL$2),1),'TABLERO DIARIO'!$AEV$2:$ALW$2,"&lt;="&amp;EOMONTH(AL$2,0),'TABLERO DIARIO'!$AEV$5:$ALW$5,"SDF",'TABLERO DIARIO'!$AEV$7:$ALW$7,"&lt;&gt;0")+COUNTIFS('TABLERO DIARIO'!$AEV$2:$ALW$2,"&gt;="&amp;DATE(2025,MONTH(AL$2),1),'TABLERO DIARIO'!$AEV$2:$ALW$2,"&lt;="&amp;EOMONTH(AL$2,0),'TABLERO DIARIO'!$AEV$5:$ALW$5,"SDF",'TABLERO DIARIO'!$AEV$8:$ALW$8,"&lt;&gt;0"))*2)/1000,"-")</f>
        <v>38.43665</v>
      </c>
      <c r="AM7" s="412">
        <f>IFERROR(((SUMIFS('TABLERO DIARIO'!$AEV$7:$ALW$7,'TABLERO DIARIO'!$AEV$2:$ALW$2,"&gt;="&amp;DATE(2025,MONTH(AM$2),1),'TABLERO DIARIO'!$AEV$2:$ALW$2,"&lt;="&amp;EOMONTH(AM$2,0),'TABLERO DIARIO'!$AEV$5:$ALW$5,"SDF")+SUMIFS('TABLERO DIARIO'!$AEV$8:$ALW$8,'TABLERO DIARIO'!$AEV$2:$ALW$2,"&gt;="&amp;DATE(2025,MONTH(AM$2),1),'TABLERO DIARIO'!$AEV$2:$ALW$2,"&lt;="&amp;EOMONTH(AM$2,0),'TABLERO DIARIO'!$AEV$5:$ALW$5,"SDF"))/(COUNTIFS('TABLERO DIARIO'!$AEV$2:$ALW$2,"&gt;="&amp;DATE(2025,MONTH(AM$2),1),'TABLERO DIARIO'!$AEV$2:$ALW$2,"&lt;="&amp;EOMONTH(AM$2,0),'TABLERO DIARIO'!$AEV$5:$ALW$5,"SDF",'TABLERO DIARIO'!$AEV$7:$ALW$7,"&lt;&gt;0")+COUNTIFS('TABLERO DIARIO'!$AEV$2:$ALW$2,"&gt;="&amp;DATE(2025,MONTH(AM$2),1),'TABLERO DIARIO'!$AEV$2:$ALW$2,"&lt;="&amp;EOMONTH(AM$2,0),'TABLERO DIARIO'!$AEV$5:$ALW$5,"SDF",'TABLERO DIARIO'!$AEV$8:$ALW$8,"&lt;&gt;0"))*2)/1000,"-")</f>
        <v>36.045215384615389</v>
      </c>
      <c r="AN7" s="1109">
        <f>IFERROR(((SUMIFS('TABLERO DIARIO'!$ALW$7:$ASW$7,'TABLERO DIARIO'!$ALW$2:$ASW$2,"&gt;="&amp;DATE(2026,MONTH(AN$2),1),'TABLERO DIARIO'!$ALW$2:$ASW$2,"&lt;="&amp;EOMONTH(AN$2,0),'TABLERO DIARIO'!$ALW$5:$ASW$5,"SDF")+SUMIFS('TABLERO DIARIO'!$ALW$8:$ASW$8,'TABLERO DIARIO'!$ALW$2:$ASW$2,"&gt;="&amp;DATE(2026,MONTH(AN$2),1),'TABLERO DIARIO'!$ALW$2:$ASW$2,"&lt;="&amp;EOMONTH(AN$2,0),'TABLERO DIARIO'!$ALW$5:$ASW$5,"SDF"))/(COUNTIFS('TABLERO DIARIO'!$ALW$2:$ASW$2,"&gt;="&amp;DATE(2026,MONTH(AN$2),1),'TABLERO DIARIO'!$ALW$2:$ASW$2,"&lt;="&amp;EOMONTH(AN$2,0),'TABLERO DIARIO'!$ALW$5:$ASW$5,"SDF",'TABLERO DIARIO'!$ALW$7:$ASW$7,"&lt;&gt;0")+COUNTIFS('TABLERO DIARIO'!$ALW$2:$ASW$2,"&gt;="&amp;DATE(2026,MONTH(AN$2),1),'TABLERO DIARIO'!$ALW$2:$ASW$2,"&lt;="&amp;EOMONTH(AN$2,0),'TABLERO DIARIO'!$ALW$5:$ASW$5,"SDF",'TABLERO DIARIO'!$ALW$8:$ASW$8,"&lt;&gt;0"))*2)/1000,"-")</f>
        <v>39.393464333333334</v>
      </c>
      <c r="AO7" s="353">
        <f>IFERROR(((SUMIFS('TABLERO DIARIO'!$ALW$7:$ASW$7,'TABLERO DIARIO'!$ALW$2:$ASW$2,"&gt;="&amp;DATE(2026,MONTH(AO$2),1),'TABLERO DIARIO'!$ALW$2:$ASW$2,"&lt;="&amp;EOMONTH(AO$2,0),'TABLERO DIARIO'!$ALW$5:$ASW$5,"SDF")+SUMIFS('TABLERO DIARIO'!$ALW$8:$ASW$8,'TABLERO DIARIO'!$ALW$2:$ASW$2,"&gt;="&amp;DATE(2026,MONTH(AO$2),1),'TABLERO DIARIO'!$ALW$2:$ASW$2,"&lt;="&amp;EOMONTH(AO$2,0),'TABLERO DIARIO'!$ALW$5:$ASW$5,"SDF"))/(COUNTIFS('TABLERO DIARIO'!$ALW$2:$ASW$2,"&gt;="&amp;DATE(2026,MONTH(AO$2),1),'TABLERO DIARIO'!$ALW$2:$ASW$2,"&lt;="&amp;EOMONTH(AO$2,0),'TABLERO DIARIO'!$ALW$5:$ASW$5,"SDF",'TABLERO DIARIO'!$ALW$7:$ASW$7,"&lt;&gt;0")+COUNTIFS('TABLERO DIARIO'!$ALW$2:$ASW$2,"&gt;="&amp;DATE(2026,MONTH(AO$2),1),'TABLERO DIARIO'!$ALW$2:$ASW$2,"&lt;="&amp;EOMONTH(AO$2,0),'TABLERO DIARIO'!$ALW$5:$ASW$5,"SDF",'TABLERO DIARIO'!$ALW$8:$ASW$8,"&lt;&gt;0"))*2)/1000,"-")</f>
        <v>40.433066666666676</v>
      </c>
      <c r="AP7" s="353"/>
      <c r="AQ7" s="353"/>
      <c r="AR7" s="353"/>
      <c r="AS7" s="353"/>
      <c r="AT7" s="353"/>
      <c r="AU7" s="353"/>
      <c r="AV7" s="353"/>
      <c r="AW7" s="353"/>
      <c r="AX7" s="353"/>
      <c r="AY7" s="412"/>
      <c r="AZ7" s="436"/>
      <c r="BA7" s="441" t="str">
        <f t="shared" si="4"/>
        <v>-</v>
      </c>
      <c r="BB7" s="277" t="str">
        <f t="shared" si="5"/>
        <v>-</v>
      </c>
      <c r="BC7" s="462">
        <f t="shared" si="0"/>
        <v>37.078629967032967</v>
      </c>
    </row>
    <row r="8" spans="2:55" ht="19.5" customHeight="1">
      <c r="B8" s="107" t="s">
        <v>120</v>
      </c>
      <c r="C8" s="108" t="s">
        <v>114</v>
      </c>
      <c r="D8" s="131" t="s">
        <v>20</v>
      </c>
      <c r="E8" s="111" t="s">
        <v>20</v>
      </c>
      <c r="F8" s="111" t="s">
        <v>20</v>
      </c>
      <c r="G8" s="111" t="s">
        <v>20</v>
      </c>
      <c r="H8" s="111" t="s">
        <v>20</v>
      </c>
      <c r="I8" s="111" t="s">
        <v>20</v>
      </c>
      <c r="J8" s="111" t="s">
        <v>20</v>
      </c>
      <c r="K8" s="111" t="s">
        <v>20</v>
      </c>
      <c r="L8" s="111" t="s">
        <v>20</v>
      </c>
      <c r="M8" s="111" t="s">
        <v>20</v>
      </c>
      <c r="N8" s="111" t="s">
        <v>20</v>
      </c>
      <c r="O8" s="132"/>
      <c r="P8" s="117" t="s">
        <v>20</v>
      </c>
      <c r="Q8" s="111" t="s">
        <v>20</v>
      </c>
      <c r="R8" s="111" t="s">
        <v>20</v>
      </c>
      <c r="S8" s="111" t="s">
        <v>20</v>
      </c>
      <c r="T8" s="111" t="s">
        <v>20</v>
      </c>
      <c r="U8" s="111" t="s">
        <v>20</v>
      </c>
      <c r="V8" s="111" t="s">
        <v>20</v>
      </c>
      <c r="W8" s="111" t="s">
        <v>20</v>
      </c>
      <c r="X8" s="111" t="s">
        <v>20</v>
      </c>
      <c r="Y8" s="111" t="s">
        <v>20</v>
      </c>
      <c r="Z8" s="111" t="s">
        <v>20</v>
      </c>
      <c r="AA8" s="149" t="s">
        <v>20</v>
      </c>
      <c r="AB8" s="131" t="s">
        <v>20</v>
      </c>
      <c r="AC8" s="1047">
        <v>44.6</v>
      </c>
      <c r="AD8" s="1047">
        <v>42.1</v>
      </c>
      <c r="AE8" s="1047">
        <v>45.9</v>
      </c>
      <c r="AF8" s="1047">
        <v>45.8</v>
      </c>
      <c r="AG8" s="1047">
        <f>(SUMIFS('TABLERO DIARIO'!$I$6:$ZZ$6,'TABLERO DIARIO'!$I$2:$ZZ$2,"&gt;="&amp;DATE(2025,MONTH(AG$2),1),'TABLERO DIARIO'!$I$2:$ZZ$2,"&lt;="&amp;EOMONTH(AG$2,0),'TABLERO DIARIO'!$I$5:$ZZ$5,"LV")/COUNTIFS('TABLERO DIARIO'!$I$2:$ZZ$2,"&gt;="&amp;DATE(2025,MONTH(AG$2),1),'TABLERO DIARIO'!$I$2:$ZZ$2,"&lt;="&amp;EOMONTH(AG$2,0),'TABLERO DIARIO'!$I$5:$ZZ$5,"LV",'TABLERO DIARIO'!$I$6:$ZZ$6,"&lt;&gt;0"))/1000</f>
        <v>43.013624222222219</v>
      </c>
      <c r="AH8" s="1047">
        <f>(SUMIFS('TABLERO DIARIO'!$I$6:$ZZ$6,'TABLERO DIARIO'!$I$2:$ZZ$2,"&gt;="&amp;DATE(2025,MONTH(AH$2),1),'TABLERO DIARIO'!$I$2:$ZZ$2,"&lt;="&amp;EOMONTH(AH$2,0),'TABLERO DIARIO'!$I$5:$ZZ$5,"LV")/COUNTIFS('TABLERO DIARIO'!$I$2:$ZZ$2,"&gt;="&amp;DATE(2025,MONTH(AH$2),1),'TABLERO DIARIO'!$I$2:$ZZ$2,"&lt;="&amp;EOMONTH(AH$2,0),'TABLERO DIARIO'!$I$5:$ZZ$5,"LV",'TABLERO DIARIO'!$I$6:$ZZ$6,"&lt;&gt;0"))/1000</f>
        <v>43.968100000000007</v>
      </c>
      <c r="AI8" s="1047">
        <f>IFERROR((SUMIFS('TABLERO DIARIO'!$I$6:$ZZ$6,'TABLERO DIARIO'!$I$2:$ZZ$2,"&gt;="&amp;DATE(2025,MONTH(AI$2),1),'TABLERO DIARIO'!$I$2:$ZZ$2,"&lt;="&amp;EOMONTH(AI$2,0),'TABLERO DIARIO'!$I$5:$ZZ$5,"LV")/COUNTIFS('TABLERO DIARIO'!$I$2:$ZZ$2,"&gt;="&amp;DATE(2025,MONTH(AI$2),1),'TABLERO DIARIO'!$I$2:$ZZ$2,"&lt;="&amp;EOMONTH(AI$2,0),'TABLERO DIARIO'!$I$5:$ZZ$5,"LV",'TABLERO DIARIO'!$I$6:$ZZ$6,"&lt;&gt;0"))/1000,"-")</f>
        <v>45.099247619047617</v>
      </c>
      <c r="AJ8" s="1047">
        <f>IFERROR((SUMIFS('TABLERO DIARIO'!$I$6:$ABL$6,'TABLERO DIARIO'!$I$2:$ABL$2,"&gt;="&amp;DATE(2025,MONTH(AJ$2),1),'TABLERO DIARIO'!$I$2:$ABL$2,"&lt;="&amp;EOMONTH(AJ$2,0),'TABLERO DIARIO'!$I$5:$ABL$5,"LV")/COUNTIFS('TABLERO DIARIO'!$I$2:$ABL$2,"&gt;="&amp;DATE(2025,MONTH(AJ$2),1),'TABLERO DIARIO'!$I$2:$ABL$2,"&lt;="&amp;EOMONTH(AJ$2,0),'TABLERO DIARIO'!$I$5:$ABL$5,"LV",'TABLERO DIARIO'!$I$6:$ABL$6,"&lt;&gt;0"))/1000,"-")</f>
        <v>42.47495</v>
      </c>
      <c r="AK8" s="1047">
        <f>IFERROR((SUMIFS('TABLERO DIARIO'!$I$6:$AEV$6,'TABLERO DIARIO'!$I$2:$AEV$2,"&gt;="&amp;DATE(2025,MONTH(AK$2),1),'TABLERO DIARIO'!$I$2:$AEV$2,"&lt;="&amp;EOMONTH(AK$2,0),'TABLERO DIARIO'!$I$5:$AEV$5,"LV")/COUNTIFS('TABLERO DIARIO'!$I$2:$AEV$2,"&gt;="&amp;DATE(2025,MONTH(AK$2),1),'TABLERO DIARIO'!$I$2:$AEV$2,"&lt;="&amp;EOMONTH(AK$2,0),'TABLERO DIARIO'!$I$5:$AEV$5,"LV",'TABLERO DIARIO'!$I$6:$AEV$6,"&lt;&gt;0"))/1000,"-")</f>
        <v>42.261190909090914</v>
      </c>
      <c r="AL8" s="1047">
        <f>IFERROR((SUMIFS('TABLERO DIARIO'!$AEV$6:$AMA$6,'TABLERO DIARIO'!$AEV$2:$AMA$2,"&gt;="&amp;DATE(2025,MONTH(AL$2),1),'TABLERO DIARIO'!$AEV$2:$AMA$2,"&lt;="&amp;EOMONTH(AL$2,0),'TABLERO DIARIO'!$AEV$5:$AMA$5,"LV")/COUNTIFS('TABLERO DIARIO'!$AEV$2:$AMA$2,"&gt;="&amp;DATE(2025,MONTH(AL$2),1),'TABLERO DIARIO'!$AEV$2:$AMA$2,"&lt;="&amp;EOMONTH(AL$2,0),'TABLERO DIARIO'!$AEV$5:$AMA$5,"LV",'TABLERO DIARIO'!$AEV$6:$AMA$6,"&lt;&gt;0"))/1000,"-")</f>
        <v>43.738321052631584</v>
      </c>
      <c r="AM8" s="1048">
        <f>IFERROR((SUMIFS('TABLERO DIARIO'!$AEV$6:$AMA$6,'TABLERO DIARIO'!$AEV$2:$AMA$2,"&gt;="&amp;DATE(2025,MONTH(AM$2),1),'TABLERO DIARIO'!$AEV$2:$AMA$2,"&lt;="&amp;EOMONTH(AM$2,0),'TABLERO DIARIO'!$AEV$5:$AMA$5,"LV")/COUNTIFS('TABLERO DIARIO'!$AEV$2:$AMA$2,"&gt;="&amp;DATE(2025,MONTH(AM$2),1),'TABLERO DIARIO'!$AEV$2:$AMA$2,"&lt;="&amp;EOMONTH(AM$2,0),'TABLERO DIARIO'!$AEV$5:$AMA$5,"LV",'TABLERO DIARIO'!$AEV$6:$AMA$6,"&lt;&gt;0"))/1000,"-")</f>
        <v>40.730714285714285</v>
      </c>
      <c r="AN8" s="131">
        <f>IFERROR((SUMIFS('TABLERO DIARIO'!$ALW$6:$ASW$6,'TABLERO DIARIO'!$ALW$2:$ASW$2,"&gt;="&amp;DATE(2026,MONTH(AN$2),1),'TABLERO DIARIO'!$ALW$2:$ASW$2,"&lt;="&amp;EOMONTH(AN$2,0),'TABLERO DIARIO'!$ALW$5:$ASW$5,"LV")/COUNTIFS('TABLERO DIARIO'!$ALW$2:$ASW$2,"&gt;="&amp;DATE(2026,MONTH(AN$2),1),'TABLERO DIARIO'!$ALW$2:$ASW$2,"&lt;="&amp;EOMONTH(AN$2,0),'TABLERO DIARIO'!$ALW$5:$ASW$5,"LV",'TABLERO DIARIO'!$ALW$6:$ASW$6,"&lt;&gt;0"))/1000,"-")</f>
        <v>44.15629047619047</v>
      </c>
      <c r="AO8" s="380">
        <f>IFERROR((SUMIFS('TABLERO DIARIO'!$ALW$6:$ASW$6,'TABLERO DIARIO'!$ALW$2:$ASW$2,"&gt;="&amp;DATE(2026,MONTH(AO$2),1),'TABLERO DIARIO'!$ALW$2:$ASW$2,"&lt;="&amp;EOMONTH(AO$2,0),'TABLERO DIARIO'!$ALW$5:$ASW$5,"LV")/COUNTIFS('TABLERO DIARIO'!$ALW$2:$ASW$2,"&gt;="&amp;DATE(2026,MONTH(AO$2),1),'TABLERO DIARIO'!$ALW$2:$ASW$2,"&lt;="&amp;EOMONTH(AO$2,0),'TABLERO DIARIO'!$ALW$5:$ASW$5,"LV",'TABLERO DIARIO'!$ALW$6:$ASW$6,"&lt;&gt;0"))/1000,"-")</f>
        <v>46.007383333333337</v>
      </c>
      <c r="AP8" s="380"/>
      <c r="AQ8" s="380"/>
      <c r="AR8" s="380"/>
      <c r="AS8" s="380"/>
      <c r="AT8" s="380"/>
      <c r="AU8" s="380"/>
      <c r="AV8" s="380"/>
      <c r="AW8" s="380"/>
      <c r="AX8" s="380"/>
      <c r="AY8" s="413"/>
      <c r="AZ8" s="434"/>
      <c r="BA8" s="1049" t="str">
        <f t="shared" si="4"/>
        <v>-</v>
      </c>
      <c r="BB8" s="1047" t="str">
        <f t="shared" si="5"/>
        <v>-</v>
      </c>
      <c r="BC8" s="1050">
        <f t="shared" si="0"/>
        <v>43.607831644427868</v>
      </c>
    </row>
    <row r="9" spans="2:55" ht="19.5" customHeight="1">
      <c r="B9" s="107" t="s">
        <v>121</v>
      </c>
      <c r="C9" s="108" t="s">
        <v>117</v>
      </c>
      <c r="D9" s="133">
        <v>0.69</v>
      </c>
      <c r="E9" s="112">
        <v>0.75</v>
      </c>
      <c r="F9" s="112">
        <v>0.77</v>
      </c>
      <c r="G9" s="112">
        <v>0.83</v>
      </c>
      <c r="H9" s="112">
        <v>0.84</v>
      </c>
      <c r="I9" s="112">
        <v>0.78</v>
      </c>
      <c r="J9" s="112">
        <v>0.76</v>
      </c>
      <c r="K9" s="112">
        <v>0.78</v>
      </c>
      <c r="L9" s="112">
        <v>0.75</v>
      </c>
      <c r="M9" s="112">
        <v>0.76</v>
      </c>
      <c r="N9" s="112">
        <v>0.79</v>
      </c>
      <c r="O9" s="134">
        <v>0.71</v>
      </c>
      <c r="P9" s="118">
        <v>0.72</v>
      </c>
      <c r="Q9" s="112">
        <v>0.61</v>
      </c>
      <c r="R9" s="112">
        <v>0.68</v>
      </c>
      <c r="S9" s="112">
        <v>0.76</v>
      </c>
      <c r="T9" s="112">
        <v>0.75</v>
      </c>
      <c r="U9" s="112">
        <v>0.77</v>
      </c>
      <c r="V9" s="112">
        <v>0.7</v>
      </c>
      <c r="W9" s="112">
        <v>0.74</v>
      </c>
      <c r="X9" s="112">
        <v>0.66</v>
      </c>
      <c r="Y9" s="112">
        <v>0.73</v>
      </c>
      <c r="Z9" s="112">
        <v>0.74</v>
      </c>
      <c r="AA9" s="150">
        <v>0.8</v>
      </c>
      <c r="AB9" s="1110">
        <v>0.8</v>
      </c>
      <c r="AC9" s="1111">
        <v>0.8</v>
      </c>
      <c r="AD9" s="1111">
        <v>0.78900000000000003</v>
      </c>
      <c r="AE9" s="1111">
        <v>0.80800000000000005</v>
      </c>
      <c r="AF9" s="1111">
        <v>0.82099999999999995</v>
      </c>
      <c r="AG9" s="1111">
        <v>0.81599999999999995</v>
      </c>
      <c r="AH9" s="1111">
        <v>0.79300000000000004</v>
      </c>
      <c r="AI9" s="1111">
        <v>0.80700000000000005</v>
      </c>
      <c r="AJ9" s="1111">
        <v>0.76</v>
      </c>
      <c r="AK9" s="1111">
        <v>0.76</v>
      </c>
      <c r="AL9" s="1111">
        <v>0.78700000000000003</v>
      </c>
      <c r="AM9" s="1112">
        <v>0.76400000000000001</v>
      </c>
      <c r="AN9" s="1110">
        <v>0.79100000000000004</v>
      </c>
      <c r="AO9" s="1111">
        <v>0.83199999999999996</v>
      </c>
      <c r="AP9" s="112"/>
      <c r="AQ9" s="112"/>
      <c r="AR9" s="112"/>
      <c r="AS9" s="112"/>
      <c r="AT9" s="112"/>
      <c r="AU9" s="112"/>
      <c r="AV9" s="112"/>
      <c r="AW9" s="112"/>
      <c r="AX9" s="112"/>
      <c r="AY9" s="150"/>
      <c r="AZ9" s="434"/>
      <c r="BA9" s="463">
        <f t="shared" ref="BA9" si="6">IFERROR(AVERAGE(D9:O9),"-")</f>
        <v>0.76750000000000007</v>
      </c>
      <c r="BB9" s="112">
        <f t="shared" ref="BB9" si="7">IFERROR(AVERAGE(P9:AA9),"-")</f>
        <v>0.72166666666666679</v>
      </c>
      <c r="BC9" s="464">
        <f t="shared" si="0"/>
        <v>0.79208333333333325</v>
      </c>
    </row>
    <row r="10" spans="2:55" ht="19.5" customHeight="1">
      <c r="B10" s="98" t="s">
        <v>122</v>
      </c>
      <c r="C10" s="99" t="s">
        <v>117</v>
      </c>
      <c r="D10" s="468">
        <v>2.9000000000000001E-2</v>
      </c>
      <c r="E10" s="176">
        <v>3.5999999999999997E-2</v>
      </c>
      <c r="F10" s="176">
        <v>3.3000000000000002E-2</v>
      </c>
      <c r="G10" s="176">
        <v>3.5999999999999997E-2</v>
      </c>
      <c r="H10" s="176">
        <v>3.5999999999999997E-2</v>
      </c>
      <c r="I10" s="176">
        <v>3.1E-2</v>
      </c>
      <c r="J10" s="176">
        <v>3.2000000000000001E-2</v>
      </c>
      <c r="K10" s="176">
        <v>3.6999999999999998E-2</v>
      </c>
      <c r="L10" s="176">
        <v>3.5999999999999997E-2</v>
      </c>
      <c r="M10" s="176">
        <v>3.5999999999999997E-2</v>
      </c>
      <c r="N10" s="176">
        <v>3.6999999999999998E-2</v>
      </c>
      <c r="O10" s="283">
        <v>3.9E-2</v>
      </c>
      <c r="P10" s="467">
        <v>3.5000000000000003E-2</v>
      </c>
      <c r="Q10" s="176">
        <v>3.5000000000000003E-2</v>
      </c>
      <c r="R10" s="176">
        <v>3.2000000000000001E-2</v>
      </c>
      <c r="S10" s="176">
        <v>2.8000000000000001E-2</v>
      </c>
      <c r="T10" s="176">
        <v>2.3E-2</v>
      </c>
      <c r="U10" s="176">
        <v>2.1999999999999999E-2</v>
      </c>
      <c r="V10" s="176">
        <v>1.7999999999999999E-2</v>
      </c>
      <c r="W10" s="176">
        <v>1.9E-2</v>
      </c>
      <c r="X10" s="176">
        <v>0.02</v>
      </c>
      <c r="Y10" s="176">
        <v>0.02</v>
      </c>
      <c r="Z10" s="176">
        <v>1.7999999999999999E-2</v>
      </c>
      <c r="AA10" s="177">
        <v>2.1000000000000001E-2</v>
      </c>
      <c r="AB10" s="180">
        <v>2.4E-2</v>
      </c>
      <c r="AC10" s="181">
        <v>2.3E-2</v>
      </c>
      <c r="AD10" s="181">
        <v>1.9E-2</v>
      </c>
      <c r="AE10" s="181">
        <f>SUM(AE11:AE15)</f>
        <v>1.9599999999999999E-2</v>
      </c>
      <c r="AF10" s="181">
        <f t="shared" ref="AF10:AH10" si="8">SUM(AF11:AF15)</f>
        <v>1.9E-2</v>
      </c>
      <c r="AG10" s="181">
        <f t="shared" si="8"/>
        <v>2.5600000000000005E-2</v>
      </c>
      <c r="AH10" s="181">
        <f t="shared" si="8"/>
        <v>2.2919999999999999E-2</v>
      </c>
      <c r="AI10" s="176">
        <f>SUM(AI11:AI15)</f>
        <v>2.1110000000000004E-2</v>
      </c>
      <c r="AJ10" s="181">
        <v>2.291E-2</v>
      </c>
      <c r="AK10" s="181">
        <v>2.664E-2</v>
      </c>
      <c r="AL10" s="181">
        <f>+SUM(AL11:AL15)</f>
        <v>2.5710000000000004E-2</v>
      </c>
      <c r="AM10" s="1091">
        <v>2.249E-2</v>
      </c>
      <c r="AN10" s="180">
        <v>2.1260000000000001E-2</v>
      </c>
      <c r="AO10" s="181">
        <v>2.2030000000000001E-2</v>
      </c>
      <c r="AP10" s="181"/>
      <c r="AQ10" s="181"/>
      <c r="AR10" s="181"/>
      <c r="AS10" s="181"/>
      <c r="AT10" s="181"/>
      <c r="AU10" s="176"/>
      <c r="AV10" s="181"/>
      <c r="AW10" s="842"/>
      <c r="AX10" s="181"/>
      <c r="AY10" s="177"/>
      <c r="AZ10" s="434"/>
      <c r="BA10" s="465">
        <f t="shared" ref="BA10:BA15" si="9">IFERROR(AVERAGE(D10:O10),"-")</f>
        <v>3.4833333333333327E-2</v>
      </c>
      <c r="BB10" s="181">
        <f t="shared" ref="BB10:BB15" si="10">IFERROR(AVERAGE(P10:AA10),"-")</f>
        <v>2.4249999999999997E-2</v>
      </c>
      <c r="BC10" s="466">
        <f>IFERROR(SUMIFS(AB10:AM10,AB10:AM10,"&lt;&gt;0",AB10:AM10,"&lt;&gt;-",AB10:AM10,"&lt;&gt;",AB10:AM10,"&lt;&gt; ")/COUNTIFS(AB10:AM10,"&lt;&gt;0",AB10:AM10,"&lt;&gt;-",AB10:AM10,"&lt;&gt;",AB10:AM10,"&lt;&gt; "),"-")</f>
        <v>2.2665000000000001E-2</v>
      </c>
    </row>
    <row r="11" spans="2:55" ht="19.5" customHeight="1">
      <c r="B11" s="100" t="s">
        <v>123</v>
      </c>
      <c r="C11" s="99" t="s">
        <v>117</v>
      </c>
      <c r="D11" s="135" t="s">
        <v>124</v>
      </c>
      <c r="E11" s="106" t="s">
        <v>124</v>
      </c>
      <c r="F11" s="106" t="s">
        <v>124</v>
      </c>
      <c r="G11" s="172">
        <v>1.6E-2</v>
      </c>
      <c r="H11" s="172">
        <v>1.4E-2</v>
      </c>
      <c r="I11" s="172">
        <v>1.4E-2</v>
      </c>
      <c r="J11" s="172">
        <v>1.4999999999999999E-2</v>
      </c>
      <c r="K11" s="172">
        <v>1.4E-2</v>
      </c>
      <c r="L11" s="172">
        <v>1.6E-2</v>
      </c>
      <c r="M11" s="172">
        <v>1.6E-2</v>
      </c>
      <c r="N11" s="172">
        <v>1.7000000000000001E-2</v>
      </c>
      <c r="O11" s="282">
        <v>1.7999999999999999E-2</v>
      </c>
      <c r="P11" s="374">
        <v>1.4999999999999999E-2</v>
      </c>
      <c r="Q11" s="172">
        <v>1.7999999999999999E-2</v>
      </c>
      <c r="R11" s="172">
        <v>1.6E-2</v>
      </c>
      <c r="S11" s="172">
        <v>1.4E-2</v>
      </c>
      <c r="T11" s="172">
        <v>1.2999999999999999E-2</v>
      </c>
      <c r="U11" s="172">
        <v>8.0000000000000002E-3</v>
      </c>
      <c r="V11" s="172">
        <v>5.0000000000000001E-3</v>
      </c>
      <c r="W11" s="172">
        <v>4.0000000000000001E-3</v>
      </c>
      <c r="X11" s="172">
        <v>5.0000000000000001E-3</v>
      </c>
      <c r="Y11" s="172">
        <v>6.0000000000000001E-3</v>
      </c>
      <c r="Z11" s="172">
        <v>7.0000000000000001E-3</v>
      </c>
      <c r="AA11" s="375">
        <v>6.0000000000000001E-3</v>
      </c>
      <c r="AB11" s="178" t="s">
        <v>125</v>
      </c>
      <c r="AC11" s="172" t="s">
        <v>125</v>
      </c>
      <c r="AD11" s="172">
        <v>7.0000000000000001E-3</v>
      </c>
      <c r="AE11" s="172">
        <v>6.7999999999999996E-3</v>
      </c>
      <c r="AF11" s="172">
        <v>6.8999999999999999E-3</v>
      </c>
      <c r="AG11" s="172">
        <v>6.5399999999999998E-3</v>
      </c>
      <c r="AH11" s="172">
        <f>+AH16</f>
        <v>7.4200000000000004E-3</v>
      </c>
      <c r="AI11" s="172">
        <v>7.5599999999999999E-3</v>
      </c>
      <c r="AJ11" s="172">
        <v>7.5500000000000003E-3</v>
      </c>
      <c r="AK11" s="172">
        <v>8.5000000000000006E-3</v>
      </c>
      <c r="AL11" s="172">
        <v>8.8999999999999999E-3</v>
      </c>
      <c r="AM11" s="1088">
        <v>9.8700000000000003E-3</v>
      </c>
      <c r="AN11" s="178">
        <v>8.3999999999999995E-3</v>
      </c>
      <c r="AO11" s="172">
        <v>7.79E-3</v>
      </c>
      <c r="AP11" s="172"/>
      <c r="AQ11" s="172"/>
      <c r="AR11" s="172"/>
      <c r="AS11" s="172"/>
      <c r="AT11" s="172"/>
      <c r="AU11" s="172"/>
      <c r="AV11" s="172"/>
      <c r="AW11" s="172"/>
      <c r="AX11" s="172"/>
      <c r="AY11" s="414"/>
      <c r="AZ11" s="434"/>
      <c r="BA11" s="445">
        <f t="shared" si="9"/>
        <v>1.5555555555555553E-2</v>
      </c>
      <c r="BB11" s="172">
        <f t="shared" si="10"/>
        <v>9.7500000000000017E-3</v>
      </c>
      <c r="BC11" s="423">
        <f>IFERROR(SUMIFS(AB11:AM11,AB11:AM11,"&lt;&gt;0",AB11:AM11,"&lt;&gt;-",AB11:AM11,"&lt;&gt;",AB11:AM11,"&lt;&gt; ")/COUNTIFS(AB11:AM11,"&lt;&gt;0",AB11:AM11,"&lt;&gt;-",AB11:AM11,"&lt;&gt;",AB11:AM11,"&lt;&gt; "),"-")</f>
        <v>6.4200000000000012E-3</v>
      </c>
    </row>
    <row r="12" spans="2:55" ht="19.5" customHeight="1">
      <c r="B12" s="100" t="s">
        <v>126</v>
      </c>
      <c r="C12" s="99" t="s">
        <v>117</v>
      </c>
      <c r="D12" s="135" t="s">
        <v>124</v>
      </c>
      <c r="E12" s="106" t="s">
        <v>124</v>
      </c>
      <c r="F12" s="106" t="s">
        <v>124</v>
      </c>
      <c r="G12" s="172">
        <v>4.0000000000000001E-3</v>
      </c>
      <c r="H12" s="172">
        <v>5.0000000000000001E-3</v>
      </c>
      <c r="I12" s="172">
        <v>4.0000000000000001E-3</v>
      </c>
      <c r="J12" s="172">
        <v>4.0000000000000001E-3</v>
      </c>
      <c r="K12" s="172">
        <v>4.0000000000000001E-3</v>
      </c>
      <c r="L12" s="172">
        <v>6.0000000000000001E-3</v>
      </c>
      <c r="M12" s="172">
        <v>7.0000000000000001E-3</v>
      </c>
      <c r="N12" s="172">
        <v>4.0000000000000001E-3</v>
      </c>
      <c r="O12" s="282">
        <v>6.0000000000000001E-3</v>
      </c>
      <c r="P12" s="374">
        <v>6.0000000000000001E-3</v>
      </c>
      <c r="Q12" s="172">
        <v>7.0000000000000001E-3</v>
      </c>
      <c r="R12" s="172">
        <v>2E-3</v>
      </c>
      <c r="S12" s="172">
        <v>0</v>
      </c>
      <c r="T12" s="172">
        <v>1E-3</v>
      </c>
      <c r="U12" s="172">
        <v>1E-3</v>
      </c>
      <c r="V12" s="172">
        <v>3.0000000000000001E-3</v>
      </c>
      <c r="W12" s="172">
        <v>2E-3</v>
      </c>
      <c r="X12" s="172">
        <v>2E-3</v>
      </c>
      <c r="Y12" s="172">
        <v>1E-3</v>
      </c>
      <c r="Z12" s="172">
        <v>1E-3</v>
      </c>
      <c r="AA12" s="375">
        <v>1E-3</v>
      </c>
      <c r="AB12" s="178" t="s">
        <v>127</v>
      </c>
      <c r="AC12" s="172" t="s">
        <v>128</v>
      </c>
      <c r="AD12" s="172">
        <v>2E-3</v>
      </c>
      <c r="AE12" s="172">
        <v>5.0000000000000001E-4</v>
      </c>
      <c r="AF12" s="172">
        <v>2.3999999999999998E-3</v>
      </c>
      <c r="AG12" s="172">
        <v>1.8E-3</v>
      </c>
      <c r="AH12" s="172">
        <v>3.8999999999999998E-3</v>
      </c>
      <c r="AI12" s="172">
        <v>8.9999999999999998E-4</v>
      </c>
      <c r="AJ12" s="172">
        <v>2.3E-3</v>
      </c>
      <c r="AK12" s="527">
        <v>4.7999999999999996E-3</v>
      </c>
      <c r="AL12" s="172">
        <v>3.3999999999999998E-3</v>
      </c>
      <c r="AM12" s="1088">
        <v>2.7000000000000001E-3</v>
      </c>
      <c r="AN12" s="178">
        <v>3.8999999999999998E-3</v>
      </c>
      <c r="AO12" s="172"/>
      <c r="AP12" s="172"/>
      <c r="AQ12" s="172"/>
      <c r="AR12" s="172"/>
      <c r="AS12" s="172"/>
      <c r="AT12" s="172"/>
      <c r="AU12" s="172"/>
      <c r="AV12" s="172"/>
      <c r="AW12" s="843"/>
      <c r="AX12" s="172"/>
      <c r="AY12" s="414"/>
      <c r="AZ12" s="434"/>
      <c r="BA12" s="445">
        <f t="shared" si="9"/>
        <v>4.8888888888888897E-3</v>
      </c>
      <c r="BB12" s="172">
        <f t="shared" si="10"/>
        <v>2.2500000000000003E-3</v>
      </c>
      <c r="BC12" s="423">
        <f t="shared" si="0"/>
        <v>2.0583333333333335E-3</v>
      </c>
    </row>
    <row r="13" spans="2:55" ht="19.5" customHeight="1">
      <c r="B13" s="100" t="s">
        <v>129</v>
      </c>
      <c r="C13" s="99" t="s">
        <v>117</v>
      </c>
      <c r="D13" s="135" t="s">
        <v>124</v>
      </c>
      <c r="E13" s="106" t="s">
        <v>124</v>
      </c>
      <c r="F13" s="106" t="s">
        <v>124</v>
      </c>
      <c r="G13" s="172">
        <v>3.0000000000000001E-3</v>
      </c>
      <c r="H13" s="172">
        <v>3.0000000000000001E-3</v>
      </c>
      <c r="I13" s="172">
        <v>4.0000000000000001E-3</v>
      </c>
      <c r="J13" s="172">
        <v>4.0000000000000001E-3</v>
      </c>
      <c r="K13" s="172">
        <v>2E-3</v>
      </c>
      <c r="L13" s="172">
        <v>4.0000000000000001E-3</v>
      </c>
      <c r="M13" s="172">
        <v>3.0000000000000001E-3</v>
      </c>
      <c r="N13" s="172">
        <v>3.0000000000000001E-3</v>
      </c>
      <c r="O13" s="282">
        <v>4.0000000000000001E-3</v>
      </c>
      <c r="P13" s="374">
        <v>4.0000000000000001E-3</v>
      </c>
      <c r="Q13" s="172">
        <v>3.0000000000000001E-3</v>
      </c>
      <c r="R13" s="172">
        <v>3.0000000000000001E-3</v>
      </c>
      <c r="S13" s="172">
        <v>3.0000000000000001E-3</v>
      </c>
      <c r="T13" s="172">
        <v>3.0000000000000001E-3</v>
      </c>
      <c r="U13" s="172">
        <v>4.0000000000000001E-3</v>
      </c>
      <c r="V13" s="172">
        <v>4.0000000000000001E-3</v>
      </c>
      <c r="W13" s="172">
        <v>2E-3</v>
      </c>
      <c r="X13" s="172">
        <v>2E-3</v>
      </c>
      <c r="Y13" s="172">
        <v>3.0000000000000001E-3</v>
      </c>
      <c r="Z13" s="172">
        <v>3.0000000000000001E-3</v>
      </c>
      <c r="AA13" s="375">
        <v>3.0000000000000001E-3</v>
      </c>
      <c r="AB13" s="178" t="s">
        <v>130</v>
      </c>
      <c r="AC13" s="172" t="s">
        <v>128</v>
      </c>
      <c r="AD13" s="172">
        <v>3.0000000000000001E-3</v>
      </c>
      <c r="AE13" s="172">
        <v>2.3E-3</v>
      </c>
      <c r="AF13" s="172">
        <v>1.4E-3</v>
      </c>
      <c r="AG13" s="527">
        <v>1E-3</v>
      </c>
      <c r="AH13" s="172">
        <v>2.5999999999999999E-3</v>
      </c>
      <c r="AI13" s="172">
        <v>1.9E-3</v>
      </c>
      <c r="AJ13" s="172">
        <v>2.2000000000000001E-3</v>
      </c>
      <c r="AK13" s="172">
        <v>3.3999999999999998E-3</v>
      </c>
      <c r="AL13" s="172">
        <v>1.8E-3</v>
      </c>
      <c r="AM13" s="1088">
        <v>1.9E-3</v>
      </c>
      <c r="AN13" s="178">
        <v>1.8E-3</v>
      </c>
      <c r="AO13" s="172"/>
      <c r="AP13" s="172"/>
      <c r="AQ13" s="172"/>
      <c r="AR13" s="172"/>
      <c r="AS13" s="527"/>
      <c r="AT13" s="172"/>
      <c r="AU13" s="172"/>
      <c r="AV13" s="172"/>
      <c r="AW13" s="172"/>
      <c r="AX13" s="172"/>
      <c r="AY13" s="414"/>
      <c r="AZ13" s="434"/>
      <c r="BA13" s="445">
        <f t="shared" si="9"/>
        <v>3.3333333333333331E-3</v>
      </c>
      <c r="BB13" s="172">
        <f t="shared" si="10"/>
        <v>3.0833333333333338E-3</v>
      </c>
      <c r="BC13" s="423">
        <f t="shared" si="0"/>
        <v>1.7916666666666665E-3</v>
      </c>
    </row>
    <row r="14" spans="2:55" ht="19.5" customHeight="1">
      <c r="B14" s="100" t="s">
        <v>131</v>
      </c>
      <c r="C14" s="99" t="s">
        <v>117</v>
      </c>
      <c r="D14" s="135" t="s">
        <v>124</v>
      </c>
      <c r="E14" s="106" t="s">
        <v>124</v>
      </c>
      <c r="F14" s="106" t="s">
        <v>124</v>
      </c>
      <c r="G14" s="172">
        <v>1.2E-2</v>
      </c>
      <c r="H14" s="172">
        <v>1.4E-2</v>
      </c>
      <c r="I14" s="172">
        <v>0.01</v>
      </c>
      <c r="J14" s="172">
        <v>0.01</v>
      </c>
      <c r="K14" s="172">
        <v>1.4999999999999999E-2</v>
      </c>
      <c r="L14" s="172">
        <v>0.01</v>
      </c>
      <c r="M14" s="172">
        <v>0.01</v>
      </c>
      <c r="N14" s="172">
        <v>1.2E-2</v>
      </c>
      <c r="O14" s="282">
        <v>1.0999999999999999E-2</v>
      </c>
      <c r="P14" s="374">
        <v>0.01</v>
      </c>
      <c r="Q14" s="172">
        <v>7.0000000000000001E-3</v>
      </c>
      <c r="R14" s="172">
        <v>1.0999999999999999E-2</v>
      </c>
      <c r="S14" s="172">
        <v>1.0999999999999999E-2</v>
      </c>
      <c r="T14" s="172">
        <v>6.0000000000000001E-3</v>
      </c>
      <c r="U14" s="172">
        <v>8.9999999999999993E-3</v>
      </c>
      <c r="V14" s="172">
        <v>6.0000000000000001E-3</v>
      </c>
      <c r="W14" s="172">
        <v>1.0999999999999999E-2</v>
      </c>
      <c r="X14" s="172">
        <v>1.0999999999999999E-2</v>
      </c>
      <c r="Y14" s="172">
        <v>0.01</v>
      </c>
      <c r="Z14" s="172">
        <v>7.0000000000000001E-3</v>
      </c>
      <c r="AA14" s="375">
        <v>1.0999999999999999E-2</v>
      </c>
      <c r="AB14" s="178" t="s">
        <v>132</v>
      </c>
      <c r="AC14" s="172" t="s">
        <v>132</v>
      </c>
      <c r="AD14" s="172">
        <v>7.0000000000000001E-3</v>
      </c>
      <c r="AE14" s="172">
        <v>8.9999999999999993E-3</v>
      </c>
      <c r="AF14" s="172">
        <v>8.9999999999999993E-3</v>
      </c>
      <c r="AG14" s="172">
        <v>1.17E-2</v>
      </c>
      <c r="AH14" s="172">
        <v>5.0000000000000001E-3</v>
      </c>
      <c r="AI14" s="172">
        <v>7.1000000000000004E-3</v>
      </c>
      <c r="AJ14" s="172">
        <v>7.4999999999999997E-3</v>
      </c>
      <c r="AK14" s="172">
        <v>5.8999999999999999E-3</v>
      </c>
      <c r="AL14" s="172">
        <v>7.6600000000000001E-3</v>
      </c>
      <c r="AM14" s="1088">
        <v>1.15E-2</v>
      </c>
      <c r="AN14" s="178">
        <v>1.1259999999999999E-2</v>
      </c>
      <c r="AO14" s="172"/>
      <c r="AP14" s="172"/>
      <c r="AQ14" s="172"/>
      <c r="AR14" s="172"/>
      <c r="AS14" s="172"/>
      <c r="AT14" s="172"/>
      <c r="AU14" s="172"/>
      <c r="AV14" s="172"/>
      <c r="AW14" s="172"/>
      <c r="AX14" s="172"/>
      <c r="AY14" s="414"/>
      <c r="AZ14" s="434"/>
      <c r="BA14" s="445">
        <f t="shared" si="9"/>
        <v>1.1555555555555555E-2</v>
      </c>
      <c r="BB14" s="172">
        <f t="shared" si="10"/>
        <v>9.166666666666665E-3</v>
      </c>
      <c r="BC14" s="423">
        <f t="shared" si="0"/>
        <v>6.7800000000000004E-3</v>
      </c>
    </row>
    <row r="15" spans="2:55" ht="19.5" customHeight="1">
      <c r="B15" s="109" t="s">
        <v>133</v>
      </c>
      <c r="C15" s="108" t="s">
        <v>117</v>
      </c>
      <c r="D15" s="137" t="s">
        <v>124</v>
      </c>
      <c r="E15" s="110" t="s">
        <v>124</v>
      </c>
      <c r="F15" s="110" t="s">
        <v>124</v>
      </c>
      <c r="G15" s="110"/>
      <c r="H15" s="110"/>
      <c r="I15" s="110"/>
      <c r="J15" s="110"/>
      <c r="K15" s="110"/>
      <c r="L15" s="110"/>
      <c r="M15" s="110"/>
      <c r="N15" s="110"/>
      <c r="O15" s="138"/>
      <c r="P15" s="119"/>
      <c r="Q15" s="110"/>
      <c r="R15" s="110"/>
      <c r="S15" s="110"/>
      <c r="T15" s="110"/>
      <c r="U15" s="110"/>
      <c r="V15" s="110"/>
      <c r="W15" s="110"/>
      <c r="X15" s="110"/>
      <c r="Y15" s="110"/>
      <c r="Z15" s="110"/>
      <c r="AA15" s="152"/>
      <c r="AB15" s="179"/>
      <c r="AC15" s="173"/>
      <c r="AD15" s="173"/>
      <c r="AE15" s="173">
        <v>1E-3</v>
      </c>
      <c r="AF15" s="173">
        <v>-6.9999999999999999E-4</v>
      </c>
      <c r="AG15" s="173">
        <v>4.5599999999999998E-3</v>
      </c>
      <c r="AH15" s="173">
        <v>4.0000000000000001E-3</v>
      </c>
      <c r="AI15" s="173">
        <v>3.65E-3</v>
      </c>
      <c r="AJ15" s="173">
        <v>3.3300000000000001E-3</v>
      </c>
      <c r="AK15" s="173">
        <v>4.0000000000000001E-3</v>
      </c>
      <c r="AL15" s="173">
        <v>3.9500000000000004E-3</v>
      </c>
      <c r="AM15" s="1090">
        <v>-3.8E-3</v>
      </c>
      <c r="AN15" s="179">
        <v>-4.13E-3</v>
      </c>
      <c r="AO15" s="173">
        <v>-4.2999999999999999E-4</v>
      </c>
      <c r="AP15" s="173"/>
      <c r="AQ15" s="173"/>
      <c r="AR15" s="173"/>
      <c r="AS15" s="173"/>
      <c r="AT15" s="173"/>
      <c r="AU15" s="173"/>
      <c r="AV15" s="173"/>
      <c r="AW15" s="173"/>
      <c r="AX15" s="173"/>
      <c r="AY15" s="415"/>
      <c r="AZ15" s="434"/>
      <c r="BA15" s="469" t="str">
        <f t="shared" si="9"/>
        <v>-</v>
      </c>
      <c r="BB15" s="173" t="str">
        <f t="shared" si="10"/>
        <v>-</v>
      </c>
      <c r="BC15" s="470">
        <f t="shared" si="0"/>
        <v>2.2211111111111108E-3</v>
      </c>
    </row>
    <row r="16" spans="2:55" ht="19.5" customHeight="1">
      <c r="B16" s="98" t="s">
        <v>123</v>
      </c>
      <c r="C16" s="99" t="s">
        <v>117</v>
      </c>
      <c r="D16" s="370">
        <v>0.01</v>
      </c>
      <c r="E16" s="174">
        <v>1.7999999999999999E-2</v>
      </c>
      <c r="F16" s="174">
        <v>1.7999999999999999E-2</v>
      </c>
      <c r="G16" s="174">
        <v>1.6E-2</v>
      </c>
      <c r="H16" s="174">
        <v>1.4E-2</v>
      </c>
      <c r="I16" s="174">
        <v>1.4E-2</v>
      </c>
      <c r="J16" s="174">
        <v>1.4999999999999999E-2</v>
      </c>
      <c r="K16" s="174">
        <v>1.4999999999999999E-2</v>
      </c>
      <c r="L16" s="174">
        <v>1.6E-2</v>
      </c>
      <c r="M16" s="174">
        <v>1.6E-2</v>
      </c>
      <c r="N16" s="174">
        <v>1.7000000000000001E-2</v>
      </c>
      <c r="O16" s="281">
        <v>1.7999999999999999E-2</v>
      </c>
      <c r="P16" s="471">
        <v>1.4999999999999999E-2</v>
      </c>
      <c r="Q16" s="174">
        <v>1.7999999999999999E-2</v>
      </c>
      <c r="R16" s="174">
        <v>1.6E-2</v>
      </c>
      <c r="S16" s="174">
        <v>1.4E-2</v>
      </c>
      <c r="T16" s="174">
        <v>1.2999999999999999E-2</v>
      </c>
      <c r="U16" s="174">
        <v>8.0000000000000002E-3</v>
      </c>
      <c r="V16" s="174">
        <v>5.0000000000000001E-3</v>
      </c>
      <c r="W16" s="174">
        <v>4.0000000000000001E-3</v>
      </c>
      <c r="X16" s="174">
        <v>5.0000000000000001E-3</v>
      </c>
      <c r="Y16" s="174">
        <v>6.0000000000000001E-3</v>
      </c>
      <c r="Z16" s="174">
        <v>7.0000000000000001E-3</v>
      </c>
      <c r="AA16" s="369">
        <v>6.0000000000000001E-3</v>
      </c>
      <c r="AB16" s="370">
        <v>7.0000000000000001E-3</v>
      </c>
      <c r="AC16" s="174">
        <v>7.0000000000000001E-3</v>
      </c>
      <c r="AD16" s="174">
        <v>7.0000000000000001E-3</v>
      </c>
      <c r="AE16" s="174">
        <v>6.7999999999999996E-3</v>
      </c>
      <c r="AF16" s="174">
        <v>6.8999999999999999E-3</v>
      </c>
      <c r="AG16" s="174">
        <v>6.5399999999999998E-3</v>
      </c>
      <c r="AH16" s="174">
        <v>7.4200000000000004E-3</v>
      </c>
      <c r="AI16" s="174">
        <v>7.5599999999999999E-3</v>
      </c>
      <c r="AJ16" s="174">
        <v>7.5500000000000003E-3</v>
      </c>
      <c r="AK16" s="174">
        <v>8.5000000000000006E-3</v>
      </c>
      <c r="AL16" s="174">
        <f>+SUM(AL17:AL22)</f>
        <v>8.8999999999999999E-3</v>
      </c>
      <c r="AM16" s="1089">
        <f>+SUM(AM17:AM22)</f>
        <v>9.8499999999999994E-3</v>
      </c>
      <c r="AN16" s="370">
        <f>+SUM(AN17:AN22)</f>
        <v>8.3999999999999995E-3</v>
      </c>
      <c r="AO16" s="174">
        <f>+SUM(AO17:AO22)</f>
        <v>7.7800000000000005E-3</v>
      </c>
      <c r="AP16" s="174"/>
      <c r="AQ16" s="174"/>
      <c r="AR16" s="174"/>
      <c r="AS16" s="174"/>
      <c r="AT16" s="174"/>
      <c r="AU16" s="174"/>
      <c r="AV16" s="174"/>
      <c r="AW16" s="174"/>
      <c r="AX16" s="174"/>
      <c r="AY16" s="369"/>
      <c r="AZ16" s="434"/>
      <c r="BA16" s="465">
        <f t="shared" ref="BA16:BA22" si="11">IFERROR(AVERAGE(D16:O16),"-")</f>
        <v>1.5583333333333336E-2</v>
      </c>
      <c r="BB16" s="181">
        <f t="shared" ref="BB16:BB22" si="12">IFERROR(AVERAGE(P16:AA16),"-")</f>
        <v>9.7500000000000017E-3</v>
      </c>
      <c r="BC16" s="466">
        <f t="shared" si="0"/>
        <v>7.5850000000000006E-3</v>
      </c>
    </row>
    <row r="17" spans="1:55" ht="19.5" customHeight="1">
      <c r="B17" s="100" t="s">
        <v>134</v>
      </c>
      <c r="C17" s="99" t="s">
        <v>117</v>
      </c>
      <c r="D17" s="178">
        <v>0.01</v>
      </c>
      <c r="E17" s="172">
        <v>0.01</v>
      </c>
      <c r="F17" s="172">
        <v>0.01</v>
      </c>
      <c r="G17" s="172">
        <v>0.01</v>
      </c>
      <c r="H17" s="172">
        <v>0.01</v>
      </c>
      <c r="I17" s="172">
        <v>8.9999999999999993E-3</v>
      </c>
      <c r="J17" s="172">
        <v>0.01</v>
      </c>
      <c r="K17" s="172">
        <v>1.0999999999999999E-2</v>
      </c>
      <c r="L17" s="172">
        <v>1.0999999999999999E-2</v>
      </c>
      <c r="M17" s="172">
        <v>1.0999999999999999E-2</v>
      </c>
      <c r="N17" s="172">
        <v>0.01</v>
      </c>
      <c r="O17" s="282">
        <v>0.01</v>
      </c>
      <c r="P17" s="374">
        <v>1.2E-2</v>
      </c>
      <c r="Q17" s="172">
        <v>1.4E-2</v>
      </c>
      <c r="R17" s="172">
        <v>1.2E-2</v>
      </c>
      <c r="S17" s="172">
        <v>0.01</v>
      </c>
      <c r="T17" s="172">
        <v>5.0000000000000001E-3</v>
      </c>
      <c r="U17" s="172">
        <v>6.0000000000000001E-3</v>
      </c>
      <c r="V17" s="172">
        <v>5.0000000000000001E-3</v>
      </c>
      <c r="W17" s="172">
        <v>3.0000000000000001E-3</v>
      </c>
      <c r="X17" s="172">
        <v>4.0000000000000001E-3</v>
      </c>
      <c r="Y17" s="172">
        <v>5.0000000000000001E-3</v>
      </c>
      <c r="Z17" s="172">
        <v>5.0000000000000001E-3</v>
      </c>
      <c r="AA17" s="375">
        <v>5.0000000000000001E-3</v>
      </c>
      <c r="AB17" s="178">
        <v>6.0000000000000001E-3</v>
      </c>
      <c r="AC17" s="172">
        <v>6.0000000000000001E-3</v>
      </c>
      <c r="AD17" s="172">
        <v>5.96E-3</v>
      </c>
      <c r="AE17" s="172">
        <v>5.4999999999999997E-3</v>
      </c>
      <c r="AF17" s="172">
        <v>5.5599999999999998E-3</v>
      </c>
      <c r="AG17" s="172">
        <v>4.9800000000000001E-3</v>
      </c>
      <c r="AH17" s="172">
        <v>5.4799999999999996E-3</v>
      </c>
      <c r="AI17" s="172">
        <v>4.8700000000000002E-3</v>
      </c>
      <c r="AJ17" s="172">
        <v>5.4999999999999997E-3</v>
      </c>
      <c r="AK17" s="172">
        <v>4.1200000000000004E-3</v>
      </c>
      <c r="AL17" s="172">
        <v>5.6299999999999996E-3</v>
      </c>
      <c r="AM17" s="1088">
        <v>5.8100000000000001E-3</v>
      </c>
      <c r="AN17" s="178">
        <v>5.0600000000000003E-3</v>
      </c>
      <c r="AO17" s="172">
        <v>4.4999999999999997E-3</v>
      </c>
      <c r="AP17" s="172"/>
      <c r="AQ17" s="172"/>
      <c r="AR17" s="172"/>
      <c r="AS17" s="172"/>
      <c r="AT17" s="172"/>
      <c r="AU17" s="172"/>
      <c r="AV17" s="172"/>
      <c r="AW17" s="172"/>
      <c r="AX17" s="172"/>
      <c r="AY17" s="375"/>
      <c r="AZ17" s="434"/>
      <c r="BA17" s="445">
        <f t="shared" si="11"/>
        <v>1.0166666666666666E-2</v>
      </c>
      <c r="BB17" s="172">
        <f t="shared" si="12"/>
        <v>7.1666666666666684E-3</v>
      </c>
      <c r="BC17" s="423">
        <f t="shared" si="0"/>
        <v>5.4508333333333327E-3</v>
      </c>
    </row>
    <row r="18" spans="1:55" ht="19.5" customHeight="1">
      <c r="B18" s="100" t="s">
        <v>135</v>
      </c>
      <c r="C18" s="99" t="s">
        <v>117</v>
      </c>
      <c r="D18" s="178">
        <v>0</v>
      </c>
      <c r="E18" s="172">
        <v>5.0000000000000001E-3</v>
      </c>
      <c r="F18" s="172">
        <v>5.0000000000000001E-3</v>
      </c>
      <c r="G18" s="172">
        <v>3.0000000000000001E-3</v>
      </c>
      <c r="H18" s="172">
        <v>2E-3</v>
      </c>
      <c r="I18" s="172">
        <v>1E-3</v>
      </c>
      <c r="J18" s="172">
        <v>2E-3</v>
      </c>
      <c r="K18" s="172">
        <v>2E-3</v>
      </c>
      <c r="L18" s="172">
        <v>3.0000000000000001E-3</v>
      </c>
      <c r="M18" s="172">
        <v>2E-3</v>
      </c>
      <c r="N18" s="172">
        <v>5.0000000000000001E-3</v>
      </c>
      <c r="O18" s="282">
        <v>7.0000000000000001E-3</v>
      </c>
      <c r="P18" s="374">
        <v>2E-3</v>
      </c>
      <c r="Q18" s="172">
        <v>3.0000000000000001E-3</v>
      </c>
      <c r="R18" s="172">
        <v>3.0000000000000001E-3</v>
      </c>
      <c r="S18" s="172">
        <v>2E-3</v>
      </c>
      <c r="T18" s="172">
        <v>1E-3</v>
      </c>
      <c r="U18" s="172">
        <v>1E-3</v>
      </c>
      <c r="V18" s="172">
        <v>0</v>
      </c>
      <c r="W18" s="172">
        <v>0</v>
      </c>
      <c r="X18" s="172">
        <v>0</v>
      </c>
      <c r="Y18" s="172">
        <v>0</v>
      </c>
      <c r="Z18" s="172">
        <v>0</v>
      </c>
      <c r="AA18" s="375">
        <v>0</v>
      </c>
      <c r="AB18" s="178">
        <v>0</v>
      </c>
      <c r="AC18" s="172">
        <v>0</v>
      </c>
      <c r="AD18" s="172">
        <v>0</v>
      </c>
      <c r="AE18" s="172">
        <v>0</v>
      </c>
      <c r="AF18" s="172">
        <v>0</v>
      </c>
      <c r="AG18" s="172">
        <v>0</v>
      </c>
      <c r="AH18" s="172">
        <v>0</v>
      </c>
      <c r="AI18" s="172">
        <v>0</v>
      </c>
      <c r="AJ18" s="172">
        <v>0</v>
      </c>
      <c r="AK18" s="172">
        <v>0</v>
      </c>
      <c r="AL18" s="172">
        <v>0</v>
      </c>
      <c r="AM18" s="1088">
        <v>0</v>
      </c>
      <c r="AN18" s="178">
        <v>0</v>
      </c>
      <c r="AO18" s="172">
        <v>0</v>
      </c>
      <c r="AP18" s="172"/>
      <c r="AQ18" s="172"/>
      <c r="AR18" s="172"/>
      <c r="AS18" s="172"/>
      <c r="AT18" s="172"/>
      <c r="AU18" s="172"/>
      <c r="AV18" s="172"/>
      <c r="AW18" s="172"/>
      <c r="AX18" s="172"/>
      <c r="AY18" s="375"/>
      <c r="AZ18" s="434"/>
      <c r="BA18" s="445">
        <f t="shared" si="11"/>
        <v>3.0833333333333338E-3</v>
      </c>
      <c r="BB18" s="172">
        <f t="shared" si="12"/>
        <v>1E-3</v>
      </c>
      <c r="BC18" s="423" t="str">
        <f t="shared" si="0"/>
        <v>-</v>
      </c>
    </row>
    <row r="19" spans="1:55" ht="19.5" customHeight="1">
      <c r="B19" s="100" t="s">
        <v>136</v>
      </c>
      <c r="C19" s="99" t="s">
        <v>117</v>
      </c>
      <c r="D19" s="178">
        <v>0</v>
      </c>
      <c r="E19" s="172">
        <v>2E-3</v>
      </c>
      <c r="F19" s="172">
        <v>2E-3</v>
      </c>
      <c r="G19" s="172">
        <v>1E-3</v>
      </c>
      <c r="H19" s="172">
        <v>1E-3</v>
      </c>
      <c r="I19" s="172">
        <v>1E-3</v>
      </c>
      <c r="J19" s="172">
        <v>1E-3</v>
      </c>
      <c r="K19" s="172">
        <v>1E-3</v>
      </c>
      <c r="L19" s="172">
        <v>1E-3</v>
      </c>
      <c r="M19" s="172">
        <v>1E-3</v>
      </c>
      <c r="N19" s="172">
        <v>0</v>
      </c>
      <c r="O19" s="282">
        <v>0</v>
      </c>
      <c r="P19" s="374">
        <v>0</v>
      </c>
      <c r="Q19" s="172">
        <v>1E-3</v>
      </c>
      <c r="R19" s="172">
        <v>0</v>
      </c>
      <c r="S19" s="172">
        <v>0</v>
      </c>
      <c r="T19" s="172">
        <v>0</v>
      </c>
      <c r="U19" s="172">
        <v>1E-3</v>
      </c>
      <c r="V19" s="172">
        <v>0</v>
      </c>
      <c r="W19" s="172">
        <v>1E-3</v>
      </c>
      <c r="X19" s="172">
        <v>0</v>
      </c>
      <c r="Y19" s="172">
        <v>1E-3</v>
      </c>
      <c r="Z19" s="172">
        <v>0</v>
      </c>
      <c r="AA19" s="375">
        <v>1E-3</v>
      </c>
      <c r="AB19" s="178">
        <v>0</v>
      </c>
      <c r="AC19" s="172">
        <v>1E-3</v>
      </c>
      <c r="AD19" s="172">
        <v>5.1999999999999995E-4</v>
      </c>
      <c r="AE19" s="172">
        <v>4.8000000000000001E-4</v>
      </c>
      <c r="AF19" s="172">
        <v>6.4999999999999997E-4</v>
      </c>
      <c r="AG19" s="172">
        <v>3.1E-4</v>
      </c>
      <c r="AH19" s="172">
        <v>8.3000000000000001E-4</v>
      </c>
      <c r="AI19" s="172">
        <v>1.5299999999999999E-3</v>
      </c>
      <c r="AJ19" s="172">
        <v>9.2000000000000003E-4</v>
      </c>
      <c r="AK19" s="172">
        <v>7.3999999999999999E-4</v>
      </c>
      <c r="AL19" s="172">
        <v>1.06E-3</v>
      </c>
      <c r="AM19" s="1088">
        <v>9.1E-4</v>
      </c>
      <c r="AN19" s="178">
        <v>8.7000000000000001E-4</v>
      </c>
      <c r="AO19" s="172">
        <v>8.0000000000000004E-4</v>
      </c>
      <c r="AP19" s="172"/>
      <c r="AQ19" s="172"/>
      <c r="AR19" s="172"/>
      <c r="AS19" s="172"/>
      <c r="AT19" s="172"/>
      <c r="AU19" s="172"/>
      <c r="AV19" s="172"/>
      <c r="AW19" s="172"/>
      <c r="AX19" s="172"/>
      <c r="AY19" s="375"/>
      <c r="AZ19" s="434"/>
      <c r="BA19" s="445">
        <f t="shared" si="11"/>
        <v>9.1666666666666687E-4</v>
      </c>
      <c r="BB19" s="172">
        <f t="shared" si="12"/>
        <v>4.1666666666666669E-4</v>
      </c>
      <c r="BC19" s="423">
        <f t="shared" si="0"/>
        <v>8.136363636363636E-4</v>
      </c>
    </row>
    <row r="20" spans="1:55" ht="19.5" customHeight="1">
      <c r="B20" s="100" t="s">
        <v>137</v>
      </c>
      <c r="C20" s="99" t="s">
        <v>117</v>
      </c>
      <c r="D20" s="178">
        <v>0</v>
      </c>
      <c r="E20" s="172">
        <v>1E-3</v>
      </c>
      <c r="F20" s="172">
        <v>1E-3</v>
      </c>
      <c r="G20" s="172">
        <v>1E-3</v>
      </c>
      <c r="H20" s="172">
        <v>1E-3</v>
      </c>
      <c r="I20" s="172">
        <v>1E-3</v>
      </c>
      <c r="J20" s="172">
        <v>1E-3</v>
      </c>
      <c r="K20" s="172">
        <v>1E-3</v>
      </c>
      <c r="L20" s="172">
        <v>1E-3</v>
      </c>
      <c r="M20" s="172">
        <v>1E-3</v>
      </c>
      <c r="N20" s="172">
        <v>1E-3</v>
      </c>
      <c r="O20" s="282">
        <v>1E-3</v>
      </c>
      <c r="P20" s="374">
        <v>1E-3</v>
      </c>
      <c r="Q20" s="172">
        <v>1E-3</v>
      </c>
      <c r="R20" s="172">
        <v>1E-3</v>
      </c>
      <c r="S20" s="172">
        <v>1E-3</v>
      </c>
      <c r="T20" s="172">
        <v>1E-3</v>
      </c>
      <c r="U20" s="172">
        <v>1E-3</v>
      </c>
      <c r="V20" s="172">
        <v>0</v>
      </c>
      <c r="W20" s="172">
        <v>1E-3</v>
      </c>
      <c r="X20" s="172">
        <v>1E-3</v>
      </c>
      <c r="Y20" s="172">
        <v>1E-3</v>
      </c>
      <c r="Z20" s="172">
        <v>1E-3</v>
      </c>
      <c r="AA20" s="375">
        <v>1E-3</v>
      </c>
      <c r="AB20" s="178">
        <v>1E-3</v>
      </c>
      <c r="AC20" s="172">
        <v>1E-3</v>
      </c>
      <c r="AD20" s="172">
        <v>7.5000000000000002E-4</v>
      </c>
      <c r="AE20" s="172">
        <v>7.6000000000000004E-4</v>
      </c>
      <c r="AF20" s="172">
        <v>6.9999999999999999E-4</v>
      </c>
      <c r="AG20" s="172">
        <v>7.6000000000000004E-4</v>
      </c>
      <c r="AH20" s="172">
        <v>7.9000000000000001E-4</v>
      </c>
      <c r="AI20" s="172">
        <v>1.06E-3</v>
      </c>
      <c r="AJ20" s="172">
        <v>9.7999999999999997E-4</v>
      </c>
      <c r="AK20" s="172">
        <v>1.06E-3</v>
      </c>
      <c r="AL20" s="172">
        <v>1.06E-3</v>
      </c>
      <c r="AM20" s="1088">
        <v>1.0399999999999999E-3</v>
      </c>
      <c r="AN20" s="178">
        <v>1.0499999999999999E-3</v>
      </c>
      <c r="AO20" s="172">
        <v>1.2199999999999999E-3</v>
      </c>
      <c r="AP20" s="172"/>
      <c r="AQ20" s="172"/>
      <c r="AR20" s="172"/>
      <c r="AS20" s="172"/>
      <c r="AT20" s="172"/>
      <c r="AU20" s="172"/>
      <c r="AV20" s="172"/>
      <c r="AW20" s="172"/>
      <c r="AX20" s="172"/>
      <c r="AY20" s="375"/>
      <c r="AZ20" s="434"/>
      <c r="BA20" s="445">
        <f t="shared" si="11"/>
        <v>9.1666666666666687E-4</v>
      </c>
      <c r="BB20" s="172">
        <f t="shared" si="12"/>
        <v>9.1666666666666687E-4</v>
      </c>
      <c r="BC20" s="423">
        <f t="shared" si="0"/>
        <v>9.1333333333333327E-4</v>
      </c>
    </row>
    <row r="21" spans="1:55" ht="19.5" customHeight="1">
      <c r="B21" s="100" t="s">
        <v>138</v>
      </c>
      <c r="C21" s="99" t="s">
        <v>117</v>
      </c>
      <c r="D21" s="178">
        <v>0</v>
      </c>
      <c r="E21" s="172">
        <v>1E-3</v>
      </c>
      <c r="F21" s="172">
        <v>1E-3</v>
      </c>
      <c r="G21" s="172">
        <v>1E-3</v>
      </c>
      <c r="H21" s="172">
        <v>1E-3</v>
      </c>
      <c r="I21" s="172">
        <v>2E-3</v>
      </c>
      <c r="J21" s="172">
        <v>1E-3</v>
      </c>
      <c r="K21" s="172">
        <v>1E-3</v>
      </c>
      <c r="L21" s="172">
        <v>1E-3</v>
      </c>
      <c r="M21" s="172">
        <v>2E-3</v>
      </c>
      <c r="N21" s="172">
        <v>0</v>
      </c>
      <c r="O21" s="282">
        <v>0</v>
      </c>
      <c r="P21" s="374">
        <v>1E-3</v>
      </c>
      <c r="Q21" s="172">
        <v>1E-3</v>
      </c>
      <c r="R21" s="172">
        <v>0</v>
      </c>
      <c r="S21" s="172">
        <v>0</v>
      </c>
      <c r="T21" s="172">
        <v>1E-3</v>
      </c>
      <c r="U21" s="172">
        <v>0</v>
      </c>
      <c r="V21" s="172">
        <v>0</v>
      </c>
      <c r="W21" s="172">
        <v>0</v>
      </c>
      <c r="X21" s="172">
        <v>0</v>
      </c>
      <c r="Y21" s="172">
        <v>0</v>
      </c>
      <c r="Z21" s="172">
        <v>0</v>
      </c>
      <c r="AA21" s="375">
        <v>0</v>
      </c>
      <c r="AB21" s="178">
        <v>0</v>
      </c>
      <c r="AC21" s="172">
        <v>0</v>
      </c>
      <c r="AD21" s="172">
        <v>1E-4</v>
      </c>
      <c r="AE21" s="172">
        <v>6.9999999999999994E-5</v>
      </c>
      <c r="AF21" s="172">
        <v>3.0000000000000001E-5</v>
      </c>
      <c r="AG21" s="172">
        <v>8.0000000000000007E-5</v>
      </c>
      <c r="AH21" s="172">
        <v>3.2000000000000003E-4</v>
      </c>
      <c r="AI21" s="172">
        <v>1.1E-4</v>
      </c>
      <c r="AJ21" s="172">
        <v>1.2999999999999999E-4</v>
      </c>
      <c r="AK21" s="172">
        <v>6.9999999999999994E-5</v>
      </c>
      <c r="AL21" s="172">
        <v>2.2000000000000001E-4</v>
      </c>
      <c r="AM21" s="1088">
        <v>1.2E-4</v>
      </c>
      <c r="AN21" s="178">
        <v>3.6000000000000002E-4</v>
      </c>
      <c r="AO21" s="172">
        <v>1.2E-4</v>
      </c>
      <c r="AP21" s="172"/>
      <c r="AQ21" s="172"/>
      <c r="AR21" s="172"/>
      <c r="AS21" s="172"/>
      <c r="AT21" s="172"/>
      <c r="AU21" s="172"/>
      <c r="AV21" s="172"/>
      <c r="AW21" s="172"/>
      <c r="AX21" s="172"/>
      <c r="AY21" s="375"/>
      <c r="AZ21" s="434"/>
      <c r="BA21" s="445">
        <f t="shared" si="11"/>
        <v>9.1666666666666676E-4</v>
      </c>
      <c r="BB21" s="172">
        <f t="shared" si="12"/>
        <v>2.5000000000000001E-4</v>
      </c>
      <c r="BC21" s="423">
        <f t="shared" si="0"/>
        <v>1.25E-4</v>
      </c>
    </row>
    <row r="22" spans="1:55" ht="19.5" customHeight="1">
      <c r="B22" s="109" t="s">
        <v>139</v>
      </c>
      <c r="C22" s="108" t="s">
        <v>117</v>
      </c>
      <c r="D22" s="137" t="s">
        <v>20</v>
      </c>
      <c r="E22" s="110" t="s">
        <v>20</v>
      </c>
      <c r="F22" s="110" t="s">
        <v>20</v>
      </c>
      <c r="G22" s="110" t="s">
        <v>20</v>
      </c>
      <c r="H22" s="110" t="s">
        <v>20</v>
      </c>
      <c r="I22" s="110" t="s">
        <v>20</v>
      </c>
      <c r="J22" s="110" t="s">
        <v>20</v>
      </c>
      <c r="K22" s="110" t="s">
        <v>20</v>
      </c>
      <c r="L22" s="110" t="s">
        <v>20</v>
      </c>
      <c r="M22" s="110" t="s">
        <v>20</v>
      </c>
      <c r="N22" s="110" t="s">
        <v>20</v>
      </c>
      <c r="O22" s="138" t="s">
        <v>20</v>
      </c>
      <c r="P22" s="137" t="s">
        <v>20</v>
      </c>
      <c r="Q22" s="110" t="s">
        <v>20</v>
      </c>
      <c r="R22" s="110" t="s">
        <v>20</v>
      </c>
      <c r="S22" s="110" t="s">
        <v>20</v>
      </c>
      <c r="T22" s="280">
        <v>4.0000000000000001E-3</v>
      </c>
      <c r="U22" s="110" t="s">
        <v>20</v>
      </c>
      <c r="V22" s="110" t="s">
        <v>20</v>
      </c>
      <c r="W22" s="110" t="s">
        <v>20</v>
      </c>
      <c r="X22" s="110" t="s">
        <v>20</v>
      </c>
      <c r="Y22" s="110" t="s">
        <v>20</v>
      </c>
      <c r="Z22" s="110" t="s">
        <v>20</v>
      </c>
      <c r="AA22" s="138" t="s">
        <v>20</v>
      </c>
      <c r="AB22" s="137" t="s">
        <v>140</v>
      </c>
      <c r="AC22" s="110" t="s">
        <v>20</v>
      </c>
      <c r="AD22" s="173" t="s">
        <v>20</v>
      </c>
      <c r="AE22" s="173" t="s">
        <v>20</v>
      </c>
      <c r="AF22" s="173" t="s">
        <v>20</v>
      </c>
      <c r="AG22" s="280" t="s">
        <v>20</v>
      </c>
      <c r="AH22" s="280" t="s">
        <v>20</v>
      </c>
      <c r="AI22" s="280" t="s">
        <v>20</v>
      </c>
      <c r="AJ22" s="173">
        <v>1.0000000000000001E-5</v>
      </c>
      <c r="AK22" s="173">
        <v>2.5100000000000001E-3</v>
      </c>
      <c r="AL22" s="173">
        <v>9.3000000000000005E-4</v>
      </c>
      <c r="AM22" s="1090">
        <v>1.97E-3</v>
      </c>
      <c r="AN22" s="179">
        <v>1.06E-3</v>
      </c>
      <c r="AO22" s="173">
        <v>1.14E-3</v>
      </c>
      <c r="AP22" s="173"/>
      <c r="AQ22" s="173"/>
      <c r="AR22" s="173"/>
      <c r="AS22" s="280"/>
      <c r="AT22" s="280"/>
      <c r="AU22" s="280"/>
      <c r="AV22" s="173"/>
      <c r="AW22" s="173"/>
      <c r="AX22" s="173"/>
      <c r="AY22" s="415"/>
      <c r="AZ22" s="434"/>
      <c r="BA22" s="443" t="str">
        <f t="shared" si="11"/>
        <v>-</v>
      </c>
      <c r="BB22" s="173">
        <f t="shared" si="12"/>
        <v>4.0000000000000001E-3</v>
      </c>
      <c r="BC22" s="470">
        <f t="shared" si="0"/>
        <v>1.0839999999999999E-3</v>
      </c>
    </row>
    <row r="23" spans="1:55" ht="19.5" customHeight="1">
      <c r="B23" s="98" t="s">
        <v>141</v>
      </c>
      <c r="C23" s="99" t="s">
        <v>117</v>
      </c>
      <c r="D23" s="154" t="s">
        <v>20</v>
      </c>
      <c r="E23" s="155" t="s">
        <v>20</v>
      </c>
      <c r="F23" s="155" t="s">
        <v>20</v>
      </c>
      <c r="G23" s="155" t="s">
        <v>20</v>
      </c>
      <c r="H23" s="155" t="s">
        <v>20</v>
      </c>
      <c r="I23" s="155" t="s">
        <v>20</v>
      </c>
      <c r="J23" s="155" t="s">
        <v>20</v>
      </c>
      <c r="K23" s="155" t="s">
        <v>20</v>
      </c>
      <c r="L23" s="155" t="s">
        <v>20</v>
      </c>
      <c r="M23" s="155" t="s">
        <v>20</v>
      </c>
      <c r="N23" s="155" t="s">
        <v>20</v>
      </c>
      <c r="O23" s="156" t="s">
        <v>20</v>
      </c>
      <c r="P23" s="157" t="s">
        <v>124</v>
      </c>
      <c r="Q23" s="155" t="s">
        <v>124</v>
      </c>
      <c r="R23" s="155" t="s">
        <v>124</v>
      </c>
      <c r="S23" s="174">
        <v>1.9E-2</v>
      </c>
      <c r="T23" s="174">
        <v>4.0000000000000001E-3</v>
      </c>
      <c r="U23" s="174">
        <v>1.7999999999999999E-2</v>
      </c>
      <c r="V23" s="174">
        <v>1.0999999999999999E-2</v>
      </c>
      <c r="W23" s="174">
        <v>0.03</v>
      </c>
      <c r="X23" s="174">
        <v>4.8000000000000001E-2</v>
      </c>
      <c r="Y23" s="174">
        <v>6.4000000000000001E-2</v>
      </c>
      <c r="Z23" s="174">
        <v>6.9000000000000006E-2</v>
      </c>
      <c r="AA23" s="369">
        <v>3.3000000000000002E-2</v>
      </c>
      <c r="AB23" s="370">
        <v>3.7999999999999999E-2</v>
      </c>
      <c r="AC23" s="174">
        <v>2.9000000000000001E-2</v>
      </c>
      <c r="AD23" s="174">
        <v>2.8000000000000001E-2</v>
      </c>
      <c r="AE23" s="174">
        <v>-2E-3</v>
      </c>
      <c r="AF23" s="174">
        <v>1.2999999999999999E-2</v>
      </c>
      <c r="AG23" s="174">
        <v>0.01</v>
      </c>
      <c r="AH23" s="174">
        <v>-8.9999999999999993E-3</v>
      </c>
      <c r="AI23" s="174">
        <v>-0.01</v>
      </c>
      <c r="AJ23" s="174">
        <v>5.1999999999999998E-2</v>
      </c>
      <c r="AK23" s="174">
        <v>3.5999999999999997E-2</v>
      </c>
      <c r="AL23" s="174">
        <v>2.7E-2</v>
      </c>
      <c r="AM23" s="369">
        <v>2.3E-2</v>
      </c>
      <c r="AN23" s="370">
        <v>6.0000000000000001E-3</v>
      </c>
      <c r="AO23" s="174">
        <v>-1.6E-2</v>
      </c>
      <c r="AP23" s="174"/>
      <c r="AQ23" s="174"/>
      <c r="AR23" s="174"/>
      <c r="AS23" s="174"/>
      <c r="AT23" s="174"/>
      <c r="AU23" s="174"/>
      <c r="AV23" s="174"/>
      <c r="AW23" s="174"/>
      <c r="AX23" s="174"/>
      <c r="AY23" s="369"/>
      <c r="AZ23" s="434"/>
      <c r="BA23" s="465" t="str">
        <f t="shared" ref="BA23:BA26" si="13">IFERROR(AVERAGE(D23:O23),"-")</f>
        <v>-</v>
      </c>
      <c r="BB23" s="181">
        <f t="shared" ref="BB23:BB26" si="14">IFERROR(AVERAGE(P23:AA23),"-")</f>
        <v>3.2888888888888891E-2</v>
      </c>
      <c r="BC23" s="466">
        <f t="shared" ref="BC23:BC74" si="15">IFERROR(SUMIFS(AB23:AM23,AB23:AM23,"&lt;&gt;0",AB23:AM23,"&lt;&gt;-",AB23:AM23,"&lt;&gt;",AB23:AM23,"&lt;&gt; ")/COUNTIFS(AB23:AM23,"&lt;&gt;0",AB23:AM23,"&lt;&gt;-",AB23:AM23,"&lt;&gt;",AB23:AM23,"&lt;&gt; "),"-")</f>
        <v>1.9583333333333331E-2</v>
      </c>
    </row>
    <row r="24" spans="1:55" ht="19.5" customHeight="1">
      <c r="B24" s="100" t="s">
        <v>141</v>
      </c>
      <c r="C24" s="99" t="s">
        <v>142</v>
      </c>
      <c r="D24" s="139" t="s">
        <v>20</v>
      </c>
      <c r="E24" s="106" t="s">
        <v>20</v>
      </c>
      <c r="F24" s="106" t="s">
        <v>20</v>
      </c>
      <c r="G24" s="106" t="s">
        <v>20</v>
      </c>
      <c r="H24" s="106" t="s">
        <v>20</v>
      </c>
      <c r="I24" s="106" t="s">
        <v>20</v>
      </c>
      <c r="J24" s="106" t="s">
        <v>20</v>
      </c>
      <c r="K24" s="106" t="s">
        <v>20</v>
      </c>
      <c r="L24" s="106" t="s">
        <v>20</v>
      </c>
      <c r="M24" s="106" t="s">
        <v>20</v>
      </c>
      <c r="N24" s="106" t="s">
        <v>20</v>
      </c>
      <c r="O24" s="136" t="s">
        <v>20</v>
      </c>
      <c r="P24" s="305" t="s">
        <v>124</v>
      </c>
      <c r="Q24" s="306" t="s">
        <v>124</v>
      </c>
      <c r="R24" s="306" t="s">
        <v>124</v>
      </c>
      <c r="S24" s="371">
        <v>33.17</v>
      </c>
      <c r="T24" s="371">
        <v>8.06</v>
      </c>
      <c r="U24" s="371">
        <v>32.29</v>
      </c>
      <c r="V24" s="371">
        <v>23.74</v>
      </c>
      <c r="W24" s="371">
        <v>75.569999999999993</v>
      </c>
      <c r="X24" s="371">
        <v>129.09</v>
      </c>
      <c r="Y24" s="371">
        <v>204.13</v>
      </c>
      <c r="Z24" s="371">
        <v>234.88</v>
      </c>
      <c r="AA24" s="372">
        <v>121.72</v>
      </c>
      <c r="AB24" s="373">
        <v>143.61000000000001</v>
      </c>
      <c r="AC24" s="371">
        <v>114.05</v>
      </c>
      <c r="AD24" s="371">
        <v>111.52</v>
      </c>
      <c r="AE24" s="371">
        <v>-7.41</v>
      </c>
      <c r="AF24" s="371">
        <v>51.75</v>
      </c>
      <c r="AG24" s="371">
        <v>36.375999999999998</v>
      </c>
      <c r="AH24" s="371">
        <v>-41.692999999999998</v>
      </c>
      <c r="AI24" s="371">
        <v>-37.929000000000002</v>
      </c>
      <c r="AJ24" s="371">
        <v>229.31899999999999</v>
      </c>
      <c r="AK24" s="306">
        <v>177.91800000000001</v>
      </c>
      <c r="AL24" s="306">
        <v>136.571</v>
      </c>
      <c r="AM24" s="416">
        <v>142.38064299999999</v>
      </c>
      <c r="AN24" s="1100">
        <v>36.638508000000002</v>
      </c>
      <c r="AO24" s="371">
        <v>-92.706389999999999</v>
      </c>
      <c r="AP24" s="371"/>
      <c r="AQ24" s="371"/>
      <c r="AR24" s="371"/>
      <c r="AS24" s="371"/>
      <c r="AT24" s="371"/>
      <c r="AU24" s="371"/>
      <c r="AV24" s="371"/>
      <c r="AW24" s="306"/>
      <c r="AX24" s="306"/>
      <c r="AY24" s="416"/>
      <c r="AZ24" s="434"/>
      <c r="BA24" s="445" t="str">
        <f t="shared" si="13"/>
        <v>-</v>
      </c>
      <c r="BB24" s="371">
        <f t="shared" si="14"/>
        <v>95.85</v>
      </c>
      <c r="BC24" s="472">
        <f t="shared" si="15"/>
        <v>88.038553583333339</v>
      </c>
    </row>
    <row r="25" spans="1:55" ht="19.5" customHeight="1">
      <c r="B25" s="100" t="s">
        <v>143</v>
      </c>
      <c r="C25" s="99" t="s">
        <v>117</v>
      </c>
      <c r="D25" s="139" t="s">
        <v>20</v>
      </c>
      <c r="E25" s="106" t="s">
        <v>20</v>
      </c>
      <c r="F25" s="106" t="s">
        <v>20</v>
      </c>
      <c r="G25" s="106" t="s">
        <v>20</v>
      </c>
      <c r="H25" s="106" t="s">
        <v>20</v>
      </c>
      <c r="I25" s="106" t="s">
        <v>20</v>
      </c>
      <c r="J25" s="106" t="s">
        <v>20</v>
      </c>
      <c r="K25" s="106" t="s">
        <v>20</v>
      </c>
      <c r="L25" s="106" t="s">
        <v>20</v>
      </c>
      <c r="M25" s="106" t="s">
        <v>20</v>
      </c>
      <c r="N25" s="106" t="s">
        <v>20</v>
      </c>
      <c r="O25" s="136" t="s">
        <v>20</v>
      </c>
      <c r="P25" s="374">
        <v>7.0000000000000007E-2</v>
      </c>
      <c r="Q25" s="172">
        <v>3.5000000000000003E-2</v>
      </c>
      <c r="R25" s="172">
        <v>0.06</v>
      </c>
      <c r="S25" s="172">
        <v>5.0999999999999997E-2</v>
      </c>
      <c r="T25" s="172">
        <v>2.9000000000000001E-2</v>
      </c>
      <c r="U25" s="172">
        <v>2.3E-2</v>
      </c>
      <c r="V25" s="172">
        <v>1.4E-2</v>
      </c>
      <c r="W25" s="172">
        <v>3.2000000000000001E-2</v>
      </c>
      <c r="X25" s="172">
        <v>5.1999999999999998E-2</v>
      </c>
      <c r="Y25" s="172">
        <v>7.0000000000000007E-2</v>
      </c>
      <c r="Z25" s="172">
        <v>7.2999999999999995E-2</v>
      </c>
      <c r="AA25" s="375">
        <v>3.5000000000000003E-2</v>
      </c>
      <c r="AB25" s="178">
        <v>3.9E-2</v>
      </c>
      <c r="AC25" s="172">
        <v>3.1E-2</v>
      </c>
      <c r="AD25" s="172">
        <v>0.03</v>
      </c>
      <c r="AE25" s="172">
        <v>-1E-3</v>
      </c>
      <c r="AF25" s="172">
        <v>1.6E-2</v>
      </c>
      <c r="AG25" s="172">
        <v>1.6E-2</v>
      </c>
      <c r="AH25" s="172">
        <v>0</v>
      </c>
      <c r="AI25" s="172">
        <v>1.2999999999999999E-2</v>
      </c>
      <c r="AJ25" s="172">
        <v>0.06</v>
      </c>
      <c r="AK25" s="172">
        <v>0.04</v>
      </c>
      <c r="AL25" s="172">
        <v>3.5999999999999997E-2</v>
      </c>
      <c r="AM25" s="375">
        <v>2.1999999999999999E-2</v>
      </c>
      <c r="AN25" s="178">
        <v>0.01</v>
      </c>
      <c r="AO25" s="172">
        <v>-5.0000000000000001E-3</v>
      </c>
      <c r="AP25" s="172"/>
      <c r="AQ25" s="172"/>
      <c r="AR25" s="172"/>
      <c r="AS25" s="172"/>
      <c r="AT25" s="172"/>
      <c r="AU25" s="172"/>
      <c r="AV25" s="172"/>
      <c r="AW25" s="296"/>
      <c r="AX25" s="296"/>
      <c r="AY25" s="299"/>
      <c r="AZ25" s="434"/>
      <c r="BA25" s="445" t="str">
        <f t="shared" si="13"/>
        <v>-</v>
      </c>
      <c r="BB25" s="172">
        <f t="shared" si="14"/>
        <v>4.5333333333333337E-2</v>
      </c>
      <c r="BC25" s="423">
        <f t="shared" si="15"/>
        <v>2.7454545454545457E-2</v>
      </c>
    </row>
    <row r="26" spans="1:55" ht="19.5" customHeight="1">
      <c r="A26" t="s">
        <v>124</v>
      </c>
      <c r="B26" s="109" t="s">
        <v>143</v>
      </c>
      <c r="C26" s="108" t="s">
        <v>142</v>
      </c>
      <c r="D26" s="307" t="s">
        <v>20</v>
      </c>
      <c r="E26" s="110" t="s">
        <v>20</v>
      </c>
      <c r="F26" s="110" t="s">
        <v>20</v>
      </c>
      <c r="G26" s="110" t="s">
        <v>20</v>
      </c>
      <c r="H26" s="110" t="s">
        <v>20</v>
      </c>
      <c r="I26" s="110" t="s">
        <v>20</v>
      </c>
      <c r="J26" s="110" t="s">
        <v>20</v>
      </c>
      <c r="K26" s="110" t="s">
        <v>20</v>
      </c>
      <c r="L26" s="110" t="s">
        <v>20</v>
      </c>
      <c r="M26" s="110" t="s">
        <v>20</v>
      </c>
      <c r="N26" s="110" t="s">
        <v>20</v>
      </c>
      <c r="O26" s="138" t="s">
        <v>20</v>
      </c>
      <c r="P26" s="376">
        <v>138.97999999999999</v>
      </c>
      <c r="Q26" s="377">
        <v>61.14</v>
      </c>
      <c r="R26" s="377">
        <v>100.2</v>
      </c>
      <c r="S26" s="377">
        <v>92.16</v>
      </c>
      <c r="T26" s="377">
        <v>54.54</v>
      </c>
      <c r="U26" s="377">
        <v>41.63</v>
      </c>
      <c r="V26" s="377">
        <v>32.119999999999997</v>
      </c>
      <c r="W26" s="377">
        <v>79.38</v>
      </c>
      <c r="X26" s="377">
        <v>138.99</v>
      </c>
      <c r="Y26" s="377">
        <v>224.09</v>
      </c>
      <c r="Z26" s="377">
        <v>247.78</v>
      </c>
      <c r="AA26" s="378">
        <v>128.75</v>
      </c>
      <c r="AB26" s="379">
        <v>148.11000000000001</v>
      </c>
      <c r="AC26" s="377">
        <v>124.63</v>
      </c>
      <c r="AD26" s="377">
        <v>126.92</v>
      </c>
      <c r="AE26" s="377">
        <v>-3.51</v>
      </c>
      <c r="AF26" s="377">
        <v>62.03</v>
      </c>
      <c r="AG26" s="377">
        <v>56.835000000000001</v>
      </c>
      <c r="AH26" s="377">
        <v>0.76233499999999998</v>
      </c>
      <c r="AI26" s="377">
        <v>49.220999999999997</v>
      </c>
      <c r="AJ26" s="377">
        <v>260.72300000000001</v>
      </c>
      <c r="AK26" s="308">
        <v>196.9</v>
      </c>
      <c r="AL26" s="308">
        <v>183.32900000000001</v>
      </c>
      <c r="AM26" s="417">
        <v>135.964598</v>
      </c>
      <c r="AN26" s="1101">
        <v>61.891939999999998</v>
      </c>
      <c r="AO26" s="377">
        <v>-31.568728</v>
      </c>
      <c r="AP26" s="377"/>
      <c r="AQ26" s="377"/>
      <c r="AR26" s="377"/>
      <c r="AS26" s="377"/>
      <c r="AT26" s="377"/>
      <c r="AU26" s="377"/>
      <c r="AV26" s="377"/>
      <c r="AW26" s="308"/>
      <c r="AX26" s="308"/>
      <c r="AY26" s="417"/>
      <c r="AZ26" s="434" t="s">
        <v>124</v>
      </c>
      <c r="BA26" s="447" t="str">
        <f t="shared" si="13"/>
        <v>-</v>
      </c>
      <c r="BB26" s="377">
        <f t="shared" si="14"/>
        <v>111.64666666666666</v>
      </c>
      <c r="BC26" s="473">
        <f t="shared" si="15"/>
        <v>111.82624441666668</v>
      </c>
    </row>
    <row r="27" spans="1:55" ht="19.5" customHeight="1">
      <c r="B27" s="100" t="s">
        <v>144</v>
      </c>
      <c r="C27" s="99" t="s">
        <v>145</v>
      </c>
      <c r="D27" s="139"/>
      <c r="E27" s="1039"/>
      <c r="F27" s="1039"/>
      <c r="G27" s="1039"/>
      <c r="H27" s="1039"/>
      <c r="I27" s="1039"/>
      <c r="J27" s="1039"/>
      <c r="K27" s="1039"/>
      <c r="L27" s="1039"/>
      <c r="M27" s="1039"/>
      <c r="N27" s="1039"/>
      <c r="O27" s="1040"/>
      <c r="P27" s="1041"/>
      <c r="Q27" s="1042"/>
      <c r="R27" s="1042"/>
      <c r="S27" s="1042"/>
      <c r="T27" s="1042"/>
      <c r="U27" s="1042"/>
      <c r="V27" s="1042"/>
      <c r="W27" s="1042"/>
      <c r="X27" s="1042"/>
      <c r="Y27" s="1042"/>
      <c r="Z27" s="1042"/>
      <c r="AA27" s="1043"/>
      <c r="AB27" s="1044"/>
      <c r="AC27" s="1045"/>
      <c r="AD27" s="1045"/>
      <c r="AE27" s="1045"/>
      <c r="AF27" s="1045"/>
      <c r="AG27" s="1113">
        <v>4428.7299999999996</v>
      </c>
      <c r="AH27" s="1113">
        <v>4290.93</v>
      </c>
      <c r="AI27" s="1113">
        <v>4822.09</v>
      </c>
      <c r="AJ27" s="1113">
        <v>5128.7700000000004</v>
      </c>
      <c r="AK27" s="1113">
        <v>5383</v>
      </c>
      <c r="AL27" s="1113">
        <v>5555.75</v>
      </c>
      <c r="AM27" s="1114">
        <v>6209.8565440000002</v>
      </c>
      <c r="AN27" s="1115">
        <v>6327.68</v>
      </c>
      <c r="AO27" s="1115">
        <v>6135.5</v>
      </c>
      <c r="AP27" s="481"/>
      <c r="AQ27" s="481"/>
      <c r="AR27" s="481"/>
      <c r="AS27" s="481"/>
      <c r="AT27" s="481"/>
      <c r="AU27" s="481"/>
      <c r="AV27" s="481"/>
      <c r="AW27" s="481"/>
      <c r="AX27" s="481"/>
      <c r="AY27" s="299"/>
      <c r="AZ27" s="434"/>
      <c r="BA27" s="445"/>
      <c r="BB27" s="172"/>
      <c r="BC27" s="423"/>
    </row>
    <row r="28" spans="1:55" ht="19.5" customHeight="1">
      <c r="B28" s="100" t="s">
        <v>146</v>
      </c>
      <c r="C28" s="99" t="s">
        <v>145</v>
      </c>
      <c r="D28" s="139"/>
      <c r="E28" s="106"/>
      <c r="F28" s="106"/>
      <c r="G28" s="106"/>
      <c r="H28" s="106"/>
      <c r="I28" s="106"/>
      <c r="J28" s="106"/>
      <c r="K28" s="106"/>
      <c r="L28" s="106"/>
      <c r="M28" s="106"/>
      <c r="N28" s="106"/>
      <c r="O28" s="136"/>
      <c r="P28" s="374"/>
      <c r="Q28" s="172"/>
      <c r="R28" s="172"/>
      <c r="S28" s="172"/>
      <c r="T28" s="172"/>
      <c r="U28" s="172"/>
      <c r="V28" s="172"/>
      <c r="W28" s="172"/>
      <c r="X28" s="172"/>
      <c r="Y28" s="172"/>
      <c r="Z28" s="172"/>
      <c r="AA28" s="375"/>
      <c r="AB28" s="1038"/>
      <c r="AC28" s="481"/>
      <c r="AD28" s="481"/>
      <c r="AE28" s="481"/>
      <c r="AF28" s="481"/>
      <c r="AG28" s="1116">
        <v>4038.63</v>
      </c>
      <c r="AH28" s="1116">
        <v>3884.73</v>
      </c>
      <c r="AI28" s="1116">
        <v>4375.53</v>
      </c>
      <c r="AJ28" s="1116">
        <v>4723.68</v>
      </c>
      <c r="AK28" s="1116">
        <v>4960.1000000000004</v>
      </c>
      <c r="AL28" s="1116">
        <v>5107.6899999999996</v>
      </c>
      <c r="AM28" s="1117">
        <v>5836.222479</v>
      </c>
      <c r="AN28" s="1118">
        <v>5918.98</v>
      </c>
      <c r="AO28" s="1118">
        <v>5686.16</v>
      </c>
      <c r="AP28" s="481"/>
      <c r="AQ28" s="481"/>
      <c r="AR28" s="481"/>
      <c r="AS28" s="481"/>
      <c r="AT28" s="481"/>
      <c r="AU28" s="481"/>
      <c r="AV28" s="481"/>
      <c r="AW28" s="481"/>
      <c r="AX28" s="481"/>
      <c r="AY28" s="299"/>
      <c r="AZ28" s="434"/>
      <c r="BA28" s="445"/>
      <c r="BB28" s="172"/>
      <c r="BC28" s="423"/>
    </row>
    <row r="29" spans="1:55" ht="19.5" customHeight="1">
      <c r="B29" s="100" t="s">
        <v>147</v>
      </c>
      <c r="C29" s="99" t="s">
        <v>145</v>
      </c>
      <c r="D29" s="139"/>
      <c r="E29" s="106"/>
      <c r="F29" s="106"/>
      <c r="G29" s="106"/>
      <c r="H29" s="106"/>
      <c r="I29" s="106"/>
      <c r="J29" s="106"/>
      <c r="K29" s="106"/>
      <c r="L29" s="106"/>
      <c r="M29" s="106"/>
      <c r="N29" s="106"/>
      <c r="O29" s="136"/>
      <c r="P29" s="374"/>
      <c r="Q29" s="172"/>
      <c r="R29" s="172"/>
      <c r="S29" s="172"/>
      <c r="T29" s="172"/>
      <c r="U29" s="172"/>
      <c r="V29" s="172"/>
      <c r="W29" s="172"/>
      <c r="X29" s="172"/>
      <c r="Y29" s="172"/>
      <c r="Z29" s="172"/>
      <c r="AA29" s="375"/>
      <c r="AB29" s="1038"/>
      <c r="AC29" s="481"/>
      <c r="AD29" s="481"/>
      <c r="AE29" s="481"/>
      <c r="AF29" s="481"/>
      <c r="AG29" s="1116">
        <v>108.62</v>
      </c>
      <c r="AH29" s="1116">
        <v>103.18</v>
      </c>
      <c r="AI29" s="1116">
        <v>95.39</v>
      </c>
      <c r="AJ29" s="1116">
        <v>113.44</v>
      </c>
      <c r="AK29" s="1116">
        <v>124.11</v>
      </c>
      <c r="AL29" s="1116">
        <v>122.12</v>
      </c>
      <c r="AM29" s="1117">
        <v>109.5441533</v>
      </c>
      <c r="AN29" s="1118">
        <v>113.94</v>
      </c>
      <c r="AO29" s="1118">
        <v>108.3</v>
      </c>
      <c r="AP29" s="481"/>
      <c r="AQ29" s="481"/>
      <c r="AR29" s="481"/>
      <c r="AS29" s="481"/>
      <c r="AT29" s="481"/>
      <c r="AU29" s="481"/>
      <c r="AV29" s="481"/>
      <c r="AW29" s="481"/>
      <c r="AX29" s="481"/>
      <c r="AY29" s="299"/>
      <c r="AZ29" s="434"/>
      <c r="BA29" s="445"/>
      <c r="BB29" s="172"/>
      <c r="BC29" s="423"/>
    </row>
    <row r="30" spans="1:55" ht="19.5" customHeight="1">
      <c r="B30" s="100" t="s">
        <v>148</v>
      </c>
      <c r="C30" s="99" t="s">
        <v>145</v>
      </c>
      <c r="D30" s="139"/>
      <c r="E30" s="106"/>
      <c r="F30" s="106"/>
      <c r="G30" s="106"/>
      <c r="H30" s="106"/>
      <c r="I30" s="106"/>
      <c r="J30" s="106"/>
      <c r="K30" s="106"/>
      <c r="L30" s="106"/>
      <c r="M30" s="106"/>
      <c r="N30" s="106"/>
      <c r="O30" s="136"/>
      <c r="P30" s="374"/>
      <c r="Q30" s="172"/>
      <c r="R30" s="172"/>
      <c r="S30" s="172"/>
      <c r="T30" s="172"/>
      <c r="U30" s="172"/>
      <c r="V30" s="172"/>
      <c r="W30" s="172"/>
      <c r="X30" s="172"/>
      <c r="Y30" s="172"/>
      <c r="Z30" s="172"/>
      <c r="AA30" s="375"/>
      <c r="AB30" s="1038"/>
      <c r="AC30" s="481"/>
      <c r="AD30" s="481"/>
      <c r="AE30" s="481"/>
      <c r="AF30" s="481"/>
      <c r="AG30" s="1116">
        <v>255.13</v>
      </c>
      <c r="AH30" s="1116">
        <v>267.63</v>
      </c>
      <c r="AI30" s="1116">
        <v>256.79000000000002</v>
      </c>
      <c r="AJ30" s="1116">
        <v>272.25</v>
      </c>
      <c r="AK30" s="1116">
        <v>276.27999999999997</v>
      </c>
      <c r="AL30" s="1116">
        <v>274.63</v>
      </c>
      <c r="AM30" s="1117">
        <v>267.75448</v>
      </c>
      <c r="AN30" s="1118">
        <v>265.44</v>
      </c>
      <c r="AO30" s="1118">
        <v>274.12</v>
      </c>
      <c r="AP30" s="481"/>
      <c r="AQ30" s="481"/>
      <c r="AR30" s="481"/>
      <c r="AS30" s="481"/>
      <c r="AT30" s="481"/>
      <c r="AU30" s="481"/>
      <c r="AV30" s="481"/>
      <c r="AW30" s="481"/>
      <c r="AX30" s="481"/>
      <c r="AY30" s="299"/>
      <c r="AZ30" s="434"/>
      <c r="BA30" s="445"/>
      <c r="BB30" s="172"/>
      <c r="BC30" s="423"/>
    </row>
    <row r="31" spans="1:55" ht="19.5" customHeight="1">
      <c r="B31" s="100" t="s">
        <v>149</v>
      </c>
      <c r="C31" s="99" t="s">
        <v>145</v>
      </c>
      <c r="D31" s="139"/>
      <c r="E31" s="106"/>
      <c r="F31" s="106"/>
      <c r="G31" s="106"/>
      <c r="H31" s="106"/>
      <c r="I31" s="106"/>
      <c r="J31" s="106"/>
      <c r="K31" s="106"/>
      <c r="L31" s="106"/>
      <c r="M31" s="106"/>
      <c r="N31" s="106"/>
      <c r="O31" s="136"/>
      <c r="P31" s="374"/>
      <c r="Q31" s="172"/>
      <c r="R31" s="172"/>
      <c r="S31" s="172"/>
      <c r="T31" s="172"/>
      <c r="U31" s="172"/>
      <c r="V31" s="172"/>
      <c r="W31" s="172"/>
      <c r="X31" s="172"/>
      <c r="Y31" s="172"/>
      <c r="Z31" s="172"/>
      <c r="AA31" s="375"/>
      <c r="AB31" s="1038"/>
      <c r="AC31" s="481"/>
      <c r="AD31" s="481"/>
      <c r="AE31" s="481"/>
      <c r="AF31" s="481"/>
      <c r="AG31" s="1116">
        <v>26.2</v>
      </c>
      <c r="AH31" s="1116">
        <v>35.5</v>
      </c>
      <c r="AI31" s="1116">
        <v>34.409999999999997</v>
      </c>
      <c r="AJ31" s="1116">
        <v>32.880000000000003</v>
      </c>
      <c r="AK31" s="1116">
        <v>27.88</v>
      </c>
      <c r="AL31" s="1116">
        <v>26.76</v>
      </c>
      <c r="AM31" s="1117">
        <v>26.099608979999999</v>
      </c>
      <c r="AN31" s="1118">
        <v>23.68</v>
      </c>
      <c r="AO31" s="1118">
        <v>29.2</v>
      </c>
      <c r="AP31" s="481"/>
      <c r="AQ31" s="481"/>
      <c r="AR31" s="481"/>
      <c r="AS31" s="481"/>
      <c r="AT31" s="481"/>
      <c r="AU31" s="481"/>
      <c r="AV31" s="481"/>
      <c r="AW31" s="481"/>
      <c r="AX31" s="481"/>
      <c r="AY31" s="299"/>
      <c r="AZ31" s="434"/>
      <c r="BA31" s="445"/>
      <c r="BB31" s="172"/>
      <c r="BC31" s="423"/>
    </row>
    <row r="32" spans="1:55" ht="19.5" customHeight="1">
      <c r="B32" s="100" t="s">
        <v>150</v>
      </c>
      <c r="C32" s="99" t="s">
        <v>145</v>
      </c>
      <c r="D32" s="139"/>
      <c r="E32" s="106"/>
      <c r="F32" s="106"/>
      <c r="G32" s="106"/>
      <c r="H32" s="106"/>
      <c r="I32" s="106"/>
      <c r="J32" s="106"/>
      <c r="K32" s="106"/>
      <c r="L32" s="106"/>
      <c r="M32" s="106"/>
      <c r="N32" s="106"/>
      <c r="O32" s="136"/>
      <c r="P32" s="374"/>
      <c r="Q32" s="172"/>
      <c r="R32" s="172"/>
      <c r="S32" s="172"/>
      <c r="T32" s="172"/>
      <c r="U32" s="172"/>
      <c r="V32" s="172"/>
      <c r="W32" s="172"/>
      <c r="X32" s="172"/>
      <c r="Y32" s="172"/>
      <c r="Z32" s="172"/>
      <c r="AA32" s="375"/>
      <c r="AB32" s="1038"/>
      <c r="AC32" s="481"/>
      <c r="AD32" s="481"/>
      <c r="AE32" s="481"/>
      <c r="AF32" s="481"/>
      <c r="AG32" s="1116">
        <v>185.05</v>
      </c>
      <c r="AH32" s="1116">
        <v>301.83999999999997</v>
      </c>
      <c r="AI32" s="1116">
        <v>934.57</v>
      </c>
      <c r="AJ32" s="1116">
        <v>154.68</v>
      </c>
      <c r="AK32" s="1116">
        <v>133.34</v>
      </c>
      <c r="AL32" s="1116">
        <v>315.54000000000002</v>
      </c>
      <c r="AM32" s="1117">
        <v>-36.637227129999999</v>
      </c>
      <c r="AN32" s="1118">
        <v>159.41</v>
      </c>
      <c r="AO32" s="1118">
        <v>483.24</v>
      </c>
      <c r="AP32" s="481"/>
      <c r="AQ32" s="481"/>
      <c r="AR32" s="481"/>
      <c r="AS32" s="481"/>
      <c r="AT32" s="481"/>
      <c r="AU32" s="481"/>
      <c r="AV32" s="481"/>
      <c r="AW32" s="481"/>
      <c r="AX32" s="481"/>
      <c r="AY32" s="299"/>
      <c r="AZ32" s="434"/>
      <c r="BA32" s="445"/>
      <c r="BB32" s="172"/>
      <c r="BC32" s="423"/>
    </row>
    <row r="33" spans="1:55" ht="19.5" customHeight="1">
      <c r="B33" s="109" t="s">
        <v>151</v>
      </c>
      <c r="C33" s="108" t="s">
        <v>145</v>
      </c>
      <c r="D33" s="863"/>
      <c r="E33" s="864"/>
      <c r="F33" s="864"/>
      <c r="G33" s="864"/>
      <c r="H33" s="864"/>
      <c r="I33" s="864"/>
      <c r="J33" s="864"/>
      <c r="K33" s="864"/>
      <c r="L33" s="864"/>
      <c r="M33" s="864"/>
      <c r="N33" s="864"/>
      <c r="O33" s="865"/>
      <c r="P33" s="866"/>
      <c r="Q33" s="867"/>
      <c r="R33" s="867"/>
      <c r="S33" s="867"/>
      <c r="T33" s="867"/>
      <c r="U33" s="867"/>
      <c r="V33" s="867"/>
      <c r="W33" s="867"/>
      <c r="X33" s="867"/>
      <c r="Y33" s="867"/>
      <c r="Z33" s="867"/>
      <c r="AA33" s="868"/>
      <c r="AB33" s="1046"/>
      <c r="AC33" s="872"/>
      <c r="AD33" s="872"/>
      <c r="AE33" s="872"/>
      <c r="AF33" s="872"/>
      <c r="AG33" s="1119">
        <v>400.35</v>
      </c>
      <c r="AH33" s="1119">
        <v>377.8</v>
      </c>
      <c r="AI33" s="1119">
        <v>384.69</v>
      </c>
      <c r="AJ33" s="1119">
        <v>360.65</v>
      </c>
      <c r="AK33" s="1119">
        <v>305.42</v>
      </c>
      <c r="AL33" s="1119">
        <v>433.43</v>
      </c>
      <c r="AM33" s="1120">
        <v>357.01957279999999</v>
      </c>
      <c r="AN33" s="1121">
        <v>395.02</v>
      </c>
      <c r="AO33" s="1121">
        <v>385.66</v>
      </c>
      <c r="AP33" s="872"/>
      <c r="AQ33" s="872"/>
      <c r="AR33" s="872"/>
      <c r="AS33" s="872"/>
      <c r="AT33" s="872"/>
      <c r="AU33" s="872"/>
      <c r="AV33" s="872"/>
      <c r="AW33" s="872"/>
      <c r="AX33" s="872"/>
      <c r="AY33" s="869"/>
      <c r="AZ33" s="434"/>
      <c r="BA33" s="870"/>
      <c r="BB33" s="867"/>
      <c r="BC33" s="871"/>
    </row>
    <row r="34" spans="1:55" ht="19.5" customHeight="1">
      <c r="B34" s="107" t="s">
        <v>152</v>
      </c>
      <c r="C34" s="108" t="s">
        <v>153</v>
      </c>
      <c r="D34" s="474">
        <v>0.02</v>
      </c>
      <c r="E34" s="475">
        <v>1.2999999999999999E-2</v>
      </c>
      <c r="F34" s="475">
        <v>1.4999999999999999E-2</v>
      </c>
      <c r="G34" s="475">
        <v>1.7000000000000001E-2</v>
      </c>
      <c r="H34" s="475">
        <v>1.2999999999999999E-2</v>
      </c>
      <c r="I34" s="475">
        <v>1.4E-2</v>
      </c>
      <c r="J34" s="475">
        <v>4.4999999999999998E-2</v>
      </c>
      <c r="K34" s="475">
        <v>3.1E-2</v>
      </c>
      <c r="L34" s="475">
        <v>3.1E-2</v>
      </c>
      <c r="M34" s="475">
        <v>1.6E-2</v>
      </c>
      <c r="N34" s="475">
        <v>1.2E-2</v>
      </c>
      <c r="O34" s="476">
        <v>1.2999999999999999E-2</v>
      </c>
      <c r="P34" s="477">
        <v>1.4999999999999999E-2</v>
      </c>
      <c r="Q34" s="475">
        <v>2.5999999999999999E-2</v>
      </c>
      <c r="R34" s="475">
        <v>2.8000000000000001E-2</v>
      </c>
      <c r="S34" s="475">
        <v>6.0000000000000001E-3</v>
      </c>
      <c r="T34" s="475">
        <v>1.2999999999999999E-2</v>
      </c>
      <c r="U34" s="475">
        <v>5.0000000000000001E-3</v>
      </c>
      <c r="V34" s="475">
        <v>8.0000000000000002E-3</v>
      </c>
      <c r="W34" s="475">
        <v>1.2999999999999999E-2</v>
      </c>
      <c r="X34" s="475">
        <v>0.02</v>
      </c>
      <c r="Y34" s="475">
        <v>3.3000000000000002E-2</v>
      </c>
      <c r="Z34" s="475">
        <v>2.1999999999999999E-2</v>
      </c>
      <c r="AA34" s="478" t="s">
        <v>20</v>
      </c>
      <c r="AB34" s="163" t="s">
        <v>20</v>
      </c>
      <c r="AC34" s="159" t="s">
        <v>20</v>
      </c>
      <c r="AD34" s="159">
        <v>180</v>
      </c>
      <c r="AE34" s="159">
        <v>173</v>
      </c>
      <c r="AF34" s="159">
        <v>280</v>
      </c>
      <c r="AG34" s="159">
        <v>27</v>
      </c>
      <c r="AH34" s="159">
        <f>172+48</f>
        <v>220</v>
      </c>
      <c r="AI34" s="159">
        <v>9</v>
      </c>
      <c r="AJ34" s="159">
        <v>96</v>
      </c>
      <c r="AK34" s="319">
        <v>40</v>
      </c>
      <c r="AL34" s="159">
        <v>19</v>
      </c>
      <c r="AM34" s="162">
        <v>101</v>
      </c>
      <c r="AN34" s="163">
        <v>50</v>
      </c>
      <c r="AO34" s="159"/>
      <c r="AP34" s="159"/>
      <c r="AQ34" s="159"/>
      <c r="AR34" s="159"/>
      <c r="AS34" s="159"/>
      <c r="AT34" s="159"/>
      <c r="AU34" s="159"/>
      <c r="AV34" s="159"/>
      <c r="AW34" s="319"/>
      <c r="AX34" s="159"/>
      <c r="AY34" s="162"/>
      <c r="AZ34" s="434"/>
      <c r="BA34" s="479">
        <f t="shared" ref="BA34:BA39" si="16">IFERROR(AVERAGE(D34:O34),"-")</f>
        <v>2.0000000000000004E-2</v>
      </c>
      <c r="BB34" s="475">
        <f t="shared" ref="BB34:BB39" si="17">IFERROR(AVERAGE(P34:AA34),"-")</f>
        <v>1.7181818181818184E-2</v>
      </c>
      <c r="BC34" s="425">
        <f t="shared" ref="BC34:BC51" si="18">IFERROR(SUMIFS(AB34:AM34,AB34:AM34,"&lt;&gt;0",AB34:AM34,"&lt;&gt;-",AB34:AM34,"&lt;&gt;",AB34:AM34,"&lt;&gt; ")/COUNTIFS(AB34:AM34,"&lt;&gt;0",AB34:AM34,"&lt;&gt;-",AB34:AM34,"&lt;&gt;",AB34:AM34,"&lt;&gt; "),"-")</f>
        <v>114.5</v>
      </c>
    </row>
    <row r="35" spans="1:55" ht="19.5" customHeight="1">
      <c r="B35" s="98" t="s">
        <v>154</v>
      </c>
      <c r="C35" s="99" t="s">
        <v>117</v>
      </c>
      <c r="D35" s="370">
        <v>0.01</v>
      </c>
      <c r="E35" s="174">
        <v>4.0000000000000001E-3</v>
      </c>
      <c r="F35" s="174">
        <v>4.0000000000000001E-3</v>
      </c>
      <c r="G35" s="174">
        <v>4.0000000000000001E-3</v>
      </c>
      <c r="H35" s="174">
        <v>5.0000000000000001E-3</v>
      </c>
      <c r="I35" s="174">
        <v>4.0000000000000001E-3</v>
      </c>
      <c r="J35" s="174">
        <v>5.0000000000000001E-3</v>
      </c>
      <c r="K35" s="174">
        <v>3.0000000000000001E-3</v>
      </c>
      <c r="L35" s="174">
        <v>3.0000000000000001E-3</v>
      </c>
      <c r="M35" s="174">
        <v>6.0000000000000001E-3</v>
      </c>
      <c r="N35" s="174">
        <v>4.0000000000000001E-3</v>
      </c>
      <c r="O35" s="281">
        <v>3.0000000000000001E-3</v>
      </c>
      <c r="P35" s="471">
        <v>3.0000000000000001E-3</v>
      </c>
      <c r="Q35" s="174">
        <v>3.0000000000000001E-3</v>
      </c>
      <c r="R35" s="174">
        <v>5.0000000000000001E-3</v>
      </c>
      <c r="S35" s="174">
        <v>2E-3</v>
      </c>
      <c r="T35" s="174">
        <v>2E-3</v>
      </c>
      <c r="U35" s="174">
        <v>2E-3</v>
      </c>
      <c r="V35" s="174">
        <v>2E-3</v>
      </c>
      <c r="W35" s="174">
        <v>2E-3</v>
      </c>
      <c r="X35" s="174">
        <v>2E-3</v>
      </c>
      <c r="Y35" s="174">
        <v>5.0000000000000001E-3</v>
      </c>
      <c r="Z35" s="174">
        <v>3.0000000000000001E-3</v>
      </c>
      <c r="AA35" s="369">
        <v>4.0000000000000001E-3</v>
      </c>
      <c r="AB35" s="370">
        <v>2E-3</v>
      </c>
      <c r="AC35" s="174">
        <v>1E-3</v>
      </c>
      <c r="AD35" s="174">
        <v>3.0000000000000001E-3</v>
      </c>
      <c r="AE35" s="174">
        <v>2.2000000000000001E-3</v>
      </c>
      <c r="AF35" s="174">
        <v>1.9E-3</v>
      </c>
      <c r="AG35" s="174">
        <v>2.7000000000000001E-3</v>
      </c>
      <c r="AH35" s="174">
        <v>2.3E-3</v>
      </c>
      <c r="AI35" s="174">
        <v>1.6000000000000001E-3</v>
      </c>
      <c r="AJ35" s="174">
        <v>2.5000000000000001E-3</v>
      </c>
      <c r="AK35" s="174">
        <v>1.5E-3</v>
      </c>
      <c r="AL35" s="174">
        <v>2.3999999999999998E-3</v>
      </c>
      <c r="AM35" s="369">
        <v>2.5699999999999998E-3</v>
      </c>
      <c r="AN35" s="370">
        <v>2.5000000000000001E-3</v>
      </c>
      <c r="AO35" s="174"/>
      <c r="AP35" s="174"/>
      <c r="AQ35" s="174"/>
      <c r="AR35" s="174"/>
      <c r="AS35" s="174"/>
      <c r="AT35" s="174"/>
      <c r="AU35" s="174"/>
      <c r="AV35" s="174"/>
      <c r="AW35" s="174"/>
      <c r="AX35" s="174"/>
      <c r="AY35" s="369"/>
      <c r="AZ35" s="480"/>
      <c r="BA35" s="444">
        <f t="shared" si="16"/>
        <v>4.5833333333333342E-3</v>
      </c>
      <c r="BB35" s="174">
        <f t="shared" si="17"/>
        <v>2.9166666666666668E-3</v>
      </c>
      <c r="BC35" s="422">
        <f t="shared" si="18"/>
        <v>2.1391666666666668E-3</v>
      </c>
    </row>
    <row r="36" spans="1:55" ht="19.5" customHeight="1">
      <c r="B36" s="100" t="s">
        <v>155</v>
      </c>
      <c r="C36" s="99" t="s">
        <v>153</v>
      </c>
      <c r="D36" s="135" t="s">
        <v>124</v>
      </c>
      <c r="E36" s="106" t="s">
        <v>124</v>
      </c>
      <c r="F36" s="106" t="s">
        <v>124</v>
      </c>
      <c r="G36" s="103" t="s">
        <v>124</v>
      </c>
      <c r="H36" s="103" t="s">
        <v>124</v>
      </c>
      <c r="I36" s="103" t="s">
        <v>124</v>
      </c>
      <c r="J36" s="103" t="s">
        <v>124</v>
      </c>
      <c r="K36" s="103" t="s">
        <v>124</v>
      </c>
      <c r="L36" s="103" t="s">
        <v>124</v>
      </c>
      <c r="M36" s="103" t="s">
        <v>124</v>
      </c>
      <c r="N36" s="103" t="s">
        <v>124</v>
      </c>
      <c r="O36" s="126" t="s">
        <v>124</v>
      </c>
      <c r="P36" s="114" t="s">
        <v>156</v>
      </c>
      <c r="Q36" s="103" t="s">
        <v>156</v>
      </c>
      <c r="R36" s="106" t="s">
        <v>157</v>
      </c>
      <c r="S36" s="106" t="s">
        <v>158</v>
      </c>
      <c r="T36" s="106">
        <v>266</v>
      </c>
      <c r="U36" s="106">
        <v>315</v>
      </c>
      <c r="V36" s="106">
        <v>240</v>
      </c>
      <c r="W36" s="106">
        <v>309</v>
      </c>
      <c r="X36" s="106">
        <v>307</v>
      </c>
      <c r="Y36" s="106">
        <v>946</v>
      </c>
      <c r="Z36" s="106">
        <v>503</v>
      </c>
      <c r="AA36" s="151">
        <v>724</v>
      </c>
      <c r="AB36" s="135">
        <v>395</v>
      </c>
      <c r="AC36" s="106">
        <v>356</v>
      </c>
      <c r="AD36" s="106">
        <v>347</v>
      </c>
      <c r="AE36" s="106">
        <v>385</v>
      </c>
      <c r="AF36" s="106">
        <v>410</v>
      </c>
      <c r="AG36" s="106">
        <v>367</v>
      </c>
      <c r="AH36" s="106">
        <v>447</v>
      </c>
      <c r="AI36" s="106">
        <v>286</v>
      </c>
      <c r="AJ36" s="106">
        <v>418</v>
      </c>
      <c r="AK36" s="106">
        <v>295</v>
      </c>
      <c r="AL36" s="106">
        <v>389</v>
      </c>
      <c r="AM36" s="151">
        <v>531</v>
      </c>
      <c r="AN36" s="135">
        <v>537</v>
      </c>
      <c r="AO36" s="106"/>
      <c r="AP36" s="106"/>
      <c r="AQ36" s="106"/>
      <c r="AR36" s="106"/>
      <c r="AS36" s="106"/>
      <c r="AT36" s="106"/>
      <c r="AU36" s="106"/>
      <c r="AV36" s="106"/>
      <c r="AW36" s="106"/>
      <c r="AX36" s="106"/>
      <c r="AY36" s="151"/>
      <c r="AZ36" s="434"/>
      <c r="BA36" s="448" t="str">
        <f t="shared" si="16"/>
        <v>-</v>
      </c>
      <c r="BB36" s="481">
        <f t="shared" si="17"/>
        <v>451.25</v>
      </c>
      <c r="BC36" s="482">
        <f t="shared" si="18"/>
        <v>385.5</v>
      </c>
    </row>
    <row r="37" spans="1:55" ht="19.5" customHeight="1">
      <c r="B37" s="100" t="s">
        <v>159</v>
      </c>
      <c r="C37" s="99"/>
      <c r="D37" s="363"/>
      <c r="E37" s="364"/>
      <c r="F37" s="364"/>
      <c r="G37" s="365"/>
      <c r="H37" s="365"/>
      <c r="I37" s="365"/>
      <c r="J37" s="365"/>
      <c r="K37" s="365"/>
      <c r="L37" s="365"/>
      <c r="M37" s="365"/>
      <c r="N37" s="365"/>
      <c r="O37" s="366"/>
      <c r="P37" s="367"/>
      <c r="Q37" s="365"/>
      <c r="R37" s="364"/>
      <c r="S37" s="364"/>
      <c r="T37" s="364"/>
      <c r="U37" s="364"/>
      <c r="V37" s="364"/>
      <c r="W37" s="364"/>
      <c r="X37" s="364"/>
      <c r="Y37" s="364"/>
      <c r="Z37" s="364"/>
      <c r="AA37" s="368"/>
      <c r="AB37" s="363">
        <v>42</v>
      </c>
      <c r="AC37" s="364">
        <v>47</v>
      </c>
      <c r="AD37" s="364">
        <v>18</v>
      </c>
      <c r="AE37" s="364">
        <v>64</v>
      </c>
      <c r="AF37" s="364">
        <v>65</v>
      </c>
      <c r="AG37" s="364">
        <v>16</v>
      </c>
      <c r="AH37" s="364">
        <v>44</v>
      </c>
      <c r="AI37" s="364">
        <v>5</v>
      </c>
      <c r="AJ37" s="364">
        <v>18</v>
      </c>
      <c r="AK37" s="364">
        <v>30</v>
      </c>
      <c r="AL37" s="364">
        <v>60</v>
      </c>
      <c r="AM37" s="368">
        <v>12</v>
      </c>
      <c r="AN37" s="363">
        <v>533</v>
      </c>
      <c r="AO37" s="364"/>
      <c r="AP37" s="364"/>
      <c r="AQ37" s="364"/>
      <c r="AR37" s="364"/>
      <c r="AS37" s="364"/>
      <c r="AT37" s="364"/>
      <c r="AU37" s="364"/>
      <c r="AV37" s="364"/>
      <c r="AW37" s="364"/>
      <c r="AX37" s="364"/>
      <c r="AY37" s="368"/>
      <c r="AZ37" s="434"/>
      <c r="BA37" s="449" t="str">
        <f t="shared" si="16"/>
        <v>-</v>
      </c>
      <c r="BB37" s="483" t="str">
        <f t="shared" si="17"/>
        <v>-</v>
      </c>
      <c r="BC37" s="484">
        <f>IFERROR(SUMIFS(AB37:AM37,AB37:AM37,"&lt;&gt;0",AB37:AM37,"&lt;&gt;-",AB37:AM37,"&lt;&gt;",AB37:AM37,"&lt;&gt; ")/COUNTIFS(AB37:AM37,"&lt;&gt;0",AB37:AM37,"&lt;&gt;-",AB37:AM37,"&lt;&gt;",AB37:AM37,"&lt;&gt; "),"-")</f>
        <v>35.083333333333336</v>
      </c>
    </row>
    <row r="38" spans="1:55" ht="19.5" customHeight="1">
      <c r="B38" s="100" t="s">
        <v>160</v>
      </c>
      <c r="C38" s="99"/>
      <c r="D38" s="363"/>
      <c r="E38" s="364"/>
      <c r="F38" s="364"/>
      <c r="G38" s="365"/>
      <c r="H38" s="365"/>
      <c r="I38" s="365"/>
      <c r="J38" s="365"/>
      <c r="K38" s="365"/>
      <c r="L38" s="365"/>
      <c r="M38" s="365"/>
      <c r="N38" s="365"/>
      <c r="O38" s="366"/>
      <c r="P38" s="367"/>
      <c r="Q38" s="365"/>
      <c r="R38" s="364"/>
      <c r="S38" s="364"/>
      <c r="T38" s="364"/>
      <c r="U38" s="364"/>
      <c r="V38" s="364"/>
      <c r="W38" s="364"/>
      <c r="X38" s="364"/>
      <c r="Y38" s="364"/>
      <c r="Z38" s="364"/>
      <c r="AA38" s="368"/>
      <c r="AB38" s="363">
        <v>353</v>
      </c>
      <c r="AC38" s="364">
        <v>309</v>
      </c>
      <c r="AD38" s="364">
        <v>329</v>
      </c>
      <c r="AE38" s="364">
        <v>321</v>
      </c>
      <c r="AF38" s="364">
        <v>345</v>
      </c>
      <c r="AG38" s="364">
        <v>351</v>
      </c>
      <c r="AH38" s="364">
        <v>403</v>
      </c>
      <c r="AI38" s="364">
        <v>281</v>
      </c>
      <c r="AJ38" s="364">
        <v>400</v>
      </c>
      <c r="AK38" s="364">
        <v>265</v>
      </c>
      <c r="AL38" s="364">
        <v>329</v>
      </c>
      <c r="AM38" s="368">
        <v>519</v>
      </c>
      <c r="AN38" s="363">
        <v>4</v>
      </c>
      <c r="AO38" s="364"/>
      <c r="AP38" s="364"/>
      <c r="AQ38" s="364"/>
      <c r="AR38" s="364"/>
      <c r="AS38" s="364"/>
      <c r="AT38" s="364"/>
      <c r="AU38" s="364"/>
      <c r="AV38" s="364"/>
      <c r="AW38" s="364"/>
      <c r="AX38" s="364"/>
      <c r="AY38" s="368"/>
      <c r="AZ38" s="434"/>
      <c r="BA38" s="449" t="str">
        <f t="shared" si="16"/>
        <v>-</v>
      </c>
      <c r="BB38" s="483" t="str">
        <f t="shared" si="17"/>
        <v>-</v>
      </c>
      <c r="BC38" s="484">
        <f t="shared" si="18"/>
        <v>350.41666666666669</v>
      </c>
    </row>
    <row r="39" spans="1:55" ht="19.5" customHeight="1">
      <c r="B39" s="109" t="s">
        <v>161</v>
      </c>
      <c r="C39" s="108" t="s">
        <v>153</v>
      </c>
      <c r="D39" s="140" t="s">
        <v>124</v>
      </c>
      <c r="E39" s="141" t="s">
        <v>124</v>
      </c>
      <c r="F39" s="141" t="s">
        <v>124</v>
      </c>
      <c r="G39" s="142" t="s">
        <v>124</v>
      </c>
      <c r="H39" s="142" t="s">
        <v>124</v>
      </c>
      <c r="I39" s="142" t="s">
        <v>124</v>
      </c>
      <c r="J39" s="142" t="s">
        <v>124</v>
      </c>
      <c r="K39" s="142" t="s">
        <v>124</v>
      </c>
      <c r="L39" s="142" t="s">
        <v>124</v>
      </c>
      <c r="M39" s="142" t="s">
        <v>124</v>
      </c>
      <c r="N39" s="142" t="s">
        <v>124</v>
      </c>
      <c r="O39" s="143" t="s">
        <v>124</v>
      </c>
      <c r="P39" s="144" t="s">
        <v>156</v>
      </c>
      <c r="Q39" s="142" t="s">
        <v>156</v>
      </c>
      <c r="R39" s="141" t="s">
        <v>157</v>
      </c>
      <c r="S39" s="141">
        <v>116</v>
      </c>
      <c r="T39" s="141">
        <v>127</v>
      </c>
      <c r="U39" s="141">
        <v>186</v>
      </c>
      <c r="V39" s="141">
        <v>108</v>
      </c>
      <c r="W39" s="141">
        <v>147</v>
      </c>
      <c r="X39" s="141">
        <v>123</v>
      </c>
      <c r="Y39" s="141">
        <v>633</v>
      </c>
      <c r="Z39" s="141">
        <v>295</v>
      </c>
      <c r="AA39" s="153">
        <v>396</v>
      </c>
      <c r="AB39" s="140">
        <v>215</v>
      </c>
      <c r="AC39" s="141" t="s">
        <v>20</v>
      </c>
      <c r="AD39" s="141" t="s">
        <v>20</v>
      </c>
      <c r="AE39" s="141" t="s">
        <v>20</v>
      </c>
      <c r="AF39" s="141" t="s">
        <v>20</v>
      </c>
      <c r="AG39" s="141" t="s">
        <v>20</v>
      </c>
      <c r="AH39" s="141">
        <v>107</v>
      </c>
      <c r="AI39" s="141" t="s">
        <v>20</v>
      </c>
      <c r="AJ39" s="141">
        <v>170</v>
      </c>
      <c r="AK39" s="819">
        <v>16</v>
      </c>
      <c r="AL39" s="141" t="s">
        <v>124</v>
      </c>
      <c r="AM39" s="153" t="s">
        <v>124</v>
      </c>
      <c r="AN39" s="140" t="s">
        <v>124</v>
      </c>
      <c r="AO39" s="141"/>
      <c r="AP39" s="141"/>
      <c r="AQ39" s="141"/>
      <c r="AR39" s="141"/>
      <c r="AS39" s="141"/>
      <c r="AT39" s="141"/>
      <c r="AU39" s="141"/>
      <c r="AV39" s="141"/>
      <c r="AW39" s="819"/>
      <c r="AX39" s="141"/>
      <c r="AY39" s="153"/>
      <c r="AZ39" s="434"/>
      <c r="BA39" s="450" t="str">
        <f t="shared" si="16"/>
        <v>-</v>
      </c>
      <c r="BB39" s="485">
        <f t="shared" si="17"/>
        <v>236.77777777777777</v>
      </c>
      <c r="BC39" s="486">
        <f t="shared" si="18"/>
        <v>84.666666666666671</v>
      </c>
    </row>
    <row r="40" spans="1:55" ht="19.5" customHeight="1">
      <c r="A40" s="66"/>
      <c r="B40" s="98" t="s">
        <v>162</v>
      </c>
      <c r="C40" s="99" t="s">
        <v>163</v>
      </c>
      <c r="D40" s="488">
        <v>8154</v>
      </c>
      <c r="E40" s="487">
        <v>3402</v>
      </c>
      <c r="F40" s="487">
        <v>8517</v>
      </c>
      <c r="G40" s="487">
        <v>5136</v>
      </c>
      <c r="H40" s="487">
        <v>5745</v>
      </c>
      <c r="I40" s="487">
        <v>1141</v>
      </c>
      <c r="J40" s="487">
        <v>1677</v>
      </c>
      <c r="K40" s="487">
        <v>1061</v>
      </c>
      <c r="L40" s="487">
        <v>2965</v>
      </c>
      <c r="M40" s="102">
        <v>579</v>
      </c>
      <c r="N40" s="487">
        <v>2083</v>
      </c>
      <c r="O40" s="492">
        <v>2288</v>
      </c>
      <c r="P40" s="113">
        <v>794</v>
      </c>
      <c r="Q40" s="487">
        <v>1366</v>
      </c>
      <c r="R40" s="487">
        <v>2992</v>
      </c>
      <c r="S40" s="487">
        <v>5762</v>
      </c>
      <c r="T40" s="487">
        <v>8015</v>
      </c>
      <c r="U40" s="487">
        <v>1696</v>
      </c>
      <c r="V40" s="487">
        <v>2559</v>
      </c>
      <c r="W40" s="487">
        <v>1708</v>
      </c>
      <c r="X40" s="487">
        <v>3632</v>
      </c>
      <c r="Y40" s="102" t="s">
        <v>164</v>
      </c>
      <c r="Z40" s="487">
        <v>1489</v>
      </c>
      <c r="AA40" s="491">
        <v>2418</v>
      </c>
      <c r="AB40" s="531">
        <v>1015</v>
      </c>
      <c r="AC40" s="532" t="s">
        <v>124</v>
      </c>
      <c r="AD40" s="532" t="s">
        <v>124</v>
      </c>
      <c r="AE40" s="532" t="s">
        <v>124</v>
      </c>
      <c r="AF40" s="532" t="s">
        <v>124</v>
      </c>
      <c r="AG40" s="532">
        <v>10919.76</v>
      </c>
      <c r="AH40" s="532">
        <v>9135</v>
      </c>
      <c r="AI40" s="532">
        <v>16808</v>
      </c>
      <c r="AJ40" s="532">
        <v>4566</v>
      </c>
      <c r="AK40" s="532">
        <v>4640</v>
      </c>
      <c r="AL40" s="532">
        <v>6630</v>
      </c>
      <c r="AM40" s="533">
        <v>3022</v>
      </c>
      <c r="AN40" s="531"/>
      <c r="AO40" s="532"/>
      <c r="AP40" s="532"/>
      <c r="AQ40" s="532"/>
      <c r="AR40" s="532"/>
      <c r="AS40" s="532"/>
      <c r="AT40" s="532"/>
      <c r="AU40" s="532"/>
      <c r="AV40" s="532"/>
      <c r="AW40" s="532"/>
      <c r="AX40" s="532"/>
      <c r="AY40" s="533"/>
      <c r="AZ40" s="433"/>
      <c r="BA40" s="440">
        <f t="shared" ref="BA40" si="19">IFERROR(AVERAGE(D40:O40),"-")</f>
        <v>3562.3333333333335</v>
      </c>
      <c r="BB40" s="175">
        <f t="shared" ref="BB40" si="20">IFERROR(AVERAGE(P40:AA40),"-")</f>
        <v>2948.2727272727275</v>
      </c>
      <c r="BC40" s="426">
        <f t="shared" si="18"/>
        <v>4727.9800000000005</v>
      </c>
    </row>
    <row r="41" spans="1:55" ht="19.5" customHeight="1">
      <c r="B41" s="100" t="s">
        <v>165</v>
      </c>
      <c r="C41" s="99" t="s">
        <v>163</v>
      </c>
      <c r="D41" s="125" t="s">
        <v>124</v>
      </c>
      <c r="E41" s="103" t="s">
        <v>124</v>
      </c>
      <c r="F41" s="103" t="s">
        <v>124</v>
      </c>
      <c r="G41" s="103" t="s">
        <v>124</v>
      </c>
      <c r="H41" s="103" t="s">
        <v>124</v>
      </c>
      <c r="I41" s="103" t="s">
        <v>124</v>
      </c>
      <c r="J41" s="103" t="s">
        <v>124</v>
      </c>
      <c r="K41" s="103" t="s">
        <v>124</v>
      </c>
      <c r="L41" s="103" t="s">
        <v>124</v>
      </c>
      <c r="M41" s="103" t="s">
        <v>124</v>
      </c>
      <c r="N41" s="103" t="s">
        <v>124</v>
      </c>
      <c r="O41" s="126" t="s">
        <v>124</v>
      </c>
      <c r="P41" s="114" t="s">
        <v>156</v>
      </c>
      <c r="Q41" s="103" t="s">
        <v>156</v>
      </c>
      <c r="R41" s="103" t="s">
        <v>156</v>
      </c>
      <c r="S41" s="103" t="s">
        <v>156</v>
      </c>
      <c r="T41" s="489">
        <v>4617</v>
      </c>
      <c r="U41" s="489">
        <v>1696</v>
      </c>
      <c r="V41" s="489">
        <v>2502</v>
      </c>
      <c r="W41" s="489">
        <v>1708</v>
      </c>
      <c r="X41" s="103">
        <v>82</v>
      </c>
      <c r="Y41" s="489">
        <v>2298</v>
      </c>
      <c r="Z41" s="489">
        <v>1489</v>
      </c>
      <c r="AA41" s="490">
        <v>2418</v>
      </c>
      <c r="AB41" s="534">
        <v>1015</v>
      </c>
      <c r="AC41" s="535" t="s">
        <v>124</v>
      </c>
      <c r="AD41" s="535" t="s">
        <v>124</v>
      </c>
      <c r="AE41" s="535" t="s">
        <v>124</v>
      </c>
      <c r="AF41" s="535" t="s">
        <v>124</v>
      </c>
      <c r="AG41" s="535">
        <v>5094.3500000000004</v>
      </c>
      <c r="AH41" s="535">
        <v>3638.83</v>
      </c>
      <c r="AI41" s="535"/>
      <c r="AJ41" s="535"/>
      <c r="AK41" s="844"/>
      <c r="AL41" s="535"/>
      <c r="AM41" s="536"/>
      <c r="AN41" s="534"/>
      <c r="AO41" s="535"/>
      <c r="AP41" s="535"/>
      <c r="AQ41" s="535"/>
      <c r="AR41" s="535"/>
      <c r="AS41" s="535"/>
      <c r="AT41" s="535"/>
      <c r="AU41" s="535"/>
      <c r="AV41" s="535"/>
      <c r="AW41" s="844"/>
      <c r="AX41" s="535"/>
      <c r="AY41" s="536"/>
      <c r="AZ41" s="434"/>
      <c r="BA41" s="441" t="s">
        <v>20</v>
      </c>
      <c r="BB41" s="277" t="s">
        <v>20</v>
      </c>
      <c r="BC41" s="420">
        <f t="shared" si="18"/>
        <v>1392.5971428571429</v>
      </c>
    </row>
    <row r="42" spans="1:55" ht="19.5" customHeight="1">
      <c r="B42" s="100" t="s">
        <v>166</v>
      </c>
      <c r="C42" s="99" t="s">
        <v>163</v>
      </c>
      <c r="D42" s="125" t="s">
        <v>124</v>
      </c>
      <c r="E42" s="103" t="s">
        <v>124</v>
      </c>
      <c r="F42" s="103" t="s">
        <v>124</v>
      </c>
      <c r="G42" s="103" t="s">
        <v>124</v>
      </c>
      <c r="H42" s="103" t="s">
        <v>124</v>
      </c>
      <c r="I42" s="103" t="s">
        <v>124</v>
      </c>
      <c r="J42" s="103" t="s">
        <v>124</v>
      </c>
      <c r="K42" s="103" t="s">
        <v>124</v>
      </c>
      <c r="L42" s="103" t="s">
        <v>124</v>
      </c>
      <c r="M42" s="103" t="s">
        <v>124</v>
      </c>
      <c r="N42" s="103" t="s">
        <v>124</v>
      </c>
      <c r="O42" s="126" t="s">
        <v>124</v>
      </c>
      <c r="P42" s="114" t="s">
        <v>156</v>
      </c>
      <c r="Q42" s="103" t="s">
        <v>156</v>
      </c>
      <c r="R42" s="103" t="s">
        <v>156</v>
      </c>
      <c r="S42" s="103" t="s">
        <v>156</v>
      </c>
      <c r="T42" s="489">
        <v>3398</v>
      </c>
      <c r="U42" s="103" t="s">
        <v>156</v>
      </c>
      <c r="V42" s="103">
        <v>57</v>
      </c>
      <c r="W42" s="103" t="s">
        <v>156</v>
      </c>
      <c r="X42" s="103" t="s">
        <v>156</v>
      </c>
      <c r="Y42" s="103" t="s">
        <v>167</v>
      </c>
      <c r="Z42" s="103" t="s">
        <v>124</v>
      </c>
      <c r="AA42" s="146" t="s">
        <v>124</v>
      </c>
      <c r="AB42" s="534" t="s">
        <v>157</v>
      </c>
      <c r="AC42" s="535" t="s">
        <v>124</v>
      </c>
      <c r="AD42" s="535" t="s">
        <v>124</v>
      </c>
      <c r="AE42" s="535" t="s">
        <v>124</v>
      </c>
      <c r="AF42" s="535" t="s">
        <v>124</v>
      </c>
      <c r="AG42" s="535">
        <v>0</v>
      </c>
      <c r="AH42" s="535">
        <v>0</v>
      </c>
      <c r="AI42" s="535"/>
      <c r="AJ42" s="535"/>
      <c r="AK42" s="844"/>
      <c r="AL42" s="535"/>
      <c r="AM42" s="536"/>
      <c r="AN42" s="534"/>
      <c r="AO42" s="535"/>
      <c r="AP42" s="535"/>
      <c r="AQ42" s="535"/>
      <c r="AR42" s="535"/>
      <c r="AS42" s="535"/>
      <c r="AT42" s="535"/>
      <c r="AU42" s="535"/>
      <c r="AV42" s="535"/>
      <c r="AW42" s="844"/>
      <c r="AX42" s="535"/>
      <c r="AY42" s="536"/>
      <c r="AZ42" s="434"/>
      <c r="BA42" s="441" t="s">
        <v>20</v>
      </c>
      <c r="BB42" s="277" t="s">
        <v>20</v>
      </c>
      <c r="BC42" s="420">
        <f t="shared" si="18"/>
        <v>0</v>
      </c>
    </row>
    <row r="43" spans="1:55" ht="19.5" customHeight="1">
      <c r="A43" t="s">
        <v>124</v>
      </c>
      <c r="B43" s="109" t="s">
        <v>168</v>
      </c>
      <c r="C43" s="108" t="s">
        <v>163</v>
      </c>
      <c r="D43" s="309" t="s">
        <v>124</v>
      </c>
      <c r="E43" s="310" t="s">
        <v>124</v>
      </c>
      <c r="F43" s="310" t="s">
        <v>124</v>
      </c>
      <c r="G43" s="310" t="s">
        <v>124</v>
      </c>
      <c r="H43" s="310" t="s">
        <v>124</v>
      </c>
      <c r="I43" s="310" t="s">
        <v>124</v>
      </c>
      <c r="J43" s="310" t="s">
        <v>124</v>
      </c>
      <c r="K43" s="310" t="s">
        <v>124</v>
      </c>
      <c r="L43" s="310" t="s">
        <v>124</v>
      </c>
      <c r="M43" s="310" t="s">
        <v>124</v>
      </c>
      <c r="N43" s="310" t="s">
        <v>124</v>
      </c>
      <c r="O43" s="311" t="s">
        <v>124</v>
      </c>
      <c r="P43" s="312" t="s">
        <v>156</v>
      </c>
      <c r="Q43" s="310" t="s">
        <v>156</v>
      </c>
      <c r="R43" s="310" t="s">
        <v>156</v>
      </c>
      <c r="S43" s="310" t="s">
        <v>156</v>
      </c>
      <c r="T43" s="310" t="s">
        <v>156</v>
      </c>
      <c r="U43" s="310" t="s">
        <v>156</v>
      </c>
      <c r="V43" s="310" t="s">
        <v>169</v>
      </c>
      <c r="W43" s="310" t="s">
        <v>156</v>
      </c>
      <c r="X43" s="310" t="s">
        <v>170</v>
      </c>
      <c r="Y43" s="310">
        <v>222</v>
      </c>
      <c r="Z43" s="310" t="s">
        <v>124</v>
      </c>
      <c r="AA43" s="313" t="s">
        <v>124</v>
      </c>
      <c r="AB43" s="537" t="s">
        <v>124</v>
      </c>
      <c r="AC43" s="538" t="s">
        <v>124</v>
      </c>
      <c r="AD43" s="538" t="s">
        <v>124</v>
      </c>
      <c r="AE43" s="538" t="s">
        <v>124</v>
      </c>
      <c r="AF43" s="538" t="s">
        <v>124</v>
      </c>
      <c r="AG43" s="538">
        <v>0</v>
      </c>
      <c r="AH43" s="538">
        <v>0</v>
      </c>
      <c r="AI43" s="538" t="s">
        <v>124</v>
      </c>
      <c r="AJ43" s="538" t="s">
        <v>124</v>
      </c>
      <c r="AK43" s="845"/>
      <c r="AL43" s="538" t="s">
        <v>124</v>
      </c>
      <c r="AM43" s="539" t="s">
        <v>124</v>
      </c>
      <c r="AN43" s="537" t="s">
        <v>124</v>
      </c>
      <c r="AO43" s="538"/>
      <c r="AP43" s="538"/>
      <c r="AQ43" s="538"/>
      <c r="AR43" s="538"/>
      <c r="AS43" s="538"/>
      <c r="AT43" s="538"/>
      <c r="AU43" s="538"/>
      <c r="AV43" s="538"/>
      <c r="AW43" s="845"/>
      <c r="AX43" s="538"/>
      <c r="AY43" s="539"/>
      <c r="AZ43" s="434" t="s">
        <v>124</v>
      </c>
      <c r="BA43" s="451" t="s">
        <v>20</v>
      </c>
      <c r="BB43" s="314" t="s">
        <v>20</v>
      </c>
      <c r="BC43" s="427">
        <f t="shared" si="18"/>
        <v>0</v>
      </c>
    </row>
    <row r="44" spans="1:55" ht="19.5" customHeight="1">
      <c r="A44" s="66"/>
      <c r="B44" s="98" t="s">
        <v>171</v>
      </c>
      <c r="C44" s="99" t="s">
        <v>172</v>
      </c>
      <c r="D44" s="168"/>
      <c r="E44" s="169"/>
      <c r="F44" s="169"/>
      <c r="G44" s="169"/>
      <c r="H44" s="169"/>
      <c r="I44" s="169"/>
      <c r="J44" s="169"/>
      <c r="K44" s="169"/>
      <c r="L44" s="169"/>
      <c r="M44" s="169"/>
      <c r="N44" s="169"/>
      <c r="O44" s="170"/>
      <c r="P44" s="171"/>
      <c r="Q44" s="169"/>
      <c r="R44" s="169"/>
      <c r="S44" s="169"/>
      <c r="T44" s="169"/>
      <c r="U44" s="169"/>
      <c r="V44" s="169"/>
      <c r="W44" s="169"/>
      <c r="X44" s="169"/>
      <c r="Y44" s="169"/>
      <c r="Z44" s="169"/>
      <c r="AA44" s="315"/>
      <c r="AB44" s="316" t="str">
        <f>IFERROR((SUMIFS('TABLERO DIARIO'!#REF!,'TABLERO DIARIO'!$I$2:$ZZ$2,"&gt;="&amp;DATE(2025,MONTH(AB$2),1),'TABLERO DIARIO'!$I$2:$ZZ$2,"&lt;="&amp;EOMONTH(AB$2,0))/COUNTIFS('TABLERO DIARIO'!$I$2:$ZZ$2,"&gt;="&amp;DATE(2025,MONTH(AB$2),1),'TABLERO DIARIO'!$I$2:$ZZ$2,"&lt;="&amp;EOMONTH(AB$2,0),'TABLERO DIARIO'!#REF!,"&lt;&gt;0",'TABLERO DIARIO'!#REF!,"&lt;&gt;-",'TABLERO DIARIO'!#REF!,"&lt;&gt;")),"-")</f>
        <v>-</v>
      </c>
      <c r="AC44" s="317" t="str">
        <f>IFERROR((SUMIFS('TABLERO DIARIO'!#REF!,'TABLERO DIARIO'!$I$2:$ZZ$2,"&gt;="&amp;DATE(2025,MONTH(AC$2),1),'TABLERO DIARIO'!$I$2:$ZZ$2,"&lt;="&amp;EOMONTH(AC$2,0))/COUNTIFS('TABLERO DIARIO'!$I$2:$ZZ$2,"&gt;="&amp;DATE(2025,MONTH(AC$2),1),'TABLERO DIARIO'!$I$2:$ZZ$2,"&lt;="&amp;EOMONTH(AC$2,0),'TABLERO DIARIO'!#REF!,"&lt;&gt;0",'TABLERO DIARIO'!#REF!,"&lt;&gt;-",'TABLERO DIARIO'!#REF!,"&lt;&gt;")),"-")</f>
        <v>-</v>
      </c>
      <c r="AD44" s="317" t="str">
        <f>IFERROR((SUMIFS('TABLERO DIARIO'!#REF!,'TABLERO DIARIO'!$I$2:$ZZ$2,"&gt;="&amp;DATE(2025,MONTH(AD$2),1),'TABLERO DIARIO'!$I$2:$ZZ$2,"&lt;="&amp;EOMONTH(AD$2,0))/COUNTIFS('TABLERO DIARIO'!$I$2:$ZZ$2,"&gt;="&amp;DATE(2025,MONTH(AD$2),1),'TABLERO DIARIO'!$I$2:$ZZ$2,"&lt;="&amp;EOMONTH(AD$2,0),'TABLERO DIARIO'!#REF!,"&lt;&gt;0",'TABLERO DIARIO'!#REF!,"&lt;&gt;-",'TABLERO DIARIO'!#REF!,"&lt;&gt;")),"-")</f>
        <v>-</v>
      </c>
      <c r="AE44" s="317" t="str">
        <f>IFERROR((SUMIFS('TABLERO DIARIO'!#REF!,'TABLERO DIARIO'!$I$2:$ZZ$2,"&gt;="&amp;DATE(2025,MONTH(AE$2),1),'TABLERO DIARIO'!$I$2:$ZZ$2,"&lt;="&amp;EOMONTH(AE$2,0))/COUNTIFS('TABLERO DIARIO'!$I$2:$ZZ$2,"&gt;="&amp;DATE(2025,MONTH(AE$2),1),'TABLERO DIARIO'!$I$2:$ZZ$2,"&lt;="&amp;EOMONTH(AE$2,0),'TABLERO DIARIO'!#REF!,"&lt;&gt;0",'TABLERO DIARIO'!#REF!,"&lt;&gt;-",'TABLERO DIARIO'!#REF!,"&lt;&gt;")),"-")</f>
        <v>-</v>
      </c>
      <c r="AF44" s="317" t="str">
        <f>IFERROR((SUMIFS('TABLERO DIARIO'!#REF!,'TABLERO DIARIO'!$I$2:$ZZ$2,"&gt;="&amp;DATE(2025,MONTH(AF$2),1),'TABLERO DIARIO'!$I$2:$ZZ$2,"&lt;="&amp;EOMONTH(AF$2,0))/COUNTIFS('TABLERO DIARIO'!$I$2:$ZZ$2,"&gt;="&amp;DATE(2025,MONTH(AF$2),1),'TABLERO DIARIO'!$I$2:$ZZ$2,"&lt;="&amp;EOMONTH(AF$2,0),'TABLERO DIARIO'!#REF!,"&lt;&gt;0",'TABLERO DIARIO'!#REF!,"&lt;&gt;-",'TABLERO DIARIO'!#REF!,"&lt;&gt;")),"-")</f>
        <v>-</v>
      </c>
      <c r="AG44" s="317" t="str">
        <f>IFERROR((SUMIFS('TABLERO DIARIO'!#REF!,'TABLERO DIARIO'!$I$2:$ZZ$2,"&gt;="&amp;DATE(2025,MONTH(AG$2),1),'TABLERO DIARIO'!$I$2:$ZZ$2,"&lt;="&amp;EOMONTH(AG$2,0))/COUNTIFS('TABLERO DIARIO'!$I$2:$ZZ$2,"&gt;="&amp;DATE(2025,MONTH(AG$2),1),'TABLERO DIARIO'!$I$2:$ZZ$2,"&lt;="&amp;EOMONTH(AG$2,0),'TABLERO DIARIO'!#REF!,"&lt;&gt;0",'TABLERO DIARIO'!#REF!,"&lt;&gt;-",'TABLERO DIARIO'!#REF!,"&lt;&gt;")),"-")</f>
        <v>-</v>
      </c>
      <c r="AH44" s="317" t="str">
        <f>IFERROR((SUMIFS('TABLERO DIARIO'!#REF!,'TABLERO DIARIO'!$I$2:$ZZ$2,"&gt;="&amp;DATE(2025,MONTH(AH$2),1),'TABLERO DIARIO'!$I$2:$ZZ$2,"&lt;="&amp;EOMONTH(AH$2,0))/COUNTIFS('TABLERO DIARIO'!$I$2:$ZZ$2,"&gt;="&amp;DATE(2025,MONTH(AH$2),1),'TABLERO DIARIO'!$I$2:$ZZ$2,"&lt;="&amp;EOMONTH(AH$2,0),'TABLERO DIARIO'!#REF!,"&lt;&gt;0",'TABLERO DIARIO'!#REF!,"&lt;&gt;-",'TABLERO DIARIO'!#REF!,"&lt;&gt;")),"-")</f>
        <v>-</v>
      </c>
      <c r="AI44" s="317" t="str">
        <f>IFERROR((SUMIFS('TABLERO DIARIO'!#REF!,'TABLERO DIARIO'!$I$2:$ZZ$2,"&gt;="&amp;DATE(2025,MONTH(AI$2),1),'TABLERO DIARIO'!$I$2:$ZZ$2,"&lt;="&amp;EOMONTH(AI$2,0))/COUNTIFS('TABLERO DIARIO'!$I$2:$ZZ$2,"&gt;="&amp;DATE(2025,MONTH(AI$2),1),'TABLERO DIARIO'!$I$2:$ZZ$2,"&lt;="&amp;EOMONTH(AI$2,0),'TABLERO DIARIO'!#REF!,"&lt;&gt;0",'TABLERO DIARIO'!#REF!,"&lt;&gt;-",'TABLERO DIARIO'!#REF!,"&lt;&gt;")),"-")</f>
        <v>-</v>
      </c>
      <c r="AJ44" s="317" t="str">
        <f>IFERROR((SUMIFS('TABLERO DIARIO'!#REF!,'TABLERO DIARIO'!$I$2:$ABL$2,"&gt;="&amp;DATE(2025,MONTH(AJ$2),1),'TABLERO DIARIO'!$I$2:$ABL$2,"&lt;="&amp;EOMONTH(AJ$2,0))/COUNTIFS('TABLERO DIARIO'!$I$2:$ABL$2,"&gt;="&amp;DATE(2025,MONTH(AJ$2),1),'TABLERO DIARIO'!$I$2:$ABL$2,"&lt;="&amp;EOMONTH(AJ$2,0),'TABLERO DIARIO'!#REF!,"&lt;&gt;0",'TABLERO DIARIO'!#REF!,"&lt;&gt;-",'TABLERO DIARIO'!#REF!,"&lt;&gt;")),"-")</f>
        <v>-</v>
      </c>
      <c r="AK44" s="317" t="str">
        <f>IFERROR((SUMIFS('TABLERO DIARIO'!#REF!,'TABLERO DIARIO'!$I$2:$AEV$2,"&gt;="&amp;DATE(2025,MONTH(AK$2),1),'TABLERO DIARIO'!$I$2:$AEV$2,"&lt;="&amp;EOMONTH(AK$2,0))/COUNTIFS('TABLERO DIARIO'!$I$2:$AEV$2,"&gt;="&amp;DATE(2025,MONTH(AK$2),1),'TABLERO DIARIO'!$I$2:$AEV$2,"&lt;="&amp;EOMONTH(AK$2,0),'TABLERO DIARIO'!#REF!,"&lt;&gt;0",'TABLERO DIARIO'!#REF!,"&lt;&gt;-",'TABLERO DIARIO'!#REF!,"&lt;&gt;")),"-")</f>
        <v>-</v>
      </c>
      <c r="AL44" s="317" t="str">
        <f>IFERROR((SUMIFS('TABLERO DIARIO'!#REF!,'TABLERO DIARIO'!$AEA$2:$AII$2,"&gt;="&amp;DATE(2025,MONTH(AL$2),1),'TABLERO DIARIO'!$AEA$2:$AII$2,"&lt;="&amp;EOMONTH(AL$2,0))/COUNTIFS('TABLERO DIARIO'!$AEA$2:$AII$2,"&gt;="&amp;DATE(2025,MONTH(AL$2),1),'TABLERO DIARIO'!$AEA$2:$AII$2,"&lt;="&amp;EOMONTH(AL$2,0),'TABLERO DIARIO'!#REF!,"&lt;&gt;0",'TABLERO DIARIO'!#REF!,"&lt;&gt;-",'TABLERO DIARIO'!#REF!,"&lt;&gt;")),"-")</f>
        <v>-</v>
      </c>
      <c r="AM44" s="418" t="str">
        <f>IFERROR((SUMIFS('TABLERO DIARIO'!#REF!,'TABLERO DIARIO'!$AEA$2:$AMC$2,"&gt;="&amp;DATE(2025,MONTH(AM$2),1),'TABLERO DIARIO'!$AEA$2:$AMC$2,"&lt;="&amp;EOMONTH(AM$2,0))/COUNTIFS('TABLERO DIARIO'!$AEA$2:$AMC$2,"&gt;="&amp;DATE(2025,MONTH(AM$2),1),'TABLERO DIARIO'!$AEA$2:$AMC$2,"&lt;="&amp;EOMONTH(AM$2,0),'TABLERO DIARIO'!#REF!,"&lt;&gt;0",'TABLERO DIARIO'!#REF!,"&lt;&gt;-",'TABLERO DIARIO'!#REF!,"&lt;&gt;")),"-")</f>
        <v>-</v>
      </c>
      <c r="AN44" s="316" t="str">
        <f>IFERROR((SUMIFS('TABLERO DIARIO'!#REF!,'TABLERO DIARIO'!$ALW$2:$ASW$2,"&gt;="&amp;DATE(2026,MONTH(AN$2),1),'TABLERO DIARIO'!$ALW$2:$ASW$2,"&lt;="&amp;EOMONTH(AN$2,0))/COUNTIFS('TABLERO DIARIO'!$ALW$2:$ASW$2,"&gt;="&amp;DATE(2026,MONTH(AN$2),1),'TABLERO DIARIO'!$ALW$2:$ASW$2,"&lt;="&amp;EOMONTH(AN$2,0),'TABLERO DIARIO'!#REF!,"&lt;&gt;0",'TABLERO DIARIO'!#REF!,"&lt;&gt;-",'TABLERO DIARIO'!#REF!,"&lt;&gt;")),"-")</f>
        <v>-</v>
      </c>
      <c r="AO44" s="317" t="str">
        <f>IFERROR((SUMIFS('TABLERO DIARIO'!#REF!,'TABLERO DIARIO'!$ALW$2:$ASW$2,"&gt;="&amp;DATE(2026,MONTH(AO$2),1),'TABLERO DIARIO'!$ALW$2:$ASW$2,"&lt;="&amp;EOMONTH(AO$2,0))/COUNTIFS('TABLERO DIARIO'!$ALW$2:$ASW$2,"&gt;="&amp;DATE(2026,MONTH(AO$2),1),'TABLERO DIARIO'!$ALW$2:$ASW$2,"&lt;="&amp;EOMONTH(AO$2,0),'TABLERO DIARIO'!#REF!,"&lt;&gt;0",'TABLERO DIARIO'!#REF!,"&lt;&gt;-",'TABLERO DIARIO'!#REF!,"&lt;&gt;")),"-")</f>
        <v>-</v>
      </c>
      <c r="AP44" s="317"/>
      <c r="AQ44" s="317"/>
      <c r="AR44" s="317"/>
      <c r="AS44" s="317"/>
      <c r="AT44" s="317"/>
      <c r="AU44" s="317"/>
      <c r="AV44" s="317"/>
      <c r="AW44" s="317"/>
      <c r="AX44" s="317"/>
      <c r="AY44" s="418"/>
      <c r="AZ44" s="433"/>
      <c r="BA44" s="452" t="str">
        <f t="shared" ref="BA44:BA46" si="21">IFERROR(AVERAGE(D44:O44),"-")</f>
        <v>-</v>
      </c>
      <c r="BB44" s="317" t="str">
        <f t="shared" ref="BB44:BB46" si="22">IFERROR(AVERAGE(P44:AA44),"-")</f>
        <v>-</v>
      </c>
      <c r="BC44" s="431" t="str">
        <f t="shared" si="18"/>
        <v>-</v>
      </c>
    </row>
    <row r="45" spans="1:55" ht="19.5" customHeight="1">
      <c r="A45" s="66"/>
      <c r="B45" s="107" t="s">
        <v>173</v>
      </c>
      <c r="C45" s="108" t="s">
        <v>172</v>
      </c>
      <c r="D45" s="318"/>
      <c r="E45" s="319"/>
      <c r="F45" s="319"/>
      <c r="G45" s="319"/>
      <c r="H45" s="319"/>
      <c r="I45" s="319"/>
      <c r="J45" s="319"/>
      <c r="K45" s="319"/>
      <c r="L45" s="319"/>
      <c r="M45" s="319"/>
      <c r="N45" s="319"/>
      <c r="O45" s="320"/>
      <c r="P45" s="321"/>
      <c r="Q45" s="319"/>
      <c r="R45" s="319"/>
      <c r="S45" s="319"/>
      <c r="T45" s="319"/>
      <c r="U45" s="319"/>
      <c r="V45" s="319"/>
      <c r="W45" s="319"/>
      <c r="X45" s="319"/>
      <c r="Y45" s="319"/>
      <c r="Z45" s="319"/>
      <c r="AA45" s="322"/>
      <c r="AB45" s="493" t="e">
        <f>IF((SUMIFS('TABLERO DIARIO'!#REF!,'TABLERO DIARIO'!$I$2:$ZZ$2,"&gt;="&amp;DATE(2025,MONTH(AB$2),1),'TABLERO DIARIO'!$I$2:$ZZ$2,"&lt;="&amp;EOMONTH(AB$2,0)))=0,"-",SUMIFS('TABLERO DIARIO'!#REF!,'TABLERO DIARIO'!$I$2:$ZZ$2,"&gt;="&amp;DATE(2025,MONTH(AB$2),1),'TABLERO DIARIO'!$I$2:$ZZ$2,"&lt;="&amp;EOMONTH(AB$2,0)))</f>
        <v>#REF!</v>
      </c>
      <c r="AC45" s="391" t="e">
        <f>IF((SUMIFS('TABLERO DIARIO'!#REF!,'TABLERO DIARIO'!$I$2:$ZZ$2,"&gt;="&amp;DATE(2025,MONTH(AC$2),1),'TABLERO DIARIO'!$I$2:$ZZ$2,"&lt;="&amp;EOMONTH(AC$2,0)))=0,"-",SUMIFS('TABLERO DIARIO'!#REF!,'TABLERO DIARIO'!$I$2:$ZZ$2,"&gt;="&amp;DATE(2025,MONTH(AC$2),1),'TABLERO DIARIO'!$I$2:$ZZ$2,"&lt;="&amp;EOMONTH(AC$2,0)))</f>
        <v>#REF!</v>
      </c>
      <c r="AD45" s="391" t="e">
        <f>IF((SUMIFS('TABLERO DIARIO'!#REF!,'TABLERO DIARIO'!$I$2:$ZZ$2,"&gt;="&amp;DATE(2025,MONTH(AD$2),1),'TABLERO DIARIO'!$I$2:$ZZ$2,"&lt;="&amp;EOMONTH(AD$2,0)))=0,"-",SUMIFS('TABLERO DIARIO'!#REF!,'TABLERO DIARIO'!$I$2:$ZZ$2,"&gt;="&amp;DATE(2025,MONTH(AD$2),1),'TABLERO DIARIO'!$I$2:$ZZ$2,"&lt;="&amp;EOMONTH(AD$2,0)))</f>
        <v>#REF!</v>
      </c>
      <c r="AE45" s="391" t="e">
        <f>IF((SUMIFS('TABLERO DIARIO'!#REF!,'TABLERO DIARIO'!$I$2:$ZZ$2,"&gt;="&amp;DATE(2025,MONTH(AE$2),1),'TABLERO DIARIO'!$I$2:$ZZ$2,"&lt;="&amp;EOMONTH(AE$2,0)))=0,"-",SUMIFS('TABLERO DIARIO'!#REF!,'TABLERO DIARIO'!$I$2:$ZZ$2,"&gt;="&amp;DATE(2025,MONTH(AE$2),1),'TABLERO DIARIO'!$I$2:$ZZ$2,"&lt;="&amp;EOMONTH(AE$2,0)))</f>
        <v>#REF!</v>
      </c>
      <c r="AF45" s="391" t="e">
        <f>IF((SUMIFS('TABLERO DIARIO'!#REF!,'TABLERO DIARIO'!$I$2:$ZZ$2,"&gt;="&amp;DATE(2025,MONTH(AF$2),1),'TABLERO DIARIO'!$I$2:$ZZ$2,"&lt;="&amp;EOMONTH(AF$2,0)))=0,"-",SUMIFS('TABLERO DIARIO'!#REF!,'TABLERO DIARIO'!$I$2:$ZZ$2,"&gt;="&amp;DATE(2025,MONTH(AF$2),1),'TABLERO DIARIO'!$I$2:$ZZ$2,"&lt;="&amp;EOMONTH(AF$2,0)))</f>
        <v>#REF!</v>
      </c>
      <c r="AG45" s="391" t="e">
        <f>IF((SUMIFS('TABLERO DIARIO'!#REF!,'TABLERO DIARIO'!$I$2:$ZZ$2,"&gt;="&amp;DATE(2025,MONTH(AG$2),1),'TABLERO DIARIO'!$I$2:$ZZ$2,"&lt;="&amp;EOMONTH(AG$2,0)))=0,"-",SUMIFS('TABLERO DIARIO'!#REF!,'TABLERO DIARIO'!$I$2:$ZZ$2,"&gt;="&amp;DATE(2025,MONTH(AG$2),1),'TABLERO DIARIO'!$I$2:$ZZ$2,"&lt;="&amp;EOMONTH(AG$2,0)))</f>
        <v>#REF!</v>
      </c>
      <c r="AH45" s="391" t="str">
        <f>IFERROR(SUMIFS('TABLERO DIARIO'!#REF!,'TABLERO DIARIO'!$I$2:$ZZ$2,"&gt;="&amp;DATE(2025,MONTH(AH$2),1),'TABLERO DIARIO'!$I$2:$ZZ$2,"&lt;="&amp;EOMONTH(AH$2,0)),"-")</f>
        <v>-</v>
      </c>
      <c r="AI45" s="391" t="e">
        <f>IF((SUMIFS('TABLERO DIARIO'!#REF!,'TABLERO DIARIO'!$I$2:$ZZ$2,"&gt;="&amp;DATE(2025,MONTH(AI$2),1),'TABLERO DIARIO'!$I$2:$ZZ$2,"&lt;="&amp;EOMONTH(AI$2,0)))=0,"-",SUMIFS('TABLERO DIARIO'!#REF!,'TABLERO DIARIO'!$I$2:$ZZ$2,"&gt;="&amp;DATE(2025,MONTH(AI$2),1),'TABLERO DIARIO'!$I$2:$ZZ$2,"&lt;="&amp;EOMONTH(AI$2,0)))</f>
        <v>#REF!</v>
      </c>
      <c r="AJ45" s="391" t="e">
        <f>IF((SUMIFS('TABLERO DIARIO'!#REF!,'TABLERO DIARIO'!$I$2:$ABL$2,"&gt;="&amp;DATE(2025,MONTH(AJ$2),1),'TABLERO DIARIO'!$I$2:$ABL$2,"&lt;="&amp;EOMONTH(AJ$2,0)))=0,"-",SUMIFS('TABLERO DIARIO'!#REF!,'TABLERO DIARIO'!$I$2:$ABL$2,"&gt;="&amp;DATE(2025,MONTH(AJ$2),1),'TABLERO DIARIO'!$I$2:$ABL$2,"&lt;="&amp;EOMONTH(AJ$2,0)))</f>
        <v>#REF!</v>
      </c>
      <c r="AK45" s="391" t="e">
        <f>IF((SUMIFS('TABLERO DIARIO'!#REF!,'TABLERO DIARIO'!$I$2:$AEV$2,"&gt;="&amp;DATE(2025,MONTH(AK$2),1),'TABLERO DIARIO'!$I$2:$AEV$2,"&lt;="&amp;EOMONTH(AK$2,0)))=0,"-",SUMIFS('TABLERO DIARIO'!#REF!,'TABLERO DIARIO'!$I$2:$AEV$2,"&gt;="&amp;DATE(2025,MONTH(AK$2),1),'TABLERO DIARIO'!$I$2:$AEV$2,"&lt;="&amp;EOMONTH(AK$2,0)))</f>
        <v>#REF!</v>
      </c>
      <c r="AL45" s="391" t="e">
        <f>IF((SUMIFS('TABLERO DIARIO'!#REF!,'TABLERO DIARIO'!$AEA$2:$AII$2,"&gt;="&amp;DATE(2025,MONTH(AL$2),1),'TABLERO DIARIO'!$AEA$2:$AII$2,"&lt;="&amp;EOMONTH(AL$2,0)))=0,"-",SUMIFS('TABLERO DIARIO'!#REF!,'TABLERO DIARIO'!$AEA$2:$AII$2,"&gt;="&amp;DATE(2025,MONTH(AL$2),1),'TABLERO DIARIO'!$AEA$2:$AII$2,"&lt;="&amp;EOMONTH(AL$2,0)))</f>
        <v>#REF!</v>
      </c>
      <c r="AM45" s="419" t="e">
        <f>IF((SUMIFS('TABLERO DIARIO'!#REF!,'TABLERO DIARIO'!$AEA$2:$AMC$2,"&gt;="&amp;DATE(2025,MONTH(AM$2),1),'TABLERO DIARIO'!$AEA$2:$AMC$2,"&lt;="&amp;EOMONTH(AM$2,0)))=0,"-",SUMIFS('TABLERO DIARIO'!#REF!,'TABLERO DIARIO'!$AEA$2:$AMC$2,"&gt;="&amp;DATE(2025,MONTH(AM$2),1),'TABLERO DIARIO'!$AEA$2:$AMC$2,"&lt;="&amp;EOMONTH(AM$2,0)))</f>
        <v>#REF!</v>
      </c>
      <c r="AN45" s="493" t="e">
        <f>IF((SUMIFS('TABLERO DIARIO'!#REF!,'TABLERO DIARIO'!$ALW$2:$AWW$2,"&gt;="&amp;DATE(2026,MONTH(AN$2),1),'TABLERO DIARIO'!$ALW$2:$AWW$2,"&lt;="&amp;EOMONTH(AN$2,0)))=0,"-",SUMIFS('TABLERO DIARIO'!#REF!,'TABLERO DIARIO'!$ALW$2:$AWW$2,"&gt;="&amp;DATE(2026,MONTH(AN$2),1),'TABLERO DIARIO'!$ALW$2:$AWW$2,"&lt;="&amp;EOMONTH(AN$2,0)))</f>
        <v>#REF!</v>
      </c>
      <c r="AO45" s="391" t="e">
        <f>IF((SUMIFS('TABLERO DIARIO'!#REF!,'TABLERO DIARIO'!$ALW$2:$AWW$2,"&gt;="&amp;DATE(2026,MONTH(AO$2),1),'TABLERO DIARIO'!$ALW$2:$AWW$2,"&lt;="&amp;EOMONTH(AO$2,0)))=0,"-",SUMIFS('TABLERO DIARIO'!#REF!,'TABLERO DIARIO'!$ALW$2:$AWW$2,"&gt;="&amp;DATE(2026,MONTH(AO$2),1),'TABLERO DIARIO'!$ALW$2:$AWW$2,"&lt;="&amp;EOMONTH(AO$2,0)))</f>
        <v>#REF!</v>
      </c>
      <c r="AP45" s="391"/>
      <c r="AQ45" s="391"/>
      <c r="AR45" s="391"/>
      <c r="AS45" s="391"/>
      <c r="AT45" s="391"/>
      <c r="AU45" s="391"/>
      <c r="AV45" s="391"/>
      <c r="AW45" s="391"/>
      <c r="AX45" s="391"/>
      <c r="AY45" s="419"/>
      <c r="AZ45" s="433"/>
      <c r="BA45" s="453" t="str">
        <f t="shared" si="21"/>
        <v>-</v>
      </c>
      <c r="BB45" s="391" t="str">
        <f t="shared" si="22"/>
        <v>-</v>
      </c>
      <c r="BC45" s="439" t="str">
        <f t="shared" si="18"/>
        <v>-</v>
      </c>
    </row>
    <row r="46" spans="1:55" s="2" customFormat="1" ht="21" customHeight="1">
      <c r="B46" s="494" t="s">
        <v>174</v>
      </c>
      <c r="C46" s="495" t="s">
        <v>117</v>
      </c>
      <c r="D46" s="496" t="s">
        <v>20</v>
      </c>
      <c r="E46" s="497" t="s">
        <v>20</v>
      </c>
      <c r="F46" s="498">
        <v>0.96</v>
      </c>
      <c r="G46" s="498">
        <v>0.94</v>
      </c>
      <c r="H46" s="498">
        <v>0.96</v>
      </c>
      <c r="I46" s="498">
        <v>0.95</v>
      </c>
      <c r="J46" s="498">
        <v>0.95</v>
      </c>
      <c r="K46" s="498">
        <v>0.96</v>
      </c>
      <c r="L46" s="498">
        <v>0.97</v>
      </c>
      <c r="M46" s="498">
        <v>0.97</v>
      </c>
      <c r="N46" s="498">
        <v>0.98</v>
      </c>
      <c r="O46" s="499">
        <v>0.98</v>
      </c>
      <c r="P46" s="500">
        <v>0.98</v>
      </c>
      <c r="Q46" s="498">
        <v>0.98</v>
      </c>
      <c r="R46" s="498">
        <v>0.87</v>
      </c>
      <c r="S46" s="498">
        <v>0.9</v>
      </c>
      <c r="T46" s="498">
        <v>0.89</v>
      </c>
      <c r="U46" s="498">
        <v>0.91</v>
      </c>
      <c r="V46" s="498">
        <v>0.89</v>
      </c>
      <c r="W46" s="498">
        <v>0.92</v>
      </c>
      <c r="X46" s="498">
        <v>0.9</v>
      </c>
      <c r="Y46" s="498">
        <v>0.89</v>
      </c>
      <c r="Z46" s="498">
        <v>0.88</v>
      </c>
      <c r="AA46" s="501">
        <v>0.83</v>
      </c>
      <c r="AB46" s="502">
        <v>0.79</v>
      </c>
      <c r="AC46" s="498">
        <v>0.89</v>
      </c>
      <c r="AD46" s="498">
        <v>0.87</v>
      </c>
      <c r="AE46" s="498">
        <v>0.81</v>
      </c>
      <c r="AF46" s="498">
        <v>0.89</v>
      </c>
      <c r="AG46" s="498">
        <v>0.89610000000000001</v>
      </c>
      <c r="AH46" s="498" t="e">
        <f>SUMIFS('TABLERO DIARIO'!#REF!,'TABLERO DIARIO'!$F$2:$ZZ$2,"&gt;="&amp;DATE(2025,MONTH(AH$2),1),'TABLERO DIARIO'!$F$2:$ZZ$2,"&lt;="&amp;EOMONTH(AH$2,0))/COUNTIFS('TABLERO DIARIO'!$F$2:$ZZ$2,"&gt;="&amp;DATE(2025,MONTH(AH$2),1),'TABLERO DIARIO'!$F$2:$ZZ$2,"&lt;="&amp;EOMONTH(AH$2,0),'TABLERO DIARIO'!#REF!,"&lt;&gt;-")</f>
        <v>#REF!</v>
      </c>
      <c r="AI46" s="498" t="str">
        <f>IFERROR(SUMIFS('TABLERO DIARIO'!#REF!,'TABLERO DIARIO'!$F$2:$ZZ$2,"&gt;="&amp;DATE(2025,MONTH(AI$2),1),'TABLERO DIARIO'!$F$2:$ZZ$2,"&lt;="&amp;EOMONTH(AI$2,0))/COUNTIFS('TABLERO DIARIO'!$F$2:$ZZ$2,"&gt;="&amp;DATE(2025,MONTH(AI$2),1),'TABLERO DIARIO'!$F$2:$ZZ$2,"&lt;="&amp;EOMONTH(AI$2,0),'TABLERO DIARIO'!#REF!,"&lt;&gt;-"),"-")</f>
        <v>-</v>
      </c>
      <c r="AJ46" s="498" t="str">
        <f>IFERROR(SUMIFS('TABLERO DIARIO'!#REF!,'TABLERO DIARIO'!$F$2:$ABL$2,"&gt;="&amp;DATE(2025,MONTH(AJ$2),1),'TABLERO DIARIO'!$F$2:$ABL$2,"&lt;="&amp;EOMONTH(AJ$2,0))/COUNTIFS('TABLERO DIARIO'!$F$2:$ABL$2,"&gt;="&amp;DATE(2025,MONTH(AJ$2),1),'TABLERO DIARIO'!$F$2:$ABL$2,"&lt;="&amp;EOMONTH(AJ$2,0),'TABLERO DIARIO'!#REF!,"&lt;&gt;-"),"-")</f>
        <v>-</v>
      </c>
      <c r="AK46" s="498" t="str">
        <f>IFERROR(SUMIFS('TABLERO DIARIO'!#REF!,'TABLERO DIARIO'!$F$2:$AEV$2,"&gt;="&amp;DATE(2025,MONTH(AK$2),1),'TABLERO DIARIO'!$F$2:$AEV$2,"&lt;="&amp;EOMONTH(AK$2,0))/COUNTIFS('TABLERO DIARIO'!$F$2:$AEV$2,"&gt;="&amp;DATE(2025,MONTH(AK$2),1),'TABLERO DIARIO'!$F$2:$AEV$2,"&lt;="&amp;EOMONTH(AK$2,0),'TABLERO DIARIO'!#REF!,"&lt;&gt;-"),"-")</f>
        <v>-</v>
      </c>
      <c r="AL46" s="498" t="str">
        <f>IFERROR(SUMIFS('TABLERO DIARIO'!#REF!,'TABLERO DIARIO'!$AEV$2:$AII$2,"&gt;="&amp;DATE(2025,MONTH(AL$2),1),'TABLERO DIARIO'!$AEV$2:$AII$2,"&lt;="&amp;EOMONTH(AL$2,0))/COUNTIFS('TABLERO DIARIO'!$AEV$2:$AII$2,"&gt;="&amp;DATE(2025,MONTH(AL$2),1),'TABLERO DIARIO'!$AEV$2:$AII$2,"&lt;="&amp;EOMONTH(AL$2,0),'TABLERO DIARIO'!#REF!,"&lt;&gt;-"),"-")</f>
        <v>-</v>
      </c>
      <c r="AM46" s="501" t="str">
        <f>IFERROR(SUMIFS('TABLERO DIARIO'!#REF!,'TABLERO DIARIO'!$AEV$2:$AMC$2,"&gt;="&amp;DATE(2025,MONTH(AM$2),1),'TABLERO DIARIO'!$AEV$2:$AMC$2,"&lt;="&amp;EOMONTH(AM$2,0))/COUNTIFS('TABLERO DIARIO'!$AEV$2:$AMC$2,"&gt;="&amp;DATE(2025,MONTH(AM$2),1),'TABLERO DIARIO'!$AEV$2:$AMC$2,"&lt;="&amp;EOMONTH(AM$2,0),'TABLERO DIARIO'!#REF!,"&lt;&gt;-"),"-")</f>
        <v>-</v>
      </c>
      <c r="AN46" s="502" t="str">
        <f>IFERROR(SUMIFS('TABLERO DIARIO'!#REF!,'TABLERO DIARIO'!$ALW$2:$ASW$2,"&gt;="&amp;DATE(2026,MONTH(AN$2),1),'TABLERO DIARIO'!$ALW$2:$ASW$2,"&lt;="&amp;EOMONTH(AN$2,0))/COUNTIFS('TABLERO DIARIO'!$ALW$2:$ASW$2,"&gt;="&amp;DATE(2026,MONTH(AN$2),1),'TABLERO DIARIO'!$ALW$2:$ASW$2,"&lt;="&amp;EOMONTH(AN$2,0),'TABLERO DIARIO'!#REF!,"&lt;&gt;-"),"-")</f>
        <v>-</v>
      </c>
      <c r="AO46" s="498" t="str">
        <f>IFERROR(SUMIFS('TABLERO DIARIO'!#REF!,'TABLERO DIARIO'!$ALW$2:$ASW$2,"&gt;="&amp;DATE(2026,MONTH(AO$2),1),'TABLERO DIARIO'!$ALW$2:$ASW$2,"&lt;="&amp;EOMONTH(AO$2,0))/COUNTIFS('TABLERO DIARIO'!$ALW$2:$ASW$2,"&gt;="&amp;DATE(2026,MONTH(AO$2),1),'TABLERO DIARIO'!$ALW$2:$ASW$2,"&lt;="&amp;EOMONTH(AO$2,0),'TABLERO DIARIO'!#REF!,"&lt;&gt;-"),"-")</f>
        <v>-</v>
      </c>
      <c r="AP46" s="498"/>
      <c r="AQ46" s="498"/>
      <c r="AR46" s="498"/>
      <c r="AS46" s="498"/>
      <c r="AT46" s="498"/>
      <c r="AU46" s="498"/>
      <c r="AV46" s="498"/>
      <c r="AW46" s="498"/>
      <c r="AX46" s="498"/>
      <c r="AY46" s="501"/>
      <c r="AZ46" s="435"/>
      <c r="BA46" s="503">
        <f t="shared" si="21"/>
        <v>0.96199999999999997</v>
      </c>
      <c r="BB46" s="498">
        <f t="shared" si="22"/>
        <v>0.90333333333333343</v>
      </c>
      <c r="BC46" s="504" t="str">
        <f t="shared" si="18"/>
        <v>-</v>
      </c>
    </row>
    <row r="47" spans="1:55" ht="12.75" customHeight="1">
      <c r="B47" s="302"/>
      <c r="C47" s="301"/>
      <c r="D47" s="334"/>
      <c r="E47" s="334"/>
      <c r="F47" s="335"/>
      <c r="G47" s="335"/>
      <c r="H47" s="335"/>
      <c r="I47" s="335"/>
      <c r="J47" s="335"/>
      <c r="K47" s="335"/>
      <c r="L47" s="335"/>
      <c r="M47" s="335"/>
      <c r="N47" s="335"/>
      <c r="O47" s="335"/>
      <c r="P47" s="335"/>
      <c r="Q47" s="335"/>
      <c r="R47" s="335"/>
      <c r="S47" s="335"/>
      <c r="T47" s="335"/>
      <c r="U47" s="335"/>
      <c r="V47" s="335"/>
      <c r="W47" s="335"/>
      <c r="X47" s="335"/>
      <c r="Y47" s="335"/>
      <c r="Z47" s="335"/>
      <c r="AA47" s="335"/>
      <c r="AB47" s="335"/>
      <c r="AC47" s="335"/>
      <c r="AD47" s="335"/>
      <c r="AE47" s="335"/>
      <c r="AF47" s="335"/>
      <c r="AG47" s="335"/>
      <c r="AH47" s="335"/>
      <c r="AI47" s="335"/>
      <c r="AJ47" s="336"/>
      <c r="AK47" s="336"/>
      <c r="AL47" s="336"/>
      <c r="AM47" s="336"/>
      <c r="AN47" s="335"/>
      <c r="AO47" s="335"/>
      <c r="AP47" s="335"/>
      <c r="AQ47" s="335"/>
      <c r="AR47" s="335"/>
      <c r="AS47" s="335"/>
      <c r="AT47" s="335"/>
      <c r="AU47" s="335"/>
      <c r="AV47" s="336"/>
      <c r="AW47" s="336"/>
      <c r="AX47" s="336"/>
      <c r="AY47" s="336"/>
      <c r="BA47" s="336"/>
      <c r="BB47" s="336"/>
      <c r="BC47" s="336" t="str">
        <f t="shared" si="18"/>
        <v>-</v>
      </c>
    </row>
    <row r="48" spans="1:55" ht="16">
      <c r="A48" t="s">
        <v>124</v>
      </c>
      <c r="B48" s="107" t="s">
        <v>175</v>
      </c>
      <c r="C48" s="108" t="s">
        <v>117</v>
      </c>
      <c r="D48" s="158">
        <v>-0.01</v>
      </c>
      <c r="E48" s="292">
        <v>-0.16</v>
      </c>
      <c r="F48" s="292">
        <v>0</v>
      </c>
      <c r="G48" s="292">
        <v>-0.01</v>
      </c>
      <c r="H48" s="292">
        <v>-0.13</v>
      </c>
      <c r="I48" s="292">
        <v>-0.18</v>
      </c>
      <c r="J48" s="292">
        <v>-0.17</v>
      </c>
      <c r="K48" s="292">
        <v>-0.15</v>
      </c>
      <c r="L48" s="292">
        <v>-0.12</v>
      </c>
      <c r="M48" s="292">
        <v>-0.08</v>
      </c>
      <c r="N48" s="292">
        <v>-0.18</v>
      </c>
      <c r="O48" s="293">
        <v>-0.28999999999999998</v>
      </c>
      <c r="P48" s="294">
        <v>0.02</v>
      </c>
      <c r="Q48" s="292">
        <v>0.03</v>
      </c>
      <c r="R48" s="292">
        <v>-0.19</v>
      </c>
      <c r="S48" s="292">
        <v>-0.13</v>
      </c>
      <c r="T48" s="292">
        <v>-0.12</v>
      </c>
      <c r="U48" s="292">
        <v>-0.19</v>
      </c>
      <c r="V48" s="292">
        <v>0.09</v>
      </c>
      <c r="W48" s="292">
        <v>0.03</v>
      </c>
      <c r="X48" s="292">
        <v>-0.03</v>
      </c>
      <c r="Y48" s="292">
        <v>0.04</v>
      </c>
      <c r="Z48" s="292">
        <v>0.03</v>
      </c>
      <c r="AA48" s="295">
        <v>0.01</v>
      </c>
      <c r="AB48" s="158">
        <v>0.04</v>
      </c>
      <c r="AC48" s="292">
        <v>0.01</v>
      </c>
      <c r="AD48" s="292">
        <v>-0.04</v>
      </c>
      <c r="AE48" s="292">
        <v>-0.05</v>
      </c>
      <c r="AF48" s="292">
        <v>-0.06</v>
      </c>
      <c r="AG48" s="292">
        <v>-0.2</v>
      </c>
      <c r="AH48" s="292">
        <v>-0.02</v>
      </c>
      <c r="AI48" s="292">
        <v>-0.16</v>
      </c>
      <c r="AJ48" s="292">
        <v>-7.0000000000000007E-2</v>
      </c>
      <c r="AK48" s="292">
        <v>-0.12</v>
      </c>
      <c r="AL48" s="292">
        <v>-0.15</v>
      </c>
      <c r="AM48" s="295">
        <v>0</v>
      </c>
      <c r="AN48" s="158">
        <v>-0.06</v>
      </c>
      <c r="AO48" s="292">
        <v>-7.0000000000000007E-2</v>
      </c>
      <c r="AP48" s="292"/>
      <c r="AQ48" s="292"/>
      <c r="AR48" s="292"/>
      <c r="AS48" s="292"/>
      <c r="AT48" s="292"/>
      <c r="AU48" s="292"/>
      <c r="AV48" s="292"/>
      <c r="AW48" s="292"/>
      <c r="AX48" s="292"/>
      <c r="AY48" s="295"/>
      <c r="AZ48" s="436" t="s">
        <v>124</v>
      </c>
      <c r="BA48" s="454">
        <f t="shared" ref="BA48:BA56" si="23">IFERROR(AVERAGE(D48:O48),"-")</f>
        <v>-0.12333333333333334</v>
      </c>
      <c r="BB48" s="292">
        <f t="shared" ref="BB48:BB56" si="24">IFERROR(AVERAGE(P48:AA48),"-")</f>
        <v>-3.4166666666666679E-2</v>
      </c>
      <c r="BC48" s="428">
        <f t="shared" si="18"/>
        <v>-7.4545454545454554E-2</v>
      </c>
    </row>
    <row r="49" spans="1:55" ht="16">
      <c r="B49" s="109" t="s">
        <v>176</v>
      </c>
      <c r="C49" s="108" t="s">
        <v>117</v>
      </c>
      <c r="D49" s="158" t="s">
        <v>124</v>
      </c>
      <c r="E49" s="292" t="s">
        <v>124</v>
      </c>
      <c r="F49" s="292" t="s">
        <v>124</v>
      </c>
      <c r="G49" s="292" t="s">
        <v>124</v>
      </c>
      <c r="H49" s="292" t="s">
        <v>124</v>
      </c>
      <c r="I49" s="292" t="s">
        <v>124</v>
      </c>
      <c r="J49" s="292" t="s">
        <v>124</v>
      </c>
      <c r="K49" s="292" t="s">
        <v>124</v>
      </c>
      <c r="L49" s="292" t="s">
        <v>124</v>
      </c>
      <c r="M49" s="292" t="s">
        <v>124</v>
      </c>
      <c r="N49" s="292" t="s">
        <v>124</v>
      </c>
      <c r="O49" s="293" t="s">
        <v>124</v>
      </c>
      <c r="P49" s="294">
        <v>0.6</v>
      </c>
      <c r="Q49" s="292">
        <v>0.8</v>
      </c>
      <c r="R49" s="292">
        <v>0.99</v>
      </c>
      <c r="S49" s="292">
        <v>0.71</v>
      </c>
      <c r="T49" s="292">
        <v>1.1499999999999999</v>
      </c>
      <c r="U49" s="292">
        <v>0.94</v>
      </c>
      <c r="V49" s="292">
        <v>0.67</v>
      </c>
      <c r="W49" s="292">
        <v>0.97</v>
      </c>
      <c r="X49" s="292">
        <v>0.76</v>
      </c>
      <c r="Y49" s="292">
        <v>0.62</v>
      </c>
      <c r="Z49" s="292">
        <v>0.91</v>
      </c>
      <c r="AA49" s="295">
        <v>0.6</v>
      </c>
      <c r="AB49" s="158">
        <v>0.57999999999999996</v>
      </c>
      <c r="AC49" s="292">
        <v>0.49</v>
      </c>
      <c r="AD49" s="292">
        <v>0.67</v>
      </c>
      <c r="AE49" s="292">
        <v>0.59</v>
      </c>
      <c r="AF49" s="292" t="s">
        <v>177</v>
      </c>
      <c r="AG49" s="292">
        <v>0.67700000000000005</v>
      </c>
      <c r="AH49" s="292">
        <v>0.56899999999999995</v>
      </c>
      <c r="AI49" s="292">
        <v>0.89200000000000002</v>
      </c>
      <c r="AJ49" s="292">
        <v>0.56399999999999995</v>
      </c>
      <c r="AK49" s="292">
        <v>0.625</v>
      </c>
      <c r="AL49" s="292">
        <v>0.67</v>
      </c>
      <c r="AM49" s="295">
        <v>0.71599999999999997</v>
      </c>
      <c r="AN49" s="158">
        <v>0.78400000000000003</v>
      </c>
      <c r="AO49" s="292">
        <v>0.76200000000000001</v>
      </c>
      <c r="AP49" s="292"/>
      <c r="AQ49" s="292"/>
      <c r="AR49" s="292"/>
      <c r="AS49" s="292"/>
      <c r="AT49" s="292"/>
      <c r="AU49" s="292"/>
      <c r="AV49" s="292"/>
      <c r="AW49" s="292"/>
      <c r="AX49" s="292"/>
      <c r="AY49" s="295"/>
      <c r="AZ49" s="436"/>
      <c r="BA49" s="454" t="str">
        <f t="shared" si="23"/>
        <v>-</v>
      </c>
      <c r="BB49" s="292">
        <f t="shared" si="24"/>
        <v>0.80999999999999994</v>
      </c>
      <c r="BC49" s="428">
        <f t="shared" si="18"/>
        <v>0.58691666666666664</v>
      </c>
    </row>
    <row r="50" spans="1:55" ht="16">
      <c r="B50" s="100" t="s">
        <v>178</v>
      </c>
      <c r="C50" s="99" t="s">
        <v>117</v>
      </c>
      <c r="D50" s="139" t="s">
        <v>124</v>
      </c>
      <c r="E50" s="296" t="s">
        <v>124</v>
      </c>
      <c r="F50" s="296" t="s">
        <v>124</v>
      </c>
      <c r="G50" s="296" t="s">
        <v>124</v>
      </c>
      <c r="H50" s="296" t="s">
        <v>124</v>
      </c>
      <c r="I50" s="296" t="s">
        <v>124</v>
      </c>
      <c r="J50" s="296" t="s">
        <v>124</v>
      </c>
      <c r="K50" s="296" t="s">
        <v>124</v>
      </c>
      <c r="L50" s="296" t="s">
        <v>124</v>
      </c>
      <c r="M50" s="296" t="s">
        <v>124</v>
      </c>
      <c r="N50" s="296" t="s">
        <v>124</v>
      </c>
      <c r="O50" s="297" t="s">
        <v>124</v>
      </c>
      <c r="P50" s="298">
        <v>0.62</v>
      </c>
      <c r="Q50" s="296">
        <v>0.88</v>
      </c>
      <c r="R50" s="296">
        <v>0.97</v>
      </c>
      <c r="S50" s="296">
        <v>0.71</v>
      </c>
      <c r="T50" s="296">
        <v>1.36</v>
      </c>
      <c r="U50" s="296">
        <v>0.99</v>
      </c>
      <c r="V50" s="296">
        <v>0.78</v>
      </c>
      <c r="W50" s="296">
        <v>1.04</v>
      </c>
      <c r="X50" s="296">
        <v>0.89</v>
      </c>
      <c r="Y50" s="296">
        <v>0.63</v>
      </c>
      <c r="Z50" s="296">
        <v>1.01</v>
      </c>
      <c r="AA50" s="299">
        <v>0.6</v>
      </c>
      <c r="AB50" s="139">
        <v>0.53</v>
      </c>
      <c r="AC50" s="296">
        <v>0.48</v>
      </c>
      <c r="AD50" s="296">
        <v>0.65</v>
      </c>
      <c r="AE50" s="296">
        <v>0.6</v>
      </c>
      <c r="AF50" s="296">
        <v>0.6</v>
      </c>
      <c r="AG50" s="296">
        <v>0.61699999999999999</v>
      </c>
      <c r="AH50" s="296">
        <v>0.60699999999999998</v>
      </c>
      <c r="AI50" s="296">
        <v>0.99399999999999999</v>
      </c>
      <c r="AJ50" s="296">
        <v>0.63300000000000001</v>
      </c>
      <c r="AK50" s="296">
        <v>0.66200000000000003</v>
      </c>
      <c r="AL50" s="296">
        <v>0.7</v>
      </c>
      <c r="AM50" s="299">
        <v>0.73699999999999999</v>
      </c>
      <c r="AN50" s="139">
        <v>0.88500000000000001</v>
      </c>
      <c r="AO50" s="296">
        <v>0.83</v>
      </c>
      <c r="AP50" s="296"/>
      <c r="AQ50" s="296"/>
      <c r="AR50" s="296"/>
      <c r="AS50" s="296"/>
      <c r="AT50" s="296"/>
      <c r="AU50" s="296"/>
      <c r="AV50" s="296"/>
      <c r="AW50" s="296"/>
      <c r="AX50" s="296"/>
      <c r="AY50" s="299"/>
      <c r="AZ50" s="434"/>
      <c r="BA50" s="446" t="str">
        <f t="shared" si="23"/>
        <v>-</v>
      </c>
      <c r="BB50" s="296">
        <f t="shared" si="24"/>
        <v>0.87333333333333341</v>
      </c>
      <c r="BC50" s="424">
        <f t="shared" si="18"/>
        <v>0.65083333333333337</v>
      </c>
    </row>
    <row r="51" spans="1:55" ht="16">
      <c r="B51" s="100" t="s">
        <v>179</v>
      </c>
      <c r="C51" s="99" t="s">
        <v>117</v>
      </c>
      <c r="D51" s="139" t="s">
        <v>124</v>
      </c>
      <c r="E51" s="296" t="s">
        <v>124</v>
      </c>
      <c r="F51" s="296" t="s">
        <v>124</v>
      </c>
      <c r="G51" s="296" t="s">
        <v>124</v>
      </c>
      <c r="H51" s="296" t="s">
        <v>124</v>
      </c>
      <c r="I51" s="296" t="s">
        <v>124</v>
      </c>
      <c r="J51" s="296" t="s">
        <v>124</v>
      </c>
      <c r="K51" s="296" t="s">
        <v>124</v>
      </c>
      <c r="L51" s="296" t="s">
        <v>124</v>
      </c>
      <c r="M51" s="296" t="s">
        <v>124</v>
      </c>
      <c r="N51" s="296" t="s">
        <v>124</v>
      </c>
      <c r="O51" s="297" t="s">
        <v>124</v>
      </c>
      <c r="P51" s="298">
        <v>0.34</v>
      </c>
      <c r="Q51" s="296">
        <v>0.32</v>
      </c>
      <c r="R51" s="296">
        <v>0.44</v>
      </c>
      <c r="S51" s="296">
        <v>0.66</v>
      </c>
      <c r="T51" s="296">
        <v>0.54</v>
      </c>
      <c r="U51" s="296">
        <v>0.61</v>
      </c>
      <c r="V51" s="296">
        <v>0.34</v>
      </c>
      <c r="W51" s="296">
        <v>0.78</v>
      </c>
      <c r="X51" s="296">
        <v>0.42</v>
      </c>
      <c r="Y51" s="296">
        <v>0.69</v>
      </c>
      <c r="Z51" s="296">
        <v>0.66</v>
      </c>
      <c r="AA51" s="299">
        <v>0.52</v>
      </c>
      <c r="AB51" s="139">
        <v>0.73</v>
      </c>
      <c r="AC51" s="296">
        <v>0.49</v>
      </c>
      <c r="AD51" s="296">
        <v>0.87</v>
      </c>
      <c r="AE51" s="296">
        <v>0.52</v>
      </c>
      <c r="AF51" s="296">
        <v>0.61299999999999999</v>
      </c>
      <c r="AG51" s="296">
        <v>0.91200000000000003</v>
      </c>
      <c r="AH51" s="296">
        <v>0.41499999999999998</v>
      </c>
      <c r="AI51" s="296">
        <v>0.75</v>
      </c>
      <c r="AJ51" s="296">
        <v>0.44900000000000001</v>
      </c>
      <c r="AK51" s="296">
        <v>0.63200000000000001</v>
      </c>
      <c r="AL51" s="296">
        <v>0.40600000000000003</v>
      </c>
      <c r="AM51" s="299">
        <v>0.67400000000000004</v>
      </c>
      <c r="AN51" s="139">
        <v>0.58399999999999996</v>
      </c>
      <c r="AO51" s="296">
        <v>0.63200000000000001</v>
      </c>
      <c r="AP51" s="296"/>
      <c r="AQ51" s="296"/>
      <c r="AR51" s="296"/>
      <c r="AS51" s="296"/>
      <c r="AT51" s="296"/>
      <c r="AU51" s="296"/>
      <c r="AV51" s="296"/>
      <c r="AW51" s="296"/>
      <c r="AX51" s="296"/>
      <c r="AY51" s="299"/>
      <c r="AZ51" s="434"/>
      <c r="BA51" s="446" t="str">
        <f t="shared" si="23"/>
        <v>-</v>
      </c>
      <c r="BB51" s="296">
        <f t="shared" si="24"/>
        <v>0.52666666666666673</v>
      </c>
      <c r="BC51" s="424">
        <f t="shared" si="18"/>
        <v>0.62174999999999991</v>
      </c>
    </row>
    <row r="52" spans="1:55" ht="16">
      <c r="B52" s="109" t="s">
        <v>180</v>
      </c>
      <c r="C52" s="108" t="s">
        <v>117</v>
      </c>
      <c r="D52" s="307" t="s">
        <v>124</v>
      </c>
      <c r="E52" s="323" t="s">
        <v>124</v>
      </c>
      <c r="F52" s="323" t="s">
        <v>124</v>
      </c>
      <c r="G52" s="323" t="s">
        <v>124</v>
      </c>
      <c r="H52" s="323" t="s">
        <v>124</v>
      </c>
      <c r="I52" s="323" t="s">
        <v>124</v>
      </c>
      <c r="J52" s="323" t="s">
        <v>124</v>
      </c>
      <c r="K52" s="323" t="s">
        <v>124</v>
      </c>
      <c r="L52" s="323" t="s">
        <v>124</v>
      </c>
      <c r="M52" s="323" t="s">
        <v>124</v>
      </c>
      <c r="N52" s="323" t="s">
        <v>124</v>
      </c>
      <c r="O52" s="324" t="s">
        <v>124</v>
      </c>
      <c r="P52" s="325">
        <v>1.1299999999999999</v>
      </c>
      <c r="Q52" s="323">
        <v>1.43</v>
      </c>
      <c r="R52" s="323">
        <v>2.95</v>
      </c>
      <c r="S52" s="323">
        <v>0.89</v>
      </c>
      <c r="T52" s="323">
        <v>0.63</v>
      </c>
      <c r="U52" s="323">
        <v>1.23</v>
      </c>
      <c r="V52" s="323">
        <v>0.36</v>
      </c>
      <c r="W52" s="323">
        <v>0.53</v>
      </c>
      <c r="X52" s="323">
        <v>0.33</v>
      </c>
      <c r="Y52" s="323">
        <v>0.31</v>
      </c>
      <c r="Z52" s="323">
        <v>0.7</v>
      </c>
      <c r="AA52" s="326">
        <v>0.94</v>
      </c>
      <c r="AB52" s="307">
        <v>0.56999999999999995</v>
      </c>
      <c r="AC52" s="323">
        <v>0.59</v>
      </c>
      <c r="AD52" s="323">
        <v>0.28000000000000003</v>
      </c>
      <c r="AE52" s="323">
        <v>0.61</v>
      </c>
      <c r="AF52" s="323">
        <v>0.32800000000000001</v>
      </c>
      <c r="AG52" s="323">
        <v>0.432</v>
      </c>
      <c r="AH52" s="323">
        <v>0.70699999999999996</v>
      </c>
      <c r="AI52" s="323">
        <v>0.495</v>
      </c>
      <c r="AJ52" s="323">
        <v>0.32800000000000001</v>
      </c>
      <c r="AK52" s="323">
        <v>0.33100000000000002</v>
      </c>
      <c r="AL52" s="323">
        <v>1.056</v>
      </c>
      <c r="AM52" s="326">
        <v>0.65600000000000003</v>
      </c>
      <c r="AN52" s="307">
        <v>0.53900000000000003</v>
      </c>
      <c r="AO52" s="323">
        <v>0.58299999999999996</v>
      </c>
      <c r="AP52" s="323"/>
      <c r="AQ52" s="323"/>
      <c r="AR52" s="323"/>
      <c r="AS52" s="323"/>
      <c r="AT52" s="323"/>
      <c r="AU52" s="323"/>
      <c r="AV52" s="323"/>
      <c r="AW52" s="323"/>
      <c r="AX52" s="323"/>
      <c r="AY52" s="326"/>
      <c r="AZ52" s="434"/>
      <c r="BA52" s="455" t="str">
        <f t="shared" si="23"/>
        <v>-</v>
      </c>
      <c r="BB52" s="323">
        <f t="shared" si="24"/>
        <v>0.95249999999999979</v>
      </c>
      <c r="BC52" s="429">
        <f t="shared" si="15"/>
        <v>0.5319166666666667</v>
      </c>
    </row>
    <row r="53" spans="1:55" ht="16">
      <c r="B53" s="109" t="s">
        <v>181</v>
      </c>
      <c r="C53" s="108" t="s">
        <v>117</v>
      </c>
      <c r="D53" s="158" t="s">
        <v>124</v>
      </c>
      <c r="E53" s="292" t="s">
        <v>124</v>
      </c>
      <c r="F53" s="292" t="s">
        <v>124</v>
      </c>
      <c r="G53" s="292" t="s">
        <v>124</v>
      </c>
      <c r="H53" s="292" t="s">
        <v>124</v>
      </c>
      <c r="I53" s="292" t="s">
        <v>124</v>
      </c>
      <c r="J53" s="292" t="s">
        <v>124</v>
      </c>
      <c r="K53" s="292" t="s">
        <v>124</v>
      </c>
      <c r="L53" s="292" t="s">
        <v>124</v>
      </c>
      <c r="M53" s="292" t="s">
        <v>124</v>
      </c>
      <c r="N53" s="292" t="s">
        <v>124</v>
      </c>
      <c r="O53" s="293" t="s">
        <v>124</v>
      </c>
      <c r="P53" s="294">
        <v>0.3</v>
      </c>
      <c r="Q53" s="292">
        <v>0.3</v>
      </c>
      <c r="R53" s="292">
        <v>0.35</v>
      </c>
      <c r="S53" s="292">
        <v>0.28999999999999998</v>
      </c>
      <c r="T53" s="292">
        <v>0.32</v>
      </c>
      <c r="U53" s="292">
        <v>0.35</v>
      </c>
      <c r="V53" s="292">
        <v>0.31</v>
      </c>
      <c r="W53" s="292">
        <v>0.3</v>
      </c>
      <c r="X53" s="292">
        <v>0.25</v>
      </c>
      <c r="Y53" s="292">
        <v>0.25</v>
      </c>
      <c r="Z53" s="292">
        <v>0.27</v>
      </c>
      <c r="AA53" s="295">
        <v>0.24</v>
      </c>
      <c r="AB53" s="158">
        <v>0.25</v>
      </c>
      <c r="AC53" s="292">
        <v>0.23</v>
      </c>
      <c r="AD53" s="292">
        <v>0.27</v>
      </c>
      <c r="AE53" s="292">
        <v>0.28999999999999998</v>
      </c>
      <c r="AF53" s="292">
        <v>0.32600000000000001</v>
      </c>
      <c r="AG53" s="292">
        <v>0.316</v>
      </c>
      <c r="AH53" s="292">
        <v>0.248</v>
      </c>
      <c r="AI53" s="292">
        <v>0.33900000000000002</v>
      </c>
      <c r="AJ53" s="292">
        <v>0.318</v>
      </c>
      <c r="AK53" s="292">
        <v>0.23</v>
      </c>
      <c r="AL53" s="292">
        <v>0.32100000000000001</v>
      </c>
      <c r="AM53" s="295">
        <v>0.25800000000000001</v>
      </c>
      <c r="AN53" s="158">
        <v>0.29299999999999998</v>
      </c>
      <c r="AO53" s="292">
        <v>0.29599999999999999</v>
      </c>
      <c r="AP53" s="292"/>
      <c r="AQ53" s="292"/>
      <c r="AR53" s="292"/>
      <c r="AS53" s="292"/>
      <c r="AT53" s="292"/>
      <c r="AU53" s="292"/>
      <c r="AV53" s="292"/>
      <c r="AW53" s="292"/>
      <c r="AX53" s="292"/>
      <c r="AY53" s="295"/>
      <c r="AZ53" s="436"/>
      <c r="BA53" s="454" t="str">
        <f t="shared" si="23"/>
        <v>-</v>
      </c>
      <c r="BB53" s="292">
        <f t="shared" si="24"/>
        <v>0.29416666666666669</v>
      </c>
      <c r="BC53" s="428">
        <f t="shared" si="15"/>
        <v>0.28300000000000003</v>
      </c>
    </row>
    <row r="54" spans="1:55" ht="16">
      <c r="B54" s="100" t="s">
        <v>178</v>
      </c>
      <c r="C54" s="99" t="s">
        <v>117</v>
      </c>
      <c r="D54" s="139" t="s">
        <v>124</v>
      </c>
      <c r="E54" s="296" t="s">
        <v>124</v>
      </c>
      <c r="F54" s="296" t="s">
        <v>124</v>
      </c>
      <c r="G54" s="296" t="s">
        <v>124</v>
      </c>
      <c r="H54" s="296" t="s">
        <v>124</v>
      </c>
      <c r="I54" s="296" t="s">
        <v>124</v>
      </c>
      <c r="J54" s="296" t="s">
        <v>124</v>
      </c>
      <c r="K54" s="296" t="s">
        <v>124</v>
      </c>
      <c r="L54" s="296" t="s">
        <v>124</v>
      </c>
      <c r="M54" s="296" t="s">
        <v>124</v>
      </c>
      <c r="N54" s="296" t="s">
        <v>124</v>
      </c>
      <c r="O54" s="297" t="s">
        <v>124</v>
      </c>
      <c r="P54" s="298">
        <v>0.36</v>
      </c>
      <c r="Q54" s="296">
        <v>0.34</v>
      </c>
      <c r="R54" s="296">
        <v>0.38</v>
      </c>
      <c r="S54" s="296">
        <v>0.32</v>
      </c>
      <c r="T54" s="296">
        <v>0.37</v>
      </c>
      <c r="U54" s="296">
        <v>0.4</v>
      </c>
      <c r="V54" s="296">
        <v>0.35</v>
      </c>
      <c r="W54" s="296">
        <v>0.37</v>
      </c>
      <c r="X54" s="296">
        <v>0.28000000000000003</v>
      </c>
      <c r="Y54" s="296">
        <v>0.28000000000000003</v>
      </c>
      <c r="Z54" s="296">
        <v>0.28000000000000003</v>
      </c>
      <c r="AA54" s="299">
        <v>0.25</v>
      </c>
      <c r="AB54" s="139">
        <v>0.22</v>
      </c>
      <c r="AC54" s="296">
        <v>0.23</v>
      </c>
      <c r="AD54" s="296">
        <v>0.25</v>
      </c>
      <c r="AE54" s="296">
        <v>0.3</v>
      </c>
      <c r="AF54" s="296">
        <v>0.32600000000000001</v>
      </c>
      <c r="AG54" s="296">
        <v>0.29799999999999999</v>
      </c>
      <c r="AH54" s="296">
        <v>0.23100000000000001</v>
      </c>
      <c r="AI54" s="296">
        <v>0.33900000000000002</v>
      </c>
      <c r="AJ54" s="296">
        <v>0.311</v>
      </c>
      <c r="AK54" s="296">
        <v>0.224</v>
      </c>
      <c r="AL54" s="296">
        <v>0.34899999999999998</v>
      </c>
      <c r="AM54" s="299">
        <v>0.25600000000000001</v>
      </c>
      <c r="AN54" s="139">
        <v>0.26</v>
      </c>
      <c r="AO54" s="296">
        <v>0.314</v>
      </c>
      <c r="AP54" s="296"/>
      <c r="AQ54" s="296"/>
      <c r="AR54" s="296"/>
      <c r="AS54" s="296"/>
      <c r="AT54" s="296"/>
      <c r="AU54" s="296"/>
      <c r="AV54" s="296"/>
      <c r="AW54" s="296"/>
      <c r="AX54" s="296"/>
      <c r="AY54" s="299"/>
      <c r="AZ54" s="434"/>
      <c r="BA54" s="446" t="str">
        <f t="shared" si="23"/>
        <v>-</v>
      </c>
      <c r="BB54" s="296">
        <f t="shared" si="24"/>
        <v>0.33166666666666672</v>
      </c>
      <c r="BC54" s="424">
        <f t="shared" si="15"/>
        <v>0.27783333333333338</v>
      </c>
    </row>
    <row r="55" spans="1:55" ht="16">
      <c r="B55" s="100" t="s">
        <v>179</v>
      </c>
      <c r="C55" s="99" t="s">
        <v>117</v>
      </c>
      <c r="D55" s="139" t="s">
        <v>124</v>
      </c>
      <c r="E55" s="296" t="s">
        <v>124</v>
      </c>
      <c r="F55" s="296" t="s">
        <v>124</v>
      </c>
      <c r="G55" s="296" t="s">
        <v>124</v>
      </c>
      <c r="H55" s="296" t="s">
        <v>124</v>
      </c>
      <c r="I55" s="296" t="s">
        <v>124</v>
      </c>
      <c r="J55" s="296" t="s">
        <v>124</v>
      </c>
      <c r="K55" s="296" t="s">
        <v>124</v>
      </c>
      <c r="L55" s="296" t="s">
        <v>124</v>
      </c>
      <c r="M55" s="296" t="s">
        <v>124</v>
      </c>
      <c r="N55" s="296" t="s">
        <v>124</v>
      </c>
      <c r="O55" s="297" t="s">
        <v>124</v>
      </c>
      <c r="P55" s="298">
        <v>0.18</v>
      </c>
      <c r="Q55" s="296">
        <v>0.23</v>
      </c>
      <c r="R55" s="296">
        <v>0.28999999999999998</v>
      </c>
      <c r="S55" s="296">
        <v>0.24</v>
      </c>
      <c r="T55" s="296">
        <v>0.23</v>
      </c>
      <c r="U55" s="296">
        <v>0.25</v>
      </c>
      <c r="V55" s="296">
        <v>0.23</v>
      </c>
      <c r="W55" s="296">
        <v>0.17</v>
      </c>
      <c r="X55" s="296">
        <v>0.19</v>
      </c>
      <c r="Y55" s="296">
        <v>0.2</v>
      </c>
      <c r="Z55" s="296">
        <v>0.25</v>
      </c>
      <c r="AA55" s="299">
        <v>0.2</v>
      </c>
      <c r="AB55" s="139">
        <v>0.3</v>
      </c>
      <c r="AC55" s="296">
        <v>0.22</v>
      </c>
      <c r="AD55" s="296">
        <v>0.31</v>
      </c>
      <c r="AE55" s="296">
        <v>0.27</v>
      </c>
      <c r="AF55" s="296">
        <v>0.33</v>
      </c>
      <c r="AG55" s="296">
        <v>0.33800000000000002</v>
      </c>
      <c r="AH55" s="296">
        <v>0.25600000000000001</v>
      </c>
      <c r="AI55" s="296">
        <v>0.35399999999999998</v>
      </c>
      <c r="AJ55" s="296">
        <v>0.33</v>
      </c>
      <c r="AK55" s="296">
        <v>0.223</v>
      </c>
      <c r="AL55" s="296">
        <v>0.23300000000000001</v>
      </c>
      <c r="AM55" s="299">
        <v>0.251</v>
      </c>
      <c r="AN55" s="139">
        <v>0.32</v>
      </c>
      <c r="AO55" s="296">
        <v>0.254</v>
      </c>
      <c r="AP55" s="296"/>
      <c r="AQ55" s="296"/>
      <c r="AR55" s="296"/>
      <c r="AS55" s="296"/>
      <c r="AT55" s="296"/>
      <c r="AU55" s="296"/>
      <c r="AV55" s="296"/>
      <c r="AW55" s="296"/>
      <c r="AX55" s="296"/>
      <c r="AY55" s="299"/>
      <c r="AZ55" s="434"/>
      <c r="BA55" s="446" t="str">
        <f t="shared" si="23"/>
        <v>-</v>
      </c>
      <c r="BB55" s="296">
        <f t="shared" si="24"/>
        <v>0.22166666666666668</v>
      </c>
      <c r="BC55" s="424">
        <f t="shared" si="15"/>
        <v>0.28458333333333335</v>
      </c>
    </row>
    <row r="56" spans="1:55" ht="16">
      <c r="A56" t="s">
        <v>124</v>
      </c>
      <c r="B56" s="109" t="s">
        <v>180</v>
      </c>
      <c r="C56" s="108" t="s">
        <v>117</v>
      </c>
      <c r="D56" s="307" t="s">
        <v>124</v>
      </c>
      <c r="E56" s="323" t="s">
        <v>124</v>
      </c>
      <c r="F56" s="323" t="s">
        <v>124</v>
      </c>
      <c r="G56" s="323" t="s">
        <v>124</v>
      </c>
      <c r="H56" s="323" t="s">
        <v>124</v>
      </c>
      <c r="I56" s="323" t="s">
        <v>124</v>
      </c>
      <c r="J56" s="323" t="s">
        <v>124</v>
      </c>
      <c r="K56" s="323" t="s">
        <v>124</v>
      </c>
      <c r="L56" s="323" t="s">
        <v>124</v>
      </c>
      <c r="M56" s="323" t="s">
        <v>124</v>
      </c>
      <c r="N56" s="323" t="s">
        <v>124</v>
      </c>
      <c r="O56" s="324" t="s">
        <v>124</v>
      </c>
      <c r="P56" s="325">
        <v>0.97</v>
      </c>
      <c r="Q56" s="323">
        <v>1.51</v>
      </c>
      <c r="R56" s="323">
        <v>0.45</v>
      </c>
      <c r="S56" s="323">
        <v>0.68</v>
      </c>
      <c r="T56" s="323">
        <v>0.23</v>
      </c>
      <c r="U56" s="323">
        <v>1.18</v>
      </c>
      <c r="V56" s="323">
        <v>0.36</v>
      </c>
      <c r="W56" s="323">
        <v>0.57999999999999996</v>
      </c>
      <c r="X56" s="323">
        <v>0.31</v>
      </c>
      <c r="Y56" s="323">
        <v>0.27</v>
      </c>
      <c r="Z56" s="323">
        <v>1.03</v>
      </c>
      <c r="AA56" s="326">
        <v>1.01</v>
      </c>
      <c r="AB56" s="307">
        <v>0.31</v>
      </c>
      <c r="AC56" s="323">
        <v>0.16</v>
      </c>
      <c r="AD56" s="323">
        <v>0.18</v>
      </c>
      <c r="AE56" s="323">
        <v>0.32</v>
      </c>
      <c r="AF56" s="323">
        <v>0.26200000000000001</v>
      </c>
      <c r="AG56" s="323">
        <v>0.5</v>
      </c>
      <c r="AH56" s="323">
        <v>0.73499999999999999</v>
      </c>
      <c r="AI56" s="323">
        <v>0.27700000000000002</v>
      </c>
      <c r="AJ56" s="323">
        <v>0.29699999999999999</v>
      </c>
      <c r="AK56" s="323">
        <v>0.45800000000000002</v>
      </c>
      <c r="AL56" s="323">
        <v>0.68600000000000005</v>
      </c>
      <c r="AM56" s="326">
        <v>0.35</v>
      </c>
      <c r="AN56" s="307">
        <v>0.73399999999999999</v>
      </c>
      <c r="AO56" s="323">
        <v>0.436</v>
      </c>
      <c r="AP56" s="323"/>
      <c r="AQ56" s="323"/>
      <c r="AR56" s="323"/>
      <c r="AS56" s="323"/>
      <c r="AT56" s="323"/>
      <c r="AU56" s="323"/>
      <c r="AV56" s="323"/>
      <c r="AW56" s="323"/>
      <c r="AX56" s="323"/>
      <c r="AY56" s="326"/>
      <c r="AZ56" s="434" t="s">
        <v>124</v>
      </c>
      <c r="BA56" s="455" t="str">
        <f t="shared" si="23"/>
        <v>-</v>
      </c>
      <c r="BB56" s="323">
        <f t="shared" si="24"/>
        <v>0.71500000000000019</v>
      </c>
      <c r="BC56" s="429">
        <f t="shared" si="15"/>
        <v>0.37791666666666668</v>
      </c>
    </row>
    <row r="57" spans="1:55" ht="16.5" customHeight="1">
      <c r="B57" s="300"/>
      <c r="C57" s="301"/>
      <c r="D57" s="337"/>
      <c r="E57" s="337"/>
      <c r="F57" s="337"/>
      <c r="G57" s="337"/>
      <c r="H57" s="337"/>
      <c r="I57" s="337"/>
      <c r="J57" s="337"/>
      <c r="K57" s="337"/>
      <c r="L57" s="337"/>
      <c r="M57" s="337"/>
      <c r="N57" s="337"/>
      <c r="O57" s="337"/>
      <c r="P57" s="337"/>
      <c r="Q57" s="337"/>
      <c r="R57" s="337"/>
      <c r="S57" s="337"/>
      <c r="T57" s="337"/>
      <c r="U57" s="337"/>
      <c r="V57" s="337"/>
      <c r="W57" s="337"/>
      <c r="X57" s="337"/>
      <c r="Y57" s="337"/>
      <c r="Z57" s="337"/>
      <c r="AA57" s="337"/>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BA57" s="337"/>
      <c r="BB57" s="337"/>
      <c r="BC57" s="337"/>
    </row>
    <row r="58" spans="1:55" ht="16">
      <c r="B58" s="107" t="s">
        <v>182</v>
      </c>
      <c r="C58" s="108" t="s">
        <v>117</v>
      </c>
      <c r="D58" s="158"/>
      <c r="E58" s="292"/>
      <c r="F58" s="292"/>
      <c r="G58" s="292">
        <v>0.96</v>
      </c>
      <c r="H58" s="292">
        <v>0.98</v>
      </c>
      <c r="I58" s="292">
        <v>0.94</v>
      </c>
      <c r="J58" s="292">
        <v>0.94</v>
      </c>
      <c r="K58" s="292">
        <v>0.99</v>
      </c>
      <c r="L58" s="292">
        <v>0.9</v>
      </c>
      <c r="M58" s="292">
        <v>0.8</v>
      </c>
      <c r="N58" s="292">
        <v>0.96</v>
      </c>
      <c r="O58" s="293">
        <v>0.96499999999999997</v>
      </c>
      <c r="P58" s="294">
        <v>0.87</v>
      </c>
      <c r="Q58" s="292">
        <v>0.76</v>
      </c>
      <c r="R58" s="292" t="s">
        <v>124</v>
      </c>
      <c r="S58" s="292">
        <v>0.94699999999999995</v>
      </c>
      <c r="T58" s="292">
        <v>0.98799999999999999</v>
      </c>
      <c r="U58" s="292">
        <v>0.99299999999999999</v>
      </c>
      <c r="V58" s="292">
        <v>0.996</v>
      </c>
      <c r="W58" s="292">
        <v>0.99199999999999999</v>
      </c>
      <c r="X58" s="292">
        <v>0.96899999999999997</v>
      </c>
      <c r="Y58" s="292">
        <v>0.997</v>
      </c>
      <c r="Z58" s="292">
        <v>0.99199999999999999</v>
      </c>
      <c r="AA58" s="295">
        <v>0.97899999999999998</v>
      </c>
      <c r="AB58" s="158">
        <v>0.99519999999999997</v>
      </c>
      <c r="AC58" s="292">
        <v>0.99409999999999998</v>
      </c>
      <c r="AD58" s="292">
        <v>0.99629999999999996</v>
      </c>
      <c r="AE58" s="292">
        <v>0.99319999999999997</v>
      </c>
      <c r="AF58" s="292">
        <v>0.9929</v>
      </c>
      <c r="AG58" s="292">
        <v>0.99519999999999997</v>
      </c>
      <c r="AH58" s="292">
        <v>0.99719999999999998</v>
      </c>
      <c r="AI58" s="292">
        <v>0.98819999999999997</v>
      </c>
      <c r="AJ58" s="292">
        <v>0.99260000000000004</v>
      </c>
      <c r="AK58" s="292">
        <v>0.99729999999999996</v>
      </c>
      <c r="AL58" s="292">
        <v>0.98799999999999999</v>
      </c>
      <c r="AM58" s="295">
        <v>0.93100000000000005</v>
      </c>
      <c r="AN58" s="158">
        <v>0.94359999999999999</v>
      </c>
      <c r="AO58" s="292">
        <v>0.82430000000000003</v>
      </c>
      <c r="AP58" s="292"/>
      <c r="AQ58" s="292"/>
      <c r="AR58" s="292"/>
      <c r="AS58" s="292"/>
      <c r="AT58" s="292"/>
      <c r="AU58" s="292"/>
      <c r="AV58" s="292"/>
      <c r="AW58" s="292"/>
      <c r="AX58" s="292"/>
      <c r="AY58" s="295"/>
      <c r="AZ58" s="434"/>
      <c r="BA58" s="454">
        <f t="shared" ref="BA58:BA77" si="25">IFERROR(AVERAGE(D58:O58),"-")</f>
        <v>0.93722222222222229</v>
      </c>
      <c r="BB58" s="292">
        <f t="shared" ref="BB58:BB77" si="26">IFERROR(AVERAGE(P58:AA58),"-")</f>
        <v>0.95300000000000007</v>
      </c>
      <c r="BC58" s="428">
        <f t="shared" si="15"/>
        <v>0.98843333333333305</v>
      </c>
    </row>
    <row r="59" spans="1:55" ht="16">
      <c r="B59" s="98" t="s">
        <v>183</v>
      </c>
      <c r="C59" s="99" t="s">
        <v>117</v>
      </c>
      <c r="D59" s="303" t="s">
        <v>124</v>
      </c>
      <c r="E59" s="342" t="s">
        <v>124</v>
      </c>
      <c r="F59" s="342" t="s">
        <v>124</v>
      </c>
      <c r="G59" s="342">
        <v>0.79</v>
      </c>
      <c r="H59" s="342">
        <v>0.88</v>
      </c>
      <c r="I59" s="342">
        <v>0.9</v>
      </c>
      <c r="J59" s="342">
        <v>0.91</v>
      </c>
      <c r="K59" s="342">
        <v>0.88</v>
      </c>
      <c r="L59" s="342">
        <v>0.88</v>
      </c>
      <c r="M59" s="342">
        <v>0.87</v>
      </c>
      <c r="N59" s="342">
        <v>0.87</v>
      </c>
      <c r="O59" s="343">
        <v>0.81</v>
      </c>
      <c r="P59" s="344">
        <v>0.75</v>
      </c>
      <c r="Q59" s="342">
        <v>0.74</v>
      </c>
      <c r="R59" s="342">
        <v>0.78</v>
      </c>
      <c r="S59" s="342">
        <v>0.82</v>
      </c>
      <c r="T59" s="342">
        <v>0.79</v>
      </c>
      <c r="U59" s="342">
        <v>0.72</v>
      </c>
      <c r="V59" s="342">
        <v>0.81</v>
      </c>
      <c r="W59" s="342">
        <v>0.79</v>
      </c>
      <c r="X59" s="342">
        <v>0.81</v>
      </c>
      <c r="Y59" s="342">
        <v>0.74</v>
      </c>
      <c r="Z59" s="342">
        <v>0.72</v>
      </c>
      <c r="AA59" s="345">
        <v>0.73</v>
      </c>
      <c r="AB59" s="303">
        <v>0.69</v>
      </c>
      <c r="AC59" s="342">
        <v>0.69610000000000005</v>
      </c>
      <c r="AD59" s="342">
        <v>0.65710000000000002</v>
      </c>
      <c r="AE59" s="342">
        <v>0.75990000000000002</v>
      </c>
      <c r="AF59" s="342">
        <v>0.74580000000000002</v>
      </c>
      <c r="AG59" s="342">
        <v>0.7651</v>
      </c>
      <c r="AH59" s="342">
        <v>0.80079999999999996</v>
      </c>
      <c r="AI59" s="342">
        <v>0.84099999999999997</v>
      </c>
      <c r="AJ59" s="342">
        <v>0.77</v>
      </c>
      <c r="AK59" s="342">
        <v>0.87</v>
      </c>
      <c r="AL59" s="342">
        <v>0.82</v>
      </c>
      <c r="AM59" s="345">
        <v>0.78</v>
      </c>
      <c r="AN59" s="303">
        <v>0.77</v>
      </c>
      <c r="AO59" s="342"/>
      <c r="AP59" s="342"/>
      <c r="AQ59" s="342"/>
      <c r="AR59" s="342"/>
      <c r="AS59" s="342"/>
      <c r="AT59" s="342"/>
      <c r="AU59" s="342"/>
      <c r="AV59" s="342"/>
      <c r="AW59" s="342"/>
      <c r="AX59" s="342"/>
      <c r="AY59" s="345"/>
      <c r="AZ59" s="434"/>
      <c r="BA59" s="456">
        <f t="shared" si="25"/>
        <v>0.86555555555555563</v>
      </c>
      <c r="BB59" s="342">
        <f t="shared" si="26"/>
        <v>0.76666666666666672</v>
      </c>
      <c r="BC59" s="430">
        <f t="shared" si="15"/>
        <v>0.76631666666666653</v>
      </c>
    </row>
    <row r="60" spans="1:55" ht="16">
      <c r="B60" s="100" t="s">
        <v>184</v>
      </c>
      <c r="C60" s="99" t="s">
        <v>117</v>
      </c>
      <c r="D60" s="139" t="s">
        <v>124</v>
      </c>
      <c r="E60" s="296" t="s">
        <v>124</v>
      </c>
      <c r="F60" s="296" t="s">
        <v>124</v>
      </c>
      <c r="G60" s="296">
        <v>0.83</v>
      </c>
      <c r="H60" s="296">
        <v>0.94</v>
      </c>
      <c r="I60" s="296">
        <v>0.97</v>
      </c>
      <c r="J60" s="296">
        <v>0.97</v>
      </c>
      <c r="K60" s="296">
        <v>0.97</v>
      </c>
      <c r="L60" s="296">
        <v>0.99</v>
      </c>
      <c r="M60" s="296">
        <v>1</v>
      </c>
      <c r="N60" s="296">
        <v>1</v>
      </c>
      <c r="O60" s="297">
        <v>1</v>
      </c>
      <c r="P60" s="298">
        <v>1</v>
      </c>
      <c r="Q60" s="296">
        <v>1</v>
      </c>
      <c r="R60" s="296">
        <v>0.99</v>
      </c>
      <c r="S60" s="296">
        <v>1</v>
      </c>
      <c r="T60" s="296">
        <v>0.95</v>
      </c>
      <c r="U60" s="296">
        <v>0.8</v>
      </c>
      <c r="V60" s="296">
        <v>0.97</v>
      </c>
      <c r="W60" s="296">
        <v>0.99</v>
      </c>
      <c r="X60" s="296">
        <v>1</v>
      </c>
      <c r="Y60" s="296">
        <v>1</v>
      </c>
      <c r="Z60" s="296">
        <v>0.99</v>
      </c>
      <c r="AA60" s="299">
        <v>0.98</v>
      </c>
      <c r="AB60" s="139">
        <v>0.99</v>
      </c>
      <c r="AC60" s="296">
        <v>1</v>
      </c>
      <c r="AD60" s="296">
        <v>0.98129999999999995</v>
      </c>
      <c r="AE60" s="296">
        <v>0.99260000000000004</v>
      </c>
      <c r="AF60" s="296">
        <v>0.99609999999999999</v>
      </c>
      <c r="AG60" s="296">
        <v>1</v>
      </c>
      <c r="AH60" s="296">
        <v>1</v>
      </c>
      <c r="AI60" s="296">
        <v>0.98829999999999996</v>
      </c>
      <c r="AJ60" s="296">
        <v>0.99539999999999995</v>
      </c>
      <c r="AK60" s="296">
        <v>1</v>
      </c>
      <c r="AL60" s="296">
        <v>0.99</v>
      </c>
      <c r="AM60" s="299">
        <v>1</v>
      </c>
      <c r="AN60" s="139">
        <v>1</v>
      </c>
      <c r="AO60" s="296"/>
      <c r="AP60" s="296"/>
      <c r="AQ60" s="296"/>
      <c r="AR60" s="296"/>
      <c r="AS60" s="296"/>
      <c r="AT60" s="296"/>
      <c r="AU60" s="296"/>
      <c r="AV60" s="296"/>
      <c r="AW60" s="296"/>
      <c r="AX60" s="296"/>
      <c r="AY60" s="299"/>
      <c r="AZ60" s="434"/>
      <c r="BA60" s="446">
        <f t="shared" si="25"/>
        <v>0.96333333333333337</v>
      </c>
      <c r="BB60" s="296">
        <f t="shared" si="26"/>
        <v>0.97250000000000003</v>
      </c>
      <c r="BC60" s="424">
        <f t="shared" si="15"/>
        <v>0.994475</v>
      </c>
    </row>
    <row r="61" spans="1:55" ht="16">
      <c r="B61" s="100" t="s">
        <v>185</v>
      </c>
      <c r="C61" s="99" t="s">
        <v>117</v>
      </c>
      <c r="D61" s="139" t="s">
        <v>124</v>
      </c>
      <c r="E61" s="296" t="s">
        <v>124</v>
      </c>
      <c r="F61" s="296" t="s">
        <v>124</v>
      </c>
      <c r="G61" s="296">
        <v>0.62</v>
      </c>
      <c r="H61" s="296">
        <v>0.66</v>
      </c>
      <c r="I61" s="296">
        <v>0.73</v>
      </c>
      <c r="J61" s="296">
        <v>0.79</v>
      </c>
      <c r="K61" s="296">
        <v>0.68</v>
      </c>
      <c r="L61" s="296">
        <v>0.68</v>
      </c>
      <c r="M61" s="296">
        <v>0.59</v>
      </c>
      <c r="N61" s="296">
        <v>0.55000000000000004</v>
      </c>
      <c r="O61" s="297">
        <v>0.43</v>
      </c>
      <c r="P61" s="298">
        <v>0.31</v>
      </c>
      <c r="Q61" s="296">
        <v>0.3</v>
      </c>
      <c r="R61" s="296">
        <v>0.34</v>
      </c>
      <c r="S61" s="296">
        <v>0.5</v>
      </c>
      <c r="T61" s="296">
        <v>0.59</v>
      </c>
      <c r="U61" s="296">
        <v>0.52</v>
      </c>
      <c r="V61" s="296">
        <v>0.64</v>
      </c>
      <c r="W61" s="296">
        <v>0.5</v>
      </c>
      <c r="X61" s="296">
        <v>0.49</v>
      </c>
      <c r="Y61" s="296">
        <v>0.37</v>
      </c>
      <c r="Z61" s="296">
        <v>0.33</v>
      </c>
      <c r="AA61" s="299">
        <v>0.36</v>
      </c>
      <c r="AB61" s="139">
        <v>0.35</v>
      </c>
      <c r="AC61" s="296">
        <v>0.28989999999999999</v>
      </c>
      <c r="AD61" s="296">
        <v>0.23880000000000001</v>
      </c>
      <c r="AE61" s="296">
        <v>0.42749999999999999</v>
      </c>
      <c r="AF61" s="296">
        <v>0.48259999999999997</v>
      </c>
      <c r="AG61" s="296">
        <v>0.5948</v>
      </c>
      <c r="AH61" s="296">
        <v>0.67779999999999996</v>
      </c>
      <c r="AI61" s="296">
        <v>0.71350000000000002</v>
      </c>
      <c r="AJ61" s="296">
        <v>0.58540000000000003</v>
      </c>
      <c r="AK61" s="296">
        <v>0.48</v>
      </c>
      <c r="AL61" s="296">
        <v>0.44</v>
      </c>
      <c r="AM61" s="299">
        <v>0.38</v>
      </c>
      <c r="AN61" s="139">
        <v>0.34</v>
      </c>
      <c r="AO61" s="296"/>
      <c r="AP61" s="296"/>
      <c r="AQ61" s="296"/>
      <c r="AR61" s="296"/>
      <c r="AS61" s="296"/>
      <c r="AT61" s="296"/>
      <c r="AU61" s="296"/>
      <c r="AV61" s="296"/>
      <c r="AW61" s="296"/>
      <c r="AX61" s="296"/>
      <c r="AY61" s="299"/>
      <c r="AZ61" s="434"/>
      <c r="BA61" s="446">
        <f t="shared" si="25"/>
        <v>0.6366666666666666</v>
      </c>
      <c r="BB61" s="296">
        <f t="shared" si="26"/>
        <v>0.43750000000000006</v>
      </c>
      <c r="BC61" s="424">
        <f t="shared" si="15"/>
        <v>0.47169166666666662</v>
      </c>
    </row>
    <row r="62" spans="1:55" ht="16">
      <c r="B62" s="100" t="s">
        <v>186</v>
      </c>
      <c r="C62" s="99" t="s">
        <v>117</v>
      </c>
      <c r="D62" s="139" t="s">
        <v>124</v>
      </c>
      <c r="E62" s="296" t="s">
        <v>124</v>
      </c>
      <c r="F62" s="296" t="s">
        <v>124</v>
      </c>
      <c r="G62" s="296">
        <v>0.97</v>
      </c>
      <c r="H62" s="296">
        <v>0.98</v>
      </c>
      <c r="I62" s="296">
        <v>0.99</v>
      </c>
      <c r="J62" s="296">
        <v>0.95</v>
      </c>
      <c r="K62" s="296">
        <v>0.93</v>
      </c>
      <c r="L62" s="296">
        <v>0.93</v>
      </c>
      <c r="M62" s="296">
        <v>0.97</v>
      </c>
      <c r="N62" s="296">
        <v>1</v>
      </c>
      <c r="O62" s="297">
        <v>0.99</v>
      </c>
      <c r="P62" s="298">
        <v>0.99</v>
      </c>
      <c r="Q62" s="296">
        <v>0.98</v>
      </c>
      <c r="R62" s="296">
        <v>0.98</v>
      </c>
      <c r="S62" s="296">
        <v>0.97</v>
      </c>
      <c r="T62" s="296">
        <v>0.96</v>
      </c>
      <c r="U62" s="296">
        <v>0.95</v>
      </c>
      <c r="V62" s="296">
        <v>0.92</v>
      </c>
      <c r="W62" s="296">
        <v>0.95</v>
      </c>
      <c r="X62" s="296">
        <v>0.96</v>
      </c>
      <c r="Y62" s="296">
        <v>0.92</v>
      </c>
      <c r="Z62" s="296">
        <v>0.9</v>
      </c>
      <c r="AA62" s="299">
        <v>0.92</v>
      </c>
      <c r="AB62" s="139">
        <v>0.92</v>
      </c>
      <c r="AC62" s="296">
        <v>0.9153</v>
      </c>
      <c r="AD62" s="296">
        <v>0.91790000000000005</v>
      </c>
      <c r="AE62" s="296">
        <v>0.94420000000000004</v>
      </c>
      <c r="AF62" s="296">
        <v>0.99609999999999999</v>
      </c>
      <c r="AG62" s="296">
        <v>0.871</v>
      </c>
      <c r="AH62" s="296">
        <v>0.91790000000000005</v>
      </c>
      <c r="AI62" s="296">
        <v>0.98570000000000002</v>
      </c>
      <c r="AJ62" s="296">
        <v>0.99419999999999997</v>
      </c>
      <c r="AK62" s="296">
        <v>0.99</v>
      </c>
      <c r="AL62" s="296">
        <v>1</v>
      </c>
      <c r="AM62" s="299">
        <v>0.97</v>
      </c>
      <c r="AN62" s="139">
        <v>0.99</v>
      </c>
      <c r="AO62" s="296"/>
      <c r="AP62" s="296"/>
      <c r="AQ62" s="296"/>
      <c r="AR62" s="296"/>
      <c r="AS62" s="296"/>
      <c r="AT62" s="296"/>
      <c r="AU62" s="296"/>
      <c r="AV62" s="296"/>
      <c r="AW62" s="296"/>
      <c r="AX62" s="296"/>
      <c r="AY62" s="299"/>
      <c r="AZ62" s="434"/>
      <c r="BA62" s="446">
        <f t="shared" si="25"/>
        <v>0.96777777777777763</v>
      </c>
      <c r="BB62" s="296">
        <f t="shared" si="26"/>
        <v>0.95000000000000007</v>
      </c>
      <c r="BC62" s="424">
        <f t="shared" si="15"/>
        <v>0.95185833333333347</v>
      </c>
    </row>
    <row r="63" spans="1:55" ht="16">
      <c r="A63" t="s">
        <v>124</v>
      </c>
      <c r="B63" s="109" t="s">
        <v>187</v>
      </c>
      <c r="C63" s="108" t="s">
        <v>117</v>
      </c>
      <c r="D63" s="307" t="s">
        <v>124</v>
      </c>
      <c r="E63" s="323" t="s">
        <v>124</v>
      </c>
      <c r="F63" s="323" t="s">
        <v>124</v>
      </c>
      <c r="G63" s="323">
        <v>0.73</v>
      </c>
      <c r="H63" s="323">
        <v>0.94</v>
      </c>
      <c r="I63" s="323">
        <v>0.91</v>
      </c>
      <c r="J63" s="323">
        <v>0.94</v>
      </c>
      <c r="K63" s="323">
        <v>0.92</v>
      </c>
      <c r="L63" s="323">
        <v>0.92</v>
      </c>
      <c r="M63" s="323">
        <v>0.9</v>
      </c>
      <c r="N63" s="323">
        <v>0.93</v>
      </c>
      <c r="O63" s="324">
        <v>0.82</v>
      </c>
      <c r="P63" s="325">
        <v>0.68</v>
      </c>
      <c r="Q63" s="323">
        <v>0.68</v>
      </c>
      <c r="R63" s="323">
        <v>0.82</v>
      </c>
      <c r="S63" s="323">
        <v>0.83</v>
      </c>
      <c r="T63" s="323">
        <v>0.65</v>
      </c>
      <c r="U63" s="323">
        <v>0.61</v>
      </c>
      <c r="V63" s="323">
        <v>0.71</v>
      </c>
      <c r="W63" s="323">
        <v>0.72</v>
      </c>
      <c r="X63" s="323">
        <v>0.8</v>
      </c>
      <c r="Y63" s="323">
        <v>0.66</v>
      </c>
      <c r="Z63" s="323">
        <v>0.65</v>
      </c>
      <c r="AA63" s="326">
        <v>0.66</v>
      </c>
      <c r="AB63" s="307">
        <v>0.51</v>
      </c>
      <c r="AC63" s="323">
        <v>0.57920000000000005</v>
      </c>
      <c r="AD63" s="323">
        <v>0.49020000000000002</v>
      </c>
      <c r="AE63" s="323">
        <v>0.67510000000000003</v>
      </c>
      <c r="AF63" s="323">
        <v>0.5857</v>
      </c>
      <c r="AG63" s="323">
        <v>0.5948</v>
      </c>
      <c r="AH63" s="323">
        <v>0.60750000000000004</v>
      </c>
      <c r="AI63" s="323">
        <v>0.67649999999999999</v>
      </c>
      <c r="AJ63" s="323">
        <v>0.5</v>
      </c>
      <c r="AK63" s="323">
        <v>0.57999999999999996</v>
      </c>
      <c r="AL63" s="323">
        <v>0.59</v>
      </c>
      <c r="AM63" s="326">
        <v>0.68</v>
      </c>
      <c r="AN63" s="307">
        <v>0.56000000000000005</v>
      </c>
      <c r="AO63" s="323"/>
      <c r="AP63" s="323"/>
      <c r="AQ63" s="323"/>
      <c r="AR63" s="323"/>
      <c r="AS63" s="323"/>
      <c r="AT63" s="323"/>
      <c r="AU63" s="323"/>
      <c r="AV63" s="323"/>
      <c r="AW63" s="323"/>
      <c r="AX63" s="323"/>
      <c r="AY63" s="326"/>
      <c r="AZ63" s="434" t="s">
        <v>124</v>
      </c>
      <c r="BA63" s="455">
        <f t="shared" si="25"/>
        <v>0.89</v>
      </c>
      <c r="BB63" s="323">
        <f t="shared" si="26"/>
        <v>0.70583333333333342</v>
      </c>
      <c r="BC63" s="429">
        <f t="shared" si="15"/>
        <v>0.58908333333333329</v>
      </c>
    </row>
    <row r="64" spans="1:55" ht="16">
      <c r="A64" s="66"/>
      <c r="B64" s="98" t="s">
        <v>188</v>
      </c>
      <c r="C64" s="99" t="s">
        <v>114</v>
      </c>
      <c r="D64" s="168" t="s">
        <v>124</v>
      </c>
      <c r="E64" s="169" t="s">
        <v>124</v>
      </c>
      <c r="F64" s="169" t="s">
        <v>124</v>
      </c>
      <c r="G64" s="169" t="s">
        <v>124</v>
      </c>
      <c r="H64" s="169" t="s">
        <v>124</v>
      </c>
      <c r="I64" s="169" t="s">
        <v>124</v>
      </c>
      <c r="J64" s="169" t="s">
        <v>124</v>
      </c>
      <c r="K64" s="169" t="s">
        <v>124</v>
      </c>
      <c r="L64" s="169" t="s">
        <v>124</v>
      </c>
      <c r="M64" s="169" t="s">
        <v>124</v>
      </c>
      <c r="N64" s="169" t="s">
        <v>124</v>
      </c>
      <c r="O64" s="170" t="s">
        <v>124</v>
      </c>
      <c r="P64" s="171" t="s">
        <v>20</v>
      </c>
      <c r="Q64" s="169" t="s">
        <v>20</v>
      </c>
      <c r="R64" s="169" t="s">
        <v>20</v>
      </c>
      <c r="S64" s="169" t="s">
        <v>20</v>
      </c>
      <c r="T64" s="169" t="s">
        <v>20</v>
      </c>
      <c r="U64" s="169" t="s">
        <v>20</v>
      </c>
      <c r="V64" s="169" t="s">
        <v>20</v>
      </c>
      <c r="W64" s="169" t="s">
        <v>20</v>
      </c>
      <c r="X64" s="169" t="s">
        <v>20</v>
      </c>
      <c r="Y64" s="169" t="s">
        <v>20</v>
      </c>
      <c r="Z64" s="169" t="s">
        <v>20</v>
      </c>
      <c r="AA64" s="315" t="s">
        <v>20</v>
      </c>
      <c r="AB64" s="540" t="str">
        <f>IFERROR(IF(SUMIFS(#REF!,#REF!,"&gt;="&amp;DATE(2025,MONTH(AB$2),1),#REF!,"&lt;="&amp;EOMONTH(AB$2,0),#REF!,"SI")=0,"-",(-1/1000)*SUMIFS(#REF!,#REF!,"&gt;="&amp;DATE(2025,MONTH(AB$2),1),#REF!,"&lt;="&amp;EOMONTH(AB$2,0),#REF!,"&gt;="&amp;DATE(2025,MONTH(AB$2),1),#REF!,"&lt;="&amp;EOMONTH(AB$2,0),#REF!,"SI")),"REVISAR")</f>
        <v>REVISAR</v>
      </c>
      <c r="AC64" s="541" t="str">
        <f>IFERROR(IF(SUMIFS(#REF!,#REF!,"&gt;="&amp;DATE(2025,MONTH(AC$2),1),#REF!,"&lt;="&amp;EOMONTH(AC$2,0),#REF!,"SI")=0,"-",(-1/1000)*SUMIFS(#REF!,#REF!,"&gt;="&amp;DATE(2025,MONTH(AC$2),1),#REF!,"&lt;="&amp;EOMONTH(AC$2,0),#REF!,"&gt;="&amp;DATE(2025,MONTH(AC$2),1),#REF!,"&lt;="&amp;EOMONTH(AC$2,0),#REF!,"SI")),"REVISAR")</f>
        <v>REVISAR</v>
      </c>
      <c r="AD64" s="541" t="str">
        <f>IFERROR(IF(SUMIFS(#REF!,#REF!,"&gt;="&amp;DATE(2025,MONTH(AD$2),1),#REF!,"&lt;="&amp;EOMONTH(AD$2,0),#REF!,"SI")=0,"-",(-1/1000)*SUMIFS(#REF!,#REF!,"&gt;="&amp;DATE(2025,MONTH(AD$2),1),#REF!,"&lt;="&amp;EOMONTH(AD$2,0),#REF!,"&gt;="&amp;DATE(2025,MONTH(AD$2),1),#REF!,"&lt;="&amp;EOMONTH(AD$2,0),#REF!,"SI")),"REVISAR")</f>
        <v>REVISAR</v>
      </c>
      <c r="AE64" s="541" t="str">
        <f>IFERROR(IF(SUMIFS(#REF!,#REF!,"&gt;="&amp;DATE(2025,MONTH(AE$2),1),#REF!,"&lt;="&amp;EOMONTH(AE$2,0),#REF!,"SI")=0,"-",(-1/1000)*SUMIFS(#REF!,#REF!,"&gt;="&amp;DATE(2025,MONTH(AE$2),1),#REF!,"&lt;="&amp;EOMONTH(AE$2,0),#REF!,"&gt;="&amp;DATE(2025,MONTH(AE$2),1),#REF!,"&lt;="&amp;EOMONTH(AE$2,0),#REF!,"SI")),"REVISAR")</f>
        <v>REVISAR</v>
      </c>
      <c r="AF64" s="541" t="str">
        <f>IFERROR(IF(SUMIFS(#REF!,#REF!,"&gt;="&amp;DATE(2025,MONTH(AF$2),1),#REF!,"&lt;="&amp;EOMONTH(AF$2,0),#REF!,"SI")=0,"-",(-1/1000)*SUMIFS(#REF!,#REF!,"&gt;="&amp;DATE(2025,MONTH(AF$2),1),#REF!,"&lt;="&amp;EOMONTH(AF$2,0),#REF!,"&gt;="&amp;DATE(2025,MONTH(AF$2),1),#REF!,"&lt;="&amp;EOMONTH(AF$2,0),#REF!,"SI")),"REVISAR")</f>
        <v>REVISAR</v>
      </c>
      <c r="AG64" s="541" t="str">
        <f>IFERROR(IF(SUMIFS(#REF!,#REF!,"&gt;="&amp;DATE(2025,MONTH(AG$2),1),#REF!,"&lt;="&amp;EOMONTH(AG$2,0),#REF!,"SI")=0,"-",(-1/1000)*SUMIFS(#REF!,#REF!,"&gt;="&amp;DATE(2025,MONTH(AG$2),1),#REF!,"&lt;="&amp;EOMONTH(AG$2,0),#REF!,"&gt;="&amp;DATE(2025,MONTH(AG$2),1),#REF!,"&lt;="&amp;EOMONTH(AG$2,0),#REF!,"SI")),"REVISAR")</f>
        <v>REVISAR</v>
      </c>
      <c r="AH64" s="541" t="str">
        <f>IFERROR(IF(SUMIFS(#REF!,#REF!,"&gt;="&amp;DATE(2025,MONTH(AH$2),1),#REF!,"&lt;="&amp;EOMONTH(AH$2,0),#REF!,"SI")=0,"-",(-1/1000)*SUMIFS(#REF!,#REF!,"&gt;="&amp;DATE(2025,MONTH(AH$2),1),#REF!,"&lt;="&amp;EOMONTH(AH$2,0),#REF!,"&gt;="&amp;DATE(2025,MONTH(AH$2),1),#REF!,"&lt;="&amp;EOMONTH(AH$2,0),#REF!,"SI")),"REVISAR")</f>
        <v>REVISAR</v>
      </c>
      <c r="AI64" s="541" t="str">
        <f>IFERROR(IF(SUMIFS(#REF!,#REF!,"&gt;="&amp;DATE(2025,MONTH(AI$2),1),#REF!,"&lt;="&amp;EOMONTH(AI$2,0),#REF!,"SI")=0,"-",(-1/1000)*SUMIFS(#REF!,#REF!,"&gt;="&amp;DATE(2025,MONTH(AI$2),1),#REF!,"&lt;="&amp;EOMONTH(AI$2,0),#REF!,"&gt;="&amp;DATE(2025,MONTH(AI$2),1),#REF!,"&lt;="&amp;EOMONTH(AI$2,0),#REF!,"SI")),"REVISAR")</f>
        <v>REVISAR</v>
      </c>
      <c r="AJ64" s="541" t="str">
        <f>IFERROR(IF(SUMIFS(#REF!,#REF!,"&gt;="&amp;DATE(2025,MONTH(AJ$2),1),#REF!,"&lt;="&amp;EOMONTH(AJ$2,0),#REF!,"SI")=0,"-",(-1/1000)*SUMIFS(#REF!,#REF!,"&gt;="&amp;DATE(2025,MONTH(AJ$2),1),#REF!,"&lt;="&amp;EOMONTH(AJ$2,0),#REF!,"&gt;="&amp;DATE(2025,MONTH(AJ$2),1),#REF!,"&lt;="&amp;EOMONTH(AJ$2,0),#REF!,"SI")),"REVISAR")</f>
        <v>REVISAR</v>
      </c>
      <c r="AK64" s="541" t="str">
        <f>IFERROR(IF(SUMIFS(#REF!,#REF!,"&gt;="&amp;DATE(2025,MONTH(AK$2),1),#REF!,"&lt;="&amp;EOMONTH(AK$2,0),#REF!,"SI")=0,"-",(-1/1000)*SUMIFS(#REF!,#REF!,"&gt;="&amp;DATE(2025,MONTH(AK$2),1),#REF!,"&lt;="&amp;EOMONTH(AK$2,0),#REF!,"&gt;="&amp;DATE(2025,MONTH(AK$2),1),#REF!,"&lt;="&amp;EOMONTH(AK$2,0),#REF!,"SI")),"REVISAR")</f>
        <v>REVISAR</v>
      </c>
      <c r="AL64" s="541" t="str">
        <f>IFERROR(IF(SUMIFS(#REF!,#REF!,"&gt;="&amp;DATE(2025,MONTH(AL$2),1),#REF!,"&lt;="&amp;EOMONTH(AL$2,0),#REF!,"SI")=0,"-",(-1/1000)*SUMIFS(#REF!,#REF!,"&gt;="&amp;DATE(2025,MONTH(AL$2),1),#REF!,"&lt;="&amp;EOMONTH(AL$2,0),#REF!,"&gt;="&amp;DATE(2025,MONTH(AL$2),1),#REF!,"&lt;="&amp;EOMONTH(AL$2,0),#REF!,"SI")),"REVISAR")</f>
        <v>REVISAR</v>
      </c>
      <c r="AM64" s="541" t="str">
        <f>IFERROR(IF(SUMIFS(#REF!,#REF!,"&gt;="&amp;DATE(2025,MONTH(AM$2),1),#REF!,"&lt;="&amp;EOMONTH(AM$2,0),#REF!,"SI")=0,"-",(-1/1000)*SUMIFS(#REF!,#REF!,"&gt;="&amp;DATE(2025,MONTH(AM$2),1),#REF!,"&lt;="&amp;EOMONTH(AM$2,0),#REF!,"&gt;="&amp;DATE(2025,MONTH(AM$2),1),#REF!,"&lt;="&amp;EOMONTH(AM$2,0),#REF!,"SI")),"REVISAR")</f>
        <v>REVISAR</v>
      </c>
      <c r="AN64" s="540" t="str">
        <f>IFERROR(IF(SUMIFS(#REF!,#REF!,"&gt;="&amp;DATE(2026,MONTH(AN$2),1),#REF!,"&lt;="&amp;EOMONTH(AN$2,0),#REF!,"SI")=0,"-",(-1/1000)*SUMIFS(#REF!,#REF!,"&gt;="&amp;DATE(2026,MONTH(AN$2),1),#REF!,"&lt;="&amp;EOMONTH(AN$2,0),#REF!,"&gt;="&amp;DATE(2026,MONTH(AN$2),1),#REF!,"&lt;="&amp;EOMONTH(AN$2,0),#REF!,"SI")),"REVISAR")</f>
        <v>REVISAR</v>
      </c>
      <c r="AO64" s="541" t="str">
        <f>IFERROR(IF(SUMIFS(#REF!,#REF!,"&gt;="&amp;DATE(2026,MONTH(AO$2),1),#REF!,"&lt;="&amp;EOMONTH(AO$2,0),#REF!,"SI")=0,"-",(-1/1000)*SUMIFS(#REF!,#REF!,"&gt;="&amp;DATE(2026,MONTH(AO$2),1),#REF!,"&lt;="&amp;EOMONTH(AO$2,0),#REF!,"&gt;="&amp;DATE(2026,MONTH(AO$2),1),#REF!,"&lt;="&amp;EOMONTH(AO$2,0),#REF!,"SI")),"REVISAR")</f>
        <v>REVISAR</v>
      </c>
      <c r="AP64" s="541"/>
      <c r="AQ64" s="541"/>
      <c r="AR64" s="541"/>
      <c r="AS64" s="541"/>
      <c r="AT64" s="541"/>
      <c r="AU64" s="541"/>
      <c r="AV64" s="541"/>
      <c r="AW64" s="541"/>
      <c r="AX64" s="541"/>
      <c r="AY64" s="541"/>
      <c r="AZ64" s="433"/>
      <c r="BA64" s="452" t="str">
        <f t="shared" si="25"/>
        <v>-</v>
      </c>
      <c r="BB64" s="317" t="str">
        <f t="shared" si="26"/>
        <v>-</v>
      </c>
      <c r="BC64" s="431">
        <f t="shared" si="15"/>
        <v>0</v>
      </c>
    </row>
    <row r="65" spans="1:55" ht="16">
      <c r="A65" s="66"/>
      <c r="B65" s="98" t="s">
        <v>189</v>
      </c>
      <c r="C65" s="99" t="s">
        <v>114</v>
      </c>
      <c r="D65" s="123" t="s">
        <v>124</v>
      </c>
      <c r="E65" s="102" t="s">
        <v>124</v>
      </c>
      <c r="F65" s="102" t="s">
        <v>124</v>
      </c>
      <c r="G65" s="102" t="s">
        <v>132</v>
      </c>
      <c r="H65" s="102" t="s">
        <v>190</v>
      </c>
      <c r="I65" s="102" t="s">
        <v>191</v>
      </c>
      <c r="J65" s="102" t="s">
        <v>192</v>
      </c>
      <c r="K65" s="102" t="s">
        <v>193</v>
      </c>
      <c r="L65" s="102" t="s">
        <v>132</v>
      </c>
      <c r="M65" s="102" t="s">
        <v>125</v>
      </c>
      <c r="N65" s="102" t="s">
        <v>125</v>
      </c>
      <c r="O65" s="124" t="s">
        <v>194</v>
      </c>
      <c r="P65" s="113" t="s">
        <v>127</v>
      </c>
      <c r="Q65" s="102" t="s">
        <v>195</v>
      </c>
      <c r="R65" s="102" t="s">
        <v>132</v>
      </c>
      <c r="S65" s="102" t="s">
        <v>196</v>
      </c>
      <c r="T65" s="102" t="s">
        <v>125</v>
      </c>
      <c r="U65" s="102" t="s">
        <v>197</v>
      </c>
      <c r="V65" s="102" t="s">
        <v>198</v>
      </c>
      <c r="W65" s="102" t="s">
        <v>195</v>
      </c>
      <c r="X65" s="102" t="s">
        <v>20</v>
      </c>
      <c r="Y65" s="102" t="s">
        <v>20</v>
      </c>
      <c r="Z65" s="102" t="s">
        <v>20</v>
      </c>
      <c r="AA65" s="145" t="s">
        <v>20</v>
      </c>
      <c r="AB65" s="540" t="e">
        <f>IF(SUMIFS('TABLERO DIARIO'!#REF!,'TABLERO DIARIO'!$I$2:$ZZ$2,"&gt;="&amp;DATE(2025,MONTH(AB$2),1),'TABLERO DIARIO'!$I$2:$ZZ$2,"&lt;="&amp;EOMONTH(AB$2,0))/1000=0,"-",SUMIFS('TABLERO DIARIO'!#REF!,'TABLERO DIARIO'!$I$2:$ZZ$2,"&gt;="&amp;DATE(2025,MONTH(AB$2),1),'TABLERO DIARIO'!$I$2:$ZZ$2,"&lt;="&amp;EOMONTH(AB$2,0))/1000)</f>
        <v>#REF!</v>
      </c>
      <c r="AC65" s="542" t="e">
        <f>IF(SUMIFS('TABLERO DIARIO'!#REF!,'TABLERO DIARIO'!$I$2:$ZZ$2,"&gt;="&amp;DATE(2025,MONTH(AC$2),1),'TABLERO DIARIO'!$I$2:$ZZ$2,"&lt;="&amp;EOMONTH(AC$2,0))/1000=0,"-",SUMIFS('TABLERO DIARIO'!#REF!,'TABLERO DIARIO'!$I$2:$ZZ$2,"&gt;="&amp;DATE(2025,MONTH(AC$2),1),'TABLERO DIARIO'!$I$2:$ZZ$2,"&lt;="&amp;EOMONTH(AC$2,0))/1000)</f>
        <v>#REF!</v>
      </c>
      <c r="AD65" s="542" t="e">
        <f>IF(SUMIFS('TABLERO DIARIO'!#REF!,'TABLERO DIARIO'!$I$2:$ZZ$2,"&gt;="&amp;DATE(2025,MONTH(AD$2),1),'TABLERO DIARIO'!$I$2:$ZZ$2,"&lt;="&amp;EOMONTH(AD$2,0))/1000=0,"-",SUMIFS('TABLERO DIARIO'!#REF!,'TABLERO DIARIO'!$I$2:$ZZ$2,"&gt;="&amp;DATE(2025,MONTH(AD$2),1),'TABLERO DIARIO'!$I$2:$ZZ$2,"&lt;="&amp;EOMONTH(AD$2,0))/1000)</f>
        <v>#REF!</v>
      </c>
      <c r="AE65" s="542" t="e">
        <f>IF(SUMIFS('TABLERO DIARIO'!#REF!,'TABLERO DIARIO'!$I$2:$ZZ$2,"&gt;="&amp;DATE(2025,MONTH(AE$2),1),'TABLERO DIARIO'!$I$2:$ZZ$2,"&lt;="&amp;EOMONTH(AE$2,0))/1000=0,"-",SUMIFS('TABLERO DIARIO'!#REF!,'TABLERO DIARIO'!$I$2:$ZZ$2,"&gt;="&amp;DATE(2025,MONTH(AE$2),1),'TABLERO DIARIO'!$I$2:$ZZ$2,"&lt;="&amp;EOMONTH(AE$2,0))/1000)</f>
        <v>#REF!</v>
      </c>
      <c r="AF65" s="542" t="e">
        <f>IF(SUMIFS('TABLERO DIARIO'!#REF!,'TABLERO DIARIO'!$I$2:$ZZ$2,"&gt;="&amp;DATE(2025,MONTH(AF$2),1),'TABLERO DIARIO'!$I$2:$ZZ$2,"&lt;="&amp;EOMONTH(AF$2,0))/1000=0,"-",SUMIFS('TABLERO DIARIO'!#REF!,'TABLERO DIARIO'!$I$2:$ZZ$2,"&gt;="&amp;DATE(2025,MONTH(AF$2),1),'TABLERO DIARIO'!$I$2:$ZZ$2,"&lt;="&amp;EOMONTH(AF$2,0))/1000)</f>
        <v>#REF!</v>
      </c>
      <c r="AG65" s="542" t="e">
        <f>IF(SUMIFS('TABLERO DIARIO'!#REF!,'TABLERO DIARIO'!$I$2:$ZZ$2,"&gt;="&amp;DATE(2025,MONTH(AG$2),1),'TABLERO DIARIO'!$I$2:$ZZ$2,"&lt;="&amp;EOMONTH(AG$2,0))/1000=0,"-",SUMIFS('TABLERO DIARIO'!#REF!,'TABLERO DIARIO'!$I$2:$ZZ$2,"&gt;="&amp;DATE(2025,MONTH(AG$2),1),'TABLERO DIARIO'!$I$2:$ZZ$2,"&lt;="&amp;EOMONTH(AG$2,0))/1000)</f>
        <v>#REF!</v>
      </c>
      <c r="AH65" s="542" t="e">
        <f>IF(SUMIFS('TABLERO DIARIO'!#REF!,'TABLERO DIARIO'!$I$2:$ZZ$2,"&gt;="&amp;DATE(2025,MONTH(AH$2),1),'TABLERO DIARIO'!$I$2:$ZZ$2,"&lt;="&amp;EOMONTH(AH$2,0))/1000=0,"-",SUMIFS('TABLERO DIARIO'!#REF!,'TABLERO DIARIO'!$I$2:$ZZ$2,"&gt;="&amp;DATE(2025,MONTH(AH$2),1),'TABLERO DIARIO'!$I$2:$ZZ$2,"&lt;="&amp;EOMONTH(AH$2,0))/1000)</f>
        <v>#REF!</v>
      </c>
      <c r="AI65" s="542" t="e">
        <f>IF(SUMIFS('TABLERO DIARIO'!#REF!,'TABLERO DIARIO'!$I$2:$ZZ$2,"&gt;="&amp;DATE(2025,MONTH(AI$2),1),'TABLERO DIARIO'!$I$2:$ZZ$2,"&lt;="&amp;EOMONTH(AI$2,0))/1000=0,"-",SUMIFS('TABLERO DIARIO'!#REF!,'TABLERO DIARIO'!$I$2:$ZZ$2,"&gt;="&amp;DATE(2025,MONTH(AI$2),1),'TABLERO DIARIO'!$I$2:$ZZ$2,"&lt;="&amp;EOMONTH(AI$2,0))/1000)</f>
        <v>#REF!</v>
      </c>
      <c r="AJ65" s="542" t="e">
        <f>IF(SUMIFS('TABLERO DIARIO'!#REF!,'TABLERO DIARIO'!$I$2:$ZZ$2,"&gt;="&amp;DATE(2025,MONTH(AJ$2),1),'TABLERO DIARIO'!$I$2:$ZZ$2,"&lt;="&amp;EOMONTH(AJ$2,0))/1000=0,"-",SUMIFS('TABLERO DIARIO'!#REF!,'TABLERO DIARIO'!$I$2:$ZZ$2,"&gt;="&amp;DATE(2025,MONTH(AJ$2),1),'TABLERO DIARIO'!$I$2:$ZZ$2,"&lt;="&amp;EOMONTH(AJ$2,0))/1000)</f>
        <v>#REF!</v>
      </c>
      <c r="AK65" s="542" t="e">
        <f>IF(SUMIFS('TABLERO DIARIO'!#REF!,'TABLERO DIARIO'!$I$2:$AEV$2,"&gt;="&amp;DATE(2025,MONTH(AK$2),1),'TABLERO DIARIO'!$I$2:$AEV$2,"&lt;="&amp;EOMONTH(AK$2,0))/1000=0,"-",SUMIFS('TABLERO DIARIO'!#REF!,'TABLERO DIARIO'!$I$2:$AEV$2,"&gt;="&amp;DATE(2025,MONTH(AK$2),1),'TABLERO DIARIO'!$I$2:$AEV$2,"&lt;="&amp;EOMONTH(AK$2,0))/1000)</f>
        <v>#REF!</v>
      </c>
      <c r="AL65" s="542" t="e">
        <f>IF(SUMIFS('TABLERO DIARIO'!#REF!,'TABLERO DIARIO'!$I$2:$AMA$2,"&gt;="&amp;DATE(2025,MONTH(AL$2),1),'TABLERO DIARIO'!$I$2:$AMA$2,"&lt;="&amp;EOMONTH(AL$2,0))/1000=0,"-",SUMIFS('TABLERO DIARIO'!#REF!,'TABLERO DIARIO'!$I$2:$AMA$2,"&gt;="&amp;DATE(2025,MONTH(AL$2),1),'TABLERO DIARIO'!$I$2:$AMA$2,"&lt;="&amp;EOMONTH(AL$2,0))/1000)</f>
        <v>#REF!</v>
      </c>
      <c r="AM65" s="543" t="e">
        <f>IF(SUMIFS('TABLERO DIARIO'!#REF!,'TABLERO DIARIO'!$I$2:$AMA$2,"&gt;="&amp;DATE(2025,MONTH(AM$2),1),'TABLERO DIARIO'!$I$2:$AMA$2,"&lt;="&amp;EOMONTH(AM$2,0))/1000=0,"-",SUMIFS('TABLERO DIARIO'!#REF!,'TABLERO DIARIO'!$I$2:$AMA$2,"&gt;="&amp;DATE(2025,MONTH(AM$2),1),'TABLERO DIARIO'!$I$2:$AMA$2,"&lt;="&amp;EOMONTH(AM$2,0))/1000)</f>
        <v>#REF!</v>
      </c>
      <c r="AN65" s="540" t="e">
        <f>IF(SUMIFS('TABLERO DIARIO'!#REF!,'TABLERO DIARIO'!$I$2:$ASW$2,"&gt;="&amp;DATE(2026,MONTH(AN$2),1),'TABLERO DIARIO'!$I$2:$ASW$2,"&lt;="&amp;EOMONTH(AN$2,0))/1000=0,"-",SUMIFS('TABLERO DIARIO'!#REF!,'TABLERO DIARIO'!$I$2:$ASW$2,"&gt;="&amp;DATE(2026,MONTH(AN$2),1),'TABLERO DIARIO'!$I$2:$ASW$2,"&lt;="&amp;EOMONTH(AN$2,0))/1000)</f>
        <v>#REF!</v>
      </c>
      <c r="AO65" s="542" t="e">
        <f>IF(SUMIFS('TABLERO DIARIO'!#REF!,'TABLERO DIARIO'!$I$2:$ASW$2,"&gt;="&amp;DATE(2026,MONTH(AO$2),1),'TABLERO DIARIO'!$I$2:$ASW$2,"&lt;="&amp;EOMONTH(AO$2,0))/1000=0,"-",SUMIFS('TABLERO DIARIO'!#REF!,'TABLERO DIARIO'!$I$2:$ASW$2,"&gt;="&amp;DATE(2026,MONTH(AO$2),1),'TABLERO DIARIO'!$I$2:$ASW$2,"&lt;="&amp;EOMONTH(AO$2,0))/1000)</f>
        <v>#REF!</v>
      </c>
      <c r="AP65" s="542"/>
      <c r="AQ65" s="542"/>
      <c r="AR65" s="542"/>
      <c r="AS65" s="542"/>
      <c r="AT65" s="542"/>
      <c r="AU65" s="542"/>
      <c r="AV65" s="542"/>
      <c r="AW65" s="542"/>
      <c r="AX65" s="542"/>
      <c r="AY65" s="543"/>
      <c r="AZ65" s="434"/>
      <c r="BA65" s="440" t="str">
        <f t="shared" si="25"/>
        <v>-</v>
      </c>
      <c r="BB65" s="175" t="str">
        <f t="shared" si="26"/>
        <v>-</v>
      </c>
      <c r="BC65" s="426" t="str">
        <f t="shared" si="15"/>
        <v>-</v>
      </c>
    </row>
    <row r="66" spans="1:55" ht="16">
      <c r="A66" s="66"/>
      <c r="B66" s="98" t="s">
        <v>189</v>
      </c>
      <c r="C66" s="99" t="s">
        <v>199</v>
      </c>
      <c r="D66" s="123" t="s">
        <v>124</v>
      </c>
      <c r="E66" s="102" t="s">
        <v>124</v>
      </c>
      <c r="F66" s="102" t="s">
        <v>124</v>
      </c>
      <c r="G66" s="102"/>
      <c r="H66" s="102"/>
      <c r="I66" s="102"/>
      <c r="J66" s="102"/>
      <c r="K66" s="102"/>
      <c r="L66" s="102"/>
      <c r="M66" s="102"/>
      <c r="N66" s="102"/>
      <c r="O66" s="124"/>
      <c r="P66" s="113"/>
      <c r="Q66" s="102"/>
      <c r="R66" s="102"/>
      <c r="S66" s="102"/>
      <c r="T66" s="102"/>
      <c r="U66" s="102"/>
      <c r="V66" s="102"/>
      <c r="W66" s="102"/>
      <c r="X66" s="102"/>
      <c r="Y66" s="102"/>
      <c r="Z66" s="102"/>
      <c r="AA66" s="145"/>
      <c r="AB66" s="540" t="e">
        <f>IF(SUMIFS('TABLERO DIARIO'!#REF!,'TABLERO DIARIO'!$I$2:$ZZ$2,"&gt;="&amp;DATE(2025,MONTH(AB$2),1),'TABLERO DIARIO'!$I$2:$ZZ$2,"&lt;="&amp;EOMONTH(AB$2,0))=0,"-",SUMIFS('TABLERO DIARIO'!#REF!,'TABLERO DIARIO'!$I$2:$ZZ$2,"&gt;="&amp;DATE(2025,MONTH(AB$2),1),'TABLERO DIARIO'!$I$2:$ZZ$2,"&lt;="&amp;EOMONTH(AB$2,0)))</f>
        <v>#REF!</v>
      </c>
      <c r="AC66" s="175" t="e">
        <f>IF(SUMIFS('TABLERO DIARIO'!#REF!,'TABLERO DIARIO'!$I$2:$ZZ$2,"&gt;="&amp;DATE(2025,MONTH(AC$2),1),'TABLERO DIARIO'!$I$2:$ZZ$2,"&lt;="&amp;EOMONTH(AC$2,0))=0,"-",SUMIFS('TABLERO DIARIO'!#REF!,'TABLERO DIARIO'!$I$2:$ZZ$2,"&gt;="&amp;DATE(2025,MONTH(AC$2),1),'TABLERO DIARIO'!$I$2:$ZZ$2,"&lt;="&amp;EOMONTH(AC$2,0)))</f>
        <v>#REF!</v>
      </c>
      <c r="AD66" s="175" t="e">
        <f>IF(SUMIFS('TABLERO DIARIO'!#REF!,'TABLERO DIARIO'!$I$2:$ZZ$2,"&gt;="&amp;DATE(2025,MONTH(AD$2),1),'TABLERO DIARIO'!$I$2:$ZZ$2,"&lt;="&amp;EOMONTH(AD$2,0))=0,"-",SUMIFS('TABLERO DIARIO'!#REF!,'TABLERO DIARIO'!$I$2:$ZZ$2,"&gt;="&amp;DATE(2025,MONTH(AD$2),1),'TABLERO DIARIO'!$I$2:$ZZ$2,"&lt;="&amp;EOMONTH(AD$2,0)))</f>
        <v>#REF!</v>
      </c>
      <c r="AE66" s="175" t="e">
        <f>IF(SUMIFS('TABLERO DIARIO'!#REF!,'TABLERO DIARIO'!$I$2:$ZZ$2,"&gt;="&amp;DATE(2025,MONTH(AE$2),1),'TABLERO DIARIO'!$I$2:$ZZ$2,"&lt;="&amp;EOMONTH(AE$2,0))=0,"-",SUMIFS('TABLERO DIARIO'!#REF!,'TABLERO DIARIO'!$I$2:$ZZ$2,"&gt;="&amp;DATE(2025,MONTH(AE$2),1),'TABLERO DIARIO'!$I$2:$ZZ$2,"&lt;="&amp;EOMONTH(AE$2,0)))</f>
        <v>#REF!</v>
      </c>
      <c r="AF66" s="175" t="e">
        <f>IF(SUMIFS('TABLERO DIARIO'!#REF!,'TABLERO DIARIO'!$I$2:$ZZ$2,"&gt;="&amp;DATE(2025,MONTH(AF$2),1),'TABLERO DIARIO'!$I$2:$ZZ$2,"&lt;="&amp;EOMONTH(AF$2,0))=0,"-",SUMIFS('TABLERO DIARIO'!#REF!,'TABLERO DIARIO'!$I$2:$ZZ$2,"&gt;="&amp;DATE(2025,MONTH(AF$2),1),'TABLERO DIARIO'!$I$2:$ZZ$2,"&lt;="&amp;EOMONTH(AF$2,0)))</f>
        <v>#REF!</v>
      </c>
      <c r="AG66" s="175" t="e">
        <f>IF(SUMIFS('TABLERO DIARIO'!#REF!,'TABLERO DIARIO'!$I$2:$ZZ$2,"&gt;="&amp;DATE(2025,MONTH(AG$2),1),'TABLERO DIARIO'!$I$2:$ZZ$2,"&lt;="&amp;EOMONTH(AG$2,0))=0,"-",SUMIFS('TABLERO DIARIO'!#REF!,'TABLERO DIARIO'!$I$2:$ZZ$2,"&gt;="&amp;DATE(2025,MONTH(AG$2),1),'TABLERO DIARIO'!$I$2:$ZZ$2,"&lt;="&amp;EOMONTH(AG$2,0)))</f>
        <v>#REF!</v>
      </c>
      <c r="AH66" s="175" t="e">
        <f>IF(SUMIFS('TABLERO DIARIO'!#REF!,'TABLERO DIARIO'!$I$2:$ZZ$2,"&gt;="&amp;DATE(2025,MONTH(AH$2),1),'TABLERO DIARIO'!$I$2:$ZZ$2,"&lt;="&amp;EOMONTH(AH$2,0))=0,"-",SUMIFS('TABLERO DIARIO'!#REF!,'TABLERO DIARIO'!$I$2:$ZZ$2,"&gt;="&amp;DATE(2025,MONTH(AH$2),1),'TABLERO DIARIO'!$I$2:$ZZ$2,"&lt;="&amp;EOMONTH(AH$2,0)))</f>
        <v>#REF!</v>
      </c>
      <c r="AI66" s="175" t="e">
        <f>IF(SUMIFS('TABLERO DIARIO'!#REF!,'TABLERO DIARIO'!$I$2:$ZZ$2,"&gt;="&amp;DATE(2025,MONTH(AI$2),1),'TABLERO DIARIO'!$I$2:$ZZ$2,"&lt;="&amp;EOMONTH(AI$2,0))=0,"-",SUMIFS('TABLERO DIARIO'!#REF!,'TABLERO DIARIO'!$I$2:$ZZ$2,"&gt;="&amp;DATE(2025,MONTH(AI$2),1),'TABLERO DIARIO'!$I$2:$ZZ$2,"&lt;="&amp;EOMONTH(AI$2,0)))</f>
        <v>#REF!</v>
      </c>
      <c r="AJ66" s="175" t="e">
        <f>IF(SUMIFS('TABLERO DIARIO'!#REF!,'TABLERO DIARIO'!$I$2:$ZZ$2,"&gt;="&amp;DATE(2025,MONTH(AJ$2),1),'TABLERO DIARIO'!$I$2:$ZZ$2,"&lt;="&amp;EOMONTH(AJ$2,0))=0,"-",SUMIFS('TABLERO DIARIO'!#REF!,'TABLERO DIARIO'!$I$2:$ZZ$2,"&gt;="&amp;DATE(2025,MONTH(AJ$2),1),'TABLERO DIARIO'!$I$2:$ZZ$2,"&lt;="&amp;EOMONTH(AJ$2,0)))</f>
        <v>#REF!</v>
      </c>
      <c r="AK66" s="175" t="e">
        <f>IF(SUMIFS('TABLERO DIARIO'!#REF!,'TABLERO DIARIO'!$I$2:$AEV$2,"&gt;="&amp;DATE(2025,MONTH(AK$2),1),'TABLERO DIARIO'!$I$2:$AEV$2,"&lt;="&amp;EOMONTH(AK$2,0))=0,"-",SUMIFS('TABLERO DIARIO'!#REF!,'TABLERO DIARIO'!$I$2:$AEV$2,"&gt;="&amp;DATE(2025,MONTH(AK$2),1),'TABLERO DIARIO'!$I$2:$AEV$2,"&lt;="&amp;EOMONTH(AK$2,0)))</f>
        <v>#REF!</v>
      </c>
      <c r="AL66" s="175" t="e">
        <f>IF(SUMIFS('TABLERO DIARIO'!#REF!,'TABLERO DIARIO'!$AEV$2:$AMA$2,"&gt;="&amp;DATE(2025,MONTH(AL$2),1),'TABLERO DIARIO'!$AEV$2:$AMA$2,"&lt;="&amp;EOMONTH(AL$2,0))=0,"-",SUMIFS('TABLERO DIARIO'!#REF!,'TABLERO DIARIO'!$AEV$2:$AMA$2,"&gt;="&amp;DATE(2025,MONTH(AL$2),1),'TABLERO DIARIO'!$AEV$2:$AMA$2,"&lt;="&amp;EOMONTH(AL$2,0)))</f>
        <v>#REF!</v>
      </c>
      <c r="AM66" s="409" t="e">
        <f>IF(SUMIFS('TABLERO DIARIO'!#REF!,'TABLERO DIARIO'!$AEV$2:$AMA$2,"&gt;="&amp;DATE(2025,MONTH(AM$2),1),'TABLERO DIARIO'!$AEV$2:$AMA$2,"&lt;="&amp;EOMONTH(AM$2,0))=0,"-",SUMIFS('TABLERO DIARIO'!#REF!,'TABLERO DIARIO'!$AEV$2:$AMA$2,"&gt;="&amp;DATE(2025,MONTH(AM$2),1),'TABLERO DIARIO'!$AEV$2:$AMA$2,"&lt;="&amp;EOMONTH(AM$2,0)))</f>
        <v>#REF!</v>
      </c>
      <c r="AN66" s="540" t="e">
        <f>IF(SUMIFS('TABLERO DIARIO'!#REF!,'TABLERO DIARIO'!$ALW$2:$ASW$2,"&gt;="&amp;DATE(2026,MONTH(AN$2),1),'TABLERO DIARIO'!$ALW$2:$ASW$2,"&lt;="&amp;EOMONTH(AN$2,0))=0,"-",SUMIFS('TABLERO DIARIO'!#REF!,'TABLERO DIARIO'!$ALW$2:$ASW$2,"&gt;="&amp;DATE(2026,MONTH(AN$2),1),'TABLERO DIARIO'!$ALW$2:$ASW$2,"&lt;="&amp;EOMONTH(AN$2,0)))</f>
        <v>#REF!</v>
      </c>
      <c r="AO66" s="175" t="e">
        <f>IF(SUMIFS('TABLERO DIARIO'!#REF!,'TABLERO DIARIO'!$ALW$2:$ASW$2,"&gt;="&amp;DATE(2026,MONTH(AO$2),1),'TABLERO DIARIO'!$ALW$2:$ASW$2,"&lt;="&amp;EOMONTH(AO$2,0))=0,"-",SUMIFS('TABLERO DIARIO'!#REF!,'TABLERO DIARIO'!$ALW$2:$ASW$2,"&gt;="&amp;DATE(2026,MONTH(AO$2),1),'TABLERO DIARIO'!$ALW$2:$ASW$2,"&lt;="&amp;EOMONTH(AO$2,0)))</f>
        <v>#REF!</v>
      </c>
      <c r="AP66" s="175"/>
      <c r="AQ66" s="175"/>
      <c r="AR66" s="175"/>
      <c r="AS66" s="175"/>
      <c r="AT66" s="175"/>
      <c r="AU66" s="175"/>
      <c r="AV66" s="175"/>
      <c r="AW66" s="175"/>
      <c r="AX66" s="175"/>
      <c r="AY66" s="409"/>
      <c r="AZ66" s="434"/>
      <c r="BA66" s="440" t="str">
        <f t="shared" si="25"/>
        <v>-</v>
      </c>
      <c r="BB66" s="175" t="str">
        <f t="shared" si="26"/>
        <v>-</v>
      </c>
      <c r="BC66" s="426" t="str">
        <f t="shared" si="15"/>
        <v>-</v>
      </c>
    </row>
    <row r="67" spans="1:55" ht="16">
      <c r="A67" s="66"/>
      <c r="B67" s="98" t="s">
        <v>189</v>
      </c>
      <c r="C67" s="99" t="s">
        <v>200</v>
      </c>
      <c r="D67" s="168"/>
      <c r="E67" s="169"/>
      <c r="F67" s="169"/>
      <c r="G67" s="169"/>
      <c r="H67" s="169"/>
      <c r="I67" s="169"/>
      <c r="J67" s="169"/>
      <c r="K67" s="169"/>
      <c r="L67" s="169"/>
      <c r="M67" s="169"/>
      <c r="N67" s="169"/>
      <c r="O67" s="170"/>
      <c r="P67" s="171"/>
      <c r="Q67" s="169"/>
      <c r="R67" s="169"/>
      <c r="S67" s="169"/>
      <c r="T67" s="169"/>
      <c r="U67" s="169"/>
      <c r="V67" s="169"/>
      <c r="W67" s="169"/>
      <c r="X67" s="169"/>
      <c r="Y67" s="169"/>
      <c r="Z67" s="169"/>
      <c r="AA67" s="315"/>
      <c r="AB67" s="567" t="str" cm="1">
        <f t="array" aca="1" ref="AB67" ca="1">IF(COUNTA(_xlfn.UNIQUE(_xlfn._xlws.FILTER(#REF!,(#REF!&gt;=DATE(2025,MONTH('MES CERRADO'!AB2),1))*(#REF!&lt;=EOMONTH('MES CERRADO'!AB2,0))*(#REF!&lt;&gt;""))))=1,"-",COUNTA(_xlfn.UNIQUE(_xlfn._xlws.FILTER(#REF!,(#REF!&gt;=DATE(2025,MONTH('MES CERRADO'!AB2),1))*(#REF!&lt;=EOMONTH('MES CERRADO'!AB2,0))*(#REF!&lt;&gt;"")))))</f>
        <v>-</v>
      </c>
      <c r="AC67" s="317" t="str" cm="1">
        <f t="array" aca="1" ref="AC67" ca="1">IF(COUNTA(_xlfn.UNIQUE(_xlfn._xlws.FILTER(#REF!,(#REF!&gt;=DATE(2025,MONTH('MES CERRADO'!AC2),1))*(#REF!&lt;=EOMONTH('MES CERRADO'!AC2,0))*(#REF!&lt;&gt;""))))=1,"-",COUNTA(_xlfn.UNIQUE(_xlfn._xlws.FILTER(#REF!,(#REF!&gt;=DATE(2025,MONTH('MES CERRADO'!AC2),1))*(#REF!&lt;=EOMONTH('MES CERRADO'!AC2,0))*(#REF!&lt;&gt;"")))))</f>
        <v>-</v>
      </c>
      <c r="AD67" s="317" t="str" cm="1">
        <f t="array" aca="1" ref="AD67" ca="1">IF(COUNTA(_xlfn.UNIQUE(_xlfn._xlws.FILTER(#REF!,(#REF!&gt;=DATE(2025,MONTH('MES CERRADO'!AD2),1))*(#REF!&lt;=EOMONTH('MES CERRADO'!AD2,0))*(#REF!&lt;&gt;""))))=1,"-",COUNTA(_xlfn.UNIQUE(_xlfn._xlws.FILTER(#REF!,(#REF!&gt;=DATE(2025,MONTH('MES CERRADO'!AD2),1))*(#REF!&lt;=EOMONTH('MES CERRADO'!AD2,0))*(#REF!&lt;&gt;"")))))</f>
        <v>-</v>
      </c>
      <c r="AE67" s="317" t="str" cm="1">
        <f t="array" aca="1" ref="AE67" ca="1">IF(COUNTA(_xlfn.UNIQUE(_xlfn._xlws.FILTER(#REF!,(#REF!&gt;=DATE(2025,MONTH('MES CERRADO'!AE2),1))*(#REF!&lt;=EOMONTH('MES CERRADO'!AE2,0))*(#REF!&lt;&gt;""))))=1,"-",COUNTA(_xlfn.UNIQUE(_xlfn._xlws.FILTER(#REF!,(#REF!&gt;=DATE(2025,MONTH('MES CERRADO'!AE2),1))*(#REF!&lt;=EOMONTH('MES CERRADO'!AE2,0))*(#REF!&lt;&gt;"")))))</f>
        <v>-</v>
      </c>
      <c r="AF67" s="317" t="str" cm="1">
        <f t="array" aca="1" ref="AF67" ca="1">IF(COUNTA(_xlfn.UNIQUE(_xlfn._xlws.FILTER(#REF!,(#REF!&gt;=DATE(2025,MONTH('MES CERRADO'!AF2),1))*(#REF!&lt;=EOMONTH('MES CERRADO'!AF2,0))*(#REF!&lt;&gt;""))))=1,"-",COUNTA(_xlfn.UNIQUE(_xlfn._xlws.FILTER(#REF!,(#REF!&gt;=DATE(2025,MONTH('MES CERRADO'!AF2),1))*(#REF!&lt;=EOMONTH('MES CERRADO'!AF2,0))*(#REF!&lt;&gt;"")))))</f>
        <v>-</v>
      </c>
      <c r="AG67" s="317" t="str" cm="1">
        <f t="array" aca="1" ref="AG67" ca="1">IF(COUNTA(_xlfn.UNIQUE(_xlfn._xlws.FILTER(#REF!,(#REF!&gt;=DATE(2025,MONTH('MES CERRADO'!AG2),1))*(#REF!&lt;=EOMONTH('MES CERRADO'!AG2,0))*(#REF!&lt;&gt;""))))=1,"-",COUNTA(_xlfn.UNIQUE(_xlfn._xlws.FILTER(#REF!,(#REF!&gt;=DATE(2025,MONTH('MES CERRADO'!AG2),1))*(#REF!&lt;=EOMONTH('MES CERRADO'!AG2,0))*(#REF!&lt;&gt;"")))))</f>
        <v>-</v>
      </c>
      <c r="AH67" s="317" t="str" cm="1">
        <f t="array" aca="1" ref="AH67" ca="1">IF(COUNTA(_xlfn.UNIQUE(_xlfn._xlws.FILTER(#REF!,(#REF!&gt;=DATE(2025,MONTH('MES CERRADO'!AH2),1))*(#REF!&lt;=EOMONTH('MES CERRADO'!AH2,0))*(#REF!&lt;&gt;""))))=1,"-",COUNTA(_xlfn.UNIQUE(_xlfn._xlws.FILTER(#REF!,(#REF!&gt;=DATE(2025,MONTH('MES CERRADO'!AH2),1))*(#REF!&lt;=EOMONTH('MES CERRADO'!AH2,0))*(#REF!&lt;&gt;"")))))</f>
        <v>-</v>
      </c>
      <c r="AI67" s="317" t="str" cm="1">
        <f t="array" aca="1" ref="AI67" ca="1">IF(COUNTA(_xlfn.UNIQUE(_xlfn._xlws.FILTER(#REF!,(#REF!&gt;=DATE(2025,MONTH('MES CERRADO'!AI2),1))*(#REF!&lt;=EOMONTH('MES CERRADO'!AI2,0))*(#REF!&lt;&gt;""))))=1,"-",COUNTA(_xlfn.UNIQUE(_xlfn._xlws.FILTER(#REF!,(#REF!&gt;=DATE(2025,MONTH('MES CERRADO'!AI2),1))*(#REF!&lt;=EOMONTH('MES CERRADO'!AI2,0))*(#REF!&lt;&gt;"")))))</f>
        <v>-</v>
      </c>
      <c r="AJ67" s="317" t="str" cm="1">
        <f t="array" aca="1" ref="AJ67" ca="1">IF(COUNTA(_xlfn.UNIQUE(_xlfn._xlws.FILTER(#REF!,(#REF!&gt;=DATE(2025,MONTH('MES CERRADO'!AJ2),1))*(#REF!&lt;=EOMONTH('MES CERRADO'!AJ2,0))*(#REF!&lt;&gt;""))))=1,"-",COUNTA(_xlfn.UNIQUE(_xlfn._xlws.FILTER(#REF!,(#REF!&gt;=DATE(2025,MONTH('MES CERRADO'!AJ2),1))*(#REF!&lt;=EOMONTH('MES CERRADO'!AJ2,0))*(#REF!&lt;&gt;"")))))</f>
        <v>-</v>
      </c>
      <c r="AK67" s="317" t="str" cm="1">
        <f t="array" aca="1" ref="AK67" ca="1">IF(COUNTA(_xlfn.UNIQUE(_xlfn._xlws.FILTER(#REF!,(#REF!&gt;=DATE(2025,MONTH('MES CERRADO'!AK2),1))*(#REF!&lt;=EOMONTH('MES CERRADO'!AK2,0))*(#REF!&lt;&gt;""))))=1,"-",COUNTA(_xlfn.UNIQUE(_xlfn._xlws.FILTER(#REF!,(#REF!&gt;=DATE(2025,MONTH('MES CERRADO'!AK2),1))*(#REF!&lt;=EOMONTH('MES CERRADO'!AK2,0))*(#REF!&lt;&gt;"")))))</f>
        <v>-</v>
      </c>
      <c r="AL67" s="317" t="str" cm="1">
        <f t="array" aca="1" ref="AL67" ca="1">IF(COUNTA(_xlfn.UNIQUE(_xlfn._xlws.FILTER(#REF!,(#REF!&gt;=DATE(2025,MONTH('MES CERRADO'!AL2),1))*(#REF!&lt;=EOMONTH('MES CERRADO'!AL2,0))*(#REF!&lt;&gt;""))))=1,"-",COUNTA(_xlfn.UNIQUE(_xlfn._xlws.FILTER(#REF!,(#REF!&gt;=DATE(2025,MONTH('MES CERRADO'!AL2),1))*(#REF!&lt;=EOMONTH('MES CERRADO'!AL2,0))*(#REF!&lt;&gt;"")))))</f>
        <v>-</v>
      </c>
      <c r="AM67" s="418" t="str" cm="1">
        <f t="array" aca="1" ref="AM67" ca="1">IF(COUNTA(_xlfn.UNIQUE(_xlfn._xlws.FILTER(#REF!,(#REF!&gt;=DATE(2025,MONTH('MES CERRADO'!AM2),1))*(#REF!&lt;=EOMONTH('MES CERRADO'!AM2,0))*(#REF!&lt;&gt;""))))=1,"-",COUNTA(_xlfn.UNIQUE(_xlfn._xlws.FILTER(#REF!,(#REF!&gt;=DATE(2025,MONTH('MES CERRADO'!AM2),1))*(#REF!&lt;=EOMONTH('MES CERRADO'!AM2,0))*(#REF!&lt;&gt;"")))))</f>
        <v>-</v>
      </c>
      <c r="AN67" s="567" t="str" cm="1">
        <f t="array" aca="1" ref="AN67" ca="1">IF(COUNTA(_xlfn.UNIQUE(_xlfn._xlws.FILTER(#REF!,(#REF!&gt;=DATE(2026,MONTH('MES CERRADO'!AN2),1))*(#REF!&lt;=EOMONTH('MES CERRADO'!AN2,0))*(#REF!&lt;&gt;""))))=1,"-",COUNTA(_xlfn.UNIQUE(_xlfn._xlws.FILTER(#REF!,(#REF!&gt;=DATE(2026,MONTH('MES CERRADO'!AN2),1))*(#REF!&lt;=EOMONTH('MES CERRADO'!AN2,0))*(#REF!&lt;&gt;"")))))</f>
        <v>-</v>
      </c>
      <c r="AO67" s="317" t="str" cm="1">
        <f t="array" aca="1" ref="AO67" ca="1">IF(COUNTA(_xlfn.UNIQUE(_xlfn._xlws.FILTER(#REF!,(#REF!&gt;=DATE(2026,MONTH('MES CERRADO'!AO2),1))*(#REF!&lt;=EOMONTH('MES CERRADO'!AO2,0))*(#REF!&lt;&gt;""))))=1,"-",COUNTA(_xlfn.UNIQUE(_xlfn._xlws.FILTER(#REF!,(#REF!&gt;=DATE(2026,MONTH('MES CERRADO'!AO2),1))*(#REF!&lt;=EOMONTH('MES CERRADO'!AO2,0))*(#REF!&lt;&gt;"")))))</f>
        <v>-</v>
      </c>
      <c r="AP67" s="317"/>
      <c r="AQ67" s="317"/>
      <c r="AR67" s="317"/>
      <c r="AS67" s="317"/>
      <c r="AT67" s="317"/>
      <c r="AU67" s="317"/>
      <c r="AV67" s="317"/>
      <c r="AW67" s="317"/>
      <c r="AX67" s="317"/>
      <c r="AY67" s="418"/>
      <c r="AZ67" s="434"/>
      <c r="BA67" s="440" t="str">
        <f t="shared" ref="BA67:BA68" si="27">IFERROR(AVERAGE(D67:O67),"-")</f>
        <v>-</v>
      </c>
      <c r="BB67" s="175" t="str">
        <f t="shared" ref="BB67:BB68" si="28">IFERROR(AVERAGE(P67:AA67),"-")</f>
        <v>-</v>
      </c>
      <c r="BC67" s="426" t="str">
        <f t="shared" ca="1" si="15"/>
        <v>-</v>
      </c>
    </row>
    <row r="68" spans="1:55" ht="16">
      <c r="B68" s="98" t="s">
        <v>201</v>
      </c>
      <c r="C68" s="99" t="s">
        <v>153</v>
      </c>
      <c r="D68" s="154"/>
      <c r="E68" s="155"/>
      <c r="F68" s="155"/>
      <c r="G68" s="155"/>
      <c r="H68" s="155"/>
      <c r="I68" s="155"/>
      <c r="J68" s="155"/>
      <c r="K68" s="155"/>
      <c r="L68" s="155"/>
      <c r="M68" s="155"/>
      <c r="N68" s="155"/>
      <c r="O68" s="156"/>
      <c r="P68" s="157"/>
      <c r="Q68" s="155"/>
      <c r="R68" s="155"/>
      <c r="S68" s="155"/>
      <c r="T68" s="155"/>
      <c r="U68" s="155"/>
      <c r="V68" s="155"/>
      <c r="W68" s="155"/>
      <c r="X68" s="155"/>
      <c r="Y68" s="155"/>
      <c r="Z68" s="155"/>
      <c r="AA68" s="530"/>
      <c r="AB68" s="550" t="str">
        <f>IFERROR((SUMIFS('TABLERO DIARIO'!#REF!,'TABLERO DIARIO'!$I$2:$ZZ$2,"&gt;="&amp;DATE(2025,MONTH(AB$2),1),'TABLERO DIARIO'!$I$2:$ZZ$2,"&lt;="&amp;EOMONTH(AB$2,0))/COUNTIFS('TABLERO DIARIO'!$I$2:$ZZ$2,"&gt;="&amp;DATE(2025,MONTH(AB$2),1),'TABLERO DIARIO'!$I$2:$ZZ$2,"&lt;="&amp;EOMONTH(AB$2,0),'TABLERO DIARIO'!#REF!,"&lt;&gt;0",'TABLERO DIARIO'!#REF!,"&lt;&gt;-",'TABLERO DIARIO'!#REF!,"&lt;&gt;")),"-")</f>
        <v>-</v>
      </c>
      <c r="AC68" s="551" t="str">
        <f>IFERROR((SUMIFS('TABLERO DIARIO'!#REF!,'TABLERO DIARIO'!$I$2:$ZZ$2,"&gt;="&amp;DATE(2025,MONTH(AC$2),1),'TABLERO DIARIO'!$I$2:$ZZ$2,"&lt;="&amp;EOMONTH(AC$2,0))/COUNTIFS('TABLERO DIARIO'!$I$2:$ZZ$2,"&gt;="&amp;DATE(2025,MONTH(AC$2),1),'TABLERO DIARIO'!$I$2:$ZZ$2,"&lt;="&amp;EOMONTH(AC$2,0),'TABLERO DIARIO'!#REF!,"&lt;&gt;0",'TABLERO DIARIO'!#REF!,"&lt;&gt;-",'TABLERO DIARIO'!#REF!,"&lt;&gt;")),"-")</f>
        <v>-</v>
      </c>
      <c r="AD68" s="551" t="str">
        <f>IFERROR((SUMIFS('TABLERO DIARIO'!#REF!,'TABLERO DIARIO'!$I$2:$ZZ$2,"&gt;="&amp;DATE(2025,MONTH(AD$2),1),'TABLERO DIARIO'!$I$2:$ZZ$2,"&lt;="&amp;EOMONTH(AD$2,0))/COUNTIFS('TABLERO DIARIO'!$I$2:$ZZ$2,"&gt;="&amp;DATE(2025,MONTH(AD$2),1),'TABLERO DIARIO'!$I$2:$ZZ$2,"&lt;="&amp;EOMONTH(AD$2,0),'TABLERO DIARIO'!#REF!,"&lt;&gt;0",'TABLERO DIARIO'!#REF!,"&lt;&gt;-",'TABLERO DIARIO'!#REF!,"&lt;&gt;")),"-")</f>
        <v>-</v>
      </c>
      <c r="AE68" s="551" t="str">
        <f>IFERROR((SUMIFS('TABLERO DIARIO'!#REF!,'TABLERO DIARIO'!$I$2:$ZZ$2,"&gt;="&amp;DATE(2025,MONTH(AE$2),1),'TABLERO DIARIO'!$I$2:$ZZ$2,"&lt;="&amp;EOMONTH(AE$2,0))/COUNTIFS('TABLERO DIARIO'!$I$2:$ZZ$2,"&gt;="&amp;DATE(2025,MONTH(AE$2),1),'TABLERO DIARIO'!$I$2:$ZZ$2,"&lt;="&amp;EOMONTH(AE$2,0),'TABLERO DIARIO'!#REF!,"&lt;&gt;0",'TABLERO DIARIO'!#REF!,"&lt;&gt;-",'TABLERO DIARIO'!#REF!,"&lt;&gt;")),"-")</f>
        <v>-</v>
      </c>
      <c r="AF68" s="551" t="str">
        <f>IFERROR((SUMIFS('TABLERO DIARIO'!#REF!,'TABLERO DIARIO'!$I$2:$ZZ$2,"&gt;="&amp;DATE(2025,MONTH(AF$2),1),'TABLERO DIARIO'!$I$2:$ZZ$2,"&lt;="&amp;EOMONTH(AF$2,0))/COUNTIFS('TABLERO DIARIO'!$I$2:$ZZ$2,"&gt;="&amp;DATE(2025,MONTH(AF$2),1),'TABLERO DIARIO'!$I$2:$ZZ$2,"&lt;="&amp;EOMONTH(AF$2,0),'TABLERO DIARIO'!#REF!,"&lt;&gt;0",'TABLERO DIARIO'!#REF!,"&lt;&gt;-",'TABLERO DIARIO'!#REF!,"&lt;&gt;")),"-")</f>
        <v>-</v>
      </c>
      <c r="AG68" s="551" t="str">
        <f>IFERROR((SUMIFS('TABLERO DIARIO'!#REF!,'TABLERO DIARIO'!$I$2:$ZZ$2,"&gt;="&amp;DATE(2025,MONTH(AG$2),1),'TABLERO DIARIO'!$I$2:$ZZ$2,"&lt;="&amp;EOMONTH(AG$2,0))/COUNTIFS('TABLERO DIARIO'!$I$2:$ZZ$2,"&gt;="&amp;DATE(2025,MONTH(AG$2),1),'TABLERO DIARIO'!$I$2:$ZZ$2,"&lt;="&amp;EOMONTH(AG$2,0),'TABLERO DIARIO'!#REF!,"&lt;&gt;0",'TABLERO DIARIO'!#REF!,"&lt;&gt;-",'TABLERO DIARIO'!#REF!,"&lt;&gt;")),"-")</f>
        <v>-</v>
      </c>
      <c r="AH68" s="551" t="str">
        <f>IFERROR((SUMIFS('TABLERO DIARIO'!#REF!,'TABLERO DIARIO'!$I$2:$ZZ$2,"&gt;="&amp;DATE(2025,MONTH(AH$2),1),'TABLERO DIARIO'!$I$2:$ZZ$2,"&lt;="&amp;EOMONTH(AH$2,0))/COUNTIFS('TABLERO DIARIO'!$I$2:$ZZ$2,"&gt;="&amp;DATE(2025,MONTH(AH$2),1),'TABLERO DIARIO'!$I$2:$ZZ$2,"&lt;="&amp;EOMONTH(AH$2,0),'TABLERO DIARIO'!#REF!,"&lt;&gt;0",'TABLERO DIARIO'!#REF!,"&lt;&gt;-",'TABLERO DIARIO'!#REF!,"&lt;&gt;")),"-")</f>
        <v>-</v>
      </c>
      <c r="AI68" s="551" t="str">
        <f>IFERROR((SUMIFS('TABLERO DIARIO'!#REF!,'TABLERO DIARIO'!$I$2:$ZZ$2,"&gt;="&amp;DATE(2025,MONTH(AI$2),1),'TABLERO DIARIO'!$I$2:$ZZ$2,"&lt;="&amp;EOMONTH(AI$2,0))/COUNTIFS('TABLERO DIARIO'!$I$2:$ZZ$2,"&gt;="&amp;DATE(2025,MONTH(AI$2),1),'TABLERO DIARIO'!$I$2:$ZZ$2,"&lt;="&amp;EOMONTH(AI$2,0),'TABLERO DIARIO'!#REF!,"&lt;&gt;0",'TABLERO DIARIO'!#REF!,"&lt;&gt;-",'TABLERO DIARIO'!#REF!,"&lt;&gt;")),"-")</f>
        <v>-</v>
      </c>
      <c r="AJ68" s="551" t="str">
        <f>IFERROR((SUMIFS('TABLERO DIARIO'!#REF!,'TABLERO DIARIO'!$I$2:$ZZ$2,"&gt;="&amp;DATE(2025,MONTH(AJ$2),1),'TABLERO DIARIO'!$I$2:$ZZ$2,"&lt;="&amp;EOMONTH(AJ$2,0))/COUNTIFS('TABLERO DIARIO'!$I$2:$ZZ$2,"&gt;="&amp;DATE(2025,MONTH(AJ$2),1),'TABLERO DIARIO'!$I$2:$ZZ$2,"&lt;="&amp;EOMONTH(AJ$2,0),'TABLERO DIARIO'!#REF!,"&lt;&gt;0",'TABLERO DIARIO'!#REF!,"&lt;&gt;-",'TABLERO DIARIO'!#REF!,"&lt;&gt;")),"-")</f>
        <v>-</v>
      </c>
      <c r="AK68" s="551" t="str">
        <f>IFERROR((SUMIFS('TABLERO DIARIO'!#REF!,'TABLERO DIARIO'!$I$2:$AEV$2,"&gt;="&amp;DATE(2025,MONTH(AK$2),1),'TABLERO DIARIO'!$I$2:$AEV$2,"&lt;="&amp;EOMONTH(AK$2,0))/COUNTIFS('TABLERO DIARIO'!$I$2:$AEV$2,"&gt;="&amp;DATE(2025,MONTH(AK$2),1),'TABLERO DIARIO'!$I$2:$AEV$2,"&lt;="&amp;EOMONTH(AK$2,0),'TABLERO DIARIO'!#REF!,"&lt;&gt;0",'TABLERO DIARIO'!#REF!,"&lt;&gt;-",'TABLERO DIARIO'!#REF!,"&lt;&gt;")),"-")</f>
        <v>-</v>
      </c>
      <c r="AL68" s="551" t="str">
        <f>IFERROR((SUMIFS('TABLERO DIARIO'!#REF!,'TABLERO DIARIO'!$AEV$2:$AMA$2,"&gt;="&amp;DATE(2025,MONTH(AL$2),1),'TABLERO DIARIO'!$AEV$2:$AMA$2,"&lt;="&amp;EOMONTH(AL$2,0))/COUNTIFS('TABLERO DIARIO'!$AEV$2:$AMA$2,"&gt;="&amp;DATE(2025,MONTH(AL$2),1),'TABLERO DIARIO'!$AEV$2:$AMA$2,"&lt;="&amp;EOMONTH(AL$2,0),'TABLERO DIARIO'!#REF!,"&lt;&gt;0",'TABLERO DIARIO'!#REF!,"&lt;&gt;-",'TABLERO DIARIO'!#REF!,"&lt;&gt;")),"-")</f>
        <v>-</v>
      </c>
      <c r="AM68" s="552" t="str">
        <f>IFERROR((SUMIFS('TABLERO DIARIO'!#REF!,'TABLERO DIARIO'!$AEV$2:$AMA$2,"&gt;="&amp;DATE(2025,MONTH(AM$2),1),'TABLERO DIARIO'!$AEV$2:$AMA$2,"&lt;="&amp;EOMONTH(AM$2,0))/COUNTIFS('TABLERO DIARIO'!$AEV$2:$AMA$2,"&gt;="&amp;DATE(2025,MONTH(AM$2),1),'TABLERO DIARIO'!$AEV$2:$AMA$2,"&lt;="&amp;EOMONTH(AM$2,0),'TABLERO DIARIO'!#REF!,"&lt;&gt;0",'TABLERO DIARIO'!#REF!,"&lt;&gt;-",'TABLERO DIARIO'!#REF!,"&lt;&gt;")),"-")</f>
        <v>-</v>
      </c>
      <c r="AN68" s="550" t="str">
        <f>IFERROR((SUMIFS('TABLERO DIARIO'!#REF!,'TABLERO DIARIO'!$ALW$2:$ASW$2,"&gt;="&amp;DATE(2026,MONTH(AN$2),1),'TABLERO DIARIO'!$ALW$2:$ASW$2,"&lt;="&amp;EOMONTH(AN$2,0))/COUNTIFS('TABLERO DIARIO'!$ALW$2:$ASW$2,"&gt;="&amp;DATE(2026,MONTH(AN$2),1),'TABLERO DIARIO'!$ALW$2:$ASW$2,"&lt;="&amp;EOMONTH(AN$2,0),'TABLERO DIARIO'!#REF!,"&lt;&gt;0",'TABLERO DIARIO'!#REF!,"&lt;&gt;-",'TABLERO DIARIO'!#REF!,"&lt;&gt;")),"-")</f>
        <v>-</v>
      </c>
      <c r="AO68" s="551" t="str">
        <f>IFERROR((SUMIFS('TABLERO DIARIO'!#REF!,'TABLERO DIARIO'!$ALW$2:$ASW$2,"&gt;="&amp;DATE(2026,MONTH(AO$2),1),'TABLERO DIARIO'!$ALW$2:$ASW$2,"&lt;="&amp;EOMONTH(AO$2,0))/COUNTIFS('TABLERO DIARIO'!$ALW$2:$ASW$2,"&gt;="&amp;DATE(2026,MONTH(AO$2),1),'TABLERO DIARIO'!$ALW$2:$ASW$2,"&lt;="&amp;EOMONTH(AO$2,0),'TABLERO DIARIO'!#REF!,"&lt;&gt;0",'TABLERO DIARIO'!#REF!,"&lt;&gt;-",'TABLERO DIARIO'!#REF!,"&lt;&gt;")),"-")</f>
        <v>-</v>
      </c>
      <c r="AP68" s="551"/>
      <c r="AQ68" s="551"/>
      <c r="AR68" s="551"/>
      <c r="AS68" s="551"/>
      <c r="AT68" s="551"/>
      <c r="AU68" s="551"/>
      <c r="AV68" s="551"/>
      <c r="AW68" s="551"/>
      <c r="AX68" s="551"/>
      <c r="AY68" s="552"/>
      <c r="AZ68" s="434"/>
      <c r="BA68" s="440" t="str">
        <f t="shared" si="27"/>
        <v>-</v>
      </c>
      <c r="BB68" s="175" t="str">
        <f t="shared" si="28"/>
        <v>-</v>
      </c>
      <c r="BC68" s="426" t="str">
        <f t="shared" si="15"/>
        <v>-</v>
      </c>
    </row>
    <row r="69" spans="1:55" ht="16">
      <c r="B69" s="98" t="s">
        <v>202</v>
      </c>
      <c r="C69" s="99" t="s">
        <v>203</v>
      </c>
      <c r="D69" s="154"/>
      <c r="E69" s="155"/>
      <c r="F69" s="155"/>
      <c r="G69" s="155"/>
      <c r="H69" s="155"/>
      <c r="I69" s="155"/>
      <c r="J69" s="155"/>
      <c r="K69" s="155"/>
      <c r="L69" s="155"/>
      <c r="M69" s="155"/>
      <c r="N69" s="155"/>
      <c r="O69" s="156"/>
      <c r="P69" s="157"/>
      <c r="Q69" s="155"/>
      <c r="R69" s="155"/>
      <c r="S69" s="155"/>
      <c r="T69" s="155"/>
      <c r="U69" s="155"/>
      <c r="V69" s="155"/>
      <c r="W69" s="155"/>
      <c r="X69" s="155"/>
      <c r="Y69" s="155"/>
      <c r="Z69" s="155"/>
      <c r="AA69" s="530"/>
      <c r="AB69" s="615" t="str">
        <f>IFERROR(SUMIFS('TABLERO DIARIO'!$F$36:$ZZ$36,'TABLERO DIARIO'!$F$36:$ZZ$36,"&lt;&gt;0",'TABLERO DIARIO'!$F$36:$ZZ$36,"&lt;&gt;-",'TABLERO DIARIO'!$F$2:$ZZ$2,"&gt;="&amp;DATE(2025,MONTH(AB$2),1),'TABLERO DIARIO'!$F$2:$ZZ$2,"&lt;="&amp;EOMONTH(AB$2,0))/COUNTIFS('TABLERO DIARIO'!$F$36:$ZZ$36,"&lt;&gt;0",'TABLERO DIARIO'!$F$36:$ZZ$36,"&lt;&gt;-",'TABLERO DIARIO'!$F$36:$ZZ$36,"&lt;&gt;",'TABLERO DIARIO'!$F$2:$ZZ$2,"&gt;="&amp;DATE(2025,MONTH(AB$2),1),'TABLERO DIARIO'!$F$2:$ZZ$2,"&lt;="&amp;EOMONTH(AB$2,0)),"-")</f>
        <v>-</v>
      </c>
      <c r="AC69" s="616">
        <f>IFERROR(SUMIFS('TABLERO DIARIO'!$F$36:$ZZ$36,'TABLERO DIARIO'!$F$36:$ZZ$36,"&lt;&gt;0",'TABLERO DIARIO'!$F$36:$ZZ$36,"&lt;&gt;-",'TABLERO DIARIO'!$F$2:$ZZ$2,"&gt;="&amp;DATE(2025,MONTH(AC$2),1),'TABLERO DIARIO'!$F$2:$ZZ$2,"&lt;="&amp;EOMONTH(AC$2,0))/COUNTIFS('TABLERO DIARIO'!$F$36:$ZZ$36,"&lt;&gt;0",'TABLERO DIARIO'!$F$36:$ZZ$36,"&lt;&gt;-",'TABLERO DIARIO'!$F$36:$ZZ$36,"&lt;&gt;",'TABLERO DIARIO'!$F$2:$ZZ$2,"&gt;="&amp;DATE(2025,MONTH(AC$2),1),'TABLERO DIARIO'!$F$2:$ZZ$2,"&lt;="&amp;EOMONTH(AC$2,0)),"-")</f>
        <v>0.27919560185185183</v>
      </c>
      <c r="AD69" s="616">
        <f>IFERROR(SUMIFS('TABLERO DIARIO'!$F$36:$ZZ$36,'TABLERO DIARIO'!$F$36:$ZZ$36,"&lt;&gt;0",'TABLERO DIARIO'!$F$36:$ZZ$36,"&lt;&gt;-",'TABLERO DIARIO'!$F$2:$ZZ$2,"&gt;="&amp;DATE(2025,MONTH(AD$2),1),'TABLERO DIARIO'!$F$2:$ZZ$2,"&lt;="&amp;EOMONTH(AD$2,0))/COUNTIFS('TABLERO DIARIO'!$F$36:$ZZ$36,"&lt;&gt;0",'TABLERO DIARIO'!$F$36:$ZZ$36,"&lt;&gt;-",'TABLERO DIARIO'!$F$36:$ZZ$36,"&lt;&gt;",'TABLERO DIARIO'!$F$2:$ZZ$2,"&gt;="&amp;DATE(2025,MONTH(AD$2),1),'TABLERO DIARIO'!$F$2:$ZZ$2,"&lt;="&amp;EOMONTH(AD$2,0)),"-")</f>
        <v>0.2832175925925926</v>
      </c>
      <c r="AE69" s="616">
        <f>IFERROR(SUMIFS('TABLERO DIARIO'!$F$36:$ZZ$36,'TABLERO DIARIO'!$F$36:$ZZ$36,"&lt;&gt;0",'TABLERO DIARIO'!$F$36:$ZZ$36,"&lt;&gt;-",'TABLERO DIARIO'!$F$2:$ZZ$2,"&gt;="&amp;DATE(2025,MONTH(AE$2),1),'TABLERO DIARIO'!$F$2:$ZZ$2,"&lt;="&amp;EOMONTH(AE$2,0))/COUNTIFS('TABLERO DIARIO'!$F$36:$ZZ$36,"&lt;&gt;0",'TABLERO DIARIO'!$F$36:$ZZ$36,"&lt;&gt;-",'TABLERO DIARIO'!$F$36:$ZZ$36,"&lt;&gt;",'TABLERO DIARIO'!$F$2:$ZZ$2,"&gt;="&amp;DATE(2025,MONTH(AE$2),1),'TABLERO DIARIO'!$F$2:$ZZ$2,"&lt;="&amp;EOMONTH(AE$2,0)),"-")</f>
        <v>0.2870949074074074</v>
      </c>
      <c r="AF69" s="616">
        <f>IFERROR(SUMIFS('TABLERO DIARIO'!$F$36:$ZZ$36,'TABLERO DIARIO'!$F$36:$ZZ$36,"&lt;&gt;0",'TABLERO DIARIO'!$F$36:$ZZ$36,"&lt;&gt;-",'TABLERO DIARIO'!$F$2:$ZZ$2,"&gt;="&amp;DATE(2025,MONTH(AF$2),1),'TABLERO DIARIO'!$F$2:$ZZ$2,"&lt;="&amp;EOMONTH(AF$2,0))/COUNTIFS('TABLERO DIARIO'!$F$36:$ZZ$36,"&lt;&gt;0",'TABLERO DIARIO'!$F$36:$ZZ$36,"&lt;&gt;-",'TABLERO DIARIO'!$F$36:$ZZ$36,"&lt;&gt;",'TABLERO DIARIO'!$F$2:$ZZ$2,"&gt;="&amp;DATE(2025,MONTH(AF$2),1),'TABLERO DIARIO'!$F$2:$ZZ$2,"&lt;="&amp;EOMONTH(AF$2,0)),"-")</f>
        <v>0.27660256410256412</v>
      </c>
      <c r="AG69" s="616">
        <f>IFERROR(SUMIFS('TABLERO DIARIO'!$F$36:$ZZ$36,'TABLERO DIARIO'!$F$36:$ZZ$36,"&lt;&gt;0",'TABLERO DIARIO'!$F$36:$ZZ$36,"&lt;&gt;-",'TABLERO DIARIO'!$F$2:$ZZ$2,"&gt;="&amp;DATE(2025,MONTH(AG$2),1),'TABLERO DIARIO'!$F$2:$ZZ$2,"&lt;="&amp;EOMONTH(AG$2,0))/COUNTIFS('TABLERO DIARIO'!$F$36:$ZZ$36,"&lt;&gt;0",'TABLERO DIARIO'!$F$36:$ZZ$36,"&lt;&gt;-",'TABLERO DIARIO'!$F$36:$ZZ$36,"&lt;&gt;",'TABLERO DIARIO'!$F$2:$ZZ$2,"&gt;="&amp;DATE(2025,MONTH(AG$2),1),'TABLERO DIARIO'!$F$2:$ZZ$2,"&lt;="&amp;EOMONTH(AG$2,0)),"-")</f>
        <v>0.28794191919191925</v>
      </c>
      <c r="AH69" s="616">
        <f>IFERROR(SUMIFS('TABLERO DIARIO'!$F$36:$ZZ$36,'TABLERO DIARIO'!$F$36:$ZZ$36,"&lt;&gt;0",'TABLERO DIARIO'!$F$36:$ZZ$36,"&lt;&gt;-",'TABLERO DIARIO'!$F$2:$ZZ$2,"&gt;="&amp;DATE(2025,MONTH(AH$2),1),'TABLERO DIARIO'!$F$2:$ZZ$2,"&lt;="&amp;EOMONTH(AH$2,0))/COUNTIFS('TABLERO DIARIO'!$F$36:$ZZ$36,"&lt;&gt;0",'TABLERO DIARIO'!$F$36:$ZZ$36,"&lt;&gt;-",'TABLERO DIARIO'!$F$36:$ZZ$36,"&lt;&gt;",'TABLERO DIARIO'!$F$2:$ZZ$2,"&gt;="&amp;DATE(2025,MONTH(AH$2),1),'TABLERO DIARIO'!$F$2:$ZZ$2,"&lt;="&amp;EOMONTH(AH$2,0)),"-")</f>
        <v>0.30074786324786318</v>
      </c>
      <c r="AI69" s="616">
        <f>IFERROR(SUMIFS('TABLERO DIARIO'!$F$36:$ZZ$36,'TABLERO DIARIO'!$F$36:$ZZ$36,"&lt;&gt;0",'TABLERO DIARIO'!$F$36:$ZZ$36,"&lt;&gt;-",'TABLERO DIARIO'!$F$2:$ZZ$2,"&gt;="&amp;DATE(2025,MONTH(AI$2),1),'TABLERO DIARIO'!$F$2:$ZZ$2,"&lt;="&amp;EOMONTH(AI$2,0))/COUNTIFS('TABLERO DIARIO'!$F$36:$ZZ$36,"&lt;&gt;0",'TABLERO DIARIO'!$F$36:$ZZ$36,"&lt;&gt;-",'TABLERO DIARIO'!$F$36:$ZZ$36,"&lt;&gt;",'TABLERO DIARIO'!$F$2:$ZZ$2,"&gt;="&amp;DATE(2025,MONTH(AI$2),1),'TABLERO DIARIO'!$F$2:$ZZ$2,"&lt;="&amp;EOMONTH(AI$2,0)),"-")</f>
        <v>0.28378739316239315</v>
      </c>
      <c r="AJ69" s="616">
        <f>IFERROR(SUMIFS('TABLERO DIARIO'!$F$36:$ZZ$36,'TABLERO DIARIO'!$F$36:$ZZ$36,"&lt;&gt;0",'TABLERO DIARIO'!$F$36:$ZZ$36,"&lt;&gt;-",'TABLERO DIARIO'!$F$2:$ZZ$2,"&gt;="&amp;DATE(2025,MONTH(AJ$2),1),'TABLERO DIARIO'!$F$2:$ZZ$2,"&lt;="&amp;EOMONTH(AJ$2,0))/COUNTIFS('TABLERO DIARIO'!$F$36:$ZZ$36,"&lt;&gt;0",'TABLERO DIARIO'!$F$36:$ZZ$36,"&lt;&gt;-",'TABLERO DIARIO'!$F$36:$ZZ$36,"&lt;&gt;",'TABLERO DIARIO'!$F$2:$ZZ$2,"&gt;="&amp;DATE(2025,MONTH(AJ$2),1),'TABLERO DIARIO'!$F$2:$ZZ$2,"&lt;="&amp;EOMONTH(AJ$2,0)),"-")</f>
        <v>0.28510802469135799</v>
      </c>
      <c r="AK69" s="616">
        <f>IFERROR(SUMIFS('TABLERO DIARIO'!$F$36:$AEV$36,'TABLERO DIARIO'!$F$36:$AEV$36,"&lt;&gt;0",'TABLERO DIARIO'!$F$36:$AEV$36,"&lt;&gt;-",'TABLERO DIARIO'!$F$2:$AEV$2,"&gt;="&amp;DATE(2025,MONTH(AK$2),1),'TABLERO DIARIO'!$F$2:$AEV$2,"&lt;="&amp;EOMONTH(AK$2,0))/COUNTIFS('TABLERO DIARIO'!$F$36:$AEV$36,"&lt;&gt;0",'TABLERO DIARIO'!$F$36:$AEV$36,"&lt;&gt;-",'TABLERO DIARIO'!$F$36:$AEV$36,"&lt;&gt;",'TABLERO DIARIO'!$F$2:$AEV$2,"&gt;="&amp;DATE(2025,MONTH(AK$2),1),'TABLERO DIARIO'!$F$2:$AEV$2,"&lt;="&amp;EOMONTH(AK$2,0)),"-")</f>
        <v>0.27327674897119342</v>
      </c>
      <c r="AL69" s="616">
        <f>IFERROR(SUMIFS('TABLERO DIARIO'!$AEV$36:$AMA$36,'TABLERO DIARIO'!$AEV$36:$AMA$36,"&lt;&gt;0",'TABLERO DIARIO'!$AEV$36:$AMA$36,"&lt;&gt;-",'TABLERO DIARIO'!$AEV$2:$AMA$2,"&gt;="&amp;DATE(2025,MONTH(AL$2),1),'TABLERO DIARIO'!$AEV$2:$AMA$2,"&lt;="&amp;EOMONTH(AL$2,0))/COUNTIFS('TABLERO DIARIO'!$AEV$36:$AMA$36,"&lt;&gt;0",'TABLERO DIARIO'!$AEV$36:$AMA$36,"&lt;&gt;-",'TABLERO DIARIO'!$AEV$36:$AMA$36,"&lt;&gt;",'TABLERO DIARIO'!$AEV$2:$AMA$2,"&gt;="&amp;DATE(2025,MONTH(AL$2),1),'TABLERO DIARIO'!$AEV$2:$AMA$2,"&lt;="&amp;EOMONTH(AL$2,0)),"-")</f>
        <v>0.27806712962962954</v>
      </c>
      <c r="AM69" s="617">
        <f>IFERROR(SUMIFS('TABLERO DIARIO'!$AEV$36:$AMA$36,'TABLERO DIARIO'!$AEV$36:$AMA$36,"&lt;&gt;0",'TABLERO DIARIO'!$AEV$36:$AMA$36,"&lt;&gt;-",'TABLERO DIARIO'!$AEV$2:$AMA$2,"&gt;="&amp;DATE(2025,MONTH(AM$2),1),'TABLERO DIARIO'!$AEV$2:$AMA$2,"&lt;="&amp;EOMONTH(AM$2,0))/COUNTIFS('TABLERO DIARIO'!$AEV$36:$AMA$36,"&lt;&gt;0",'TABLERO DIARIO'!$AEV$36:$AMA$36,"&lt;&gt;-",'TABLERO DIARIO'!$AEV$36:$AMA$36,"&lt;&gt;",'TABLERO DIARIO'!$AEV$2:$AMA$2,"&gt;="&amp;DATE(2025,MONTH(AM$2),1),'TABLERO DIARIO'!$AEV$2:$AMA$2,"&lt;="&amp;EOMONTH(AM$2,0)),"-")</f>
        <v>0.31458333333333344</v>
      </c>
      <c r="AN69" s="615">
        <f>IFERROR(SUMIFS('TABLERO DIARIO'!$ALW$36:$ASW$36,'TABLERO DIARIO'!$ALW$36:$ASW$36,"&lt;&gt;0",'TABLERO DIARIO'!$ALW$36:$ASW$36,"&lt;&gt;-",'TABLERO DIARIO'!$ALW$2:$ASW$2,"&gt;="&amp;DATE(2026,MONTH(AN$2),1),'TABLERO DIARIO'!$ALW$2:$ASW$2,"&lt;="&amp;EOMONTH(AN$2,0))/COUNTIFS('TABLERO DIARIO'!$ALW$36:$ASW$36,"&lt;&gt;0",'TABLERO DIARIO'!$ALW$36:$ASW$36,"&lt;&gt;-",'TABLERO DIARIO'!$ALW$36:$ASW$36,"&lt;&gt;",'TABLERO DIARIO'!$ALW$2:$ASW$2,"&gt;="&amp;DATE(2026,MONTH(AN$2),1),'TABLERO DIARIO'!$ALW$2:$ASW$2,"&lt;="&amp;EOMONTH(AN$2,0)),"-")</f>
        <v>0.30942841880341881</v>
      </c>
      <c r="AO69" s="616">
        <f>IFERROR(SUMIFS('TABLERO DIARIO'!$ALW$36:$ASW$36,'TABLERO DIARIO'!$ALW$36:$ASW$36,"&lt;&gt;0",'TABLERO DIARIO'!$ALW$36:$ASW$36,"&lt;&gt;-",'TABLERO DIARIO'!$ALW$2:$ASW$2,"&gt;="&amp;DATE(2026,MONTH(AO$2),1),'TABLERO DIARIO'!$ALW$2:$ASW$2,"&lt;="&amp;EOMONTH(AO$2,0))/COUNTIFS('TABLERO DIARIO'!$ALW$36:$ASW$36,"&lt;&gt;0",'TABLERO DIARIO'!$ALW$36:$ASW$36,"&lt;&gt;-",'TABLERO DIARIO'!$ALW$36:$ASW$36,"&lt;&gt;",'TABLERO DIARIO'!$ALW$2:$ASW$2,"&gt;="&amp;DATE(2026,MONTH(AO$2),1),'TABLERO DIARIO'!$ALW$2:$ASW$2,"&lt;="&amp;EOMONTH(AO$2,0)),"-")</f>
        <v>0.2471891534391534</v>
      </c>
      <c r="AP69" s="616"/>
      <c r="AQ69" s="616"/>
      <c r="AR69" s="616"/>
      <c r="AS69" s="616"/>
      <c r="AT69" s="616"/>
      <c r="AU69" s="616"/>
      <c r="AV69" s="616"/>
      <c r="AW69" s="616"/>
      <c r="AX69" s="616"/>
      <c r="AY69" s="617"/>
      <c r="AZ69" s="434"/>
      <c r="BA69" s="440" t="str">
        <f t="shared" si="25"/>
        <v>-</v>
      </c>
      <c r="BB69" s="175" t="str">
        <f t="shared" si="26"/>
        <v>-</v>
      </c>
      <c r="BC69" s="651">
        <f t="shared" si="15"/>
        <v>0.28632937074382775</v>
      </c>
    </row>
    <row r="70" spans="1:55" ht="16">
      <c r="B70" s="98" t="s">
        <v>204</v>
      </c>
      <c r="C70" s="99" t="s">
        <v>205</v>
      </c>
      <c r="D70" s="154"/>
      <c r="E70" s="155"/>
      <c r="F70" s="155"/>
      <c r="G70" s="155"/>
      <c r="H70" s="155"/>
      <c r="I70" s="155"/>
      <c r="J70" s="155"/>
      <c r="K70" s="155"/>
      <c r="L70" s="155"/>
      <c r="M70" s="155"/>
      <c r="N70" s="155"/>
      <c r="O70" s="156"/>
      <c r="P70" s="157"/>
      <c r="Q70" s="155"/>
      <c r="R70" s="155"/>
      <c r="S70" s="155"/>
      <c r="T70" s="155"/>
      <c r="U70" s="155"/>
      <c r="V70" s="155"/>
      <c r="W70" s="155"/>
      <c r="X70" s="155"/>
      <c r="Y70" s="155"/>
      <c r="Z70" s="155"/>
      <c r="AA70" s="530"/>
      <c r="AB70" s="550" t="str">
        <f>IFERROR(IF(-1*SUMIFS(#REF!,#REF!,"&gt;="&amp;DATE(2025,MONTH(AB$2),1),#REF!,"&lt;="&amp;EOMONTH(AB$2,0),#REF!,"Cajas")=0,"-",-1*SUMIFS(#REF!,#REF!,"&gt;="&amp;DATE(2025,MONTH(AB$2),1),#REF!,"&lt;="&amp;EOMONTH(AB$2,0),#REF!,"Cajas")),"-")</f>
        <v>-</v>
      </c>
      <c r="AC70" s="551" t="str">
        <f>IFERROR(IF(-1*SUMIFS(#REF!,#REF!,"&gt;="&amp;DATE(2025,MONTH(AC$2),1),#REF!,"&lt;="&amp;EOMONTH(AC$2,0),#REF!,"Cajas")=0,"-",-1*SUMIFS(#REF!,#REF!,"&gt;="&amp;DATE(2025,MONTH(AC$2),1),#REF!,"&lt;="&amp;EOMONTH(AC$2,0),#REF!,"Cajas")),"-")</f>
        <v>-</v>
      </c>
      <c r="AD70" s="551" t="str">
        <f>IFERROR(IF(-1*SUMIFS(#REF!,#REF!,"&gt;="&amp;DATE(2025,MONTH(AD$2),1),#REF!,"&lt;="&amp;EOMONTH(AD$2,0),#REF!,"Cajas")=0,"-",-1*SUMIFS(#REF!,#REF!,"&gt;="&amp;DATE(2025,MONTH(AD$2),1),#REF!,"&lt;="&amp;EOMONTH(AD$2,0),#REF!,"Cajas")),"-")</f>
        <v>-</v>
      </c>
      <c r="AE70" s="551" t="str">
        <f>IFERROR(IF(-1*SUMIFS(#REF!,#REF!,"&gt;="&amp;DATE(2025,MONTH(AE$2),1),#REF!,"&lt;="&amp;EOMONTH(AE$2,0),#REF!,"Cajas")=0,"-",-1*SUMIFS(#REF!,#REF!,"&gt;="&amp;DATE(2025,MONTH(AE$2),1),#REF!,"&lt;="&amp;EOMONTH(AE$2,0),#REF!,"Cajas")),"-")</f>
        <v>-</v>
      </c>
      <c r="AF70" s="551" t="str">
        <f>IFERROR(IF(-1*SUMIFS(#REF!,#REF!,"&gt;="&amp;DATE(2025,MONTH(AF$2),1),#REF!,"&lt;="&amp;EOMONTH(AF$2,0),#REF!,"Cajas")=0,"-",-1*SUMIFS(#REF!,#REF!,"&gt;="&amp;DATE(2025,MONTH(AF$2),1),#REF!,"&lt;="&amp;EOMONTH(AF$2,0),#REF!,"Cajas")),"-")</f>
        <v>-</v>
      </c>
      <c r="AG70" s="551" t="str">
        <f>IFERROR(IF(-1*SUMIFS(#REF!,#REF!,"&gt;="&amp;DATE(2025,MONTH(AG$2),1),#REF!,"&lt;="&amp;EOMONTH(AG$2,0),#REF!,"Cajas")=0,"-",-1*SUMIFS(#REF!,#REF!,"&gt;="&amp;DATE(2025,MONTH(AG$2),1),#REF!,"&lt;="&amp;EOMONTH(AG$2,0),#REF!,"Cajas")),"-")</f>
        <v>-</v>
      </c>
      <c r="AH70" s="551" t="str">
        <f>IFERROR(IF(-1*SUMIFS(#REF!,#REF!,"&gt;="&amp;DATE(2025,MONTH(AH$2),1),#REF!,"&lt;="&amp;EOMONTH(AH$2,0),#REF!,"Cajas")=0,"-",-1*SUMIFS(#REF!,#REF!,"&gt;="&amp;DATE(2025,MONTH(AH$2),1),#REF!,"&lt;="&amp;EOMONTH(AH$2,0),#REF!,"Cajas")),"-")</f>
        <v>-</v>
      </c>
      <c r="AI70" s="551" t="str">
        <f>IFERROR(IF(-1*SUMIFS(#REF!,#REF!,"&gt;="&amp;DATE(2025,MONTH(AI$2),1),#REF!,"&lt;="&amp;EOMONTH(AI$2,0),#REF!,"Cajas")=0,"-",-1*SUMIFS(#REF!,#REF!,"&gt;="&amp;DATE(2025,MONTH(AI$2),1),#REF!,"&lt;="&amp;EOMONTH(AI$2,0),#REF!,"Cajas")),"-")</f>
        <v>-</v>
      </c>
      <c r="AJ70" s="551" t="str">
        <f>IFERROR(IF(-1*SUMIFS(#REF!,#REF!,"&gt;="&amp;DATE(2025,MONTH(AJ$2),1),#REF!,"&lt;="&amp;EOMONTH(AJ$2,0),#REF!,"Cajas")=0,"-",-1*SUMIFS(#REF!,#REF!,"&gt;="&amp;DATE(2025,MONTH(AJ$2),1),#REF!,"&lt;="&amp;EOMONTH(AJ$2,0),#REF!,"Cajas")),"-")</f>
        <v>-</v>
      </c>
      <c r="AK70" s="551" t="str">
        <f>IFERROR(IF(-1*SUMIFS(#REF!,#REF!,"&gt;="&amp;DATE(2025,MONTH(AK$2),1),#REF!,"&lt;="&amp;EOMONTH(AK$2,0),#REF!,"Cajas")=0,"-",-1*SUMIFS(#REF!,#REF!,"&gt;="&amp;DATE(2025,MONTH(AK$2),1),#REF!,"&lt;="&amp;EOMONTH(AK$2,0),#REF!,"Cajas")),"-")</f>
        <v>-</v>
      </c>
      <c r="AL70" s="551" t="str">
        <f>IFERROR(IF(-1*SUMIFS(#REF!,#REF!,"&gt;="&amp;DATE(2025,MONTH(AL$2),1),#REF!,"&lt;="&amp;EOMONTH(AL$2,0),#REF!,"Cajas")=0,"-",-1*SUMIFS(#REF!,#REF!,"&gt;="&amp;DATE(2025,MONTH(AL$2),1),#REF!,"&lt;="&amp;EOMONTH(AL$2,0),#REF!,"Cajas")),"-")</f>
        <v>-</v>
      </c>
      <c r="AM70" s="552" t="str">
        <f>IFERROR(IF(-1*SUMIFS(#REF!,#REF!,"&gt;="&amp;DATE(2025,MONTH(AM$2),1),#REF!,"&lt;="&amp;EOMONTH(AM$2,0),#REF!,"Cajas")=0,"-",-1*SUMIFS(#REF!,#REF!,"&gt;="&amp;DATE(2025,MONTH(AM$2),1),#REF!,"&lt;="&amp;EOMONTH(AM$2,0),#REF!,"Cajas")),"-")</f>
        <v>-</v>
      </c>
      <c r="AN70" s="550" t="str">
        <f>IFERROR(IF(-1*SUMIFS(#REF!,#REF!,"&gt;="&amp;DATE(2026,MONTH(AN$2),1),#REF!,"&lt;="&amp;EOMONTH(AN$2,0),#REF!,"Cajas")=0,"-",-1*SUMIFS(#REF!,#REF!,"&gt;="&amp;DATE(2026,MONTH(AN$2),1),#REF!,"&lt;="&amp;EOMONTH(AN$2,0),#REF!,"Cajas")),"-")</f>
        <v>-</v>
      </c>
      <c r="AO70" s="551" t="str">
        <f>IFERROR(IF(-1*SUMIFS(#REF!,#REF!,"&gt;="&amp;DATE(2026,MONTH(AO$2),1),#REF!,"&lt;="&amp;EOMONTH(AO$2,0),#REF!,"Cajas")=0,"-",-1*SUMIFS(#REF!,#REF!,"&gt;="&amp;DATE(2026,MONTH(AO$2),1),#REF!,"&lt;="&amp;EOMONTH(AO$2,0),#REF!,"Cajas")),"-")</f>
        <v>-</v>
      </c>
      <c r="AP70" s="551"/>
      <c r="AQ70" s="551"/>
      <c r="AR70" s="551"/>
      <c r="AS70" s="551"/>
      <c r="AT70" s="551"/>
      <c r="AU70" s="551"/>
      <c r="AV70" s="551"/>
      <c r="AW70" s="551"/>
      <c r="AX70" s="551"/>
      <c r="AY70" s="552"/>
      <c r="AZ70" s="434"/>
      <c r="BA70" s="440" t="str">
        <f t="shared" ref="BA70:BA73" si="29">IFERROR(AVERAGE(D70:O70),"-")</f>
        <v>-</v>
      </c>
      <c r="BB70" s="175" t="str">
        <f t="shared" ref="BB70:BB73" si="30">IFERROR(AVERAGE(P70:AA70),"-")</f>
        <v>-</v>
      </c>
      <c r="BC70" s="426" t="str">
        <f t="shared" si="15"/>
        <v>-</v>
      </c>
    </row>
    <row r="71" spans="1:55" ht="16">
      <c r="B71" s="98" t="s">
        <v>204</v>
      </c>
      <c r="C71" s="99" t="s">
        <v>206</v>
      </c>
      <c r="D71" s="154"/>
      <c r="E71" s="155"/>
      <c r="F71" s="155"/>
      <c r="G71" s="155"/>
      <c r="H71" s="155"/>
      <c r="I71" s="155"/>
      <c r="J71" s="155"/>
      <c r="K71" s="155"/>
      <c r="L71" s="155"/>
      <c r="M71" s="155"/>
      <c r="N71" s="155"/>
      <c r="O71" s="156"/>
      <c r="P71" s="157"/>
      <c r="Q71" s="155"/>
      <c r="R71" s="155"/>
      <c r="S71" s="155"/>
      <c r="T71" s="155"/>
      <c r="U71" s="155"/>
      <c r="V71" s="155"/>
      <c r="W71" s="155"/>
      <c r="X71" s="155"/>
      <c r="Y71" s="155"/>
      <c r="Z71" s="155"/>
      <c r="AA71" s="530"/>
      <c r="AB71" s="550" t="str">
        <f>IFERROR(IF(-1*SUMIFS(#REF!,#REF!,"&gt;="&amp;DATE(2025,MONTH(AB$2),1),#REF!,"&lt;="&amp;EOMONTH(AB$2,0),#REF!,"Pallet")=0,"-",-1*SUMIFS(#REF!,#REF!,"&gt;="&amp;DATE(2025,MONTH(AB$2),1),#REF!,"&lt;="&amp;EOMONTH(AB$2,0),#REF!,"Pallet")),"-")</f>
        <v>-</v>
      </c>
      <c r="AC71" s="551" t="str">
        <f>IFERROR(IF(-1*SUMIFS(#REF!,#REF!,"&gt;="&amp;DATE(2025,MONTH(AC$2),1),#REF!,"&lt;="&amp;EOMONTH(AC$2,0),#REF!,"Pallet")=0,"-",-1*SUMIFS(#REF!,#REF!,"&gt;="&amp;DATE(2025,MONTH(AC$2),1),#REF!,"&lt;="&amp;EOMONTH(AC$2,0),#REF!,"Pallet")),"-")</f>
        <v>-</v>
      </c>
      <c r="AD71" s="551" t="str">
        <f>IFERROR(IF(-1*SUMIFS(#REF!,#REF!,"&gt;="&amp;DATE(2025,MONTH(AD$2),1),#REF!,"&lt;="&amp;EOMONTH(AD$2,0),#REF!,"Pallet")=0,"-",-1*SUMIFS(#REF!,#REF!,"&gt;="&amp;DATE(2025,MONTH(AD$2),1),#REF!,"&lt;="&amp;EOMONTH(AD$2,0),#REF!,"Pallet")),"-")</f>
        <v>-</v>
      </c>
      <c r="AE71" s="551" t="str">
        <f>IFERROR(IF(-1*SUMIFS(#REF!,#REF!,"&gt;="&amp;DATE(2025,MONTH(AE$2),1),#REF!,"&lt;="&amp;EOMONTH(AE$2,0),#REF!,"Pallet")=0,"-",-1*SUMIFS(#REF!,#REF!,"&gt;="&amp;DATE(2025,MONTH(AE$2),1),#REF!,"&lt;="&amp;EOMONTH(AE$2,0),#REF!,"Pallet")),"-")</f>
        <v>-</v>
      </c>
      <c r="AF71" s="551" t="str">
        <f>IFERROR(IF(-1*SUMIFS(#REF!,#REF!,"&gt;="&amp;DATE(2025,MONTH(AF$2),1),#REF!,"&lt;="&amp;EOMONTH(AF$2,0),#REF!,"Pallet")=0,"-",-1*SUMIFS(#REF!,#REF!,"&gt;="&amp;DATE(2025,MONTH(AF$2),1),#REF!,"&lt;="&amp;EOMONTH(AF$2,0),#REF!,"Pallet")),"-")</f>
        <v>-</v>
      </c>
      <c r="AG71" s="551" t="str">
        <f>IFERROR(IF(-1*SUMIFS(#REF!,#REF!,"&gt;="&amp;DATE(2025,MONTH(AG$2),1),#REF!,"&lt;="&amp;EOMONTH(AG$2,0),#REF!,"Pallet")=0,"-",-1*SUMIFS(#REF!,#REF!,"&gt;="&amp;DATE(2025,MONTH(AG$2),1),#REF!,"&lt;="&amp;EOMONTH(AG$2,0),#REF!,"Pallet")),"-")</f>
        <v>-</v>
      </c>
      <c r="AH71" s="551" t="str">
        <f>IFERROR(IF(-1*SUMIFS(#REF!,#REF!,"&gt;="&amp;DATE(2025,MONTH(AH$2),1),#REF!,"&lt;="&amp;EOMONTH(AH$2,0),#REF!,"Pallet")=0,"-",-1*SUMIFS(#REF!,#REF!,"&gt;="&amp;DATE(2025,MONTH(AH$2),1),#REF!,"&lt;="&amp;EOMONTH(AH$2,0),#REF!,"Pallet")),"-")</f>
        <v>-</v>
      </c>
      <c r="AI71" s="551" t="str">
        <f>IFERROR(IF(-1*SUMIFS(#REF!,#REF!,"&gt;="&amp;DATE(2025,MONTH(AI$2),1),#REF!,"&lt;="&amp;EOMONTH(AI$2,0),#REF!,"Pallet")=0,"-",-1*SUMIFS(#REF!,#REF!,"&gt;="&amp;DATE(2025,MONTH(AI$2),1),#REF!,"&lt;="&amp;EOMONTH(AI$2,0),#REF!,"Pallet")),"-")</f>
        <v>-</v>
      </c>
      <c r="AJ71" s="623" t="str">
        <f>IFERROR(IF(-1*SUMIFS(#REF!,#REF!,"&gt;="&amp;DATE(2025,MONTH(AJ$2),1),#REF!,"&lt;="&amp;EOMONTH(AJ$2,0),#REF!,"Pallet")=0,"-",-1*SUMIFS(#REF!,#REF!,"&gt;="&amp;DATE(2025,MONTH(AJ$2),1),#REF!,"&lt;="&amp;EOMONTH(AJ$2,0),#REF!,"Pallet")),"-")</f>
        <v>-</v>
      </c>
      <c r="AK71" s="551" t="str">
        <f>IFERROR(IF(-1*SUMIFS(#REF!,#REF!,"&gt;="&amp;DATE(2025,MONTH(AK$2),1),#REF!,"&lt;="&amp;EOMONTH(AK$2,0),#REF!,"Pallet")=0,"-",-1*SUMIFS(#REF!,#REF!,"&gt;="&amp;DATE(2025,MONTH(AK$2),1),#REF!,"&lt;="&amp;EOMONTH(AK$2,0),#REF!,"Pallet")),"-")</f>
        <v>-</v>
      </c>
      <c r="AL71" s="551" t="str">
        <f>IFERROR(IF(-1*SUMIFS(#REF!,#REF!,"&gt;="&amp;DATE(2025,MONTH(AL$2),1),#REF!,"&lt;="&amp;EOMONTH(AL$2,0),#REF!,"Pallet")=0,"-",-1*SUMIFS(#REF!,#REF!,"&gt;="&amp;DATE(2025,MONTH(AL$2),1),#REF!,"&lt;="&amp;EOMONTH(AL$2,0),#REF!,"Pallet")),"-")</f>
        <v>-</v>
      </c>
      <c r="AM71" s="552" t="str">
        <f>IFERROR(IF(-1*SUMIFS(#REF!,#REF!,"&gt;="&amp;DATE(2025,MONTH(AM$2),1),#REF!,"&lt;="&amp;EOMONTH(AM$2,0),#REF!,"Pallet")=0,"-",-1*SUMIFS(#REF!,#REF!,"&gt;="&amp;DATE(2025,MONTH(AM$2),1),#REF!,"&lt;="&amp;EOMONTH(AM$2,0),#REF!,"Pallet")),"-")</f>
        <v>-</v>
      </c>
      <c r="AN71" s="550" t="str">
        <f>IFERROR(IF(-1*SUMIFS(#REF!,#REF!,"&gt;="&amp;DATE(2026,MONTH(AN$2),1),#REF!,"&lt;="&amp;EOMONTH(AN$2,0),#REF!,"Pallet")=0,"-",-1*SUMIFS(#REF!,#REF!,"&gt;="&amp;DATE(2026,MONTH(AN$2),1),#REF!,"&lt;="&amp;EOMONTH(AN$2,0),#REF!,"Pallet")),"-")</f>
        <v>-</v>
      </c>
      <c r="AO71" s="551" t="str">
        <f>IFERROR(IF(-1*SUMIFS(#REF!,#REF!,"&gt;="&amp;DATE(2026,MONTH(AO$2),1),#REF!,"&lt;="&amp;EOMONTH(AO$2,0),#REF!,"Pallet")=0,"-",-1*SUMIFS(#REF!,#REF!,"&gt;="&amp;DATE(2026,MONTH(AO$2),1),#REF!,"&lt;="&amp;EOMONTH(AO$2,0),#REF!,"Pallet")),"-")</f>
        <v>-</v>
      </c>
      <c r="AP71" s="551"/>
      <c r="AQ71" s="551"/>
      <c r="AR71" s="551"/>
      <c r="AS71" s="551"/>
      <c r="AT71" s="551"/>
      <c r="AU71" s="551"/>
      <c r="AV71" s="623"/>
      <c r="AW71" s="551"/>
      <c r="AX71" s="551"/>
      <c r="AY71" s="552"/>
      <c r="AZ71" s="434"/>
      <c r="BA71" s="440" t="s">
        <v>20</v>
      </c>
      <c r="BB71" s="175" t="s">
        <v>20</v>
      </c>
      <c r="BC71" s="426" t="str">
        <f t="shared" si="15"/>
        <v>-</v>
      </c>
    </row>
    <row r="72" spans="1:55" ht="16">
      <c r="B72" s="98" t="s">
        <v>207</v>
      </c>
      <c r="C72" s="99" t="s">
        <v>205</v>
      </c>
      <c r="D72" s="154"/>
      <c r="E72" s="155"/>
      <c r="F72" s="155"/>
      <c r="G72" s="155"/>
      <c r="H72" s="155"/>
      <c r="I72" s="155"/>
      <c r="J72" s="155"/>
      <c r="K72" s="155"/>
      <c r="L72" s="155"/>
      <c r="M72" s="155"/>
      <c r="N72" s="155"/>
      <c r="O72" s="156"/>
      <c r="P72" s="157"/>
      <c r="Q72" s="155"/>
      <c r="R72" s="155"/>
      <c r="S72" s="155"/>
      <c r="T72" s="155"/>
      <c r="U72" s="155"/>
      <c r="V72" s="155"/>
      <c r="W72" s="155"/>
      <c r="X72" s="155"/>
      <c r="Y72" s="155"/>
      <c r="Z72" s="155"/>
      <c r="AA72" s="530"/>
      <c r="AB72" s="550" t="str">
        <f>IFERROR(IF(-1*SUMIFS(#REF!,#REF!,"&gt;="&amp;DATE(2025,MONTH(AB$2),1),#REF!,"&lt;="&amp;EOMONTH(AB$2,0))=0,"-",-1*SUMIFS(#REF!,#REF!,"&gt;="&amp;DATE(2025,MONTH(AB$2),1),#REF!,"&lt;="&amp;EOMONTH(AB$2,0))),"-")</f>
        <v>-</v>
      </c>
      <c r="AC72" s="551" t="str">
        <f>IFERROR(IF(-1*SUMIFS(#REF!,#REF!,"&gt;="&amp;DATE(2025,MONTH(AC$2),1),#REF!,"&lt;="&amp;EOMONTH(AC$2,0))=0,"-",-1*SUMIFS(#REF!,#REF!,"&gt;="&amp;DATE(2025,MONTH(AC$2),1),#REF!,"&lt;="&amp;EOMONTH(AC$2,0))),"-")</f>
        <v>-</v>
      </c>
      <c r="AD72" s="551" t="str">
        <f>IFERROR(IF(-1*SUMIFS(#REF!,#REF!,"&gt;="&amp;DATE(2025,MONTH(AD$2),1),#REF!,"&lt;="&amp;EOMONTH(AD$2,0))=0,"-",-1*SUMIFS(#REF!,#REF!,"&gt;="&amp;DATE(2025,MONTH(AD$2),1),#REF!,"&lt;="&amp;EOMONTH(AD$2,0))),"-")</f>
        <v>-</v>
      </c>
      <c r="AE72" s="551" t="str">
        <f>IFERROR(IF(-1*SUMIFS(#REF!,#REF!,"&gt;="&amp;DATE(2025,MONTH(AE$2),1),#REF!,"&lt;="&amp;EOMONTH(AE$2,0))=0,"-",-1*SUMIFS(#REF!,#REF!,"&gt;="&amp;DATE(2025,MONTH(AE$2),1),#REF!,"&lt;="&amp;EOMONTH(AE$2,0))),"-")</f>
        <v>-</v>
      </c>
      <c r="AF72" s="551" t="str">
        <f>IFERROR(IF(-1*SUMIFS(#REF!,#REF!,"&gt;="&amp;DATE(2025,MONTH(AF$2),1),#REF!,"&lt;="&amp;EOMONTH(AF$2,0))=0,"-",-1*SUMIFS(#REF!,#REF!,"&gt;="&amp;DATE(2025,MONTH(AF$2),1),#REF!,"&lt;="&amp;EOMONTH(AF$2,0))),"-")</f>
        <v>-</v>
      </c>
      <c r="AG72" s="551" t="str">
        <f>IFERROR(IF(-1*SUMIFS(#REF!,#REF!,"&gt;="&amp;DATE(2025,MONTH(AG$2),1),#REF!,"&lt;="&amp;EOMONTH(AG$2,0))=0,"-",-1*SUMIFS(#REF!,#REF!,"&gt;="&amp;DATE(2025,MONTH(AG$2),1),#REF!,"&lt;="&amp;EOMONTH(AG$2,0))),"-")</f>
        <v>-</v>
      </c>
      <c r="AH72" s="551" t="str">
        <f>IFERROR(IF(-1*SUMIFS(#REF!,#REF!,"&gt;="&amp;DATE(2025,MONTH(AH$2),1),#REF!,"&lt;="&amp;EOMONTH(AH$2,0))=0,"-",-1*SUMIFS(#REF!,#REF!,"&gt;="&amp;DATE(2025,MONTH(AH$2),1),#REF!,"&lt;="&amp;EOMONTH(AH$2,0))),"-")</f>
        <v>-</v>
      </c>
      <c r="AI72" s="551" t="str">
        <f>IFERROR(IF(-1*SUMIFS(#REF!,#REF!,"&gt;="&amp;DATE(2025,MONTH(AI$2),1),#REF!,"&lt;="&amp;EOMONTH(AI$2,0))=0,"-",-1*SUMIFS(#REF!,#REF!,"&gt;="&amp;DATE(2025,MONTH(AI$2),1),#REF!,"&lt;="&amp;EOMONTH(AI$2,0))),"-")</f>
        <v>-</v>
      </c>
      <c r="AJ72" s="551" t="str">
        <f>IFERROR(IF(-1*SUMIFS(#REF!,#REF!,"&gt;="&amp;DATE(2025,MONTH(AJ$2),1),#REF!,"&lt;="&amp;EOMONTH(AJ$2,0))=0,"-",-1*SUMIFS(#REF!,#REF!,"&gt;="&amp;DATE(2025,MONTH(AJ$2),1),#REF!,"&lt;="&amp;EOMONTH(AJ$2,0))),"-")</f>
        <v>-</v>
      </c>
      <c r="AK72" s="551" t="str">
        <f>IFERROR(IF(-1*SUMIFS(#REF!,#REF!,"&gt;="&amp;DATE(2025,MONTH(AK$2),1),#REF!,"&lt;="&amp;EOMONTH(AK$2,0))=0,"-",-1*SUMIFS(#REF!,#REF!,"&gt;="&amp;DATE(2025,MONTH(AK$2),1),#REF!,"&lt;="&amp;EOMONTH(AK$2,0))),"-")</f>
        <v>-</v>
      </c>
      <c r="AL72" s="551" t="str">
        <f>IFERROR(IF(-1*SUMIFS(#REF!,#REF!,"&gt;="&amp;DATE(2025,MONTH(AL$2),1),#REF!,"&lt;="&amp;EOMONTH(AL$2,0))=0,"-",-1*SUMIFS(#REF!,#REF!,"&gt;="&amp;DATE(2025,MONTH(AL$2),1),#REF!,"&lt;="&amp;EOMONTH(AL$2,0))),"-")</f>
        <v>-</v>
      </c>
      <c r="AM72" s="552" t="str">
        <f>IFERROR(IF(-1*SUMIFS(#REF!,#REF!,"&gt;="&amp;DATE(2025,MONTH(AM$2),1),#REF!,"&lt;="&amp;EOMONTH(AM$2,0))=0,"-",-1*SUMIFS(#REF!,#REF!,"&gt;="&amp;DATE(2025,MONTH(AM$2),1),#REF!,"&lt;="&amp;EOMONTH(AM$2,0))),"-")</f>
        <v>-</v>
      </c>
      <c r="AN72" s="550" t="str">
        <f>IFERROR(IF(-1*SUMIFS(#REF!,#REF!,"&gt;="&amp;DATE(2026,MONTH(AN$2),1),#REF!,"&lt;="&amp;EOMONTH(AN$2,0))=0,"-",-1*SUMIFS(#REF!,#REF!,"&gt;="&amp;DATE(2026,MONTH(AN$2),1),#REF!,"&lt;="&amp;EOMONTH(AN$2,0))),"-")</f>
        <v>-</v>
      </c>
      <c r="AO72" s="551" t="str">
        <f>IFERROR(IF(-1*SUMIFS(#REF!,#REF!,"&gt;="&amp;DATE(2026,MONTH(AO$2),1),#REF!,"&lt;="&amp;EOMONTH(AO$2,0))=0,"-",-1*SUMIFS(#REF!,#REF!,"&gt;="&amp;DATE(2026,MONTH(AO$2),1),#REF!,"&lt;="&amp;EOMONTH(AO$2,0))),"-")</f>
        <v>-</v>
      </c>
      <c r="AP72" s="551"/>
      <c r="AQ72" s="551"/>
      <c r="AR72" s="551"/>
      <c r="AS72" s="551"/>
      <c r="AT72" s="551"/>
      <c r="AU72" s="551"/>
      <c r="AV72" s="551"/>
      <c r="AW72" s="551"/>
      <c r="AX72" s="551"/>
      <c r="AY72" s="552"/>
      <c r="AZ72" s="434"/>
      <c r="BA72" s="440" t="str">
        <f t="shared" si="29"/>
        <v>-</v>
      </c>
      <c r="BB72" s="175" t="str">
        <f t="shared" si="30"/>
        <v>-</v>
      </c>
      <c r="BC72" s="426" t="str">
        <f t="shared" si="15"/>
        <v>-</v>
      </c>
    </row>
    <row r="73" spans="1:55" ht="16">
      <c r="B73" s="107" t="s">
        <v>207</v>
      </c>
      <c r="C73" s="108" t="s">
        <v>200</v>
      </c>
      <c r="D73" s="158"/>
      <c r="E73" s="159"/>
      <c r="F73" s="159"/>
      <c r="G73" s="159"/>
      <c r="H73" s="159"/>
      <c r="I73" s="159"/>
      <c r="J73" s="159"/>
      <c r="K73" s="159"/>
      <c r="L73" s="159"/>
      <c r="M73" s="159"/>
      <c r="N73" s="159"/>
      <c r="O73" s="160"/>
      <c r="P73" s="161"/>
      <c r="Q73" s="159"/>
      <c r="R73" s="159"/>
      <c r="S73" s="159"/>
      <c r="T73" s="159"/>
      <c r="U73" s="159"/>
      <c r="V73" s="159"/>
      <c r="W73" s="159"/>
      <c r="X73" s="159"/>
      <c r="Y73" s="159"/>
      <c r="Z73" s="159"/>
      <c r="AA73" s="162"/>
      <c r="AB73" s="612" t="str" cm="1">
        <f t="array" aca="1" ref="AB73" ca="1">IF(COUNTA(_xlfn.UNIQUE(_xlfn._xlws.FILTER(#REF!,(#REF!&gt;=DATE(2025,MONTH('MES CERRADO'!AB$2),1))*(#REF!&lt;=EOMONTH('MES CERRADO'!AB$2,0))*(#REF!&lt;&gt;""))))=1,"-",COUNTA(_xlfn.UNIQUE(_xlfn._xlws.FILTER(#REF!,(#REF!&gt;=DATE(2025,MONTH('MES CERRADO'!AB$2),1))*(#REF!&lt;=EOMONTH('MES CERRADO'!AB$2,0))*(#REF!&lt;&gt;"")))))</f>
        <v>-</v>
      </c>
      <c r="AC73" s="611" t="str" cm="1">
        <f t="array" aca="1" ref="AC73" ca="1">IF(COUNTA(_xlfn.UNIQUE(_xlfn._xlws.FILTER(#REF!,(#REF!&gt;=DATE(2025,MONTH('MES CERRADO'!AC$2),1))*(#REF!&lt;=EOMONTH('MES CERRADO'!AC$2,0))*(#REF!&lt;&gt;""))))=1,"-",COUNTA(_xlfn.UNIQUE(_xlfn._xlws.FILTER(#REF!,(#REF!&gt;=DATE(2025,MONTH('MES CERRADO'!AC$2),1))*(#REF!&lt;=EOMONTH('MES CERRADO'!AC$2,0))*(#REF!&lt;&gt;"")))))</f>
        <v>-</v>
      </c>
      <c r="AD73" s="611" t="str" cm="1">
        <f t="array" aca="1" ref="AD73" ca="1">IF(COUNTA(_xlfn.UNIQUE(_xlfn._xlws.FILTER(#REF!,(#REF!&gt;=DATE(2025,MONTH('MES CERRADO'!AD$2),1))*(#REF!&lt;=EOMONTH('MES CERRADO'!AD$2,0))*(#REF!&lt;&gt;""))))=1,"-",COUNTA(_xlfn.UNIQUE(_xlfn._xlws.FILTER(#REF!,(#REF!&gt;=DATE(2025,MONTH('MES CERRADO'!AD$2),1))*(#REF!&lt;=EOMONTH('MES CERRADO'!AD$2,0))*(#REF!&lt;&gt;"")))))</f>
        <v>-</v>
      </c>
      <c r="AE73" s="611" t="str" cm="1">
        <f t="array" aca="1" ref="AE73" ca="1">IF(COUNTA(_xlfn.UNIQUE(_xlfn._xlws.FILTER(#REF!,(#REF!&gt;=DATE(2025,MONTH('MES CERRADO'!AE$2),1))*(#REF!&lt;=EOMONTH('MES CERRADO'!AE$2,0))*(#REF!&lt;&gt;""))))=1,"-",COUNTA(_xlfn.UNIQUE(_xlfn._xlws.FILTER(#REF!,(#REF!&gt;=DATE(2025,MONTH('MES CERRADO'!AE$2),1))*(#REF!&lt;=EOMONTH('MES CERRADO'!AE$2,0))*(#REF!&lt;&gt;"")))))</f>
        <v>-</v>
      </c>
      <c r="AF73" s="611" t="str" cm="1">
        <f t="array" aca="1" ref="AF73" ca="1">IF(COUNTA(_xlfn.UNIQUE(_xlfn._xlws.FILTER(#REF!,(#REF!&gt;=DATE(2025,MONTH('MES CERRADO'!AF$2),1))*(#REF!&lt;=EOMONTH('MES CERRADO'!AF$2,0))*(#REF!&lt;&gt;""))))=1,"-",COUNTA(_xlfn.UNIQUE(_xlfn._xlws.FILTER(#REF!,(#REF!&gt;=DATE(2025,MONTH('MES CERRADO'!AF$2),1))*(#REF!&lt;=EOMONTH('MES CERRADO'!AF$2,0))*(#REF!&lt;&gt;"")))))</f>
        <v>-</v>
      </c>
      <c r="AG73" s="611" t="str" cm="1">
        <f t="array" aca="1" ref="AG73" ca="1">IF(COUNTA(_xlfn.UNIQUE(_xlfn._xlws.FILTER(#REF!,(#REF!&gt;=DATE(2025,MONTH('MES CERRADO'!AG$2),1))*(#REF!&lt;=EOMONTH('MES CERRADO'!AG$2,0))*(#REF!&lt;&gt;""))))=1,"-",COUNTA(_xlfn.UNIQUE(_xlfn._xlws.FILTER(#REF!,(#REF!&gt;=DATE(2025,MONTH('MES CERRADO'!AG$2),1))*(#REF!&lt;=EOMONTH('MES CERRADO'!AG$2,0))*(#REF!&lt;&gt;"")))))</f>
        <v>-</v>
      </c>
      <c r="AH73" s="611" t="str" cm="1">
        <f t="array" aca="1" ref="AH73" ca="1">IF(COUNTA(_xlfn.UNIQUE(_xlfn._xlws.FILTER(#REF!,(#REF!&gt;=DATE(2025,MONTH('MES CERRADO'!AH$2),1))*(#REF!&lt;=EOMONTH('MES CERRADO'!AH$2,0))*(#REF!&lt;&gt;""))))=1,"-",COUNTA(_xlfn.UNIQUE(_xlfn._xlws.FILTER(#REF!,(#REF!&gt;=DATE(2025,MONTH('MES CERRADO'!AH$2),1))*(#REF!&lt;=EOMONTH('MES CERRADO'!AH$2,0))*(#REF!&lt;&gt;"")))))</f>
        <v>-</v>
      </c>
      <c r="AI73" s="611" t="str" cm="1">
        <f t="array" aca="1" ref="AI73" ca="1">IF(COUNTA(_xlfn.UNIQUE(_xlfn._xlws.FILTER(#REF!,(#REF!&gt;=DATE(2025,MONTH('MES CERRADO'!AI$2),1))*(#REF!&lt;=EOMONTH('MES CERRADO'!AI$2,0))*(#REF!&lt;&gt;""))))=1,"-",COUNTA(_xlfn.UNIQUE(_xlfn._xlws.FILTER(#REF!,(#REF!&gt;=DATE(2025,MONTH('MES CERRADO'!AI$2),1))*(#REF!&lt;=EOMONTH('MES CERRADO'!AI$2,0))*(#REF!&lt;&gt;"")))))</f>
        <v>-</v>
      </c>
      <c r="AJ73" s="611" t="str" cm="1">
        <f t="array" aca="1" ref="AJ73" ca="1">IF(COUNTA(_xlfn.UNIQUE(_xlfn._xlws.FILTER(#REF!,(#REF!&gt;=DATE(2025,MONTH('MES CERRADO'!AJ$2),1))*(#REF!&lt;=EOMONTH('MES CERRADO'!AJ$2,0))*(#REF!&lt;&gt;""))))=1,"-",COUNTA(_xlfn.UNIQUE(_xlfn._xlws.FILTER(#REF!,(#REF!&gt;=DATE(2025,MONTH('MES CERRADO'!AJ$2),1))*(#REF!&lt;=EOMONTH('MES CERRADO'!AJ$2,0))*(#REF!&lt;&gt;"")))))</f>
        <v>-</v>
      </c>
      <c r="AK73" s="611" t="str" cm="1">
        <f t="array" aca="1" ref="AK73" ca="1">IF(COUNTA(_xlfn.UNIQUE(_xlfn._xlws.FILTER(#REF!,(#REF!&gt;=DATE(2025,MONTH('MES CERRADO'!AK$2),1))*(#REF!&lt;=EOMONTH('MES CERRADO'!AK$2,0))*(#REF!&lt;&gt;""))))=1,"-",COUNTA(_xlfn.UNIQUE(_xlfn._xlws.FILTER(#REF!,(#REF!&gt;=DATE(2025,MONTH('MES CERRADO'!AK$2),1))*(#REF!&lt;=EOMONTH('MES CERRADO'!AK$2,0))*(#REF!&lt;&gt;"")))))</f>
        <v>-</v>
      </c>
      <c r="AL73" s="611" t="str" cm="1">
        <f t="array" aca="1" ref="AL73" ca="1">IF(COUNTA(_xlfn.UNIQUE(_xlfn._xlws.FILTER(#REF!,(#REF!&gt;=DATE(2025,MONTH('MES CERRADO'!AL$2),1))*(#REF!&lt;=EOMONTH('MES CERRADO'!AL$2,0))*(#REF!&lt;&gt;""))))=1,"-",COUNTA(_xlfn.UNIQUE(_xlfn._xlws.FILTER(#REF!,(#REF!&gt;=DATE(2025,MONTH('MES CERRADO'!AL$2),1))*(#REF!&lt;=EOMONTH('MES CERRADO'!AL$2,0))*(#REF!&lt;&gt;"")))))</f>
        <v>-</v>
      </c>
      <c r="AM73" s="613" t="str" cm="1">
        <f t="array" aca="1" ref="AM73" ca="1">IF(COUNTA(_xlfn.UNIQUE(_xlfn._xlws.FILTER(#REF!,(#REF!&gt;=DATE(2025,MONTH('MES CERRADO'!AM$2),1))*(#REF!&lt;=EOMONTH('MES CERRADO'!AM$2,0))*(#REF!&lt;&gt;""))))=1,"-",COUNTA(_xlfn.UNIQUE(_xlfn._xlws.FILTER(#REF!,(#REF!&gt;=DATE(2025,MONTH('MES CERRADO'!AM$2),1))*(#REF!&lt;=EOMONTH('MES CERRADO'!AM$2,0))*(#REF!&lt;&gt;"")))))</f>
        <v>-</v>
      </c>
      <c r="AN73" s="612" t="str" cm="1">
        <f t="array" aca="1" ref="AN73" ca="1">IF(COUNTA(_xlfn.UNIQUE(_xlfn._xlws.FILTER(#REF!,(#REF!&gt;=DATE(2026,MONTH('MES CERRADO'!AN$2),1))*(#REF!&lt;=EOMONTH('MES CERRADO'!AN$2,0))*(#REF!&lt;&gt;""))))=1,"-",COUNTA(_xlfn.UNIQUE(_xlfn._xlws.FILTER(#REF!,(#REF!&gt;=DATE(2026,MONTH('MES CERRADO'!AN$2),1))*(#REF!&lt;=EOMONTH('MES CERRADO'!AN$2,0))*(#REF!&lt;&gt;"")))))</f>
        <v>-</v>
      </c>
      <c r="AO73" s="611" t="str" cm="1">
        <f t="array" aca="1" ref="AO73" ca="1">IF(COUNTA(_xlfn.UNIQUE(_xlfn._xlws.FILTER(#REF!,(#REF!&gt;=DATE(2026,MONTH('MES CERRADO'!AO$2),1))*(#REF!&lt;=EOMONTH('MES CERRADO'!AO$2,0))*(#REF!&lt;&gt;""))))=1,"-",COUNTA(_xlfn.UNIQUE(_xlfn._xlws.FILTER(#REF!,(#REF!&gt;=DATE(2026,MONTH('MES CERRADO'!AO$2),1))*(#REF!&lt;=EOMONTH('MES CERRADO'!AO$2,0))*(#REF!&lt;&gt;"")))))</f>
        <v>-</v>
      </c>
      <c r="AP73" s="611"/>
      <c r="AQ73" s="611"/>
      <c r="AR73" s="611"/>
      <c r="AS73" s="611"/>
      <c r="AT73" s="611"/>
      <c r="AU73" s="611"/>
      <c r="AV73" s="611"/>
      <c r="AW73" s="611"/>
      <c r="AX73" s="611"/>
      <c r="AY73" s="613"/>
      <c r="AZ73" s="434"/>
      <c r="BA73" s="569" t="str">
        <f t="shared" si="29"/>
        <v>-</v>
      </c>
      <c r="BB73" s="568" t="str">
        <f t="shared" si="30"/>
        <v>-</v>
      </c>
      <c r="BC73" s="570" t="str">
        <f t="shared" ca="1" si="15"/>
        <v>-</v>
      </c>
    </row>
    <row r="74" spans="1:55" ht="16">
      <c r="B74" s="98" t="s">
        <v>208</v>
      </c>
      <c r="C74" s="99" t="s">
        <v>117</v>
      </c>
      <c r="D74" s="303" t="s">
        <v>124</v>
      </c>
      <c r="E74" s="304" t="s">
        <v>124</v>
      </c>
      <c r="F74" s="304" t="s">
        <v>124</v>
      </c>
      <c r="G74" s="820">
        <v>3.15E-2</v>
      </c>
      <c r="H74" s="820">
        <v>1.4999999999999999E-2</v>
      </c>
      <c r="I74" s="820">
        <v>2.3E-2</v>
      </c>
      <c r="J74" s="820">
        <v>2.4E-2</v>
      </c>
      <c r="K74" s="820">
        <v>2.1999999999999999E-2</v>
      </c>
      <c r="L74" s="820">
        <v>2.5999999999999999E-2</v>
      </c>
      <c r="M74" s="820">
        <v>2.1000000000000001E-2</v>
      </c>
      <c r="N74" s="820">
        <v>2.4E-2</v>
      </c>
      <c r="O74" s="821">
        <v>1.83E-2</v>
      </c>
      <c r="P74" s="822">
        <v>1.3100000000000001E-2</v>
      </c>
      <c r="Q74" s="820">
        <v>2.4E-2</v>
      </c>
      <c r="R74" s="820">
        <v>2.1000000000000001E-2</v>
      </c>
      <c r="S74" s="820">
        <v>2.7099999999999999E-2</v>
      </c>
      <c r="T74" s="820">
        <v>2.0899999999999998E-2</v>
      </c>
      <c r="U74" s="820">
        <v>2.1700000000000001E-2</v>
      </c>
      <c r="V74" s="820">
        <v>2.1499999999999998E-2</v>
      </c>
      <c r="W74" s="820">
        <v>2.4199999999999999E-2</v>
      </c>
      <c r="X74" s="820">
        <v>2.2200000000000001E-2</v>
      </c>
      <c r="Y74" s="820">
        <v>1.9800000000000002E-2</v>
      </c>
      <c r="Z74" s="820">
        <v>1.83E-2</v>
      </c>
      <c r="AA74" s="823">
        <v>2.7E-2</v>
      </c>
      <c r="AB74" s="824">
        <v>2.3E-2</v>
      </c>
      <c r="AC74" s="820">
        <v>2.9000000000000001E-2</v>
      </c>
      <c r="AD74" s="820">
        <v>2.7E-2</v>
      </c>
      <c r="AE74" s="820">
        <v>2.5999999999999999E-2</v>
      </c>
      <c r="AF74" s="820">
        <v>2.5999999999999999E-2</v>
      </c>
      <c r="AG74" s="825">
        <v>2.7E-2</v>
      </c>
      <c r="AH74" s="825">
        <v>0.02</v>
      </c>
      <c r="AI74" s="825">
        <v>3.2000000000000001E-2</v>
      </c>
      <c r="AJ74" s="825">
        <v>2.1999999999999999E-2</v>
      </c>
      <c r="AK74" s="820">
        <v>2.5000000000000001E-2</v>
      </c>
      <c r="AL74" s="820">
        <v>2.7E-2</v>
      </c>
      <c r="AM74" s="823">
        <v>2.1999999999999999E-2</v>
      </c>
      <c r="AN74" s="824">
        <v>2.4E-2</v>
      </c>
      <c r="AO74" s="820"/>
      <c r="AP74" s="820"/>
      <c r="AQ74" s="820"/>
      <c r="AR74" s="820"/>
      <c r="AS74" s="825"/>
      <c r="AT74" s="825"/>
      <c r="AU74" s="825"/>
      <c r="AV74" s="825"/>
      <c r="AW74" s="820"/>
      <c r="AX74" s="820"/>
      <c r="AY74" s="823"/>
      <c r="AZ74" s="434"/>
      <c r="BA74" s="610">
        <f t="shared" si="25"/>
        <v>2.2755555555555553E-2</v>
      </c>
      <c r="BB74" s="608">
        <f t="shared" si="26"/>
        <v>2.1733333333333337E-2</v>
      </c>
      <c r="BC74" s="609">
        <f t="shared" si="15"/>
        <v>2.5500000000000005E-2</v>
      </c>
    </row>
    <row r="75" spans="1:55" ht="16">
      <c r="A75" s="66"/>
      <c r="B75" s="98" t="s">
        <v>209</v>
      </c>
      <c r="C75" s="99" t="s">
        <v>117</v>
      </c>
      <c r="D75" s="123"/>
      <c r="E75" s="102"/>
      <c r="F75" s="102"/>
      <c r="G75" s="507"/>
      <c r="H75" s="507"/>
      <c r="I75" s="507"/>
      <c r="J75" s="507"/>
      <c r="K75" s="507"/>
      <c r="L75" s="507"/>
      <c r="M75" s="507"/>
      <c r="N75" s="507"/>
      <c r="O75" s="508"/>
      <c r="P75" s="509"/>
      <c r="Q75" s="507"/>
      <c r="R75" s="507"/>
      <c r="S75" s="507"/>
      <c r="T75" s="507"/>
      <c r="U75" s="507"/>
      <c r="V75" s="507"/>
      <c r="W75" s="507"/>
      <c r="X75" s="507"/>
      <c r="Y75" s="507"/>
      <c r="Z75" s="507"/>
      <c r="AA75" s="510"/>
      <c r="AB75" s="511">
        <v>1E-3</v>
      </c>
      <c r="AC75" s="507">
        <v>1E-3</v>
      </c>
      <c r="AD75" s="507">
        <v>2E-3</v>
      </c>
      <c r="AE75" s="507">
        <v>2E-3</v>
      </c>
      <c r="AF75" s="507">
        <v>2E-3</v>
      </c>
      <c r="AG75" s="507">
        <v>2E-3</v>
      </c>
      <c r="AH75" s="507">
        <v>3.0000000000000001E-3</v>
      </c>
      <c r="AI75" s="507">
        <v>1E-3</v>
      </c>
      <c r="AJ75" s="507">
        <v>1E-3</v>
      </c>
      <c r="AK75" s="507">
        <v>1E-3</v>
      </c>
      <c r="AL75" s="507">
        <v>1E-3</v>
      </c>
      <c r="AM75" s="507">
        <v>1E-3</v>
      </c>
      <c r="AN75" s="511">
        <v>2E-3</v>
      </c>
      <c r="AO75" s="507"/>
      <c r="AP75" s="507"/>
      <c r="AQ75" s="507"/>
      <c r="AR75" s="507"/>
      <c r="AS75" s="507"/>
      <c r="AT75" s="507"/>
      <c r="AU75" s="507"/>
      <c r="AV75" s="507"/>
      <c r="AW75" s="507"/>
      <c r="AX75" s="507"/>
      <c r="AY75" s="510"/>
      <c r="AZ75" s="433"/>
      <c r="BA75" s="515" t="str">
        <f t="shared" ref="BA75:BA76" si="31">IFERROR(AVERAGE(D75:O75),"-")</f>
        <v>-</v>
      </c>
      <c r="BB75" s="507" t="str">
        <f t="shared" ref="BB75:BB76" si="32">IFERROR(AVERAGE(P75:AA75),"-")</f>
        <v>-</v>
      </c>
      <c r="BC75" s="516">
        <f t="shared" ref="BC75:BC198" si="33">IFERROR(SUMIFS(AB75:AM75,AB75:AM75,"&lt;&gt;0",AB75:AM75,"&lt;&gt;-",AB75:AM75,"&lt;&gt;",AB75:AM75,"&lt;&gt; ")/COUNTIFS(AB75:AM75,"&lt;&gt;0",AB75:AM75,"&lt;&gt;-",AB75:AM75,"&lt;&gt;",AB75:AM75,"&lt;&gt; "),"-")</f>
        <v>1.5000000000000005E-3</v>
      </c>
    </row>
    <row r="76" spans="1:55" ht="16">
      <c r="A76" s="66"/>
      <c r="B76" s="98" t="s">
        <v>210</v>
      </c>
      <c r="C76" s="99" t="s">
        <v>117</v>
      </c>
      <c r="D76" s="123"/>
      <c r="E76" s="102"/>
      <c r="F76" s="102"/>
      <c r="G76" s="507"/>
      <c r="H76" s="507"/>
      <c r="I76" s="507"/>
      <c r="J76" s="507"/>
      <c r="K76" s="507"/>
      <c r="L76" s="507"/>
      <c r="M76" s="507"/>
      <c r="N76" s="507"/>
      <c r="O76" s="508"/>
      <c r="P76" s="509"/>
      <c r="Q76" s="507"/>
      <c r="R76" s="507"/>
      <c r="S76" s="507"/>
      <c r="T76" s="507"/>
      <c r="U76" s="507"/>
      <c r="V76" s="507"/>
      <c r="W76" s="507"/>
      <c r="X76" s="507"/>
      <c r="Y76" s="507"/>
      <c r="Z76" s="507"/>
      <c r="AA76" s="510"/>
      <c r="AB76" s="511">
        <v>1E-3</v>
      </c>
      <c r="AC76" s="507">
        <v>1E-3</v>
      </c>
      <c r="AD76" s="507">
        <v>1E-3</v>
      </c>
      <c r="AE76" s="507">
        <v>1E-3</v>
      </c>
      <c r="AF76" s="507">
        <v>2E-3</v>
      </c>
      <c r="AG76" s="507">
        <v>1E-3</v>
      </c>
      <c r="AH76" s="507">
        <v>0</v>
      </c>
      <c r="AI76" s="507">
        <v>1E-3</v>
      </c>
      <c r="AJ76" s="507">
        <v>2E-3</v>
      </c>
      <c r="AK76" s="507">
        <v>1E-3</v>
      </c>
      <c r="AL76" s="507">
        <v>2E-3</v>
      </c>
      <c r="AM76" s="507">
        <v>1E-3</v>
      </c>
      <c r="AN76" s="511">
        <v>2E-3</v>
      </c>
      <c r="AO76" s="507"/>
      <c r="AP76" s="507"/>
      <c r="AQ76" s="507"/>
      <c r="AR76" s="507"/>
      <c r="AS76" s="507"/>
      <c r="AT76" s="507"/>
      <c r="AU76" s="507"/>
      <c r="AV76" s="507"/>
      <c r="AW76" s="507"/>
      <c r="AX76" s="507"/>
      <c r="AY76" s="510"/>
      <c r="AZ76" s="433"/>
      <c r="BA76" s="515" t="str">
        <f t="shared" si="31"/>
        <v>-</v>
      </c>
      <c r="BB76" s="507" t="str">
        <f t="shared" si="32"/>
        <v>-</v>
      </c>
      <c r="BC76" s="516">
        <f t="shared" si="33"/>
        <v>1.2727272727272726E-3</v>
      </c>
    </row>
    <row r="77" spans="1:55" ht="16">
      <c r="A77" t="s">
        <v>124</v>
      </c>
      <c r="B77" s="107" t="s">
        <v>211</v>
      </c>
      <c r="C77" s="108" t="s">
        <v>117</v>
      </c>
      <c r="D77" s="158" t="s">
        <v>20</v>
      </c>
      <c r="E77" s="159" t="s">
        <v>20</v>
      </c>
      <c r="F77" s="159" t="s">
        <v>20</v>
      </c>
      <c r="G77" s="475" t="s">
        <v>20</v>
      </c>
      <c r="H77" s="475" t="s">
        <v>20</v>
      </c>
      <c r="I77" s="475" t="s">
        <v>20</v>
      </c>
      <c r="J77" s="475" t="s">
        <v>20</v>
      </c>
      <c r="K77" s="475" t="s">
        <v>20</v>
      </c>
      <c r="L77" s="475" t="s">
        <v>20</v>
      </c>
      <c r="M77" s="475" t="s">
        <v>20</v>
      </c>
      <c r="N77" s="475" t="s">
        <v>20</v>
      </c>
      <c r="O77" s="476">
        <v>0.60299999999999998</v>
      </c>
      <c r="P77" s="477">
        <v>0.621</v>
      </c>
      <c r="Q77" s="475">
        <v>0.64200000000000002</v>
      </c>
      <c r="R77" s="475">
        <v>0.61099999999999999</v>
      </c>
      <c r="S77" s="475">
        <v>0.70299999999999996</v>
      </c>
      <c r="T77" s="475">
        <v>0.72699999999999998</v>
      </c>
      <c r="U77" s="475">
        <v>0.72399999999999998</v>
      </c>
      <c r="V77" s="475">
        <v>0.64700000000000002</v>
      </c>
      <c r="W77" s="475">
        <v>0.68799999999999994</v>
      </c>
      <c r="X77" s="475">
        <v>0.65100000000000002</v>
      </c>
      <c r="Y77" s="475">
        <v>0.66</v>
      </c>
      <c r="Z77" s="475">
        <v>0.70099999999999996</v>
      </c>
      <c r="AA77" s="478">
        <v>0.63500000000000001</v>
      </c>
      <c r="AB77" s="474">
        <v>0.63400000000000001</v>
      </c>
      <c r="AC77" s="475">
        <v>0.63</v>
      </c>
      <c r="AD77" s="475">
        <v>0.60699999999999998</v>
      </c>
      <c r="AE77" s="475">
        <v>0.61399999999999999</v>
      </c>
      <c r="AF77" s="475" t="s">
        <v>20</v>
      </c>
      <c r="AG77" s="475" t="s">
        <v>20</v>
      </c>
      <c r="AH77" s="475" t="s">
        <v>20</v>
      </c>
      <c r="AI77" s="475" t="s">
        <v>20</v>
      </c>
      <c r="AJ77" s="475" t="s">
        <v>20</v>
      </c>
      <c r="AK77" s="475" t="s">
        <v>20</v>
      </c>
      <c r="AL77" s="475" t="s">
        <v>124</v>
      </c>
      <c r="AM77" s="478" t="s">
        <v>124</v>
      </c>
      <c r="AN77" s="474" t="s">
        <v>124</v>
      </c>
      <c r="AO77" s="475"/>
      <c r="AP77" s="475"/>
      <c r="AQ77" s="475"/>
      <c r="AR77" s="475"/>
      <c r="AS77" s="475"/>
      <c r="AT77" s="475"/>
      <c r="AU77" s="475"/>
      <c r="AV77" s="475"/>
      <c r="AW77" s="475"/>
      <c r="AX77" s="475"/>
      <c r="AY77" s="478"/>
      <c r="AZ77" s="434" t="s">
        <v>124</v>
      </c>
      <c r="BA77" s="479">
        <f t="shared" si="25"/>
        <v>0.60299999999999998</v>
      </c>
      <c r="BB77" s="475">
        <f t="shared" si="26"/>
        <v>0.66749999999999998</v>
      </c>
      <c r="BC77" s="517">
        <f t="shared" si="33"/>
        <v>0.41416666666666663</v>
      </c>
    </row>
    <row r="78" spans="1:55" ht="15.75" customHeight="1">
      <c r="B78" s="302"/>
      <c r="C78" s="301"/>
      <c r="D78" s="338"/>
      <c r="E78" s="339"/>
      <c r="F78" s="339"/>
      <c r="G78" s="339"/>
      <c r="H78" s="339"/>
      <c r="I78" s="339"/>
      <c r="J78" s="339"/>
      <c r="K78" s="339"/>
      <c r="L78" s="339"/>
      <c r="M78" s="339"/>
      <c r="N78" s="339"/>
      <c r="O78" s="339"/>
      <c r="P78" s="339"/>
      <c r="Q78" s="339"/>
      <c r="R78" s="339"/>
      <c r="S78" s="339"/>
      <c r="T78" s="339"/>
      <c r="U78" s="339"/>
      <c r="V78" s="339"/>
      <c r="W78" s="339"/>
      <c r="X78" s="339"/>
      <c r="Y78" s="339"/>
      <c r="Z78" s="339"/>
      <c r="AA78" s="339"/>
      <c r="AB78" s="1027"/>
      <c r="AC78" s="1027"/>
      <c r="AD78" s="1027"/>
      <c r="AE78" s="1027"/>
      <c r="AF78" s="1027"/>
      <c r="AG78" s="1027"/>
      <c r="AH78" s="1027"/>
      <c r="AI78" s="1027"/>
      <c r="AJ78" s="1027"/>
      <c r="AK78" s="1027"/>
      <c r="AL78" s="1027"/>
      <c r="AM78" s="1027"/>
      <c r="AN78" s="339"/>
      <c r="AO78" s="339"/>
      <c r="AP78" s="339"/>
      <c r="AQ78" s="339"/>
      <c r="AR78" s="339"/>
      <c r="AS78" s="339"/>
      <c r="AT78" s="339"/>
      <c r="AU78" s="339"/>
      <c r="AV78" s="339"/>
      <c r="AW78" s="339"/>
      <c r="AX78" s="339"/>
      <c r="AY78" s="339"/>
      <c r="BA78" s="339"/>
      <c r="BB78" s="339"/>
      <c r="BC78" s="339"/>
    </row>
    <row r="79" spans="1:55" ht="16">
      <c r="A79" s="92"/>
      <c r="B79" s="98" t="s">
        <v>212</v>
      </c>
      <c r="C79" s="99" t="s">
        <v>153</v>
      </c>
      <c r="D79" s="168">
        <v>41</v>
      </c>
      <c r="E79" s="169">
        <v>42</v>
      </c>
      <c r="F79" s="169">
        <v>50</v>
      </c>
      <c r="G79" s="169">
        <f t="shared" ref="G79:AA79" si="34">+SUM(G80:G115)</f>
        <v>42</v>
      </c>
      <c r="H79" s="169">
        <f t="shared" si="34"/>
        <v>29</v>
      </c>
      <c r="I79" s="169">
        <f t="shared" si="34"/>
        <v>46</v>
      </c>
      <c r="J79" s="169">
        <f t="shared" si="34"/>
        <v>33</v>
      </c>
      <c r="K79" s="169">
        <f t="shared" si="34"/>
        <v>32</v>
      </c>
      <c r="L79" s="169">
        <f t="shared" si="34"/>
        <v>34</v>
      </c>
      <c r="M79" s="169">
        <f t="shared" si="34"/>
        <v>32</v>
      </c>
      <c r="N79" s="169">
        <f t="shared" si="34"/>
        <v>26</v>
      </c>
      <c r="O79" s="170">
        <f t="shared" si="34"/>
        <v>25</v>
      </c>
      <c r="P79" s="171">
        <f t="shared" si="34"/>
        <v>46</v>
      </c>
      <c r="Q79" s="169">
        <f t="shared" si="34"/>
        <v>23</v>
      </c>
      <c r="R79" s="169">
        <f t="shared" si="34"/>
        <v>65</v>
      </c>
      <c r="S79" s="169">
        <f t="shared" si="34"/>
        <v>74</v>
      </c>
      <c r="T79" s="169">
        <f t="shared" si="34"/>
        <v>48</v>
      </c>
      <c r="U79" s="169">
        <f t="shared" si="34"/>
        <v>45</v>
      </c>
      <c r="V79" s="169">
        <f t="shared" si="34"/>
        <v>44</v>
      </c>
      <c r="W79" s="169">
        <f t="shared" si="34"/>
        <v>37</v>
      </c>
      <c r="X79" s="169">
        <f t="shared" si="34"/>
        <v>43</v>
      </c>
      <c r="Y79" s="169">
        <f t="shared" si="34"/>
        <v>53</v>
      </c>
      <c r="Z79" s="169">
        <f t="shared" si="34"/>
        <v>62</v>
      </c>
      <c r="AA79" s="315">
        <f t="shared" si="34"/>
        <v>72</v>
      </c>
      <c r="AB79" s="1122">
        <f>+AB80+AB84+AB94+AB97+AB100+AB101+AB108+AB109+AB115</f>
        <v>57</v>
      </c>
      <c r="AC79" s="1123">
        <f t="shared" ref="AC79:AJ79" si="35">+AC80+AC84+AC94+AC97+AC100+AC101+AC108+AC109+AC115</f>
        <v>49</v>
      </c>
      <c r="AD79" s="1123">
        <f t="shared" si="35"/>
        <v>80</v>
      </c>
      <c r="AE79" s="1123">
        <f t="shared" si="35"/>
        <v>72</v>
      </c>
      <c r="AF79" s="1123">
        <f t="shared" si="35"/>
        <v>77</v>
      </c>
      <c r="AG79" s="1123">
        <f t="shared" si="35"/>
        <v>55</v>
      </c>
      <c r="AH79" s="1123">
        <f t="shared" si="35"/>
        <v>55</v>
      </c>
      <c r="AI79" s="1123">
        <f t="shared" si="35"/>
        <v>56</v>
      </c>
      <c r="AJ79" s="1123">
        <f t="shared" si="35"/>
        <v>65</v>
      </c>
      <c r="AK79" s="1123">
        <f>+AK80+AK84+AK94+AK97+AK100+AK101+AK108+AK109+AK115</f>
        <v>53</v>
      </c>
      <c r="AL79" s="1123">
        <f>+AL80+AL84+AL94+AL97+AL100+AL101+AL108+AL109+AL115</f>
        <v>53</v>
      </c>
      <c r="AM79" s="1124">
        <f>+AM80+AM84+AM94+AM97+AM100+AM101+AM108+AM109+AM115</f>
        <v>46</v>
      </c>
      <c r="AN79" s="1124">
        <f>+AN80+AN84+AN94+AN97+AN100+AN101+AN108+AN109+AN115</f>
        <v>79</v>
      </c>
      <c r="AO79" s="1124">
        <f>+AO80+AO84+AO94+AO97+AO100+AO101+AO108+AO109+AO115</f>
        <v>36</v>
      </c>
      <c r="AP79" s="169"/>
      <c r="AQ79" s="169"/>
      <c r="AR79" s="169"/>
      <c r="AS79" s="169"/>
      <c r="AT79" s="169"/>
      <c r="AU79" s="169"/>
      <c r="AV79" s="169"/>
      <c r="AW79" s="169"/>
      <c r="AX79" s="169"/>
      <c r="AY79" s="169"/>
      <c r="AZ79" s="437"/>
      <c r="BA79" s="452">
        <f t="shared" ref="BA79:BA178" si="36">IFERROR(AVERAGE(D79:O79),"-")</f>
        <v>36</v>
      </c>
      <c r="BB79" s="317">
        <f t="shared" ref="BB79:BB178" si="37">IFERROR(AVERAGE(P79:AA79),"-")</f>
        <v>51</v>
      </c>
      <c r="BC79" s="431">
        <f t="shared" si="33"/>
        <v>59.833333333333336</v>
      </c>
    </row>
    <row r="80" spans="1:55" ht="16">
      <c r="A80" s="93"/>
      <c r="B80" s="100" t="s">
        <v>213</v>
      </c>
      <c r="C80" s="99" t="s">
        <v>153</v>
      </c>
      <c r="D80" s="125" t="s">
        <v>124</v>
      </c>
      <c r="E80" s="103" t="s">
        <v>124</v>
      </c>
      <c r="F80" s="103" t="s">
        <v>124</v>
      </c>
      <c r="G80" s="103">
        <v>10</v>
      </c>
      <c r="H80" s="103">
        <v>14</v>
      </c>
      <c r="I80" s="103">
        <v>16</v>
      </c>
      <c r="J80" s="103">
        <v>13</v>
      </c>
      <c r="K80" s="103">
        <v>9</v>
      </c>
      <c r="L80" s="103">
        <v>14</v>
      </c>
      <c r="M80" s="103">
        <v>17</v>
      </c>
      <c r="N80" s="103">
        <v>9</v>
      </c>
      <c r="O80" s="126">
        <v>13</v>
      </c>
      <c r="P80" s="114">
        <v>13</v>
      </c>
      <c r="Q80" s="103">
        <v>7</v>
      </c>
      <c r="R80" s="103">
        <v>28</v>
      </c>
      <c r="S80" s="103">
        <v>36</v>
      </c>
      <c r="T80" s="103">
        <v>15</v>
      </c>
      <c r="U80" s="103">
        <v>17</v>
      </c>
      <c r="V80" s="103">
        <v>15</v>
      </c>
      <c r="W80" s="103">
        <v>18</v>
      </c>
      <c r="X80" s="103">
        <v>18</v>
      </c>
      <c r="Y80" s="103">
        <v>20</v>
      </c>
      <c r="Z80" s="103">
        <v>29</v>
      </c>
      <c r="AA80" s="146">
        <v>32</v>
      </c>
      <c r="AB80" s="1125">
        <v>24</v>
      </c>
      <c r="AC80" s="1126">
        <v>18</v>
      </c>
      <c r="AD80" s="1126">
        <v>36</v>
      </c>
      <c r="AE80" s="1126">
        <v>35</v>
      </c>
      <c r="AF80" s="1126">
        <v>31</v>
      </c>
      <c r="AG80" s="1126">
        <v>25</v>
      </c>
      <c r="AH80" s="1126">
        <v>22</v>
      </c>
      <c r="AI80" s="1126">
        <v>23</v>
      </c>
      <c r="AJ80" s="1126">
        <v>16</v>
      </c>
      <c r="AK80" s="1127">
        <v>21</v>
      </c>
      <c r="AL80" s="1127">
        <v>23</v>
      </c>
      <c r="AM80" s="1128">
        <v>21</v>
      </c>
      <c r="AN80" s="1129">
        <f>+SUM(AN81:AN83)</f>
        <v>33</v>
      </c>
      <c r="AO80" s="1129">
        <f>+SUM(AO81:AO83)</f>
        <v>12</v>
      </c>
      <c r="AP80" s="535"/>
      <c r="AQ80" s="535"/>
      <c r="AR80" s="535"/>
      <c r="AS80" s="535"/>
      <c r="AT80" s="535"/>
      <c r="AU80" s="535"/>
      <c r="AV80" s="535"/>
      <c r="AW80" s="103"/>
      <c r="AX80" s="103"/>
      <c r="AY80" s="146"/>
      <c r="AZ80" s="438"/>
      <c r="BA80" s="441">
        <f t="shared" si="36"/>
        <v>12.777777777777779</v>
      </c>
      <c r="BB80" s="277">
        <f t="shared" si="37"/>
        <v>20.666666666666668</v>
      </c>
      <c r="BC80" s="420">
        <f t="shared" si="33"/>
        <v>24.583333333333332</v>
      </c>
    </row>
    <row r="81" spans="1:55" ht="16" hidden="1" outlineLevel="1">
      <c r="A81" s="93"/>
      <c r="B81" s="100" t="s">
        <v>214</v>
      </c>
      <c r="C81" s="99" t="s">
        <v>153</v>
      </c>
      <c r="D81" s="846"/>
      <c r="E81" s="847"/>
      <c r="F81" s="847"/>
      <c r="G81" s="847"/>
      <c r="H81" s="847"/>
      <c r="I81" s="847"/>
      <c r="J81" s="847"/>
      <c r="K81" s="847"/>
      <c r="L81" s="847"/>
      <c r="M81" s="847"/>
      <c r="N81" s="847"/>
      <c r="O81" s="848"/>
      <c r="P81" s="849"/>
      <c r="Q81" s="847"/>
      <c r="R81" s="847"/>
      <c r="S81" s="847"/>
      <c r="T81" s="847"/>
      <c r="U81" s="847"/>
      <c r="V81" s="847"/>
      <c r="W81" s="847"/>
      <c r="X81" s="847"/>
      <c r="Y81" s="847"/>
      <c r="Z81" s="847"/>
      <c r="AA81" s="851"/>
      <c r="AB81" s="1130">
        <v>1</v>
      </c>
      <c r="AC81" s="1131">
        <v>1</v>
      </c>
      <c r="AD81" s="1131"/>
      <c r="AE81" s="1131">
        <v>3</v>
      </c>
      <c r="AF81" s="1131">
        <v>10</v>
      </c>
      <c r="AG81" s="1131">
        <v>2</v>
      </c>
      <c r="AH81" s="1131">
        <v>5</v>
      </c>
      <c r="AI81" s="1131">
        <v>1</v>
      </c>
      <c r="AJ81" s="1131"/>
      <c r="AK81" s="1132">
        <v>2</v>
      </c>
      <c r="AL81" s="1132">
        <v>2</v>
      </c>
      <c r="AM81" s="1133">
        <v>1</v>
      </c>
      <c r="AN81" s="1134">
        <v>6</v>
      </c>
      <c r="AO81" s="1134">
        <v>0</v>
      </c>
      <c r="AP81" s="850"/>
      <c r="AQ81" s="850"/>
      <c r="AR81" s="850"/>
      <c r="AS81" s="850"/>
      <c r="AT81" s="850"/>
      <c r="AU81" s="850"/>
      <c r="AV81" s="850"/>
      <c r="AW81" s="847"/>
      <c r="AX81" s="847"/>
      <c r="AY81" s="851"/>
      <c r="AZ81" s="438"/>
      <c r="BA81" s="441"/>
      <c r="BB81" s="277"/>
      <c r="BC81" s="420"/>
    </row>
    <row r="82" spans="1:55" ht="16" hidden="1" outlineLevel="1">
      <c r="A82" s="93"/>
      <c r="B82" s="100" t="s">
        <v>215</v>
      </c>
      <c r="C82" s="99" t="s">
        <v>153</v>
      </c>
      <c r="D82" s="846"/>
      <c r="E82" s="847"/>
      <c r="F82" s="847"/>
      <c r="G82" s="847"/>
      <c r="H82" s="847"/>
      <c r="I82" s="847"/>
      <c r="J82" s="847"/>
      <c r="K82" s="847"/>
      <c r="L82" s="847"/>
      <c r="M82" s="847"/>
      <c r="N82" s="847"/>
      <c r="O82" s="848"/>
      <c r="P82" s="849"/>
      <c r="Q82" s="847"/>
      <c r="R82" s="847"/>
      <c r="S82" s="847"/>
      <c r="T82" s="847"/>
      <c r="U82" s="847"/>
      <c r="V82" s="847"/>
      <c r="W82" s="847"/>
      <c r="X82" s="847"/>
      <c r="Y82" s="847"/>
      <c r="Z82" s="847"/>
      <c r="AA82" s="851"/>
      <c r="AB82" s="1130">
        <v>3</v>
      </c>
      <c r="AC82" s="1131">
        <v>5</v>
      </c>
      <c r="AD82" s="1131">
        <v>10</v>
      </c>
      <c r="AE82" s="1131">
        <v>7</v>
      </c>
      <c r="AF82" s="1131">
        <v>5</v>
      </c>
      <c r="AG82" s="1131">
        <v>11</v>
      </c>
      <c r="AH82" s="1131">
        <v>5</v>
      </c>
      <c r="AI82" s="1131">
        <v>6</v>
      </c>
      <c r="AJ82" s="1131">
        <v>1</v>
      </c>
      <c r="AK82" s="1132">
        <v>4</v>
      </c>
      <c r="AL82" s="1132">
        <v>8</v>
      </c>
      <c r="AM82" s="1133">
        <v>6</v>
      </c>
      <c r="AN82" s="1134">
        <v>7</v>
      </c>
      <c r="AO82" s="1134">
        <v>2</v>
      </c>
      <c r="AP82" s="850"/>
      <c r="AQ82" s="850"/>
      <c r="AR82" s="850"/>
      <c r="AS82" s="850"/>
      <c r="AT82" s="850"/>
      <c r="AU82" s="850"/>
      <c r="AV82" s="850"/>
      <c r="AW82" s="847"/>
      <c r="AX82" s="847"/>
      <c r="AY82" s="851"/>
      <c r="AZ82" s="438"/>
      <c r="BA82" s="441"/>
      <c r="BB82" s="277"/>
      <c r="BC82" s="420"/>
    </row>
    <row r="83" spans="1:55" ht="16" hidden="1" outlineLevel="1">
      <c r="A83" s="93"/>
      <c r="B83" s="100" t="s">
        <v>216</v>
      </c>
      <c r="C83" s="99" t="s">
        <v>153</v>
      </c>
      <c r="D83" s="846"/>
      <c r="E83" s="847"/>
      <c r="F83" s="847"/>
      <c r="G83" s="847"/>
      <c r="H83" s="847"/>
      <c r="I83" s="847"/>
      <c r="J83" s="847"/>
      <c r="K83" s="847"/>
      <c r="L83" s="847"/>
      <c r="M83" s="847"/>
      <c r="N83" s="847"/>
      <c r="O83" s="848"/>
      <c r="P83" s="849"/>
      <c r="Q83" s="847"/>
      <c r="R83" s="847"/>
      <c r="S83" s="847"/>
      <c r="T83" s="847"/>
      <c r="U83" s="847"/>
      <c r="V83" s="847"/>
      <c r="W83" s="847"/>
      <c r="X83" s="847"/>
      <c r="Y83" s="847"/>
      <c r="Z83" s="847"/>
      <c r="AA83" s="851"/>
      <c r="AB83" s="1130">
        <v>20</v>
      </c>
      <c r="AC83" s="1131">
        <v>12</v>
      </c>
      <c r="AD83" s="1131">
        <v>26</v>
      </c>
      <c r="AE83" s="1131">
        <v>25</v>
      </c>
      <c r="AF83" s="1131">
        <v>16</v>
      </c>
      <c r="AG83" s="1131">
        <v>12</v>
      </c>
      <c r="AH83" s="1131">
        <v>12</v>
      </c>
      <c r="AI83" s="1131">
        <v>16</v>
      </c>
      <c r="AJ83" s="1131">
        <v>15</v>
      </c>
      <c r="AK83" s="1132">
        <v>15</v>
      </c>
      <c r="AL83" s="1132">
        <v>13</v>
      </c>
      <c r="AM83" s="1133">
        <v>14</v>
      </c>
      <c r="AN83" s="1134">
        <v>20</v>
      </c>
      <c r="AO83" s="1134">
        <v>10</v>
      </c>
      <c r="AP83" s="850"/>
      <c r="AQ83" s="850"/>
      <c r="AR83" s="850"/>
      <c r="AS83" s="850"/>
      <c r="AT83" s="850"/>
      <c r="AU83" s="850"/>
      <c r="AV83" s="850"/>
      <c r="AW83" s="847"/>
      <c r="AX83" s="847"/>
      <c r="AY83" s="851"/>
      <c r="AZ83" s="438"/>
      <c r="BA83" s="441"/>
      <c r="BB83" s="277"/>
      <c r="BC83" s="420"/>
    </row>
    <row r="84" spans="1:55" ht="16" collapsed="1">
      <c r="A84" s="93"/>
      <c r="B84" s="100" t="s">
        <v>217</v>
      </c>
      <c r="C84" s="99" t="s">
        <v>153</v>
      </c>
      <c r="D84" s="125" t="s">
        <v>124</v>
      </c>
      <c r="E84" s="103" t="s">
        <v>124</v>
      </c>
      <c r="F84" s="103" t="s">
        <v>124</v>
      </c>
      <c r="G84" s="103">
        <v>10</v>
      </c>
      <c r="H84" s="103">
        <v>2</v>
      </c>
      <c r="I84" s="103">
        <v>14</v>
      </c>
      <c r="J84" s="103">
        <v>9</v>
      </c>
      <c r="K84" s="103">
        <v>10</v>
      </c>
      <c r="L84" s="103">
        <v>6</v>
      </c>
      <c r="M84" s="103">
        <v>9</v>
      </c>
      <c r="N84" s="103">
        <v>5</v>
      </c>
      <c r="O84" s="126">
        <v>5</v>
      </c>
      <c r="P84" s="114">
        <v>11</v>
      </c>
      <c r="Q84" s="103">
        <v>8</v>
      </c>
      <c r="R84" s="103">
        <v>13</v>
      </c>
      <c r="S84" s="103">
        <v>12</v>
      </c>
      <c r="T84" s="103">
        <v>8</v>
      </c>
      <c r="U84" s="103">
        <v>13</v>
      </c>
      <c r="V84" s="103">
        <v>19</v>
      </c>
      <c r="W84" s="103">
        <v>11</v>
      </c>
      <c r="X84" s="103">
        <v>12</v>
      </c>
      <c r="Y84" s="103">
        <v>9</v>
      </c>
      <c r="Z84" s="103">
        <v>14</v>
      </c>
      <c r="AA84" s="146">
        <v>9</v>
      </c>
      <c r="AB84" s="1125">
        <v>6</v>
      </c>
      <c r="AC84" s="1126">
        <v>8</v>
      </c>
      <c r="AD84" s="1126">
        <v>15</v>
      </c>
      <c r="AE84" s="1126">
        <v>9</v>
      </c>
      <c r="AF84" s="1126">
        <v>17</v>
      </c>
      <c r="AG84" s="1126">
        <v>11</v>
      </c>
      <c r="AH84" s="1126">
        <v>16</v>
      </c>
      <c r="AI84" s="1126">
        <v>13</v>
      </c>
      <c r="AJ84" s="1126">
        <v>25</v>
      </c>
      <c r="AK84" s="1127">
        <v>16</v>
      </c>
      <c r="AL84" s="1127">
        <v>7</v>
      </c>
      <c r="AM84" s="1128">
        <v>10</v>
      </c>
      <c r="AN84" s="1129">
        <f>+SUM(AN85:AN93)</f>
        <v>7</v>
      </c>
      <c r="AO84" s="1129">
        <f>+SUM(AO85:AO93)</f>
        <v>5</v>
      </c>
      <c r="AP84" s="535"/>
      <c r="AQ84" s="535"/>
      <c r="AR84" s="535"/>
      <c r="AS84" s="535"/>
      <c r="AT84" s="535"/>
      <c r="AU84" s="535"/>
      <c r="AV84" s="535"/>
      <c r="AW84" s="103"/>
      <c r="AX84" s="103"/>
      <c r="AY84" s="146"/>
      <c r="AZ84" s="438"/>
      <c r="BA84" s="441">
        <f t="shared" si="36"/>
        <v>7.7777777777777777</v>
      </c>
      <c r="BB84" s="277">
        <f t="shared" si="37"/>
        <v>11.583333333333334</v>
      </c>
      <c r="BC84" s="420">
        <f t="shared" si="33"/>
        <v>12.75</v>
      </c>
    </row>
    <row r="85" spans="1:55" ht="16" hidden="1" outlineLevel="1">
      <c r="A85" s="93"/>
      <c r="B85" s="100" t="s">
        <v>218</v>
      </c>
      <c r="C85" s="99" t="s">
        <v>153</v>
      </c>
      <c r="D85" s="846"/>
      <c r="E85" s="847"/>
      <c r="F85" s="847"/>
      <c r="G85" s="847"/>
      <c r="H85" s="847"/>
      <c r="I85" s="847"/>
      <c r="J85" s="847"/>
      <c r="K85" s="847"/>
      <c r="L85" s="847"/>
      <c r="M85" s="847"/>
      <c r="N85" s="847"/>
      <c r="O85" s="848"/>
      <c r="P85" s="849"/>
      <c r="Q85" s="847"/>
      <c r="R85" s="847"/>
      <c r="S85" s="847"/>
      <c r="T85" s="847"/>
      <c r="U85" s="847"/>
      <c r="V85" s="847"/>
      <c r="W85" s="847"/>
      <c r="X85" s="847"/>
      <c r="Y85" s="847"/>
      <c r="Z85" s="847"/>
      <c r="AA85" s="851"/>
      <c r="AB85" s="1130">
        <v>1</v>
      </c>
      <c r="AC85" s="1131"/>
      <c r="AD85" s="1131"/>
      <c r="AE85" s="1131"/>
      <c r="AF85" s="1131">
        <v>1</v>
      </c>
      <c r="AG85" s="1131"/>
      <c r="AH85" s="1131"/>
      <c r="AI85" s="1131">
        <v>1</v>
      </c>
      <c r="AJ85" s="1131">
        <v>1</v>
      </c>
      <c r="AK85" s="1132">
        <v>1</v>
      </c>
      <c r="AL85" s="1132">
        <v>0</v>
      </c>
      <c r="AM85" s="1133">
        <v>0</v>
      </c>
      <c r="AN85" s="1134">
        <v>0</v>
      </c>
      <c r="AO85" s="1134">
        <v>0</v>
      </c>
      <c r="AP85" s="850"/>
      <c r="AQ85" s="850"/>
      <c r="AR85" s="850"/>
      <c r="AS85" s="850"/>
      <c r="AT85" s="850"/>
      <c r="AU85" s="850"/>
      <c r="AV85" s="850"/>
      <c r="AW85" s="847"/>
      <c r="AX85" s="847"/>
      <c r="AY85" s="851"/>
      <c r="AZ85" s="438"/>
      <c r="BA85" s="441"/>
      <c r="BB85" s="277"/>
      <c r="BC85" s="420"/>
    </row>
    <row r="86" spans="1:55" ht="16" hidden="1" outlineLevel="1">
      <c r="A86" s="93"/>
      <c r="B86" s="100" t="s">
        <v>219</v>
      </c>
      <c r="C86" s="99" t="s">
        <v>153</v>
      </c>
      <c r="D86" s="846"/>
      <c r="E86" s="847"/>
      <c r="F86" s="847"/>
      <c r="G86" s="847"/>
      <c r="H86" s="847"/>
      <c r="I86" s="847"/>
      <c r="J86" s="847"/>
      <c r="K86" s="847"/>
      <c r="L86" s="847"/>
      <c r="M86" s="847"/>
      <c r="N86" s="847"/>
      <c r="O86" s="848"/>
      <c r="P86" s="849"/>
      <c r="Q86" s="847"/>
      <c r="R86" s="847"/>
      <c r="S86" s="847"/>
      <c r="T86" s="847"/>
      <c r="U86" s="847"/>
      <c r="V86" s="847"/>
      <c r="W86" s="847"/>
      <c r="X86" s="847"/>
      <c r="Y86" s="847"/>
      <c r="Z86" s="847"/>
      <c r="AA86" s="851"/>
      <c r="AB86" s="1130">
        <v>1</v>
      </c>
      <c r="AC86" s="1131"/>
      <c r="AD86" s="1131"/>
      <c r="AE86" s="1131"/>
      <c r="AF86" s="1131">
        <v>1</v>
      </c>
      <c r="AG86" s="1131"/>
      <c r="AH86" s="1131"/>
      <c r="AI86" s="1131"/>
      <c r="AJ86" s="1131"/>
      <c r="AK86" s="1132">
        <v>0</v>
      </c>
      <c r="AL86" s="1132">
        <v>1</v>
      </c>
      <c r="AM86" s="1133">
        <v>0</v>
      </c>
      <c r="AN86" s="1134">
        <v>0</v>
      </c>
      <c r="AO86" s="1134">
        <v>2</v>
      </c>
      <c r="AP86" s="850"/>
      <c r="AQ86" s="850"/>
      <c r="AR86" s="850"/>
      <c r="AS86" s="850"/>
      <c r="AT86" s="850"/>
      <c r="AU86" s="850"/>
      <c r="AV86" s="850"/>
      <c r="AW86" s="847"/>
      <c r="AX86" s="847"/>
      <c r="AY86" s="851"/>
      <c r="AZ86" s="438"/>
      <c r="BA86" s="441"/>
      <c r="BB86" s="277"/>
      <c r="BC86" s="420"/>
    </row>
    <row r="87" spans="1:55" ht="16" hidden="1" outlineLevel="1">
      <c r="A87" s="93"/>
      <c r="B87" s="100" t="s">
        <v>220</v>
      </c>
      <c r="C87" s="99" t="s">
        <v>153</v>
      </c>
      <c r="D87" s="846"/>
      <c r="E87" s="847"/>
      <c r="F87" s="847"/>
      <c r="G87" s="847"/>
      <c r="H87" s="847"/>
      <c r="I87" s="847"/>
      <c r="J87" s="847"/>
      <c r="K87" s="847"/>
      <c r="L87" s="847"/>
      <c r="M87" s="847"/>
      <c r="N87" s="847"/>
      <c r="O87" s="848"/>
      <c r="P87" s="849"/>
      <c r="Q87" s="847"/>
      <c r="R87" s="847"/>
      <c r="S87" s="847"/>
      <c r="T87" s="847"/>
      <c r="U87" s="847"/>
      <c r="V87" s="847"/>
      <c r="W87" s="847"/>
      <c r="X87" s="847"/>
      <c r="Y87" s="847"/>
      <c r="Z87" s="847"/>
      <c r="AA87" s="851"/>
      <c r="AB87" s="1130">
        <v>2</v>
      </c>
      <c r="AC87" s="1131">
        <v>1</v>
      </c>
      <c r="AD87" s="1131">
        <v>4</v>
      </c>
      <c r="AE87" s="1131">
        <v>2</v>
      </c>
      <c r="AF87" s="1131">
        <v>5</v>
      </c>
      <c r="AG87" s="1131">
        <v>2</v>
      </c>
      <c r="AH87" s="1131">
        <v>4</v>
      </c>
      <c r="AI87" s="1131">
        <v>2</v>
      </c>
      <c r="AJ87" s="1131">
        <v>2</v>
      </c>
      <c r="AK87" s="1132">
        <v>3</v>
      </c>
      <c r="AL87" s="1132">
        <v>0</v>
      </c>
      <c r="AM87" s="1133">
        <v>1</v>
      </c>
      <c r="AN87" s="1134">
        <v>3</v>
      </c>
      <c r="AO87" s="1134">
        <v>1</v>
      </c>
      <c r="AP87" s="850"/>
      <c r="AQ87" s="850"/>
      <c r="AR87" s="850"/>
      <c r="AS87" s="850"/>
      <c r="AT87" s="850"/>
      <c r="AU87" s="850"/>
      <c r="AV87" s="850"/>
      <c r="AW87" s="847"/>
      <c r="AX87" s="847"/>
      <c r="AY87" s="851"/>
      <c r="AZ87" s="438"/>
      <c r="BA87" s="441"/>
      <c r="BB87" s="277"/>
      <c r="BC87" s="420"/>
    </row>
    <row r="88" spans="1:55" ht="16" hidden="1" outlineLevel="1">
      <c r="A88" s="93"/>
      <c r="B88" s="100" t="s">
        <v>221</v>
      </c>
      <c r="C88" s="99" t="s">
        <v>153</v>
      </c>
      <c r="D88" s="846"/>
      <c r="E88" s="847"/>
      <c r="F88" s="847"/>
      <c r="G88" s="847"/>
      <c r="H88" s="847"/>
      <c r="I88" s="847"/>
      <c r="J88" s="847"/>
      <c r="K88" s="847"/>
      <c r="L88" s="847"/>
      <c r="M88" s="847"/>
      <c r="N88" s="847"/>
      <c r="O88" s="848"/>
      <c r="P88" s="849"/>
      <c r="Q88" s="847"/>
      <c r="R88" s="847"/>
      <c r="S88" s="847"/>
      <c r="T88" s="847"/>
      <c r="U88" s="847"/>
      <c r="V88" s="847"/>
      <c r="W88" s="847"/>
      <c r="X88" s="847"/>
      <c r="Y88" s="847"/>
      <c r="Z88" s="847"/>
      <c r="AA88" s="851"/>
      <c r="AB88" s="1130"/>
      <c r="AC88" s="1131"/>
      <c r="AD88" s="1131"/>
      <c r="AE88" s="1131"/>
      <c r="AF88" s="1131">
        <v>1</v>
      </c>
      <c r="AG88" s="1131"/>
      <c r="AH88" s="1131">
        <v>1</v>
      </c>
      <c r="AI88" s="1131">
        <v>3</v>
      </c>
      <c r="AJ88" s="1131"/>
      <c r="AK88" s="1132">
        <v>0</v>
      </c>
      <c r="AL88" s="1132">
        <v>0</v>
      </c>
      <c r="AM88" s="1133">
        <v>1</v>
      </c>
      <c r="AN88" s="1134">
        <v>0</v>
      </c>
      <c r="AO88" s="1134">
        <v>0</v>
      </c>
      <c r="AP88" s="850"/>
      <c r="AQ88" s="850"/>
      <c r="AR88" s="850"/>
      <c r="AS88" s="850"/>
      <c r="AT88" s="850"/>
      <c r="AU88" s="850"/>
      <c r="AV88" s="850"/>
      <c r="AW88" s="847"/>
      <c r="AX88" s="847"/>
      <c r="AY88" s="851"/>
      <c r="AZ88" s="438"/>
      <c r="BA88" s="441"/>
      <c r="BB88" s="277"/>
      <c r="BC88" s="420"/>
    </row>
    <row r="89" spans="1:55" ht="16" hidden="1" outlineLevel="1">
      <c r="A89" s="93"/>
      <c r="B89" s="100" t="s">
        <v>222</v>
      </c>
      <c r="C89" s="99" t="s">
        <v>153</v>
      </c>
      <c r="D89" s="846"/>
      <c r="E89" s="847"/>
      <c r="F89" s="847"/>
      <c r="G89" s="847"/>
      <c r="H89" s="847"/>
      <c r="I89" s="847"/>
      <c r="J89" s="847"/>
      <c r="K89" s="847"/>
      <c r="L89" s="847"/>
      <c r="M89" s="847"/>
      <c r="N89" s="847"/>
      <c r="O89" s="848"/>
      <c r="P89" s="849"/>
      <c r="Q89" s="847"/>
      <c r="R89" s="847"/>
      <c r="S89" s="847"/>
      <c r="T89" s="847"/>
      <c r="U89" s="847"/>
      <c r="V89" s="847"/>
      <c r="W89" s="847"/>
      <c r="X89" s="847"/>
      <c r="Y89" s="847"/>
      <c r="Z89" s="847"/>
      <c r="AA89" s="851"/>
      <c r="AB89" s="1130"/>
      <c r="AC89" s="1131">
        <v>1</v>
      </c>
      <c r="AD89" s="1131">
        <v>2</v>
      </c>
      <c r="AE89" s="1131">
        <v>2</v>
      </c>
      <c r="AF89" s="1131">
        <v>2</v>
      </c>
      <c r="AG89" s="1131">
        <v>1</v>
      </c>
      <c r="AH89" s="1131">
        <v>5</v>
      </c>
      <c r="AI89" s="1131">
        <v>2</v>
      </c>
      <c r="AJ89" s="1131">
        <v>5</v>
      </c>
      <c r="AK89" s="1132">
        <v>2</v>
      </c>
      <c r="AL89" s="1132">
        <v>0</v>
      </c>
      <c r="AM89" s="1133">
        <v>5</v>
      </c>
      <c r="AN89" s="1134">
        <v>1</v>
      </c>
      <c r="AO89" s="1134">
        <v>1</v>
      </c>
      <c r="AP89" s="850"/>
      <c r="AQ89" s="850"/>
      <c r="AR89" s="850"/>
      <c r="AS89" s="850"/>
      <c r="AT89" s="850"/>
      <c r="AU89" s="850"/>
      <c r="AV89" s="850"/>
      <c r="AW89" s="847"/>
      <c r="AX89" s="847"/>
      <c r="AY89" s="851"/>
      <c r="AZ89" s="438"/>
      <c r="BA89" s="441"/>
      <c r="BB89" s="277"/>
      <c r="BC89" s="420"/>
    </row>
    <row r="90" spans="1:55" ht="16" hidden="1" outlineLevel="1">
      <c r="A90" s="93"/>
      <c r="B90" s="100" t="s">
        <v>223</v>
      </c>
      <c r="C90" s="99" t="s">
        <v>153</v>
      </c>
      <c r="D90" s="846"/>
      <c r="E90" s="847"/>
      <c r="F90" s="847"/>
      <c r="G90" s="847"/>
      <c r="H90" s="847"/>
      <c r="I90" s="847"/>
      <c r="J90" s="847"/>
      <c r="K90" s="847"/>
      <c r="L90" s="847"/>
      <c r="M90" s="847"/>
      <c r="N90" s="847"/>
      <c r="O90" s="848"/>
      <c r="P90" s="849"/>
      <c r="Q90" s="847"/>
      <c r="R90" s="847"/>
      <c r="S90" s="847"/>
      <c r="T90" s="847"/>
      <c r="U90" s="847"/>
      <c r="V90" s="847"/>
      <c r="W90" s="847"/>
      <c r="X90" s="847"/>
      <c r="Y90" s="847"/>
      <c r="Z90" s="847"/>
      <c r="AA90" s="851"/>
      <c r="AB90" s="1130"/>
      <c r="AC90" s="1131">
        <v>2</v>
      </c>
      <c r="AD90" s="1131">
        <v>6</v>
      </c>
      <c r="AE90" s="1131"/>
      <c r="AF90" s="1131">
        <v>1</v>
      </c>
      <c r="AG90" s="1131">
        <v>2</v>
      </c>
      <c r="AH90" s="1131">
        <v>2</v>
      </c>
      <c r="AI90" s="1131">
        <v>3</v>
      </c>
      <c r="AJ90" s="1131">
        <v>3</v>
      </c>
      <c r="AK90" s="1132">
        <v>1</v>
      </c>
      <c r="AL90" s="1132">
        <v>2</v>
      </c>
      <c r="AM90" s="1133">
        <v>0</v>
      </c>
      <c r="AN90" s="1134">
        <v>1</v>
      </c>
      <c r="AO90" s="1134">
        <v>0</v>
      </c>
      <c r="AP90" s="850"/>
      <c r="AQ90" s="850"/>
      <c r="AR90" s="850"/>
      <c r="AS90" s="850"/>
      <c r="AT90" s="850"/>
      <c r="AU90" s="850"/>
      <c r="AV90" s="850"/>
      <c r="AW90" s="847"/>
      <c r="AX90" s="847"/>
      <c r="AY90" s="851"/>
      <c r="AZ90" s="438"/>
      <c r="BA90" s="441"/>
      <c r="BB90" s="277"/>
      <c r="BC90" s="420"/>
    </row>
    <row r="91" spans="1:55" ht="16" hidden="1" outlineLevel="1">
      <c r="A91" s="93"/>
      <c r="B91" s="100" t="s">
        <v>224</v>
      </c>
      <c r="C91" s="99" t="s">
        <v>153</v>
      </c>
      <c r="D91" s="846"/>
      <c r="E91" s="847"/>
      <c r="F91" s="847"/>
      <c r="G91" s="847"/>
      <c r="H91" s="847"/>
      <c r="I91" s="847"/>
      <c r="J91" s="847"/>
      <c r="K91" s="847"/>
      <c r="L91" s="847"/>
      <c r="M91" s="847"/>
      <c r="N91" s="847"/>
      <c r="O91" s="848"/>
      <c r="P91" s="849"/>
      <c r="Q91" s="847"/>
      <c r="R91" s="847"/>
      <c r="S91" s="847"/>
      <c r="T91" s="847"/>
      <c r="U91" s="847"/>
      <c r="V91" s="847"/>
      <c r="W91" s="847"/>
      <c r="X91" s="847"/>
      <c r="Y91" s="847"/>
      <c r="Z91" s="847"/>
      <c r="AA91" s="851"/>
      <c r="AB91" s="1130">
        <v>1</v>
      </c>
      <c r="AC91" s="1131">
        <v>4</v>
      </c>
      <c r="AD91" s="1131">
        <v>1</v>
      </c>
      <c r="AE91" s="1131">
        <v>3</v>
      </c>
      <c r="AF91" s="1131">
        <v>6</v>
      </c>
      <c r="AG91" s="1131">
        <v>3</v>
      </c>
      <c r="AH91" s="1131">
        <v>3</v>
      </c>
      <c r="AI91" s="1131">
        <v>2</v>
      </c>
      <c r="AJ91" s="1131">
        <v>8</v>
      </c>
      <c r="AK91" s="1132">
        <v>8</v>
      </c>
      <c r="AL91" s="1132">
        <v>3</v>
      </c>
      <c r="AM91" s="1133">
        <v>2</v>
      </c>
      <c r="AN91" s="1134">
        <v>0</v>
      </c>
      <c r="AO91" s="1134">
        <v>0</v>
      </c>
      <c r="AP91" s="850"/>
      <c r="AQ91" s="850"/>
      <c r="AR91" s="850"/>
      <c r="AS91" s="850"/>
      <c r="AT91" s="850"/>
      <c r="AU91" s="850"/>
      <c r="AV91" s="850"/>
      <c r="AW91" s="847"/>
      <c r="AX91" s="847"/>
      <c r="AY91" s="851"/>
      <c r="AZ91" s="438"/>
      <c r="BA91" s="441"/>
      <c r="BB91" s="277"/>
      <c r="BC91" s="420"/>
    </row>
    <row r="92" spans="1:55" ht="16" hidden="1" outlineLevel="1">
      <c r="A92" s="93"/>
      <c r="B92" s="100" t="s">
        <v>225</v>
      </c>
      <c r="C92" s="99" t="s">
        <v>153</v>
      </c>
      <c r="D92" s="846"/>
      <c r="E92" s="847"/>
      <c r="F92" s="847"/>
      <c r="G92" s="847"/>
      <c r="H92" s="847"/>
      <c r="I92" s="847"/>
      <c r="J92" s="847"/>
      <c r="K92" s="847"/>
      <c r="L92" s="847"/>
      <c r="M92" s="847"/>
      <c r="N92" s="847"/>
      <c r="O92" s="848"/>
      <c r="P92" s="849"/>
      <c r="Q92" s="847"/>
      <c r="R92" s="847"/>
      <c r="S92" s="847"/>
      <c r="T92" s="847"/>
      <c r="U92" s="847"/>
      <c r="V92" s="847"/>
      <c r="W92" s="847"/>
      <c r="X92" s="847"/>
      <c r="Y92" s="847"/>
      <c r="Z92" s="847"/>
      <c r="AA92" s="851"/>
      <c r="AB92" s="1130">
        <v>1</v>
      </c>
      <c r="AC92" s="1131"/>
      <c r="AD92" s="1131">
        <v>2</v>
      </c>
      <c r="AE92" s="1131">
        <v>1</v>
      </c>
      <c r="AF92" s="1131"/>
      <c r="AG92" s="1131">
        <v>3</v>
      </c>
      <c r="AH92" s="1131">
        <v>1</v>
      </c>
      <c r="AI92" s="1131"/>
      <c r="AJ92" s="1131">
        <v>6</v>
      </c>
      <c r="AK92" s="1132">
        <v>1</v>
      </c>
      <c r="AL92" s="1132">
        <v>1</v>
      </c>
      <c r="AM92" s="1133">
        <v>1</v>
      </c>
      <c r="AN92" s="1134">
        <v>1</v>
      </c>
      <c r="AO92" s="1134">
        <v>1</v>
      </c>
      <c r="AP92" s="850"/>
      <c r="AQ92" s="850"/>
      <c r="AR92" s="850"/>
      <c r="AS92" s="850"/>
      <c r="AT92" s="850"/>
      <c r="AU92" s="850"/>
      <c r="AV92" s="850"/>
      <c r="AW92" s="847"/>
      <c r="AX92" s="847"/>
      <c r="AY92" s="851"/>
      <c r="AZ92" s="438"/>
      <c r="BA92" s="441"/>
      <c r="BB92" s="277"/>
      <c r="BC92" s="420"/>
    </row>
    <row r="93" spans="1:55" ht="16" hidden="1" outlineLevel="1">
      <c r="A93" s="93"/>
      <c r="B93" s="100" t="s">
        <v>226</v>
      </c>
      <c r="C93" s="99" t="s">
        <v>153</v>
      </c>
      <c r="D93" s="846"/>
      <c r="E93" s="847"/>
      <c r="F93" s="847"/>
      <c r="G93" s="847"/>
      <c r="H93" s="847"/>
      <c r="I93" s="847"/>
      <c r="J93" s="847"/>
      <c r="K93" s="847"/>
      <c r="L93" s="847"/>
      <c r="M93" s="847"/>
      <c r="N93" s="847"/>
      <c r="O93" s="848"/>
      <c r="P93" s="849"/>
      <c r="Q93" s="847"/>
      <c r="R93" s="847"/>
      <c r="S93" s="847"/>
      <c r="T93" s="847"/>
      <c r="U93" s="847"/>
      <c r="V93" s="847"/>
      <c r="W93" s="847"/>
      <c r="X93" s="847"/>
      <c r="Y93" s="847"/>
      <c r="Z93" s="847"/>
      <c r="AA93" s="851"/>
      <c r="AB93" s="1130"/>
      <c r="AC93" s="1131"/>
      <c r="AD93" s="1131"/>
      <c r="AE93" s="1131">
        <v>1</v>
      </c>
      <c r="AF93" s="1131"/>
      <c r="AG93" s="1131"/>
      <c r="AH93" s="1131"/>
      <c r="AI93" s="1131"/>
      <c r="AJ93" s="1131"/>
      <c r="AK93" s="1132">
        <v>0</v>
      </c>
      <c r="AL93" s="1132">
        <v>0</v>
      </c>
      <c r="AM93" s="1133"/>
      <c r="AN93" s="1134">
        <v>1</v>
      </c>
      <c r="AO93" s="1134">
        <v>0</v>
      </c>
      <c r="AP93" s="850"/>
      <c r="AQ93" s="850"/>
      <c r="AR93" s="850"/>
      <c r="AS93" s="850"/>
      <c r="AT93" s="850"/>
      <c r="AU93" s="850"/>
      <c r="AV93" s="850"/>
      <c r="AW93" s="847"/>
      <c r="AX93" s="847"/>
      <c r="AY93" s="851"/>
      <c r="AZ93" s="438"/>
      <c r="BA93" s="441"/>
      <c r="BB93" s="277"/>
      <c r="BC93" s="420"/>
    </row>
    <row r="94" spans="1:55" ht="16" collapsed="1">
      <c r="A94" s="93"/>
      <c r="B94" s="100" t="s">
        <v>227</v>
      </c>
      <c r="C94" s="99" t="s">
        <v>153</v>
      </c>
      <c r="D94" s="125" t="s">
        <v>124</v>
      </c>
      <c r="E94" s="103" t="s">
        <v>124</v>
      </c>
      <c r="F94" s="103" t="s">
        <v>124</v>
      </c>
      <c r="G94" s="103">
        <v>1</v>
      </c>
      <c r="H94" s="103" t="s">
        <v>156</v>
      </c>
      <c r="I94" s="103" t="s">
        <v>156</v>
      </c>
      <c r="J94" s="103" t="s">
        <v>156</v>
      </c>
      <c r="K94" s="103">
        <v>1</v>
      </c>
      <c r="L94" s="103">
        <v>1</v>
      </c>
      <c r="M94" s="103" t="s">
        <v>156</v>
      </c>
      <c r="N94" s="103">
        <v>2</v>
      </c>
      <c r="O94" s="126" t="s">
        <v>156</v>
      </c>
      <c r="P94" s="114">
        <v>1</v>
      </c>
      <c r="Q94" s="103" t="s">
        <v>156</v>
      </c>
      <c r="R94" s="103" t="s">
        <v>157</v>
      </c>
      <c r="S94" s="103" t="s">
        <v>157</v>
      </c>
      <c r="T94" s="103">
        <v>1</v>
      </c>
      <c r="U94" s="103">
        <v>1</v>
      </c>
      <c r="V94" s="103" t="s">
        <v>169</v>
      </c>
      <c r="W94" s="103" t="s">
        <v>156</v>
      </c>
      <c r="X94" s="103" t="s">
        <v>156</v>
      </c>
      <c r="Y94" s="103">
        <v>4</v>
      </c>
      <c r="Z94" s="103">
        <v>2</v>
      </c>
      <c r="AA94" s="146">
        <v>1</v>
      </c>
      <c r="AB94" s="1125">
        <v>1</v>
      </c>
      <c r="AC94" s="1126">
        <v>1</v>
      </c>
      <c r="AD94" s="1126">
        <v>0</v>
      </c>
      <c r="AE94" s="1126">
        <v>0</v>
      </c>
      <c r="AF94" s="1126">
        <v>1</v>
      </c>
      <c r="AG94" s="1126">
        <v>1</v>
      </c>
      <c r="AH94" s="1126">
        <v>1</v>
      </c>
      <c r="AI94" s="1126">
        <v>1</v>
      </c>
      <c r="AJ94" s="1126">
        <v>2</v>
      </c>
      <c r="AK94" s="1127">
        <v>0</v>
      </c>
      <c r="AL94" s="1127">
        <v>0</v>
      </c>
      <c r="AM94" s="1128">
        <v>0</v>
      </c>
      <c r="AN94" s="1129">
        <f>+SUM(AN95:AN96)</f>
        <v>0</v>
      </c>
      <c r="AO94" s="1129">
        <f>+SUM(AO95:AO96)</f>
        <v>1</v>
      </c>
      <c r="AP94" s="535"/>
      <c r="AQ94" s="535"/>
      <c r="AR94" s="535"/>
      <c r="AS94" s="535"/>
      <c r="AT94" s="535"/>
      <c r="AU94" s="535"/>
      <c r="AV94" s="535"/>
      <c r="AW94" s="103"/>
      <c r="AX94" s="103"/>
      <c r="AY94" s="146"/>
      <c r="AZ94" s="438"/>
      <c r="BA94" s="441">
        <f t="shared" si="36"/>
        <v>1.25</v>
      </c>
      <c r="BB94" s="277">
        <f t="shared" si="37"/>
        <v>1.6666666666666667</v>
      </c>
      <c r="BC94" s="420">
        <f t="shared" si="33"/>
        <v>1.1428571428571428</v>
      </c>
    </row>
    <row r="95" spans="1:55" ht="16" hidden="1" outlineLevel="1">
      <c r="A95" s="93"/>
      <c r="B95" s="100" t="s">
        <v>228</v>
      </c>
      <c r="C95" s="99" t="s">
        <v>153</v>
      </c>
      <c r="D95" s="846"/>
      <c r="E95" s="847"/>
      <c r="F95" s="847"/>
      <c r="G95" s="847"/>
      <c r="H95" s="847"/>
      <c r="I95" s="847"/>
      <c r="J95" s="847"/>
      <c r="K95" s="847"/>
      <c r="L95" s="847"/>
      <c r="M95" s="847"/>
      <c r="N95" s="847"/>
      <c r="O95" s="848"/>
      <c r="P95" s="849"/>
      <c r="Q95" s="847"/>
      <c r="R95" s="847"/>
      <c r="S95" s="847"/>
      <c r="T95" s="847"/>
      <c r="U95" s="847"/>
      <c r="V95" s="847"/>
      <c r="W95" s="847"/>
      <c r="X95" s="847"/>
      <c r="Y95" s="847"/>
      <c r="Z95" s="847"/>
      <c r="AA95" s="851"/>
      <c r="AB95" s="1130">
        <v>1</v>
      </c>
      <c r="AC95" s="1131"/>
      <c r="AD95" s="1131"/>
      <c r="AE95" s="1131"/>
      <c r="AF95" s="1131"/>
      <c r="AG95" s="1131"/>
      <c r="AH95" s="1131">
        <v>1</v>
      </c>
      <c r="AI95" s="1131"/>
      <c r="AJ95" s="1131"/>
      <c r="AK95" s="1132">
        <v>0</v>
      </c>
      <c r="AL95" s="1132">
        <v>0</v>
      </c>
      <c r="AM95" s="1128">
        <v>0</v>
      </c>
      <c r="AN95" s="1134">
        <v>0</v>
      </c>
      <c r="AO95" s="1134">
        <v>0</v>
      </c>
      <c r="AP95" s="850"/>
      <c r="AQ95" s="850"/>
      <c r="AR95" s="850"/>
      <c r="AS95" s="850"/>
      <c r="AT95" s="850"/>
      <c r="AU95" s="850"/>
      <c r="AV95" s="850"/>
      <c r="AW95" s="847"/>
      <c r="AX95" s="847"/>
      <c r="AY95" s="146"/>
      <c r="AZ95" s="438"/>
      <c r="BA95" s="441"/>
      <c r="BB95" s="277"/>
      <c r="BC95" s="420"/>
    </row>
    <row r="96" spans="1:55" ht="16" hidden="1" outlineLevel="1">
      <c r="A96" s="93"/>
      <c r="B96" s="100" t="s">
        <v>229</v>
      </c>
      <c r="C96" s="99" t="s">
        <v>153</v>
      </c>
      <c r="D96" s="846"/>
      <c r="E96" s="847"/>
      <c r="F96" s="847"/>
      <c r="G96" s="847"/>
      <c r="H96" s="847"/>
      <c r="I96" s="847"/>
      <c r="J96" s="847"/>
      <c r="K96" s="847"/>
      <c r="L96" s="847"/>
      <c r="M96" s="847"/>
      <c r="N96" s="847"/>
      <c r="O96" s="848"/>
      <c r="P96" s="849"/>
      <c r="Q96" s="847"/>
      <c r="R96" s="847"/>
      <c r="S96" s="847"/>
      <c r="T96" s="847"/>
      <c r="U96" s="847"/>
      <c r="V96" s="847"/>
      <c r="W96" s="847"/>
      <c r="X96" s="847"/>
      <c r="Y96" s="847"/>
      <c r="Z96" s="847"/>
      <c r="AA96" s="851"/>
      <c r="AB96" s="1130"/>
      <c r="AC96" s="1131">
        <v>1</v>
      </c>
      <c r="AD96" s="1131"/>
      <c r="AE96" s="1131"/>
      <c r="AF96" s="1131">
        <v>1</v>
      </c>
      <c r="AG96" s="1131">
        <v>1</v>
      </c>
      <c r="AH96" s="1131"/>
      <c r="AI96" s="1131">
        <v>1</v>
      </c>
      <c r="AJ96" s="1131">
        <v>2</v>
      </c>
      <c r="AK96" s="1132">
        <v>0</v>
      </c>
      <c r="AL96" s="1132">
        <v>0</v>
      </c>
      <c r="AM96" s="1128">
        <v>0</v>
      </c>
      <c r="AN96" s="1134">
        <v>0</v>
      </c>
      <c r="AO96" s="1134">
        <v>1</v>
      </c>
      <c r="AP96" s="850"/>
      <c r="AQ96" s="850"/>
      <c r="AR96" s="850"/>
      <c r="AS96" s="850"/>
      <c r="AT96" s="850"/>
      <c r="AU96" s="850"/>
      <c r="AV96" s="850"/>
      <c r="AW96" s="847"/>
      <c r="AX96" s="847"/>
      <c r="AY96" s="146"/>
      <c r="AZ96" s="438"/>
      <c r="BA96" s="441"/>
      <c r="BB96" s="277"/>
      <c r="BC96" s="420"/>
    </row>
    <row r="97" spans="1:55" ht="16" collapsed="1">
      <c r="A97" s="93"/>
      <c r="B97" s="100" t="s">
        <v>230</v>
      </c>
      <c r="C97" s="99" t="s">
        <v>153</v>
      </c>
      <c r="D97" s="125" t="s">
        <v>124</v>
      </c>
      <c r="E97" s="103" t="s">
        <v>124</v>
      </c>
      <c r="F97" s="103" t="s">
        <v>124</v>
      </c>
      <c r="G97" s="103">
        <v>2</v>
      </c>
      <c r="H97" s="103" t="s">
        <v>156</v>
      </c>
      <c r="I97" s="103">
        <v>1</v>
      </c>
      <c r="J97" s="103">
        <v>2</v>
      </c>
      <c r="K97" s="103" t="s">
        <v>156</v>
      </c>
      <c r="L97" s="103" t="s">
        <v>156</v>
      </c>
      <c r="M97" s="103" t="s">
        <v>156</v>
      </c>
      <c r="N97" s="103">
        <v>1</v>
      </c>
      <c r="O97" s="126" t="s">
        <v>156</v>
      </c>
      <c r="P97" s="114">
        <v>2</v>
      </c>
      <c r="Q97" s="103">
        <v>1</v>
      </c>
      <c r="R97" s="103">
        <v>1</v>
      </c>
      <c r="S97" s="103">
        <v>2</v>
      </c>
      <c r="T97" s="103">
        <v>1</v>
      </c>
      <c r="U97" s="103">
        <v>1</v>
      </c>
      <c r="V97" s="103" t="s">
        <v>169</v>
      </c>
      <c r="W97" s="103">
        <v>1</v>
      </c>
      <c r="X97" s="103" t="s">
        <v>156</v>
      </c>
      <c r="Y97" s="103" t="s">
        <v>167</v>
      </c>
      <c r="Z97" s="103" t="s">
        <v>157</v>
      </c>
      <c r="AA97" s="146" t="s">
        <v>157</v>
      </c>
      <c r="AB97" s="1125">
        <v>0</v>
      </c>
      <c r="AC97" s="1126">
        <v>2</v>
      </c>
      <c r="AD97" s="1126">
        <v>3</v>
      </c>
      <c r="AE97" s="1126">
        <v>4</v>
      </c>
      <c r="AF97" s="1126">
        <v>5</v>
      </c>
      <c r="AG97" s="1126">
        <v>0</v>
      </c>
      <c r="AH97" s="1126">
        <v>2</v>
      </c>
      <c r="AI97" s="1126">
        <v>2</v>
      </c>
      <c r="AJ97" s="1126">
        <v>2</v>
      </c>
      <c r="AK97" s="1127">
        <v>1</v>
      </c>
      <c r="AL97" s="1127">
        <v>2</v>
      </c>
      <c r="AM97" s="1128">
        <v>4</v>
      </c>
      <c r="AN97" s="1129">
        <f>+SUM(AN98:AN99)</f>
        <v>1</v>
      </c>
      <c r="AO97" s="1129">
        <f>+SUM(AO98:AO99)</f>
        <v>1</v>
      </c>
      <c r="AP97" s="535"/>
      <c r="AQ97" s="535"/>
      <c r="AR97" s="535"/>
      <c r="AS97" s="535"/>
      <c r="AT97" s="535"/>
      <c r="AU97" s="535"/>
      <c r="AV97" s="535"/>
      <c r="AW97" s="103"/>
      <c r="AX97" s="103"/>
      <c r="AY97" s="146"/>
      <c r="AZ97" s="438"/>
      <c r="BA97" s="441">
        <f t="shared" si="36"/>
        <v>1.5</v>
      </c>
      <c r="BB97" s="277">
        <f t="shared" si="37"/>
        <v>1.2857142857142858</v>
      </c>
      <c r="BC97" s="420">
        <f t="shared" si="33"/>
        <v>2.7</v>
      </c>
    </row>
    <row r="98" spans="1:55" ht="16" hidden="1" outlineLevel="1">
      <c r="A98" s="93"/>
      <c r="B98" s="100" t="s">
        <v>231</v>
      </c>
      <c r="C98" s="99" t="s">
        <v>153</v>
      </c>
      <c r="D98" s="846"/>
      <c r="E98" s="847"/>
      <c r="F98" s="847"/>
      <c r="G98" s="847"/>
      <c r="H98" s="847"/>
      <c r="I98" s="847"/>
      <c r="J98" s="847"/>
      <c r="K98" s="847"/>
      <c r="L98" s="847"/>
      <c r="M98" s="847"/>
      <c r="N98" s="847"/>
      <c r="O98" s="848"/>
      <c r="P98" s="849"/>
      <c r="Q98" s="847"/>
      <c r="R98" s="847"/>
      <c r="S98" s="847"/>
      <c r="T98" s="847"/>
      <c r="U98" s="847"/>
      <c r="V98" s="847"/>
      <c r="W98" s="847"/>
      <c r="X98" s="847"/>
      <c r="Y98" s="847"/>
      <c r="Z98" s="847"/>
      <c r="AA98" s="851"/>
      <c r="AB98" s="1130"/>
      <c r="AC98" s="1131">
        <v>2</v>
      </c>
      <c r="AD98" s="1131">
        <v>2</v>
      </c>
      <c r="AE98" s="1131">
        <v>4</v>
      </c>
      <c r="AF98" s="1131">
        <v>5</v>
      </c>
      <c r="AG98" s="1131"/>
      <c r="AH98" s="1131">
        <v>2</v>
      </c>
      <c r="AI98" s="1131">
        <v>2</v>
      </c>
      <c r="AJ98" s="1131">
        <v>2</v>
      </c>
      <c r="AK98" s="1132">
        <v>1</v>
      </c>
      <c r="AL98" s="1132">
        <v>2</v>
      </c>
      <c r="AM98" s="1128">
        <v>3</v>
      </c>
      <c r="AN98" s="1134">
        <v>1</v>
      </c>
      <c r="AO98" s="1134">
        <v>1</v>
      </c>
      <c r="AP98" s="850"/>
      <c r="AQ98" s="850"/>
      <c r="AR98" s="850"/>
      <c r="AS98" s="850"/>
      <c r="AT98" s="850"/>
      <c r="AU98" s="850"/>
      <c r="AV98" s="850"/>
      <c r="AW98" s="847"/>
      <c r="AX98" s="847"/>
      <c r="AY98" s="146"/>
      <c r="AZ98" s="438"/>
      <c r="BA98" s="441"/>
      <c r="BB98" s="277"/>
      <c r="BC98" s="420"/>
    </row>
    <row r="99" spans="1:55" ht="16" hidden="1" outlineLevel="1">
      <c r="A99" s="93"/>
      <c r="B99" s="100" t="s">
        <v>232</v>
      </c>
      <c r="C99" s="99" t="s">
        <v>153</v>
      </c>
      <c r="D99" s="846"/>
      <c r="E99" s="847"/>
      <c r="F99" s="847"/>
      <c r="G99" s="847"/>
      <c r="H99" s="847"/>
      <c r="I99" s="847"/>
      <c r="J99" s="847"/>
      <c r="K99" s="847"/>
      <c r="L99" s="847"/>
      <c r="M99" s="847"/>
      <c r="N99" s="847"/>
      <c r="O99" s="848"/>
      <c r="P99" s="849"/>
      <c r="Q99" s="847"/>
      <c r="R99" s="847"/>
      <c r="S99" s="847"/>
      <c r="T99" s="847"/>
      <c r="U99" s="847"/>
      <c r="V99" s="847"/>
      <c r="W99" s="847"/>
      <c r="X99" s="847"/>
      <c r="Y99" s="847"/>
      <c r="Z99" s="847"/>
      <c r="AA99" s="851"/>
      <c r="AB99" s="1130"/>
      <c r="AC99" s="1131"/>
      <c r="AD99" s="1131">
        <v>1</v>
      </c>
      <c r="AE99" s="1131"/>
      <c r="AF99" s="1131"/>
      <c r="AG99" s="1131"/>
      <c r="AH99" s="1131"/>
      <c r="AI99" s="1131"/>
      <c r="AJ99" s="1131"/>
      <c r="AK99" s="1132">
        <v>0</v>
      </c>
      <c r="AL99" s="1132">
        <v>0</v>
      </c>
      <c r="AM99" s="1128">
        <v>1</v>
      </c>
      <c r="AN99" s="1134">
        <v>0</v>
      </c>
      <c r="AO99" s="1134">
        <v>0</v>
      </c>
      <c r="AP99" s="850"/>
      <c r="AQ99" s="850"/>
      <c r="AR99" s="850"/>
      <c r="AS99" s="850"/>
      <c r="AT99" s="850"/>
      <c r="AU99" s="850"/>
      <c r="AV99" s="850"/>
      <c r="AW99" s="847"/>
      <c r="AX99" s="847"/>
      <c r="AY99" s="146"/>
      <c r="AZ99" s="438"/>
      <c r="BA99" s="441"/>
      <c r="BB99" s="277"/>
      <c r="BC99" s="420"/>
    </row>
    <row r="100" spans="1:55" ht="16" collapsed="1">
      <c r="A100" s="93"/>
      <c r="B100" s="100" t="s">
        <v>233</v>
      </c>
      <c r="C100" s="99" t="s">
        <v>153</v>
      </c>
      <c r="D100" s="125" t="s">
        <v>124</v>
      </c>
      <c r="E100" s="103" t="s">
        <v>124</v>
      </c>
      <c r="F100" s="103" t="s">
        <v>124</v>
      </c>
      <c r="G100" s="103" t="s">
        <v>156</v>
      </c>
      <c r="H100" s="103" t="s">
        <v>156</v>
      </c>
      <c r="I100" s="103" t="s">
        <v>156</v>
      </c>
      <c r="J100" s="103" t="s">
        <v>156</v>
      </c>
      <c r="K100" s="103" t="s">
        <v>156</v>
      </c>
      <c r="L100" s="103" t="s">
        <v>156</v>
      </c>
      <c r="M100" s="103">
        <v>1</v>
      </c>
      <c r="N100" s="103">
        <v>1</v>
      </c>
      <c r="O100" s="126" t="s">
        <v>156</v>
      </c>
      <c r="P100" s="114">
        <v>2</v>
      </c>
      <c r="Q100" s="103" t="s">
        <v>156</v>
      </c>
      <c r="R100" s="103" t="s">
        <v>157</v>
      </c>
      <c r="S100" s="103" t="s">
        <v>157</v>
      </c>
      <c r="T100" s="103" t="s">
        <v>157</v>
      </c>
      <c r="U100" s="103" t="s">
        <v>156</v>
      </c>
      <c r="V100" s="103">
        <v>1</v>
      </c>
      <c r="W100" s="103" t="s">
        <v>156</v>
      </c>
      <c r="X100" s="103" t="s">
        <v>156</v>
      </c>
      <c r="Y100" s="103" t="s">
        <v>167</v>
      </c>
      <c r="Z100" s="103">
        <v>2</v>
      </c>
      <c r="AA100" s="146" t="s">
        <v>157</v>
      </c>
      <c r="AB100" s="1125">
        <v>1</v>
      </c>
      <c r="AC100" s="1126">
        <v>0</v>
      </c>
      <c r="AD100" s="1126">
        <v>0</v>
      </c>
      <c r="AE100" s="1126">
        <v>0</v>
      </c>
      <c r="AF100" s="1126">
        <v>1</v>
      </c>
      <c r="AG100" s="1126">
        <v>0</v>
      </c>
      <c r="AH100" s="1126">
        <v>1</v>
      </c>
      <c r="AI100" s="1126">
        <v>2</v>
      </c>
      <c r="AJ100" s="1126">
        <v>0</v>
      </c>
      <c r="AK100" s="1127">
        <v>1</v>
      </c>
      <c r="AL100" s="1127">
        <v>0</v>
      </c>
      <c r="AM100" s="1128">
        <v>0</v>
      </c>
      <c r="AN100" s="1129">
        <v>0</v>
      </c>
      <c r="AO100" s="1129">
        <v>0</v>
      </c>
      <c r="AP100" s="535"/>
      <c r="AQ100" s="535"/>
      <c r="AR100" s="535"/>
      <c r="AS100" s="535"/>
      <c r="AT100" s="535"/>
      <c r="AU100" s="535"/>
      <c r="AV100" s="535"/>
      <c r="AW100" s="103"/>
      <c r="AX100" s="103"/>
      <c r="AY100" s="146"/>
      <c r="AZ100" s="438"/>
      <c r="BA100" s="441">
        <f t="shared" si="36"/>
        <v>1</v>
      </c>
      <c r="BB100" s="277">
        <f t="shared" si="37"/>
        <v>1.6666666666666667</v>
      </c>
      <c r="BC100" s="420">
        <f t="shared" si="33"/>
        <v>1.2</v>
      </c>
    </row>
    <row r="101" spans="1:55" ht="16">
      <c r="A101" s="93"/>
      <c r="B101" s="100" t="s">
        <v>234</v>
      </c>
      <c r="C101" s="99" t="s">
        <v>153</v>
      </c>
      <c r="D101" s="125" t="s">
        <v>124</v>
      </c>
      <c r="E101" s="103" t="s">
        <v>124</v>
      </c>
      <c r="F101" s="103" t="s">
        <v>124</v>
      </c>
      <c r="G101" s="103">
        <v>4</v>
      </c>
      <c r="H101" s="103">
        <v>9</v>
      </c>
      <c r="I101" s="103">
        <v>8</v>
      </c>
      <c r="J101" s="103">
        <v>4</v>
      </c>
      <c r="K101" s="103">
        <v>7</v>
      </c>
      <c r="L101" s="103">
        <v>3</v>
      </c>
      <c r="M101" s="103" t="s">
        <v>156</v>
      </c>
      <c r="N101" s="103">
        <v>2</v>
      </c>
      <c r="O101" s="126" t="s">
        <v>156</v>
      </c>
      <c r="P101" s="114">
        <v>6</v>
      </c>
      <c r="Q101" s="103">
        <v>1</v>
      </c>
      <c r="R101" s="103">
        <v>5</v>
      </c>
      <c r="S101" s="103">
        <v>4</v>
      </c>
      <c r="T101" s="103">
        <v>11</v>
      </c>
      <c r="U101" s="103">
        <v>6</v>
      </c>
      <c r="V101" s="103">
        <v>1</v>
      </c>
      <c r="W101" s="103">
        <v>1</v>
      </c>
      <c r="X101" s="103">
        <v>4</v>
      </c>
      <c r="Y101" s="103">
        <v>4</v>
      </c>
      <c r="Z101" s="103">
        <v>5</v>
      </c>
      <c r="AA101" s="146">
        <v>7</v>
      </c>
      <c r="AB101" s="1125">
        <v>5</v>
      </c>
      <c r="AC101" s="1126">
        <v>8</v>
      </c>
      <c r="AD101" s="1126">
        <v>14</v>
      </c>
      <c r="AE101" s="1126">
        <v>13</v>
      </c>
      <c r="AF101" s="1126">
        <v>9</v>
      </c>
      <c r="AG101" s="1126">
        <v>9</v>
      </c>
      <c r="AH101" s="1126">
        <v>3</v>
      </c>
      <c r="AI101" s="1126">
        <v>8</v>
      </c>
      <c r="AJ101" s="1126">
        <v>10</v>
      </c>
      <c r="AK101" s="1127">
        <v>10</v>
      </c>
      <c r="AL101" s="1127">
        <v>13</v>
      </c>
      <c r="AM101" s="1128">
        <v>7</v>
      </c>
      <c r="AN101" s="1129">
        <f>+SUM(AN102:AN107)</f>
        <v>19</v>
      </c>
      <c r="AO101" s="1129">
        <f>+SUM(AO102:AO107)</f>
        <v>9</v>
      </c>
      <c r="AP101" s="535"/>
      <c r="AQ101" s="535"/>
      <c r="AR101" s="535"/>
      <c r="AS101" s="535"/>
      <c r="AT101" s="535"/>
      <c r="AU101" s="535"/>
      <c r="AV101" s="535"/>
      <c r="AW101" s="103"/>
      <c r="AX101" s="103"/>
      <c r="AY101" s="146"/>
      <c r="AZ101" s="438"/>
      <c r="BA101" s="441">
        <f t="shared" si="36"/>
        <v>5.2857142857142856</v>
      </c>
      <c r="BB101" s="277">
        <f t="shared" si="37"/>
        <v>4.583333333333333</v>
      </c>
      <c r="BC101" s="420">
        <f t="shared" si="33"/>
        <v>9.0833333333333339</v>
      </c>
    </row>
    <row r="102" spans="1:55" ht="16" hidden="1" outlineLevel="1">
      <c r="A102" s="93"/>
      <c r="B102" s="100" t="s">
        <v>235</v>
      </c>
      <c r="C102" s="99" t="s">
        <v>153</v>
      </c>
      <c r="D102" s="846"/>
      <c r="E102" s="847"/>
      <c r="F102" s="847"/>
      <c r="G102" s="847"/>
      <c r="H102" s="847"/>
      <c r="I102" s="847"/>
      <c r="J102" s="847"/>
      <c r="K102" s="847"/>
      <c r="L102" s="847"/>
      <c r="M102" s="847"/>
      <c r="N102" s="847"/>
      <c r="O102" s="848"/>
      <c r="P102" s="849"/>
      <c r="Q102" s="847"/>
      <c r="R102" s="847"/>
      <c r="S102" s="847"/>
      <c r="T102" s="847"/>
      <c r="U102" s="847"/>
      <c r="V102" s="847"/>
      <c r="W102" s="847"/>
      <c r="X102" s="847"/>
      <c r="Y102" s="847"/>
      <c r="Z102" s="847"/>
      <c r="AA102" s="851"/>
      <c r="AB102" s="1130"/>
      <c r="AC102" s="1131"/>
      <c r="AD102" s="1131">
        <v>2</v>
      </c>
      <c r="AE102" s="1131">
        <v>2</v>
      </c>
      <c r="AF102" s="1131">
        <v>1</v>
      </c>
      <c r="AG102" s="1131"/>
      <c r="AH102" s="1131"/>
      <c r="AI102" s="1131">
        <v>2</v>
      </c>
      <c r="AJ102" s="1131"/>
      <c r="AK102" s="1132">
        <v>0</v>
      </c>
      <c r="AL102" s="1132">
        <v>1</v>
      </c>
      <c r="AM102" s="1128">
        <v>1</v>
      </c>
      <c r="AN102" s="1134">
        <v>1</v>
      </c>
      <c r="AO102" s="1134">
        <v>1</v>
      </c>
      <c r="AP102" s="850"/>
      <c r="AQ102" s="850"/>
      <c r="AR102" s="850"/>
      <c r="AS102" s="850"/>
      <c r="AT102" s="850"/>
      <c r="AU102" s="850"/>
      <c r="AV102" s="850"/>
      <c r="AW102" s="847"/>
      <c r="AX102" s="847"/>
      <c r="AY102" s="146"/>
      <c r="AZ102" s="438"/>
      <c r="BA102" s="441"/>
      <c r="BB102" s="277"/>
      <c r="BC102" s="420"/>
    </row>
    <row r="103" spans="1:55" ht="16" hidden="1" outlineLevel="1">
      <c r="A103" s="93"/>
      <c r="B103" s="100" t="s">
        <v>236</v>
      </c>
      <c r="C103" s="99" t="s">
        <v>153</v>
      </c>
      <c r="D103" s="846"/>
      <c r="E103" s="847"/>
      <c r="F103" s="847"/>
      <c r="G103" s="847"/>
      <c r="H103" s="847"/>
      <c r="I103" s="847"/>
      <c r="J103" s="847"/>
      <c r="K103" s="847"/>
      <c r="L103" s="847"/>
      <c r="M103" s="847"/>
      <c r="N103" s="847"/>
      <c r="O103" s="848"/>
      <c r="P103" s="849"/>
      <c r="Q103" s="847"/>
      <c r="R103" s="847"/>
      <c r="S103" s="847"/>
      <c r="T103" s="847"/>
      <c r="U103" s="847"/>
      <c r="V103" s="847"/>
      <c r="W103" s="847"/>
      <c r="X103" s="847"/>
      <c r="Y103" s="847"/>
      <c r="Z103" s="847"/>
      <c r="AA103" s="851"/>
      <c r="AB103" s="1130"/>
      <c r="AC103" s="1131"/>
      <c r="AD103" s="1131"/>
      <c r="AE103" s="1131">
        <v>1</v>
      </c>
      <c r="AF103" s="1131"/>
      <c r="AG103" s="1131"/>
      <c r="AH103" s="1131"/>
      <c r="AI103" s="1131">
        <v>1</v>
      </c>
      <c r="AJ103" s="1131">
        <v>2</v>
      </c>
      <c r="AK103" s="1132">
        <v>1</v>
      </c>
      <c r="AL103" s="1132">
        <v>0</v>
      </c>
      <c r="AM103" s="1128">
        <v>0</v>
      </c>
      <c r="AN103" s="1134">
        <v>0</v>
      </c>
      <c r="AO103" s="1134">
        <v>0</v>
      </c>
      <c r="AP103" s="850"/>
      <c r="AQ103" s="850"/>
      <c r="AR103" s="850"/>
      <c r="AS103" s="850"/>
      <c r="AT103" s="850"/>
      <c r="AU103" s="850"/>
      <c r="AV103" s="850"/>
      <c r="AW103" s="847"/>
      <c r="AX103" s="847"/>
      <c r="AY103" s="146"/>
      <c r="AZ103" s="438"/>
      <c r="BA103" s="441"/>
      <c r="BB103" s="277"/>
      <c r="BC103" s="420"/>
    </row>
    <row r="104" spans="1:55" ht="16" hidden="1" outlineLevel="1">
      <c r="A104" s="93"/>
      <c r="B104" s="100" t="s">
        <v>237</v>
      </c>
      <c r="C104" s="99" t="s">
        <v>153</v>
      </c>
      <c r="D104" s="846"/>
      <c r="E104" s="847"/>
      <c r="F104" s="847"/>
      <c r="G104" s="847"/>
      <c r="H104" s="847"/>
      <c r="I104" s="847"/>
      <c r="J104" s="847"/>
      <c r="K104" s="847"/>
      <c r="L104" s="847"/>
      <c r="M104" s="847"/>
      <c r="N104" s="847"/>
      <c r="O104" s="848"/>
      <c r="P104" s="849"/>
      <c r="Q104" s="847"/>
      <c r="R104" s="847"/>
      <c r="S104" s="847"/>
      <c r="T104" s="847"/>
      <c r="U104" s="847"/>
      <c r="V104" s="847"/>
      <c r="W104" s="847"/>
      <c r="X104" s="847"/>
      <c r="Y104" s="847"/>
      <c r="Z104" s="847"/>
      <c r="AA104" s="851"/>
      <c r="AB104" s="1130">
        <v>1</v>
      </c>
      <c r="AC104" s="1131">
        <v>6</v>
      </c>
      <c r="AD104" s="1131">
        <v>6</v>
      </c>
      <c r="AE104" s="1131">
        <v>3</v>
      </c>
      <c r="AF104" s="1131">
        <v>2</v>
      </c>
      <c r="AG104" s="1131"/>
      <c r="AH104" s="1131"/>
      <c r="AI104" s="1131"/>
      <c r="AJ104" s="1131">
        <v>1</v>
      </c>
      <c r="AK104" s="1132">
        <v>0</v>
      </c>
      <c r="AL104" s="1132">
        <v>4</v>
      </c>
      <c r="AM104" s="1128">
        <v>0</v>
      </c>
      <c r="AN104" s="1134">
        <v>3</v>
      </c>
      <c r="AO104" s="1134">
        <v>3</v>
      </c>
      <c r="AP104" s="850"/>
      <c r="AQ104" s="850"/>
      <c r="AR104" s="850"/>
      <c r="AS104" s="850"/>
      <c r="AT104" s="850"/>
      <c r="AU104" s="850"/>
      <c r="AV104" s="850"/>
      <c r="AW104" s="847"/>
      <c r="AX104" s="847"/>
      <c r="AY104" s="146"/>
      <c r="AZ104" s="438"/>
      <c r="BA104" s="441"/>
      <c r="BB104" s="277"/>
      <c r="BC104" s="420"/>
    </row>
    <row r="105" spans="1:55" ht="16" hidden="1" outlineLevel="1">
      <c r="A105" s="93"/>
      <c r="B105" s="100" t="s">
        <v>238</v>
      </c>
      <c r="C105" s="99" t="s">
        <v>153</v>
      </c>
      <c r="D105" s="846"/>
      <c r="E105" s="847"/>
      <c r="F105" s="847"/>
      <c r="G105" s="847"/>
      <c r="H105" s="847"/>
      <c r="I105" s="847"/>
      <c r="J105" s="847"/>
      <c r="K105" s="847"/>
      <c r="L105" s="847"/>
      <c r="M105" s="847"/>
      <c r="N105" s="847"/>
      <c r="O105" s="848"/>
      <c r="P105" s="849"/>
      <c r="Q105" s="847"/>
      <c r="R105" s="847"/>
      <c r="S105" s="847"/>
      <c r="T105" s="847"/>
      <c r="U105" s="847"/>
      <c r="V105" s="847"/>
      <c r="W105" s="847"/>
      <c r="X105" s="847"/>
      <c r="Y105" s="847"/>
      <c r="Z105" s="847"/>
      <c r="AA105" s="851"/>
      <c r="AB105" s="1130">
        <v>3</v>
      </c>
      <c r="AC105" s="1131"/>
      <c r="AD105" s="1131">
        <v>6</v>
      </c>
      <c r="AE105" s="1131">
        <v>7</v>
      </c>
      <c r="AF105" s="1131">
        <v>6</v>
      </c>
      <c r="AG105" s="1131">
        <v>9</v>
      </c>
      <c r="AH105" s="1131">
        <v>3</v>
      </c>
      <c r="AI105" s="1131">
        <v>4</v>
      </c>
      <c r="AJ105" s="1131">
        <v>6</v>
      </c>
      <c r="AK105" s="1132">
        <v>8</v>
      </c>
      <c r="AL105" s="1132">
        <v>8</v>
      </c>
      <c r="AM105" s="1128">
        <v>6</v>
      </c>
      <c r="AN105" s="1134">
        <v>15</v>
      </c>
      <c r="AO105" s="1134">
        <v>5</v>
      </c>
      <c r="AP105" s="850"/>
      <c r="AQ105" s="850"/>
      <c r="AR105" s="850"/>
      <c r="AS105" s="850"/>
      <c r="AT105" s="850"/>
      <c r="AU105" s="850"/>
      <c r="AV105" s="850"/>
      <c r="AW105" s="847"/>
      <c r="AX105" s="847"/>
      <c r="AY105" s="146"/>
      <c r="AZ105" s="438"/>
      <c r="BA105" s="441"/>
      <c r="BB105" s="277"/>
      <c r="BC105" s="420"/>
    </row>
    <row r="106" spans="1:55" ht="16" hidden="1" outlineLevel="1">
      <c r="A106" s="93"/>
      <c r="B106" s="100" t="s">
        <v>239</v>
      </c>
      <c r="C106" s="99" t="s">
        <v>153</v>
      </c>
      <c r="D106" s="846"/>
      <c r="E106" s="847"/>
      <c r="F106" s="847"/>
      <c r="G106" s="847"/>
      <c r="H106" s="847"/>
      <c r="I106" s="847"/>
      <c r="J106" s="847"/>
      <c r="K106" s="847"/>
      <c r="L106" s="847"/>
      <c r="M106" s="847"/>
      <c r="N106" s="847"/>
      <c r="O106" s="848"/>
      <c r="P106" s="849"/>
      <c r="Q106" s="847"/>
      <c r="R106" s="847"/>
      <c r="S106" s="847"/>
      <c r="T106" s="847"/>
      <c r="U106" s="847"/>
      <c r="V106" s="847"/>
      <c r="W106" s="847"/>
      <c r="X106" s="847"/>
      <c r="Y106" s="847"/>
      <c r="Z106" s="847"/>
      <c r="AA106" s="851"/>
      <c r="AB106" s="1130">
        <v>1</v>
      </c>
      <c r="AC106" s="1131">
        <v>2</v>
      </c>
      <c r="AD106" s="1131"/>
      <c r="AE106" s="1131"/>
      <c r="AF106" s="1131"/>
      <c r="AG106" s="1131"/>
      <c r="AH106" s="1131"/>
      <c r="AI106" s="1131"/>
      <c r="AJ106" s="1131">
        <v>1</v>
      </c>
      <c r="AK106" s="1132">
        <v>1</v>
      </c>
      <c r="AL106" s="1132"/>
      <c r="AM106" s="1128">
        <v>0</v>
      </c>
      <c r="AN106" s="1134">
        <v>0</v>
      </c>
      <c r="AO106" s="1134">
        <v>0</v>
      </c>
      <c r="AP106" s="850"/>
      <c r="AQ106" s="850"/>
      <c r="AR106" s="850"/>
      <c r="AS106" s="850"/>
      <c r="AT106" s="850"/>
      <c r="AU106" s="850"/>
      <c r="AV106" s="850"/>
      <c r="AW106" s="847"/>
      <c r="AX106" s="847"/>
      <c r="AY106" s="146"/>
      <c r="AZ106" s="438"/>
      <c r="BA106" s="441"/>
      <c r="BB106" s="277"/>
      <c r="BC106" s="420"/>
    </row>
    <row r="107" spans="1:55" ht="16" hidden="1" outlineLevel="1">
      <c r="A107" s="93"/>
      <c r="B107" s="100" t="s">
        <v>240</v>
      </c>
      <c r="C107" s="99" t="s">
        <v>153</v>
      </c>
      <c r="D107" s="846"/>
      <c r="E107" s="847"/>
      <c r="F107" s="847"/>
      <c r="G107" s="847"/>
      <c r="H107" s="847"/>
      <c r="I107" s="847"/>
      <c r="J107" s="847"/>
      <c r="K107" s="847"/>
      <c r="L107" s="847"/>
      <c r="M107" s="847"/>
      <c r="N107" s="847"/>
      <c r="O107" s="848"/>
      <c r="P107" s="849"/>
      <c r="Q107" s="847"/>
      <c r="R107" s="847"/>
      <c r="S107" s="847"/>
      <c r="T107" s="847"/>
      <c r="U107" s="847"/>
      <c r="V107" s="847"/>
      <c r="W107" s="847"/>
      <c r="X107" s="847"/>
      <c r="Y107" s="847"/>
      <c r="Z107" s="847"/>
      <c r="AA107" s="851"/>
      <c r="AB107" s="1130"/>
      <c r="AC107" s="1131"/>
      <c r="AD107" s="1131"/>
      <c r="AE107" s="1131"/>
      <c r="AF107" s="1131"/>
      <c r="AG107" s="1131"/>
      <c r="AH107" s="1131"/>
      <c r="AI107" s="1131">
        <v>1</v>
      </c>
      <c r="AJ107" s="1131"/>
      <c r="AK107" s="1132">
        <v>0</v>
      </c>
      <c r="AL107" s="1132"/>
      <c r="AM107" s="1128">
        <v>0</v>
      </c>
      <c r="AN107" s="1134">
        <v>0</v>
      </c>
      <c r="AO107" s="1134">
        <v>0</v>
      </c>
      <c r="AP107" s="850"/>
      <c r="AQ107" s="850"/>
      <c r="AR107" s="850"/>
      <c r="AS107" s="850"/>
      <c r="AT107" s="850"/>
      <c r="AU107" s="850"/>
      <c r="AV107" s="850"/>
      <c r="AW107" s="847"/>
      <c r="AX107" s="847"/>
      <c r="AY107" s="146"/>
      <c r="AZ107" s="438"/>
      <c r="BA107" s="441"/>
      <c r="BB107" s="277"/>
      <c r="BC107" s="420"/>
    </row>
    <row r="108" spans="1:55" ht="16" collapsed="1">
      <c r="A108" s="93"/>
      <c r="B108" s="100" t="s">
        <v>241</v>
      </c>
      <c r="C108" s="99" t="s">
        <v>153</v>
      </c>
      <c r="D108" s="125" t="s">
        <v>124</v>
      </c>
      <c r="E108" s="103" t="s">
        <v>124</v>
      </c>
      <c r="F108" s="103" t="s">
        <v>124</v>
      </c>
      <c r="G108" s="103">
        <v>2</v>
      </c>
      <c r="H108" s="103">
        <v>1</v>
      </c>
      <c r="I108" s="103">
        <v>2</v>
      </c>
      <c r="J108" s="103">
        <v>2</v>
      </c>
      <c r="K108" s="103" t="s">
        <v>156</v>
      </c>
      <c r="L108" s="103">
        <v>2</v>
      </c>
      <c r="M108" s="103">
        <v>1</v>
      </c>
      <c r="N108" s="103">
        <v>1</v>
      </c>
      <c r="O108" s="126">
        <v>1</v>
      </c>
      <c r="P108" s="114">
        <v>1</v>
      </c>
      <c r="Q108" s="103" t="s">
        <v>156</v>
      </c>
      <c r="R108" s="103">
        <v>2</v>
      </c>
      <c r="S108" s="103">
        <v>3</v>
      </c>
      <c r="T108" s="103">
        <v>1</v>
      </c>
      <c r="U108" s="103">
        <v>1</v>
      </c>
      <c r="V108" s="103" t="s">
        <v>169</v>
      </c>
      <c r="W108" s="103" t="s">
        <v>156</v>
      </c>
      <c r="X108" s="103">
        <v>2</v>
      </c>
      <c r="Y108" s="103">
        <v>4</v>
      </c>
      <c r="Z108" s="103">
        <v>1</v>
      </c>
      <c r="AA108" s="146">
        <v>3</v>
      </c>
      <c r="AB108" s="1125">
        <v>4</v>
      </c>
      <c r="AC108" s="1126">
        <v>2</v>
      </c>
      <c r="AD108" s="1126">
        <v>2</v>
      </c>
      <c r="AE108" s="1126">
        <v>2</v>
      </c>
      <c r="AF108" s="1126">
        <v>3</v>
      </c>
      <c r="AG108" s="1126">
        <v>2</v>
      </c>
      <c r="AH108" s="1126">
        <v>3</v>
      </c>
      <c r="AI108" s="1126">
        <v>1</v>
      </c>
      <c r="AJ108" s="1126">
        <v>0</v>
      </c>
      <c r="AK108" s="1127">
        <v>1</v>
      </c>
      <c r="AL108" s="1127">
        <v>0</v>
      </c>
      <c r="AM108" s="1128">
        <v>1</v>
      </c>
      <c r="AN108" s="1129">
        <v>2</v>
      </c>
      <c r="AO108" s="1129">
        <v>2</v>
      </c>
      <c r="AP108" s="535"/>
      <c r="AQ108" s="535"/>
      <c r="AR108" s="535"/>
      <c r="AS108" s="535"/>
      <c r="AT108" s="535"/>
      <c r="AU108" s="535"/>
      <c r="AV108" s="535"/>
      <c r="AW108" s="103"/>
      <c r="AX108" s="103"/>
      <c r="AY108" s="146"/>
      <c r="AZ108" s="438"/>
      <c r="BA108" s="441">
        <f t="shared" si="36"/>
        <v>1.5</v>
      </c>
      <c r="BB108" s="277">
        <f t="shared" si="37"/>
        <v>2</v>
      </c>
      <c r="BC108" s="420">
        <f t="shared" si="33"/>
        <v>2.1</v>
      </c>
    </row>
    <row r="109" spans="1:55" ht="16">
      <c r="A109" s="93"/>
      <c r="B109" s="100" t="s">
        <v>242</v>
      </c>
      <c r="C109" s="99" t="s">
        <v>153</v>
      </c>
      <c r="D109" s="125" t="s">
        <v>124</v>
      </c>
      <c r="E109" s="103" t="s">
        <v>124</v>
      </c>
      <c r="F109" s="103" t="s">
        <v>124</v>
      </c>
      <c r="G109" s="103">
        <v>12</v>
      </c>
      <c r="H109" s="103">
        <v>3</v>
      </c>
      <c r="I109" s="103">
        <v>4</v>
      </c>
      <c r="J109" s="103">
        <v>3</v>
      </c>
      <c r="K109" s="103">
        <v>5</v>
      </c>
      <c r="L109" s="103">
        <v>8</v>
      </c>
      <c r="M109" s="103">
        <v>4</v>
      </c>
      <c r="N109" s="103">
        <v>5</v>
      </c>
      <c r="O109" s="126">
        <v>6</v>
      </c>
      <c r="P109" s="114">
        <v>10</v>
      </c>
      <c r="Q109" s="103">
        <v>6</v>
      </c>
      <c r="R109" s="103">
        <v>15</v>
      </c>
      <c r="S109" s="103">
        <v>16</v>
      </c>
      <c r="T109" s="103">
        <v>10</v>
      </c>
      <c r="U109" s="103">
        <v>6</v>
      </c>
      <c r="V109" s="103">
        <v>7</v>
      </c>
      <c r="W109" s="103">
        <v>5</v>
      </c>
      <c r="X109" s="103">
        <v>6</v>
      </c>
      <c r="Y109" s="103">
        <v>11</v>
      </c>
      <c r="Z109" s="103">
        <v>9</v>
      </c>
      <c r="AA109" s="146">
        <v>20</v>
      </c>
      <c r="AB109" s="1125">
        <v>15</v>
      </c>
      <c r="AC109" s="1126">
        <v>10</v>
      </c>
      <c r="AD109" s="1126">
        <v>9</v>
      </c>
      <c r="AE109" s="1126">
        <v>9</v>
      </c>
      <c r="AF109" s="1126">
        <v>10</v>
      </c>
      <c r="AG109" s="1126">
        <v>7</v>
      </c>
      <c r="AH109" s="1126">
        <v>7</v>
      </c>
      <c r="AI109" s="1126">
        <v>5</v>
      </c>
      <c r="AJ109" s="1126">
        <v>8</v>
      </c>
      <c r="AK109" s="1127">
        <v>3</v>
      </c>
      <c r="AL109" s="1127">
        <v>7</v>
      </c>
      <c r="AM109" s="1128">
        <v>3</v>
      </c>
      <c r="AN109" s="1129">
        <f>+SUM(AN110:AN114)</f>
        <v>17</v>
      </c>
      <c r="AO109" s="1129">
        <f>+SUM(AO110:AO114)</f>
        <v>6</v>
      </c>
      <c r="AP109" s="535"/>
      <c r="AQ109" s="535"/>
      <c r="AR109" s="535"/>
      <c r="AS109" s="535"/>
      <c r="AT109" s="535"/>
      <c r="AU109" s="535"/>
      <c r="AV109" s="535"/>
      <c r="AW109" s="103"/>
      <c r="AX109" s="103"/>
      <c r="AY109" s="146"/>
      <c r="AZ109" s="438"/>
      <c r="BA109" s="441">
        <f t="shared" si="36"/>
        <v>5.5555555555555554</v>
      </c>
      <c r="BB109" s="277">
        <f t="shared" si="37"/>
        <v>10.083333333333334</v>
      </c>
      <c r="BC109" s="420">
        <f t="shared" si="33"/>
        <v>7.75</v>
      </c>
    </row>
    <row r="110" spans="1:55" ht="16" hidden="1" outlineLevel="1">
      <c r="A110" s="93"/>
      <c r="B110" s="100" t="s">
        <v>243</v>
      </c>
      <c r="C110" s="99" t="s">
        <v>153</v>
      </c>
      <c r="D110" s="852"/>
      <c r="E110" s="853"/>
      <c r="F110" s="853"/>
      <c r="G110" s="853"/>
      <c r="H110" s="853"/>
      <c r="I110" s="853"/>
      <c r="J110" s="853"/>
      <c r="K110" s="853"/>
      <c r="L110" s="853"/>
      <c r="M110" s="853"/>
      <c r="N110" s="853"/>
      <c r="O110" s="854"/>
      <c r="P110" s="855"/>
      <c r="Q110" s="853"/>
      <c r="R110" s="853"/>
      <c r="S110" s="853"/>
      <c r="T110" s="853"/>
      <c r="U110" s="853"/>
      <c r="V110" s="853"/>
      <c r="W110" s="853"/>
      <c r="X110" s="853"/>
      <c r="Y110" s="853"/>
      <c r="Z110" s="853"/>
      <c r="AA110" s="857"/>
      <c r="AB110" s="1130"/>
      <c r="AC110" s="1135"/>
      <c r="AD110" s="1135"/>
      <c r="AE110" s="1135"/>
      <c r="AF110" s="1135"/>
      <c r="AG110" s="1135"/>
      <c r="AH110" s="1135"/>
      <c r="AI110" s="1135">
        <v>1</v>
      </c>
      <c r="AJ110" s="1135"/>
      <c r="AK110" s="1136">
        <v>0</v>
      </c>
      <c r="AL110" s="1136">
        <v>0</v>
      </c>
      <c r="AM110" s="1128">
        <v>0</v>
      </c>
      <c r="AN110" s="1134">
        <v>0</v>
      </c>
      <c r="AO110" s="1134">
        <v>0</v>
      </c>
      <c r="AP110" s="856"/>
      <c r="AQ110" s="856"/>
      <c r="AR110" s="856"/>
      <c r="AS110" s="856"/>
      <c r="AT110" s="856"/>
      <c r="AU110" s="856"/>
      <c r="AV110" s="856"/>
      <c r="AW110" s="853"/>
      <c r="AX110" s="853"/>
      <c r="AY110" s="146"/>
      <c r="AZ110" s="438"/>
      <c r="BA110" s="635"/>
      <c r="BB110" s="636"/>
      <c r="BC110" s="637"/>
    </row>
    <row r="111" spans="1:55" ht="16" hidden="1" outlineLevel="1">
      <c r="A111" s="93"/>
      <c r="B111" s="100" t="s">
        <v>244</v>
      </c>
      <c r="C111" s="99" t="s">
        <v>153</v>
      </c>
      <c r="D111" s="852"/>
      <c r="E111" s="853"/>
      <c r="F111" s="853"/>
      <c r="G111" s="853"/>
      <c r="H111" s="853"/>
      <c r="I111" s="853"/>
      <c r="J111" s="853"/>
      <c r="K111" s="853"/>
      <c r="L111" s="853"/>
      <c r="M111" s="853"/>
      <c r="N111" s="853"/>
      <c r="O111" s="854"/>
      <c r="P111" s="855"/>
      <c r="Q111" s="853"/>
      <c r="R111" s="853"/>
      <c r="S111" s="853"/>
      <c r="T111" s="853"/>
      <c r="U111" s="853"/>
      <c r="V111" s="853"/>
      <c r="W111" s="853"/>
      <c r="X111" s="853"/>
      <c r="Y111" s="853"/>
      <c r="Z111" s="853"/>
      <c r="AA111" s="857"/>
      <c r="AB111" s="1130">
        <v>2</v>
      </c>
      <c r="AC111" s="1135"/>
      <c r="AD111" s="1135"/>
      <c r="AE111" s="1135">
        <v>2</v>
      </c>
      <c r="AF111" s="1135"/>
      <c r="AG111" s="1135">
        <v>2</v>
      </c>
      <c r="AH111" s="1135"/>
      <c r="AI111" s="1135">
        <v>1</v>
      </c>
      <c r="AJ111" s="1135">
        <v>1</v>
      </c>
      <c r="AK111" s="1136">
        <v>0</v>
      </c>
      <c r="AL111" s="1136">
        <v>0</v>
      </c>
      <c r="AM111" s="1128">
        <v>0</v>
      </c>
      <c r="AN111" s="1134">
        <v>0</v>
      </c>
      <c r="AO111" s="1134">
        <v>0</v>
      </c>
      <c r="AP111" s="856"/>
      <c r="AQ111" s="856"/>
      <c r="AR111" s="856"/>
      <c r="AS111" s="856"/>
      <c r="AT111" s="856"/>
      <c r="AU111" s="856"/>
      <c r="AV111" s="856"/>
      <c r="AW111" s="853"/>
      <c r="AX111" s="853"/>
      <c r="AY111" s="146"/>
      <c r="AZ111" s="438"/>
      <c r="BA111" s="635"/>
      <c r="BB111" s="636"/>
      <c r="BC111" s="637"/>
    </row>
    <row r="112" spans="1:55" ht="16" hidden="1" outlineLevel="1">
      <c r="A112" s="93"/>
      <c r="B112" s="100" t="s">
        <v>245</v>
      </c>
      <c r="C112" s="99" t="s">
        <v>153</v>
      </c>
      <c r="D112" s="852"/>
      <c r="E112" s="853"/>
      <c r="F112" s="853"/>
      <c r="G112" s="853"/>
      <c r="H112" s="853"/>
      <c r="I112" s="853"/>
      <c r="J112" s="853"/>
      <c r="K112" s="853"/>
      <c r="L112" s="853"/>
      <c r="M112" s="853"/>
      <c r="N112" s="853"/>
      <c r="O112" s="854"/>
      <c r="P112" s="855"/>
      <c r="Q112" s="853"/>
      <c r="R112" s="853"/>
      <c r="S112" s="853"/>
      <c r="T112" s="853"/>
      <c r="U112" s="853"/>
      <c r="V112" s="853"/>
      <c r="W112" s="853"/>
      <c r="X112" s="853"/>
      <c r="Y112" s="853"/>
      <c r="Z112" s="853"/>
      <c r="AA112" s="857"/>
      <c r="AB112" s="1130">
        <v>1</v>
      </c>
      <c r="AC112" s="1135">
        <v>6</v>
      </c>
      <c r="AD112" s="1135"/>
      <c r="AE112" s="1135">
        <v>4</v>
      </c>
      <c r="AF112" s="1135">
        <v>6</v>
      </c>
      <c r="AG112" s="1135">
        <v>1</v>
      </c>
      <c r="AH112" s="1135">
        <v>4</v>
      </c>
      <c r="AI112" s="1135">
        <v>2</v>
      </c>
      <c r="AJ112" s="1135">
        <v>4</v>
      </c>
      <c r="AK112" s="1136">
        <v>0</v>
      </c>
      <c r="AL112" s="1136">
        <v>3</v>
      </c>
      <c r="AM112" s="1128">
        <v>2</v>
      </c>
      <c r="AN112" s="1134">
        <v>11</v>
      </c>
      <c r="AO112" s="1134">
        <v>3</v>
      </c>
      <c r="AP112" s="856"/>
      <c r="AQ112" s="856"/>
      <c r="AR112" s="856"/>
      <c r="AS112" s="856"/>
      <c r="AT112" s="856"/>
      <c r="AU112" s="856"/>
      <c r="AV112" s="856"/>
      <c r="AW112" s="853"/>
      <c r="AX112" s="853"/>
      <c r="AY112" s="146"/>
      <c r="AZ112" s="438"/>
      <c r="BA112" s="635"/>
      <c r="BB112" s="636"/>
      <c r="BC112" s="637"/>
    </row>
    <row r="113" spans="1:55" ht="16" hidden="1" outlineLevel="1">
      <c r="A113" s="93"/>
      <c r="B113" s="100" t="s">
        <v>246</v>
      </c>
      <c r="C113" s="99" t="s">
        <v>153</v>
      </c>
      <c r="D113" s="852"/>
      <c r="E113" s="853"/>
      <c r="F113" s="853"/>
      <c r="G113" s="853"/>
      <c r="H113" s="853"/>
      <c r="I113" s="853"/>
      <c r="J113" s="853"/>
      <c r="K113" s="853"/>
      <c r="L113" s="853"/>
      <c r="M113" s="853"/>
      <c r="N113" s="853"/>
      <c r="O113" s="854"/>
      <c r="P113" s="855"/>
      <c r="Q113" s="853"/>
      <c r="R113" s="853"/>
      <c r="S113" s="853"/>
      <c r="T113" s="853"/>
      <c r="U113" s="853"/>
      <c r="V113" s="853"/>
      <c r="W113" s="853"/>
      <c r="X113" s="853"/>
      <c r="Y113" s="853"/>
      <c r="Z113" s="853"/>
      <c r="AA113" s="857"/>
      <c r="AB113" s="1130">
        <v>12</v>
      </c>
      <c r="AC113" s="1135">
        <v>3</v>
      </c>
      <c r="AD113" s="1135">
        <v>7</v>
      </c>
      <c r="AE113" s="1135">
        <v>3</v>
      </c>
      <c r="AF113" s="1135">
        <v>4</v>
      </c>
      <c r="AG113" s="1135">
        <v>4</v>
      </c>
      <c r="AH113" s="1135">
        <v>3</v>
      </c>
      <c r="AI113" s="1135">
        <v>1</v>
      </c>
      <c r="AJ113" s="1135">
        <v>3</v>
      </c>
      <c r="AK113" s="1136">
        <v>3</v>
      </c>
      <c r="AL113" s="1136">
        <v>3</v>
      </c>
      <c r="AM113" s="1128">
        <v>0</v>
      </c>
      <c r="AN113" s="1134">
        <v>6</v>
      </c>
      <c r="AO113" s="1134">
        <v>3</v>
      </c>
      <c r="AP113" s="856"/>
      <c r="AQ113" s="856"/>
      <c r="AR113" s="856"/>
      <c r="AS113" s="856"/>
      <c r="AT113" s="856"/>
      <c r="AU113" s="856"/>
      <c r="AV113" s="856"/>
      <c r="AW113" s="853"/>
      <c r="AX113" s="853"/>
      <c r="AY113" s="146"/>
      <c r="AZ113" s="438"/>
      <c r="BA113" s="635"/>
      <c r="BB113" s="636"/>
      <c r="BC113" s="637"/>
    </row>
    <row r="114" spans="1:55" ht="16" hidden="1" outlineLevel="1">
      <c r="A114" s="93"/>
      <c r="B114" s="100" t="s">
        <v>247</v>
      </c>
      <c r="C114" s="99" t="s">
        <v>153</v>
      </c>
      <c r="D114" s="852"/>
      <c r="E114" s="853"/>
      <c r="F114" s="853"/>
      <c r="G114" s="853"/>
      <c r="H114" s="853"/>
      <c r="I114" s="853"/>
      <c r="J114" s="853"/>
      <c r="K114" s="853"/>
      <c r="L114" s="853"/>
      <c r="M114" s="853"/>
      <c r="N114" s="853"/>
      <c r="O114" s="854"/>
      <c r="P114" s="855"/>
      <c r="Q114" s="853"/>
      <c r="R114" s="853"/>
      <c r="S114" s="853"/>
      <c r="T114" s="853"/>
      <c r="U114" s="853"/>
      <c r="V114" s="853"/>
      <c r="W114" s="853"/>
      <c r="X114" s="853"/>
      <c r="Y114" s="853"/>
      <c r="Z114" s="853"/>
      <c r="AA114" s="857"/>
      <c r="AB114" s="1130"/>
      <c r="AC114" s="1135">
        <v>1</v>
      </c>
      <c r="AD114" s="1135"/>
      <c r="AE114" s="1135"/>
      <c r="AF114" s="1135"/>
      <c r="AG114" s="1135"/>
      <c r="AH114" s="1135"/>
      <c r="AI114" s="1135"/>
      <c r="AJ114" s="1135"/>
      <c r="AK114" s="1136">
        <v>0</v>
      </c>
      <c r="AL114" s="1136">
        <v>1</v>
      </c>
      <c r="AM114" s="1128">
        <v>1</v>
      </c>
      <c r="AN114" s="1134">
        <v>0</v>
      </c>
      <c r="AO114" s="1134">
        <v>0</v>
      </c>
      <c r="AP114" s="856"/>
      <c r="AQ114" s="856"/>
      <c r="AR114" s="856"/>
      <c r="AS114" s="856"/>
      <c r="AT114" s="856"/>
      <c r="AU114" s="856"/>
      <c r="AV114" s="856"/>
      <c r="AW114" s="853"/>
      <c r="AX114" s="853"/>
      <c r="AY114" s="146"/>
      <c r="AZ114" s="438"/>
      <c r="BA114" s="635"/>
      <c r="BB114" s="636"/>
      <c r="BC114" s="637"/>
    </row>
    <row r="115" spans="1:55" ht="16" collapsed="1">
      <c r="A115" s="94" t="s">
        <v>124</v>
      </c>
      <c r="B115" s="101" t="s">
        <v>248</v>
      </c>
      <c r="C115" s="393" t="s">
        <v>153</v>
      </c>
      <c r="D115" s="165" t="s">
        <v>124</v>
      </c>
      <c r="E115" s="142" t="s">
        <v>124</v>
      </c>
      <c r="F115" s="142" t="s">
        <v>124</v>
      </c>
      <c r="G115" s="142">
        <v>1</v>
      </c>
      <c r="H115" s="142" t="s">
        <v>156</v>
      </c>
      <c r="I115" s="142">
        <v>1</v>
      </c>
      <c r="J115" s="142" t="s">
        <v>156</v>
      </c>
      <c r="K115" s="142" t="s">
        <v>156</v>
      </c>
      <c r="L115" s="142" t="s">
        <v>156</v>
      </c>
      <c r="M115" s="142" t="s">
        <v>156</v>
      </c>
      <c r="N115" s="142" t="s">
        <v>156</v>
      </c>
      <c r="O115" s="143" t="s">
        <v>156</v>
      </c>
      <c r="P115" s="144" t="s">
        <v>156</v>
      </c>
      <c r="Q115" s="142" t="s">
        <v>156</v>
      </c>
      <c r="R115" s="142">
        <v>1</v>
      </c>
      <c r="S115" s="142">
        <v>1</v>
      </c>
      <c r="T115" s="142">
        <v>1</v>
      </c>
      <c r="U115" s="142" t="s">
        <v>156</v>
      </c>
      <c r="V115" s="142">
        <v>1</v>
      </c>
      <c r="W115" s="142">
        <v>1</v>
      </c>
      <c r="X115" s="142">
        <v>1</v>
      </c>
      <c r="Y115" s="142">
        <v>1</v>
      </c>
      <c r="Z115" s="142" t="s">
        <v>157</v>
      </c>
      <c r="AA115" s="1037" t="s">
        <v>249</v>
      </c>
      <c r="AB115" s="1137">
        <v>1</v>
      </c>
      <c r="AC115" s="1138">
        <v>0</v>
      </c>
      <c r="AD115" s="1138">
        <v>1</v>
      </c>
      <c r="AE115" s="1138">
        <v>0</v>
      </c>
      <c r="AF115" s="1138">
        <v>0</v>
      </c>
      <c r="AG115" s="1138">
        <v>0</v>
      </c>
      <c r="AH115" s="1138">
        <v>0</v>
      </c>
      <c r="AI115" s="1138">
        <v>1</v>
      </c>
      <c r="AJ115" s="1138">
        <v>2</v>
      </c>
      <c r="AK115" s="1139">
        <v>0</v>
      </c>
      <c r="AL115" s="1139">
        <v>1</v>
      </c>
      <c r="AM115" s="1140">
        <v>0</v>
      </c>
      <c r="AN115" s="1129">
        <v>0</v>
      </c>
      <c r="AO115" s="1129">
        <v>0</v>
      </c>
      <c r="AP115" s="655"/>
      <c r="AQ115" s="655"/>
      <c r="AR115" s="655"/>
      <c r="AS115" s="655"/>
      <c r="AT115" s="655"/>
      <c r="AU115" s="655"/>
      <c r="AV115" s="655"/>
      <c r="AW115" s="142"/>
      <c r="AX115" s="142"/>
      <c r="AY115" s="146"/>
      <c r="AZ115" s="438" t="s">
        <v>124</v>
      </c>
      <c r="BA115" s="518">
        <f t="shared" si="36"/>
        <v>1</v>
      </c>
      <c r="BB115" s="519">
        <f t="shared" si="37"/>
        <v>1</v>
      </c>
      <c r="BC115" s="520">
        <f t="shared" si="33"/>
        <v>1.2</v>
      </c>
    </row>
    <row r="116" spans="1:55" ht="16">
      <c r="A116" s="92"/>
      <c r="B116" s="98" t="s">
        <v>250</v>
      </c>
      <c r="C116" s="99" t="s">
        <v>153</v>
      </c>
      <c r="D116" s="168">
        <v>72</v>
      </c>
      <c r="E116" s="169">
        <v>86</v>
      </c>
      <c r="F116" s="169">
        <v>150</v>
      </c>
      <c r="G116" s="169">
        <f t="shared" ref="G116:AA116" si="38">+SUM(G117:G145)</f>
        <v>105</v>
      </c>
      <c r="H116" s="169">
        <f t="shared" si="38"/>
        <v>134</v>
      </c>
      <c r="I116" s="169">
        <f t="shared" si="38"/>
        <v>141</v>
      </c>
      <c r="J116" s="169">
        <f t="shared" si="38"/>
        <v>101</v>
      </c>
      <c r="K116" s="169">
        <f t="shared" si="38"/>
        <v>65</v>
      </c>
      <c r="L116" s="169">
        <f t="shared" si="38"/>
        <v>75</v>
      </c>
      <c r="M116" s="169">
        <f t="shared" si="38"/>
        <v>110</v>
      </c>
      <c r="N116" s="169">
        <f t="shared" si="38"/>
        <v>131</v>
      </c>
      <c r="O116" s="170">
        <f t="shared" si="38"/>
        <v>92</v>
      </c>
      <c r="P116" s="171">
        <f t="shared" si="38"/>
        <v>162</v>
      </c>
      <c r="Q116" s="169">
        <f t="shared" si="38"/>
        <v>127</v>
      </c>
      <c r="R116" s="169">
        <f t="shared" si="38"/>
        <v>109</v>
      </c>
      <c r="S116" s="169">
        <f t="shared" si="38"/>
        <v>117</v>
      </c>
      <c r="T116" s="169">
        <f t="shared" si="38"/>
        <v>54</v>
      </c>
      <c r="U116" s="169">
        <f t="shared" si="38"/>
        <v>79</v>
      </c>
      <c r="V116" s="169">
        <f t="shared" si="38"/>
        <v>96</v>
      </c>
      <c r="W116" s="169">
        <f t="shared" si="38"/>
        <v>105</v>
      </c>
      <c r="X116" s="169">
        <f t="shared" si="38"/>
        <v>92</v>
      </c>
      <c r="Y116" s="169">
        <f t="shared" si="38"/>
        <v>62</v>
      </c>
      <c r="Z116" s="169">
        <f t="shared" si="38"/>
        <v>73</v>
      </c>
      <c r="AA116" s="315">
        <f t="shared" si="38"/>
        <v>61</v>
      </c>
      <c r="AB116" s="1122">
        <f>+AB117+AB120+AB128+AB129+AB136+AB137+AB138+AB141+AB142+AB143</f>
        <v>53</v>
      </c>
      <c r="AC116" s="1123">
        <f t="shared" ref="AC116:AJ116" si="39">+AC117+AC120+AC128+AC129+AC136+AC137+AC138+AC141+AC142+AC143</f>
        <v>61</v>
      </c>
      <c r="AD116" s="1123">
        <f t="shared" si="39"/>
        <v>98</v>
      </c>
      <c r="AE116" s="1123">
        <f t="shared" si="39"/>
        <v>88</v>
      </c>
      <c r="AF116" s="1123">
        <f t="shared" si="39"/>
        <v>165</v>
      </c>
      <c r="AG116" s="1123">
        <f t="shared" si="39"/>
        <v>129</v>
      </c>
      <c r="AH116" s="1123">
        <f t="shared" si="39"/>
        <v>109</v>
      </c>
      <c r="AI116" s="1123">
        <f t="shared" si="39"/>
        <v>124</v>
      </c>
      <c r="AJ116" s="1123">
        <f t="shared" si="39"/>
        <v>141</v>
      </c>
      <c r="AK116" s="1123">
        <f>+AK117+AK120+AK128+AK129+AK136+AK137+AK138+AK141+AK142+AK143</f>
        <v>182</v>
      </c>
      <c r="AL116" s="1123">
        <f>+AL117+AL120+AL128+AL129+AL136+AL137+AL138+AL141+AL142+AL143</f>
        <v>96</v>
      </c>
      <c r="AM116" s="1124">
        <f>+AM117+AM120+AM128+AM129+AM136+AM137+AM138+AM141+AM142+AM143</f>
        <v>157</v>
      </c>
      <c r="AN116" s="1141">
        <f>+AN117+AN120+AN128+AN129+AN136+AN137+AN138+AN141+AN142+AN143</f>
        <v>207</v>
      </c>
      <c r="AO116" s="1141">
        <f>+AO117+AO120+AO128+AO129+AO136+AO137+AO138+AO141+AO142+AO143</f>
        <v>94</v>
      </c>
      <c r="AP116" s="169"/>
      <c r="AQ116" s="169"/>
      <c r="AR116" s="169"/>
      <c r="AS116" s="169"/>
      <c r="AT116" s="169"/>
      <c r="AU116" s="169"/>
      <c r="AV116" s="169"/>
      <c r="AW116" s="169"/>
      <c r="AX116" s="169"/>
      <c r="AY116" s="169"/>
      <c r="AZ116" s="437"/>
      <c r="BA116" s="452">
        <f t="shared" si="36"/>
        <v>105.16666666666667</v>
      </c>
      <c r="BB116" s="317">
        <f t="shared" si="37"/>
        <v>94.75</v>
      </c>
      <c r="BC116" s="431">
        <f t="shared" si="33"/>
        <v>116.91666666666667</v>
      </c>
    </row>
    <row r="117" spans="1:55" ht="16">
      <c r="A117" s="93"/>
      <c r="B117" s="100" t="s">
        <v>213</v>
      </c>
      <c r="C117" s="99" t="s">
        <v>153</v>
      </c>
      <c r="D117" s="125"/>
      <c r="E117" s="103"/>
      <c r="F117" s="103" t="s">
        <v>124</v>
      </c>
      <c r="G117" s="103">
        <v>78</v>
      </c>
      <c r="H117" s="103">
        <v>109</v>
      </c>
      <c r="I117" s="103">
        <v>103</v>
      </c>
      <c r="J117" s="103">
        <v>71</v>
      </c>
      <c r="K117" s="103">
        <v>48</v>
      </c>
      <c r="L117" s="103">
        <v>62</v>
      </c>
      <c r="M117" s="103">
        <v>89</v>
      </c>
      <c r="N117" s="103">
        <v>100</v>
      </c>
      <c r="O117" s="126">
        <v>73</v>
      </c>
      <c r="P117" s="114">
        <v>150</v>
      </c>
      <c r="Q117" s="103">
        <v>120</v>
      </c>
      <c r="R117" s="103">
        <v>83</v>
      </c>
      <c r="S117" s="103">
        <v>88</v>
      </c>
      <c r="T117" s="103">
        <v>46</v>
      </c>
      <c r="U117" s="103">
        <v>51</v>
      </c>
      <c r="V117" s="103">
        <v>70</v>
      </c>
      <c r="W117" s="103">
        <v>82</v>
      </c>
      <c r="X117" s="103">
        <v>61</v>
      </c>
      <c r="Y117" s="103">
        <v>48</v>
      </c>
      <c r="Z117" s="103">
        <v>40</v>
      </c>
      <c r="AA117" s="146">
        <v>33</v>
      </c>
      <c r="AB117" s="1125">
        <v>36</v>
      </c>
      <c r="AC117" s="1126">
        <v>44</v>
      </c>
      <c r="AD117" s="1126">
        <v>53</v>
      </c>
      <c r="AE117" s="1126">
        <v>68</v>
      </c>
      <c r="AF117" s="1126">
        <v>135</v>
      </c>
      <c r="AG117" s="1126">
        <v>102</v>
      </c>
      <c r="AH117" s="1126">
        <v>76</v>
      </c>
      <c r="AI117" s="1126">
        <v>87</v>
      </c>
      <c r="AJ117" s="1126">
        <v>103</v>
      </c>
      <c r="AK117" s="1126">
        <v>130</v>
      </c>
      <c r="AL117" s="1126">
        <v>52</v>
      </c>
      <c r="AM117" s="1144">
        <v>131</v>
      </c>
      <c r="AN117" s="1129">
        <f>+SUM(AN118:AN119)</f>
        <v>175</v>
      </c>
      <c r="AO117" s="1129">
        <f>+SUM(AO118:AO119)</f>
        <v>76</v>
      </c>
      <c r="AP117" s="535"/>
      <c r="AQ117" s="535"/>
      <c r="AR117" s="535"/>
      <c r="AS117" s="535"/>
      <c r="AT117" s="535"/>
      <c r="AU117" s="535"/>
      <c r="AV117" s="535"/>
      <c r="AW117" s="103"/>
      <c r="AX117" s="103"/>
      <c r="AY117" s="146"/>
      <c r="AZ117" s="438"/>
      <c r="BA117" s="441">
        <f t="shared" si="36"/>
        <v>81.444444444444443</v>
      </c>
      <c r="BB117" s="277">
        <f t="shared" si="37"/>
        <v>72.666666666666671</v>
      </c>
      <c r="BC117" s="420">
        <f t="shared" si="33"/>
        <v>84.75</v>
      </c>
    </row>
    <row r="118" spans="1:55" ht="16" hidden="1" outlineLevel="1">
      <c r="A118" s="93"/>
      <c r="B118" s="100" t="s">
        <v>251</v>
      </c>
      <c r="C118" s="99" t="s">
        <v>153</v>
      </c>
      <c r="D118" s="846"/>
      <c r="E118" s="847"/>
      <c r="F118" s="847"/>
      <c r="G118" s="847"/>
      <c r="H118" s="847"/>
      <c r="I118" s="847"/>
      <c r="J118" s="847"/>
      <c r="K118" s="847"/>
      <c r="L118" s="847"/>
      <c r="M118" s="847"/>
      <c r="N118" s="847"/>
      <c r="O118" s="848"/>
      <c r="P118" s="849"/>
      <c r="Q118" s="847"/>
      <c r="R118" s="847"/>
      <c r="S118" s="847"/>
      <c r="T118" s="847"/>
      <c r="U118" s="847"/>
      <c r="V118" s="847"/>
      <c r="W118" s="847"/>
      <c r="X118" s="847"/>
      <c r="Y118" s="847"/>
      <c r="Z118" s="847"/>
      <c r="AA118" s="851"/>
      <c r="AB118" s="1130">
        <v>11</v>
      </c>
      <c r="AC118" s="1131">
        <v>5</v>
      </c>
      <c r="AD118" s="1131">
        <v>9</v>
      </c>
      <c r="AE118" s="1131">
        <v>12</v>
      </c>
      <c r="AF118" s="1131">
        <v>8</v>
      </c>
      <c r="AG118" s="1131">
        <v>21</v>
      </c>
      <c r="AH118" s="1131">
        <v>19</v>
      </c>
      <c r="AI118" s="1131">
        <v>23</v>
      </c>
      <c r="AJ118" s="1131">
        <v>15</v>
      </c>
      <c r="AK118" s="1131">
        <v>24</v>
      </c>
      <c r="AL118" s="1131">
        <v>16</v>
      </c>
      <c r="AM118" s="1145">
        <v>20</v>
      </c>
      <c r="AN118" s="1134">
        <v>21</v>
      </c>
      <c r="AO118" s="1134">
        <v>17</v>
      </c>
      <c r="AP118" s="850"/>
      <c r="AQ118" s="850"/>
      <c r="AR118" s="850"/>
      <c r="AS118" s="850"/>
      <c r="AT118" s="850"/>
      <c r="AU118" s="850"/>
      <c r="AV118" s="850"/>
      <c r="AW118" s="847"/>
      <c r="AX118" s="847"/>
      <c r="AY118" s="851"/>
      <c r="AZ118" s="438"/>
      <c r="BA118" s="441"/>
      <c r="BB118" s="277"/>
      <c r="BC118" s="420"/>
    </row>
    <row r="119" spans="1:55" ht="16" hidden="1" outlineLevel="1">
      <c r="A119" s="93"/>
      <c r="B119" s="100" t="s">
        <v>252</v>
      </c>
      <c r="C119" s="99" t="s">
        <v>153</v>
      </c>
      <c r="D119" s="846"/>
      <c r="E119" s="847"/>
      <c r="F119" s="847"/>
      <c r="G119" s="847"/>
      <c r="H119" s="847"/>
      <c r="I119" s="847"/>
      <c r="J119" s="847"/>
      <c r="K119" s="847"/>
      <c r="L119" s="847"/>
      <c r="M119" s="847"/>
      <c r="N119" s="847"/>
      <c r="O119" s="848"/>
      <c r="P119" s="849"/>
      <c r="Q119" s="847"/>
      <c r="R119" s="847"/>
      <c r="S119" s="847"/>
      <c r="T119" s="847"/>
      <c r="U119" s="847"/>
      <c r="V119" s="847"/>
      <c r="W119" s="847"/>
      <c r="X119" s="847"/>
      <c r="Y119" s="847"/>
      <c r="Z119" s="847"/>
      <c r="AA119" s="851"/>
      <c r="AB119" s="1130">
        <v>25</v>
      </c>
      <c r="AC119" s="1131">
        <v>39</v>
      </c>
      <c r="AD119" s="1131">
        <v>44</v>
      </c>
      <c r="AE119" s="1131">
        <v>56</v>
      </c>
      <c r="AF119" s="1131">
        <v>127</v>
      </c>
      <c r="AG119" s="1131">
        <v>81</v>
      </c>
      <c r="AH119" s="1131">
        <v>57</v>
      </c>
      <c r="AI119" s="1131">
        <v>64</v>
      </c>
      <c r="AJ119" s="1131">
        <v>88</v>
      </c>
      <c r="AK119" s="1131">
        <v>106</v>
      </c>
      <c r="AL119" s="1131">
        <v>36</v>
      </c>
      <c r="AM119" s="1145">
        <v>111</v>
      </c>
      <c r="AN119" s="1134">
        <v>154</v>
      </c>
      <c r="AO119" s="1134">
        <v>59</v>
      </c>
      <c r="AP119" s="850"/>
      <c r="AQ119" s="850"/>
      <c r="AR119" s="850"/>
      <c r="AS119" s="850"/>
      <c r="AT119" s="850"/>
      <c r="AU119" s="850"/>
      <c r="AV119" s="850"/>
      <c r="AW119" s="847"/>
      <c r="AX119" s="847"/>
      <c r="AY119" s="851"/>
      <c r="AZ119" s="438"/>
      <c r="BA119" s="441"/>
      <c r="BB119" s="277"/>
      <c r="BC119" s="420"/>
    </row>
    <row r="120" spans="1:55" ht="16" collapsed="1">
      <c r="A120" s="93"/>
      <c r="B120" s="100" t="s">
        <v>217</v>
      </c>
      <c r="C120" s="99" t="s">
        <v>153</v>
      </c>
      <c r="D120" s="125" t="s">
        <v>124</v>
      </c>
      <c r="E120" s="103" t="s">
        <v>124</v>
      </c>
      <c r="F120" s="103" t="s">
        <v>124</v>
      </c>
      <c r="G120" s="103">
        <v>4</v>
      </c>
      <c r="H120" s="103">
        <v>8</v>
      </c>
      <c r="I120" s="103">
        <v>7</v>
      </c>
      <c r="J120" s="103">
        <v>4</v>
      </c>
      <c r="K120" s="103">
        <v>4</v>
      </c>
      <c r="L120" s="103">
        <v>2</v>
      </c>
      <c r="M120" s="103">
        <v>9</v>
      </c>
      <c r="N120" s="103">
        <v>8</v>
      </c>
      <c r="O120" s="126">
        <v>11</v>
      </c>
      <c r="P120" s="114">
        <v>5</v>
      </c>
      <c r="Q120" s="103">
        <v>1</v>
      </c>
      <c r="R120" s="103">
        <v>9</v>
      </c>
      <c r="S120" s="103">
        <v>11</v>
      </c>
      <c r="T120" s="103">
        <v>2</v>
      </c>
      <c r="U120" s="103">
        <v>10</v>
      </c>
      <c r="V120" s="103">
        <v>8</v>
      </c>
      <c r="W120" s="103">
        <v>7</v>
      </c>
      <c r="X120" s="103">
        <v>11</v>
      </c>
      <c r="Y120" s="103">
        <v>6</v>
      </c>
      <c r="Z120" s="103">
        <v>7</v>
      </c>
      <c r="AA120" s="146">
        <v>8</v>
      </c>
      <c r="AB120" s="1125">
        <v>4</v>
      </c>
      <c r="AC120" s="1126">
        <v>2</v>
      </c>
      <c r="AD120" s="1126">
        <v>16</v>
      </c>
      <c r="AE120" s="1126">
        <v>2</v>
      </c>
      <c r="AF120" s="1126">
        <v>6</v>
      </c>
      <c r="AG120" s="1126">
        <v>10</v>
      </c>
      <c r="AH120" s="1126">
        <v>10</v>
      </c>
      <c r="AI120" s="1126">
        <v>11</v>
      </c>
      <c r="AJ120" s="1126">
        <v>10</v>
      </c>
      <c r="AK120" s="1126">
        <v>12</v>
      </c>
      <c r="AL120" s="1126">
        <v>8</v>
      </c>
      <c r="AM120" s="1144">
        <v>12</v>
      </c>
      <c r="AN120" s="1129">
        <f>+SUM(AN121:AN127)</f>
        <v>6</v>
      </c>
      <c r="AO120" s="1129">
        <f>+SUM(AO121:AO127)</f>
        <v>5</v>
      </c>
      <c r="AP120" s="535"/>
      <c r="AQ120" s="535"/>
      <c r="AR120" s="535"/>
      <c r="AS120" s="535"/>
      <c r="AT120" s="535"/>
      <c r="AU120" s="535"/>
      <c r="AV120" s="535"/>
      <c r="AW120" s="103"/>
      <c r="AX120" s="103"/>
      <c r="AY120" s="146"/>
      <c r="AZ120" s="438"/>
      <c r="BA120" s="441">
        <f t="shared" si="36"/>
        <v>6.333333333333333</v>
      </c>
      <c r="BB120" s="277">
        <f t="shared" si="37"/>
        <v>7.083333333333333</v>
      </c>
      <c r="BC120" s="420">
        <f t="shared" si="33"/>
        <v>8.5833333333333339</v>
      </c>
    </row>
    <row r="121" spans="1:55" ht="16" hidden="1" outlineLevel="1">
      <c r="A121" s="93"/>
      <c r="B121" s="100" t="s">
        <v>253</v>
      </c>
      <c r="C121" s="99" t="s">
        <v>153</v>
      </c>
      <c r="D121" s="846"/>
      <c r="E121" s="847"/>
      <c r="F121" s="847"/>
      <c r="G121" s="847"/>
      <c r="H121" s="847"/>
      <c r="I121" s="847"/>
      <c r="J121" s="847"/>
      <c r="K121" s="847"/>
      <c r="L121" s="847"/>
      <c r="M121" s="847"/>
      <c r="N121" s="847"/>
      <c r="O121" s="848"/>
      <c r="P121" s="849"/>
      <c r="Q121" s="847"/>
      <c r="R121" s="847"/>
      <c r="S121" s="847"/>
      <c r="T121" s="847"/>
      <c r="U121" s="847"/>
      <c r="V121" s="847"/>
      <c r="W121" s="847"/>
      <c r="X121" s="847"/>
      <c r="Y121" s="847"/>
      <c r="Z121" s="847"/>
      <c r="AA121" s="851"/>
      <c r="AB121" s="1130"/>
      <c r="AC121" s="1131"/>
      <c r="AD121" s="1131"/>
      <c r="AE121" s="1131"/>
      <c r="AF121" s="1131">
        <v>3</v>
      </c>
      <c r="AG121" s="1131"/>
      <c r="AH121" s="1131"/>
      <c r="AI121" s="1131"/>
      <c r="AJ121" s="1131"/>
      <c r="AK121" s="1131">
        <v>0</v>
      </c>
      <c r="AL121" s="1131">
        <v>0</v>
      </c>
      <c r="AM121" s="1145">
        <v>0</v>
      </c>
      <c r="AN121" s="1134">
        <v>1</v>
      </c>
      <c r="AO121" s="1134">
        <v>1</v>
      </c>
      <c r="AP121" s="850"/>
      <c r="AQ121" s="850"/>
      <c r="AR121" s="850"/>
      <c r="AS121" s="850"/>
      <c r="AT121" s="850"/>
      <c r="AU121" s="850"/>
      <c r="AV121" s="850"/>
      <c r="AW121" s="847"/>
      <c r="AX121" s="847"/>
      <c r="AY121" s="847"/>
      <c r="AZ121" s="438"/>
      <c r="BA121" s="441"/>
      <c r="BB121" s="277"/>
      <c r="BC121" s="420"/>
    </row>
    <row r="122" spans="1:55" ht="16" hidden="1" outlineLevel="1">
      <c r="A122" s="93"/>
      <c r="B122" s="100" t="s">
        <v>219</v>
      </c>
      <c r="C122" s="99" t="s">
        <v>153</v>
      </c>
      <c r="D122" s="846"/>
      <c r="E122" s="847"/>
      <c r="F122" s="847"/>
      <c r="G122" s="847"/>
      <c r="H122" s="847"/>
      <c r="I122" s="847"/>
      <c r="J122" s="847"/>
      <c r="K122" s="847"/>
      <c r="L122" s="847"/>
      <c r="M122" s="847"/>
      <c r="N122" s="847"/>
      <c r="O122" s="848"/>
      <c r="P122" s="849"/>
      <c r="Q122" s="847"/>
      <c r="R122" s="847"/>
      <c r="S122" s="847"/>
      <c r="T122" s="847"/>
      <c r="U122" s="847"/>
      <c r="V122" s="847"/>
      <c r="W122" s="847"/>
      <c r="X122" s="847"/>
      <c r="Y122" s="847"/>
      <c r="Z122" s="847"/>
      <c r="AA122" s="851"/>
      <c r="AB122" s="1130"/>
      <c r="AC122" s="1131"/>
      <c r="AD122" s="1131"/>
      <c r="AE122" s="1131"/>
      <c r="AF122" s="1131"/>
      <c r="AG122" s="1131">
        <v>2</v>
      </c>
      <c r="AH122" s="1131"/>
      <c r="AI122" s="1131"/>
      <c r="AJ122" s="1131"/>
      <c r="AK122" s="1131">
        <v>0</v>
      </c>
      <c r="AL122" s="1131">
        <v>1</v>
      </c>
      <c r="AM122" s="1145">
        <v>0</v>
      </c>
      <c r="AN122" s="1134"/>
      <c r="AO122" s="1134">
        <v>0</v>
      </c>
      <c r="AP122" s="850"/>
      <c r="AQ122" s="850"/>
      <c r="AR122" s="850"/>
      <c r="AS122" s="850"/>
      <c r="AT122" s="850"/>
      <c r="AU122" s="850"/>
      <c r="AV122" s="850"/>
      <c r="AW122" s="847"/>
      <c r="AX122" s="847"/>
      <c r="AY122" s="847"/>
      <c r="AZ122" s="438"/>
      <c r="BA122" s="441"/>
      <c r="BB122" s="277"/>
      <c r="BC122" s="420"/>
    </row>
    <row r="123" spans="1:55" ht="16" hidden="1" outlineLevel="1">
      <c r="A123" s="93"/>
      <c r="B123" s="100" t="s">
        <v>221</v>
      </c>
      <c r="C123" s="99" t="s">
        <v>153</v>
      </c>
      <c r="D123" s="846"/>
      <c r="E123" s="847"/>
      <c r="F123" s="847"/>
      <c r="G123" s="847"/>
      <c r="H123" s="847"/>
      <c r="I123" s="847"/>
      <c r="J123" s="847"/>
      <c r="K123" s="847"/>
      <c r="L123" s="847"/>
      <c r="M123" s="847"/>
      <c r="N123" s="847"/>
      <c r="O123" s="848"/>
      <c r="P123" s="849"/>
      <c r="Q123" s="847"/>
      <c r="R123" s="847"/>
      <c r="S123" s="847"/>
      <c r="T123" s="847"/>
      <c r="U123" s="847"/>
      <c r="V123" s="847"/>
      <c r="W123" s="847"/>
      <c r="X123" s="847"/>
      <c r="Y123" s="847"/>
      <c r="Z123" s="847"/>
      <c r="AA123" s="851"/>
      <c r="AB123" s="1130"/>
      <c r="AC123" s="1131"/>
      <c r="AD123" s="1131"/>
      <c r="AE123" s="1131"/>
      <c r="AF123" s="1131"/>
      <c r="AG123" s="1131"/>
      <c r="AH123" s="1131"/>
      <c r="AI123" s="1131"/>
      <c r="AJ123" s="1131">
        <v>1</v>
      </c>
      <c r="AK123" s="1131">
        <v>0</v>
      </c>
      <c r="AL123" s="1131">
        <v>0</v>
      </c>
      <c r="AM123" s="1145">
        <v>1</v>
      </c>
      <c r="AN123" s="1134"/>
      <c r="AO123" s="1134">
        <v>0</v>
      </c>
      <c r="AP123" s="850"/>
      <c r="AQ123" s="850"/>
      <c r="AR123" s="850"/>
      <c r="AS123" s="850"/>
      <c r="AT123" s="850"/>
      <c r="AU123" s="850"/>
      <c r="AV123" s="850"/>
      <c r="AW123" s="847"/>
      <c r="AX123" s="847"/>
      <c r="AY123" s="847"/>
      <c r="AZ123" s="438"/>
      <c r="BA123" s="441"/>
      <c r="BB123" s="277"/>
      <c r="BC123" s="420"/>
    </row>
    <row r="124" spans="1:55" ht="16" hidden="1" outlineLevel="1">
      <c r="A124" s="93"/>
      <c r="B124" s="100" t="s">
        <v>222</v>
      </c>
      <c r="C124" s="99" t="s">
        <v>153</v>
      </c>
      <c r="D124" s="846"/>
      <c r="E124" s="847"/>
      <c r="F124" s="847"/>
      <c r="G124" s="847"/>
      <c r="H124" s="847"/>
      <c r="I124" s="847"/>
      <c r="J124" s="847"/>
      <c r="K124" s="847"/>
      <c r="L124" s="847"/>
      <c r="M124" s="847"/>
      <c r="N124" s="847"/>
      <c r="O124" s="848"/>
      <c r="P124" s="849"/>
      <c r="Q124" s="847"/>
      <c r="R124" s="847"/>
      <c r="S124" s="847"/>
      <c r="T124" s="847"/>
      <c r="U124" s="847"/>
      <c r="V124" s="847"/>
      <c r="W124" s="847"/>
      <c r="X124" s="847"/>
      <c r="Y124" s="847"/>
      <c r="Z124" s="847"/>
      <c r="AA124" s="851"/>
      <c r="AB124" s="1130">
        <v>1</v>
      </c>
      <c r="AC124" s="1131">
        <v>1</v>
      </c>
      <c r="AD124" s="1131"/>
      <c r="AE124" s="1131">
        <v>1</v>
      </c>
      <c r="AF124" s="1131"/>
      <c r="AG124" s="1131">
        <v>1</v>
      </c>
      <c r="AH124" s="1131">
        <v>2</v>
      </c>
      <c r="AI124" s="1131">
        <v>1</v>
      </c>
      <c r="AJ124" s="1131"/>
      <c r="AK124" s="1131">
        <v>1</v>
      </c>
      <c r="AL124" s="1131">
        <v>1</v>
      </c>
      <c r="AM124" s="1145">
        <v>0</v>
      </c>
      <c r="AN124" s="1134"/>
      <c r="AO124" s="1134">
        <v>0</v>
      </c>
      <c r="AP124" s="850"/>
      <c r="AQ124" s="850"/>
      <c r="AR124" s="850"/>
      <c r="AS124" s="850"/>
      <c r="AT124" s="850"/>
      <c r="AU124" s="850"/>
      <c r="AV124" s="850"/>
      <c r="AW124" s="847"/>
      <c r="AX124" s="847"/>
      <c r="AY124" s="847"/>
      <c r="AZ124" s="438"/>
      <c r="BA124" s="441"/>
      <c r="BB124" s="277"/>
      <c r="BC124" s="420"/>
    </row>
    <row r="125" spans="1:55" ht="16" hidden="1" outlineLevel="1">
      <c r="A125" s="93"/>
      <c r="B125" s="100" t="s">
        <v>223</v>
      </c>
      <c r="C125" s="99" t="s">
        <v>153</v>
      </c>
      <c r="D125" s="846"/>
      <c r="E125" s="847"/>
      <c r="F125" s="847"/>
      <c r="G125" s="847"/>
      <c r="H125" s="847"/>
      <c r="I125" s="847"/>
      <c r="J125" s="847"/>
      <c r="K125" s="847"/>
      <c r="L125" s="847"/>
      <c r="M125" s="847"/>
      <c r="N125" s="847"/>
      <c r="O125" s="848"/>
      <c r="P125" s="849"/>
      <c r="Q125" s="847"/>
      <c r="R125" s="847"/>
      <c r="S125" s="847"/>
      <c r="T125" s="847"/>
      <c r="U125" s="847"/>
      <c r="V125" s="847"/>
      <c r="W125" s="847"/>
      <c r="X125" s="847"/>
      <c r="Y125" s="847"/>
      <c r="Z125" s="847"/>
      <c r="AA125" s="851"/>
      <c r="AB125" s="1130"/>
      <c r="AC125" s="1131"/>
      <c r="AD125" s="1131">
        <v>2</v>
      </c>
      <c r="AE125" s="1131">
        <v>1</v>
      </c>
      <c r="AF125" s="1131">
        <v>1</v>
      </c>
      <c r="AG125" s="1131">
        <v>2</v>
      </c>
      <c r="AH125" s="1131">
        <v>1</v>
      </c>
      <c r="AI125" s="1131">
        <v>2</v>
      </c>
      <c r="AJ125" s="1131">
        <v>2</v>
      </c>
      <c r="AK125" s="1131">
        <v>0</v>
      </c>
      <c r="AL125" s="1131">
        <v>0</v>
      </c>
      <c r="AM125" s="1145">
        <v>0</v>
      </c>
      <c r="AN125" s="1134"/>
      <c r="AO125" s="1134">
        <v>1</v>
      </c>
      <c r="AP125" s="850"/>
      <c r="AQ125" s="850"/>
      <c r="AR125" s="850"/>
      <c r="AS125" s="850"/>
      <c r="AT125" s="850"/>
      <c r="AU125" s="850"/>
      <c r="AV125" s="850"/>
      <c r="AW125" s="847"/>
      <c r="AX125" s="847"/>
      <c r="AY125" s="847"/>
      <c r="AZ125" s="438"/>
      <c r="BA125" s="441"/>
      <c r="BB125" s="277"/>
      <c r="BC125" s="420"/>
    </row>
    <row r="126" spans="1:55" ht="16" hidden="1" outlineLevel="1">
      <c r="A126" s="93"/>
      <c r="B126" s="100" t="s">
        <v>224</v>
      </c>
      <c r="C126" s="99" t="s">
        <v>153</v>
      </c>
      <c r="D126" s="846"/>
      <c r="E126" s="847"/>
      <c r="F126" s="847"/>
      <c r="G126" s="847"/>
      <c r="H126" s="847"/>
      <c r="I126" s="847"/>
      <c r="J126" s="847"/>
      <c r="K126" s="847"/>
      <c r="L126" s="847"/>
      <c r="M126" s="847"/>
      <c r="N126" s="847"/>
      <c r="O126" s="848"/>
      <c r="P126" s="849"/>
      <c r="Q126" s="847"/>
      <c r="R126" s="847"/>
      <c r="S126" s="847"/>
      <c r="T126" s="847"/>
      <c r="U126" s="847"/>
      <c r="V126" s="847"/>
      <c r="W126" s="847"/>
      <c r="X126" s="847"/>
      <c r="Y126" s="847"/>
      <c r="Z126" s="847"/>
      <c r="AA126" s="851"/>
      <c r="AB126" s="1130">
        <v>3</v>
      </c>
      <c r="AC126" s="1131">
        <v>1</v>
      </c>
      <c r="AD126" s="1131">
        <v>14</v>
      </c>
      <c r="AE126" s="1131"/>
      <c r="AF126" s="1131">
        <v>2</v>
      </c>
      <c r="AG126" s="1131">
        <v>4</v>
      </c>
      <c r="AH126" s="1131">
        <v>7</v>
      </c>
      <c r="AI126" s="1131">
        <v>8</v>
      </c>
      <c r="AJ126" s="1131">
        <v>7</v>
      </c>
      <c r="AK126" s="1131">
        <v>11</v>
      </c>
      <c r="AL126" s="1131">
        <v>6</v>
      </c>
      <c r="AM126" s="1145">
        <v>10</v>
      </c>
      <c r="AN126" s="1134">
        <v>5</v>
      </c>
      <c r="AO126" s="1134">
        <v>3</v>
      </c>
      <c r="AP126" s="850"/>
      <c r="AQ126" s="850"/>
      <c r="AR126" s="850"/>
      <c r="AS126" s="850"/>
      <c r="AT126" s="850"/>
      <c r="AU126" s="850"/>
      <c r="AV126" s="850"/>
      <c r="AW126" s="847"/>
      <c r="AX126" s="847"/>
      <c r="AY126" s="847"/>
      <c r="AZ126" s="438"/>
      <c r="BA126" s="441"/>
      <c r="BB126" s="277"/>
      <c r="BC126" s="420"/>
    </row>
    <row r="127" spans="1:55" ht="16" hidden="1" outlineLevel="1">
      <c r="A127" s="93"/>
      <c r="B127" s="100" t="s">
        <v>225</v>
      </c>
      <c r="C127" s="99" t="s">
        <v>153</v>
      </c>
      <c r="D127" s="846"/>
      <c r="E127" s="847"/>
      <c r="F127" s="847"/>
      <c r="G127" s="847"/>
      <c r="H127" s="847"/>
      <c r="I127" s="847"/>
      <c r="J127" s="847"/>
      <c r="K127" s="847"/>
      <c r="L127" s="847"/>
      <c r="M127" s="847"/>
      <c r="N127" s="847"/>
      <c r="O127" s="848"/>
      <c r="P127" s="849"/>
      <c r="Q127" s="847"/>
      <c r="R127" s="847"/>
      <c r="S127" s="847"/>
      <c r="T127" s="847"/>
      <c r="U127" s="847"/>
      <c r="V127" s="847"/>
      <c r="W127" s="847"/>
      <c r="X127" s="847"/>
      <c r="Y127" s="847"/>
      <c r="Z127" s="847"/>
      <c r="AA127" s="851"/>
      <c r="AB127" s="1130"/>
      <c r="AC127" s="1131"/>
      <c r="AD127" s="1131"/>
      <c r="AE127" s="1131"/>
      <c r="AF127" s="1131"/>
      <c r="AG127" s="1131">
        <v>1</v>
      </c>
      <c r="AH127" s="1131"/>
      <c r="AI127" s="1131"/>
      <c r="AJ127" s="1131"/>
      <c r="AK127" s="1131">
        <v>0</v>
      </c>
      <c r="AL127" s="1131">
        <v>0</v>
      </c>
      <c r="AM127" s="1145">
        <v>1</v>
      </c>
      <c r="AN127" s="1134"/>
      <c r="AO127" s="1134"/>
      <c r="AP127" s="850"/>
      <c r="AQ127" s="850"/>
      <c r="AR127" s="850"/>
      <c r="AS127" s="850"/>
      <c r="AT127" s="850"/>
      <c r="AU127" s="850"/>
      <c r="AV127" s="850"/>
      <c r="AW127" s="847"/>
      <c r="AX127" s="847"/>
      <c r="AY127" s="847"/>
      <c r="AZ127" s="438"/>
      <c r="BA127" s="441"/>
      <c r="BB127" s="277"/>
      <c r="BC127" s="420"/>
    </row>
    <row r="128" spans="1:55" ht="16" collapsed="1">
      <c r="A128" s="93"/>
      <c r="B128" s="100" t="s">
        <v>230</v>
      </c>
      <c r="C128" s="99" t="s">
        <v>153</v>
      </c>
      <c r="D128" s="125" t="s">
        <v>124</v>
      </c>
      <c r="E128" s="103" t="s">
        <v>124</v>
      </c>
      <c r="F128" s="103" t="s">
        <v>124</v>
      </c>
      <c r="G128" s="103" t="s">
        <v>156</v>
      </c>
      <c r="H128" s="103" t="s">
        <v>156</v>
      </c>
      <c r="I128" s="103" t="s">
        <v>156</v>
      </c>
      <c r="J128" s="103" t="s">
        <v>156</v>
      </c>
      <c r="K128" s="103" t="s">
        <v>156</v>
      </c>
      <c r="L128" s="103" t="s">
        <v>156</v>
      </c>
      <c r="M128" s="103" t="s">
        <v>156</v>
      </c>
      <c r="N128" s="103" t="s">
        <v>156</v>
      </c>
      <c r="O128" s="126" t="s">
        <v>156</v>
      </c>
      <c r="P128" s="114" t="s">
        <v>156</v>
      </c>
      <c r="Q128" s="103" t="s">
        <v>156</v>
      </c>
      <c r="R128" s="103" t="s">
        <v>157</v>
      </c>
      <c r="S128" s="103" t="s">
        <v>157</v>
      </c>
      <c r="T128" s="103" t="s">
        <v>157</v>
      </c>
      <c r="U128" s="103">
        <v>1</v>
      </c>
      <c r="V128" s="103" t="s">
        <v>169</v>
      </c>
      <c r="W128" s="103" t="s">
        <v>156</v>
      </c>
      <c r="X128" s="103" t="s">
        <v>156</v>
      </c>
      <c r="Y128" s="103" t="s">
        <v>167</v>
      </c>
      <c r="Z128" s="103" t="s">
        <v>157</v>
      </c>
      <c r="AA128" s="146" t="s">
        <v>157</v>
      </c>
      <c r="AB128" s="1125">
        <v>0</v>
      </c>
      <c r="AC128" s="1126">
        <v>0</v>
      </c>
      <c r="AD128" s="1126">
        <v>0</v>
      </c>
      <c r="AE128" s="1126">
        <v>0</v>
      </c>
      <c r="AF128" s="1126">
        <v>0</v>
      </c>
      <c r="AG128" s="1126">
        <v>0</v>
      </c>
      <c r="AH128" s="1126">
        <v>0</v>
      </c>
      <c r="AI128" s="1126">
        <v>0</v>
      </c>
      <c r="AJ128" s="1126">
        <v>0</v>
      </c>
      <c r="AK128" s="1126">
        <v>0</v>
      </c>
      <c r="AL128" s="1126">
        <v>0</v>
      </c>
      <c r="AM128" s="1144">
        <v>0</v>
      </c>
      <c r="AN128" s="1129">
        <v>0</v>
      </c>
      <c r="AO128" s="1129">
        <v>0</v>
      </c>
      <c r="AP128" s="535"/>
      <c r="AQ128" s="535"/>
      <c r="AR128" s="535"/>
      <c r="AS128" s="535"/>
      <c r="AT128" s="535"/>
      <c r="AU128" s="535"/>
      <c r="AV128" s="535"/>
      <c r="AW128" s="103"/>
      <c r="AX128" s="103"/>
      <c r="AY128" s="146"/>
      <c r="AZ128" s="438"/>
      <c r="BA128" s="441" t="str">
        <f t="shared" si="36"/>
        <v>-</v>
      </c>
      <c r="BB128" s="277">
        <f t="shared" si="37"/>
        <v>1</v>
      </c>
      <c r="BC128" s="420" t="str">
        <f t="shared" si="33"/>
        <v>-</v>
      </c>
    </row>
    <row r="129" spans="1:55" ht="16">
      <c r="A129" s="93"/>
      <c r="B129" s="100" t="s">
        <v>234</v>
      </c>
      <c r="C129" s="99" t="s">
        <v>153</v>
      </c>
      <c r="D129" s="125" t="s">
        <v>124</v>
      </c>
      <c r="E129" s="103" t="s">
        <v>124</v>
      </c>
      <c r="F129" s="103" t="s">
        <v>124</v>
      </c>
      <c r="G129" s="103">
        <v>7</v>
      </c>
      <c r="H129" s="103">
        <v>4</v>
      </c>
      <c r="I129" s="103">
        <v>16</v>
      </c>
      <c r="J129" s="103">
        <v>9</v>
      </c>
      <c r="K129" s="103">
        <v>5</v>
      </c>
      <c r="L129" s="103">
        <v>5</v>
      </c>
      <c r="M129" s="103">
        <v>2</v>
      </c>
      <c r="N129" s="103">
        <v>6</v>
      </c>
      <c r="O129" s="126">
        <v>2</v>
      </c>
      <c r="P129" s="114">
        <v>1</v>
      </c>
      <c r="Q129" s="103">
        <v>4</v>
      </c>
      <c r="R129" s="103">
        <v>8</v>
      </c>
      <c r="S129" s="103">
        <v>14</v>
      </c>
      <c r="T129" s="103">
        <v>6</v>
      </c>
      <c r="U129" s="103">
        <v>11</v>
      </c>
      <c r="V129" s="103">
        <v>12</v>
      </c>
      <c r="W129" s="103">
        <v>15</v>
      </c>
      <c r="X129" s="103">
        <v>18</v>
      </c>
      <c r="Y129" s="103">
        <v>2</v>
      </c>
      <c r="Z129" s="103">
        <v>18</v>
      </c>
      <c r="AA129" s="146">
        <v>15</v>
      </c>
      <c r="AB129" s="1125">
        <v>8</v>
      </c>
      <c r="AC129" s="1126">
        <v>9</v>
      </c>
      <c r="AD129" s="1126">
        <v>22</v>
      </c>
      <c r="AE129" s="1126">
        <v>14</v>
      </c>
      <c r="AF129" s="1126">
        <v>21</v>
      </c>
      <c r="AG129" s="1126">
        <v>14</v>
      </c>
      <c r="AH129" s="1126">
        <v>20</v>
      </c>
      <c r="AI129" s="1126">
        <v>15</v>
      </c>
      <c r="AJ129" s="1126">
        <v>18</v>
      </c>
      <c r="AK129" s="1126">
        <v>23</v>
      </c>
      <c r="AL129" s="1126">
        <v>27</v>
      </c>
      <c r="AM129" s="1144">
        <v>14</v>
      </c>
      <c r="AN129" s="1129">
        <f>+SUM(AN130:AN135)</f>
        <v>17</v>
      </c>
      <c r="AO129" s="1129">
        <f>+SUM(AO130:AO135)</f>
        <v>7</v>
      </c>
      <c r="AP129" s="535"/>
      <c r="AQ129" s="535"/>
      <c r="AR129" s="535"/>
      <c r="AS129" s="535"/>
      <c r="AT129" s="535"/>
      <c r="AU129" s="535"/>
      <c r="AV129" s="535"/>
      <c r="AW129" s="103"/>
      <c r="AX129" s="103"/>
      <c r="AY129" s="146"/>
      <c r="AZ129" s="438"/>
      <c r="BA129" s="441">
        <f t="shared" si="36"/>
        <v>6.2222222222222223</v>
      </c>
      <c r="BB129" s="277">
        <f t="shared" si="37"/>
        <v>10.333333333333334</v>
      </c>
      <c r="BC129" s="420">
        <f t="shared" si="33"/>
        <v>17.083333333333332</v>
      </c>
    </row>
    <row r="130" spans="1:55" ht="16" hidden="1" outlineLevel="1">
      <c r="A130" s="93"/>
      <c r="B130" s="100" t="s">
        <v>254</v>
      </c>
      <c r="C130" s="99" t="s">
        <v>153</v>
      </c>
      <c r="D130" s="846"/>
      <c r="E130" s="847"/>
      <c r="F130" s="847"/>
      <c r="G130" s="847"/>
      <c r="H130" s="847"/>
      <c r="I130" s="847"/>
      <c r="J130" s="847"/>
      <c r="K130" s="847"/>
      <c r="L130" s="847"/>
      <c r="M130" s="847"/>
      <c r="N130" s="847"/>
      <c r="O130" s="848"/>
      <c r="P130" s="849"/>
      <c r="Q130" s="847"/>
      <c r="R130" s="847"/>
      <c r="S130" s="847"/>
      <c r="T130" s="847"/>
      <c r="U130" s="847"/>
      <c r="V130" s="847"/>
      <c r="W130" s="847"/>
      <c r="X130" s="847"/>
      <c r="Y130" s="847"/>
      <c r="Z130" s="847"/>
      <c r="AA130" s="851"/>
      <c r="AB130" s="1130"/>
      <c r="AC130" s="1131">
        <v>1</v>
      </c>
      <c r="AD130" s="1131"/>
      <c r="AE130" s="1131"/>
      <c r="AF130" s="1131">
        <v>1</v>
      </c>
      <c r="AG130" s="1131">
        <v>1</v>
      </c>
      <c r="AH130" s="1131">
        <v>1</v>
      </c>
      <c r="AI130" s="1131"/>
      <c r="AJ130" s="1131"/>
      <c r="AK130" s="1131">
        <v>0</v>
      </c>
      <c r="AL130" s="1131">
        <v>0</v>
      </c>
      <c r="AM130" s="1145">
        <v>2</v>
      </c>
      <c r="AN130" s="1134"/>
      <c r="AO130" s="1134">
        <v>0</v>
      </c>
      <c r="AP130" s="850"/>
      <c r="AQ130" s="850"/>
      <c r="AR130" s="850"/>
      <c r="AS130" s="850"/>
      <c r="AT130" s="850"/>
      <c r="AU130" s="850"/>
      <c r="AV130" s="850"/>
      <c r="AW130" s="847"/>
      <c r="AX130" s="847"/>
      <c r="AY130" s="851"/>
      <c r="AZ130" s="438"/>
      <c r="BA130" s="441"/>
      <c r="BB130" s="277"/>
      <c r="BC130" s="420"/>
    </row>
    <row r="131" spans="1:55" ht="16" hidden="1" outlineLevel="1">
      <c r="A131" s="93"/>
      <c r="B131" s="100" t="s">
        <v>255</v>
      </c>
      <c r="C131" s="99" t="s">
        <v>153</v>
      </c>
      <c r="D131" s="846"/>
      <c r="E131" s="847"/>
      <c r="F131" s="847"/>
      <c r="G131" s="847"/>
      <c r="H131" s="847"/>
      <c r="I131" s="847"/>
      <c r="J131" s="847"/>
      <c r="K131" s="847"/>
      <c r="L131" s="847"/>
      <c r="M131" s="847"/>
      <c r="N131" s="847"/>
      <c r="O131" s="848"/>
      <c r="P131" s="849"/>
      <c r="Q131" s="847"/>
      <c r="R131" s="847"/>
      <c r="S131" s="847"/>
      <c r="T131" s="847"/>
      <c r="U131" s="847"/>
      <c r="V131" s="847"/>
      <c r="W131" s="847"/>
      <c r="X131" s="847"/>
      <c r="Y131" s="847"/>
      <c r="Z131" s="847"/>
      <c r="AA131" s="851"/>
      <c r="AB131" s="1130"/>
      <c r="AC131" s="1131"/>
      <c r="AD131" s="1131"/>
      <c r="AE131" s="1131"/>
      <c r="AF131" s="1131">
        <v>2</v>
      </c>
      <c r="AG131" s="1131"/>
      <c r="AH131" s="1131">
        <v>1</v>
      </c>
      <c r="AI131" s="1131">
        <v>1</v>
      </c>
      <c r="AJ131" s="1131"/>
      <c r="AK131" s="1131">
        <v>0</v>
      </c>
      <c r="AL131" s="1131">
        <v>0</v>
      </c>
      <c r="AM131" s="1145">
        <v>1</v>
      </c>
      <c r="AN131" s="1134"/>
      <c r="AO131" s="1134">
        <v>0</v>
      </c>
      <c r="AP131" s="850"/>
      <c r="AQ131" s="850"/>
      <c r="AR131" s="850"/>
      <c r="AS131" s="850"/>
      <c r="AT131" s="850"/>
      <c r="AU131" s="850"/>
      <c r="AV131" s="850"/>
      <c r="AW131" s="847"/>
      <c r="AX131" s="847"/>
      <c r="AY131" s="851"/>
      <c r="AZ131" s="438"/>
      <c r="BA131" s="441"/>
      <c r="BB131" s="277"/>
      <c r="BC131" s="420"/>
    </row>
    <row r="132" spans="1:55" ht="16" hidden="1" outlineLevel="1">
      <c r="A132" s="93"/>
      <c r="B132" s="100" t="s">
        <v>237</v>
      </c>
      <c r="C132" s="99" t="s">
        <v>153</v>
      </c>
      <c r="D132" s="846"/>
      <c r="E132" s="847"/>
      <c r="F132" s="847"/>
      <c r="G132" s="847"/>
      <c r="H132" s="847"/>
      <c r="I132" s="847"/>
      <c r="J132" s="847"/>
      <c r="K132" s="847"/>
      <c r="L132" s="847"/>
      <c r="M132" s="847"/>
      <c r="N132" s="847"/>
      <c r="O132" s="848"/>
      <c r="P132" s="849"/>
      <c r="Q132" s="847"/>
      <c r="R132" s="847"/>
      <c r="S132" s="847"/>
      <c r="T132" s="847"/>
      <c r="U132" s="847"/>
      <c r="V132" s="847"/>
      <c r="W132" s="847"/>
      <c r="X132" s="847"/>
      <c r="Y132" s="847"/>
      <c r="Z132" s="847"/>
      <c r="AA132" s="851"/>
      <c r="AB132" s="1130"/>
      <c r="AC132" s="1131"/>
      <c r="AD132" s="1131">
        <v>1</v>
      </c>
      <c r="AE132" s="1131">
        <v>1</v>
      </c>
      <c r="AF132" s="1131">
        <v>2</v>
      </c>
      <c r="AG132" s="1131"/>
      <c r="AH132" s="1131"/>
      <c r="AI132" s="1131">
        <v>3</v>
      </c>
      <c r="AJ132" s="1131"/>
      <c r="AK132" s="1131">
        <v>0</v>
      </c>
      <c r="AL132" s="1131">
        <v>0</v>
      </c>
      <c r="AM132" s="1145">
        <v>0</v>
      </c>
      <c r="AN132" s="1134">
        <v>1</v>
      </c>
      <c r="AO132" s="1134">
        <v>0</v>
      </c>
      <c r="AP132" s="850"/>
      <c r="AQ132" s="850"/>
      <c r="AR132" s="850"/>
      <c r="AS132" s="850"/>
      <c r="AT132" s="850"/>
      <c r="AU132" s="850"/>
      <c r="AV132" s="850"/>
      <c r="AW132" s="847"/>
      <c r="AX132" s="847"/>
      <c r="AY132" s="851"/>
      <c r="AZ132" s="438"/>
      <c r="BA132" s="441"/>
      <c r="BB132" s="277"/>
      <c r="BC132" s="420"/>
    </row>
    <row r="133" spans="1:55" ht="16" hidden="1" outlineLevel="1">
      <c r="A133" s="93"/>
      <c r="B133" s="100" t="s">
        <v>238</v>
      </c>
      <c r="C133" s="99" t="s">
        <v>153</v>
      </c>
      <c r="D133" s="846"/>
      <c r="E133" s="847"/>
      <c r="F133" s="847"/>
      <c r="G133" s="847"/>
      <c r="H133" s="847"/>
      <c r="I133" s="847"/>
      <c r="J133" s="847"/>
      <c r="K133" s="847"/>
      <c r="L133" s="847"/>
      <c r="M133" s="847"/>
      <c r="N133" s="847"/>
      <c r="O133" s="848"/>
      <c r="P133" s="849"/>
      <c r="Q133" s="847"/>
      <c r="R133" s="847"/>
      <c r="S133" s="847"/>
      <c r="T133" s="847"/>
      <c r="U133" s="847"/>
      <c r="V133" s="847"/>
      <c r="W133" s="847"/>
      <c r="X133" s="847"/>
      <c r="Y133" s="847"/>
      <c r="Z133" s="847"/>
      <c r="AA133" s="851"/>
      <c r="AB133" s="1130">
        <v>7</v>
      </c>
      <c r="AC133" s="1131">
        <v>8</v>
      </c>
      <c r="AD133" s="1131">
        <v>21</v>
      </c>
      <c r="AE133" s="1131">
        <v>13</v>
      </c>
      <c r="AF133" s="1131">
        <v>16</v>
      </c>
      <c r="AG133" s="1131">
        <v>13</v>
      </c>
      <c r="AH133" s="1131">
        <v>18</v>
      </c>
      <c r="AI133" s="1131">
        <v>9</v>
      </c>
      <c r="AJ133" s="1131">
        <v>17</v>
      </c>
      <c r="AK133" s="1131">
        <v>22</v>
      </c>
      <c r="AL133" s="1131">
        <v>27</v>
      </c>
      <c r="AM133" s="1145">
        <v>20</v>
      </c>
      <c r="AN133" s="1134">
        <v>16</v>
      </c>
      <c r="AO133" s="1134">
        <v>6</v>
      </c>
      <c r="AP133" s="850"/>
      <c r="AQ133" s="850"/>
      <c r="AR133" s="850"/>
      <c r="AS133" s="850"/>
      <c r="AT133" s="850"/>
      <c r="AU133" s="850"/>
      <c r="AV133" s="850"/>
      <c r="AW133" s="847"/>
      <c r="AX133" s="847"/>
      <c r="AY133" s="851"/>
      <c r="AZ133" s="438"/>
      <c r="BA133" s="441"/>
      <c r="BB133" s="277"/>
      <c r="BC133" s="420"/>
    </row>
    <row r="134" spans="1:55" ht="16" hidden="1" outlineLevel="1">
      <c r="A134" s="93"/>
      <c r="B134" s="100" t="s">
        <v>256</v>
      </c>
      <c r="C134" s="99" t="s">
        <v>153</v>
      </c>
      <c r="D134" s="846"/>
      <c r="E134" s="847"/>
      <c r="F134" s="847"/>
      <c r="G134" s="847"/>
      <c r="H134" s="847"/>
      <c r="I134" s="847"/>
      <c r="J134" s="847"/>
      <c r="K134" s="847"/>
      <c r="L134" s="847"/>
      <c r="M134" s="847"/>
      <c r="N134" s="847"/>
      <c r="O134" s="848"/>
      <c r="P134" s="849"/>
      <c r="Q134" s="847"/>
      <c r="R134" s="847"/>
      <c r="S134" s="847"/>
      <c r="T134" s="847"/>
      <c r="U134" s="847"/>
      <c r="V134" s="847"/>
      <c r="W134" s="847"/>
      <c r="X134" s="847"/>
      <c r="Y134" s="847"/>
      <c r="Z134" s="847"/>
      <c r="AA134" s="851"/>
      <c r="AB134" s="1130"/>
      <c r="AC134" s="1131"/>
      <c r="AD134" s="1131"/>
      <c r="AE134" s="1131"/>
      <c r="AF134" s="1131"/>
      <c r="AG134" s="1131"/>
      <c r="AH134" s="1131"/>
      <c r="AI134" s="1131"/>
      <c r="AJ134" s="1131">
        <v>1</v>
      </c>
      <c r="AK134" s="1131">
        <v>0</v>
      </c>
      <c r="AL134" s="1131">
        <v>0</v>
      </c>
      <c r="AM134" s="1145">
        <v>0</v>
      </c>
      <c r="AN134" s="1134"/>
      <c r="AO134" s="1134">
        <v>0</v>
      </c>
      <c r="AP134" s="850"/>
      <c r="AQ134" s="850"/>
      <c r="AR134" s="850"/>
      <c r="AS134" s="850"/>
      <c r="AT134" s="850"/>
      <c r="AU134" s="850"/>
      <c r="AV134" s="850"/>
      <c r="AW134" s="847"/>
      <c r="AX134" s="847"/>
      <c r="AY134" s="851"/>
      <c r="AZ134" s="438"/>
      <c r="BA134" s="441"/>
      <c r="BB134" s="277"/>
      <c r="BC134" s="420"/>
    </row>
    <row r="135" spans="1:55" ht="16" hidden="1" outlineLevel="1">
      <c r="A135" s="93"/>
      <c r="B135" s="100" t="s">
        <v>257</v>
      </c>
      <c r="C135" s="99" t="s">
        <v>153</v>
      </c>
      <c r="D135" s="846"/>
      <c r="E135" s="847"/>
      <c r="F135" s="847"/>
      <c r="G135" s="847"/>
      <c r="H135" s="847"/>
      <c r="I135" s="847"/>
      <c r="J135" s="847"/>
      <c r="K135" s="847"/>
      <c r="L135" s="847"/>
      <c r="M135" s="847"/>
      <c r="N135" s="847"/>
      <c r="O135" s="848"/>
      <c r="P135" s="849"/>
      <c r="Q135" s="847"/>
      <c r="R135" s="847"/>
      <c r="S135" s="847"/>
      <c r="T135" s="847"/>
      <c r="U135" s="847"/>
      <c r="V135" s="847"/>
      <c r="W135" s="847"/>
      <c r="X135" s="847"/>
      <c r="Y135" s="847"/>
      <c r="Z135" s="847"/>
      <c r="AA135" s="851"/>
      <c r="AB135" s="1130">
        <v>1</v>
      </c>
      <c r="AC135" s="1131"/>
      <c r="AD135" s="1131"/>
      <c r="AE135" s="1131"/>
      <c r="AF135" s="1131"/>
      <c r="AG135" s="1131"/>
      <c r="AH135" s="1131"/>
      <c r="AI135" s="1131">
        <v>2</v>
      </c>
      <c r="AJ135" s="1131"/>
      <c r="AK135" s="1131">
        <v>1</v>
      </c>
      <c r="AL135" s="1131">
        <v>0</v>
      </c>
      <c r="AM135" s="1145">
        <v>1</v>
      </c>
      <c r="AN135" s="1134"/>
      <c r="AO135" s="1134">
        <v>1</v>
      </c>
      <c r="AP135" s="850"/>
      <c r="AQ135" s="850"/>
      <c r="AR135" s="850"/>
      <c r="AS135" s="850"/>
      <c r="AT135" s="850"/>
      <c r="AU135" s="850"/>
      <c r="AV135" s="850"/>
      <c r="AW135" s="847"/>
      <c r="AX135" s="847"/>
      <c r="AY135" s="851"/>
      <c r="AZ135" s="438"/>
      <c r="BA135" s="441"/>
      <c r="BB135" s="277"/>
      <c r="BC135" s="420"/>
    </row>
    <row r="136" spans="1:55" ht="16" collapsed="1">
      <c r="A136" s="93"/>
      <c r="B136" s="100" t="s">
        <v>241</v>
      </c>
      <c r="C136" s="99" t="s">
        <v>153</v>
      </c>
      <c r="D136" s="125" t="s">
        <v>124</v>
      </c>
      <c r="E136" s="103" t="s">
        <v>124</v>
      </c>
      <c r="F136" s="103" t="s">
        <v>124</v>
      </c>
      <c r="G136" s="103" t="s">
        <v>156</v>
      </c>
      <c r="H136" s="103" t="s">
        <v>156</v>
      </c>
      <c r="I136" s="103" t="s">
        <v>156</v>
      </c>
      <c r="J136" s="103" t="s">
        <v>156</v>
      </c>
      <c r="K136" s="103" t="s">
        <v>156</v>
      </c>
      <c r="L136" s="103" t="s">
        <v>156</v>
      </c>
      <c r="M136" s="103">
        <v>1</v>
      </c>
      <c r="N136" s="103" t="s">
        <v>156</v>
      </c>
      <c r="O136" s="126" t="s">
        <v>156</v>
      </c>
      <c r="P136" s="114" t="s">
        <v>156</v>
      </c>
      <c r="Q136" s="103" t="s">
        <v>156</v>
      </c>
      <c r="R136" s="103" t="s">
        <v>157</v>
      </c>
      <c r="S136" s="103">
        <v>1</v>
      </c>
      <c r="T136" s="103" t="s">
        <v>157</v>
      </c>
      <c r="U136" s="103">
        <v>1</v>
      </c>
      <c r="V136" s="103" t="s">
        <v>169</v>
      </c>
      <c r="W136" s="103" t="s">
        <v>156</v>
      </c>
      <c r="X136" s="103" t="s">
        <v>156</v>
      </c>
      <c r="Y136" s="103">
        <v>1</v>
      </c>
      <c r="Z136" s="103" t="s">
        <v>157</v>
      </c>
      <c r="AA136" s="146" t="s">
        <v>157</v>
      </c>
      <c r="AB136" s="1125">
        <v>0</v>
      </c>
      <c r="AC136" s="1126">
        <v>0</v>
      </c>
      <c r="AD136" s="1126">
        <v>0</v>
      </c>
      <c r="AE136" s="1126">
        <v>1</v>
      </c>
      <c r="AF136" s="1126">
        <v>0</v>
      </c>
      <c r="AG136" s="1126">
        <v>0</v>
      </c>
      <c r="AH136" s="1126">
        <v>1</v>
      </c>
      <c r="AI136" s="1126">
        <v>1</v>
      </c>
      <c r="AJ136" s="1126">
        <v>0</v>
      </c>
      <c r="AK136" s="1126">
        <v>0</v>
      </c>
      <c r="AL136" s="1126">
        <v>0</v>
      </c>
      <c r="AM136" s="1144">
        <v>0</v>
      </c>
      <c r="AN136" s="1129">
        <v>0</v>
      </c>
      <c r="AO136" s="1129">
        <v>0</v>
      </c>
      <c r="AP136" s="535"/>
      <c r="AQ136" s="535"/>
      <c r="AR136" s="535"/>
      <c r="AS136" s="535"/>
      <c r="AT136" s="535"/>
      <c r="AU136" s="535"/>
      <c r="AV136" s="535"/>
      <c r="AW136" s="103"/>
      <c r="AX136" s="103"/>
      <c r="AY136" s="146"/>
      <c r="AZ136" s="438"/>
      <c r="BA136" s="441">
        <f t="shared" si="36"/>
        <v>1</v>
      </c>
      <c r="BB136" s="277">
        <f t="shared" si="37"/>
        <v>1</v>
      </c>
      <c r="BC136" s="420">
        <f t="shared" si="33"/>
        <v>1</v>
      </c>
    </row>
    <row r="137" spans="1:55" ht="16">
      <c r="A137" s="93"/>
      <c r="B137" s="100" t="s">
        <v>258</v>
      </c>
      <c r="C137" s="99" t="s">
        <v>153</v>
      </c>
      <c r="D137" s="125" t="s">
        <v>124</v>
      </c>
      <c r="E137" s="103" t="s">
        <v>124</v>
      </c>
      <c r="F137" s="103" t="s">
        <v>124</v>
      </c>
      <c r="G137" s="103" t="s">
        <v>124</v>
      </c>
      <c r="H137" s="103" t="s">
        <v>124</v>
      </c>
      <c r="I137" s="103" t="s">
        <v>124</v>
      </c>
      <c r="J137" s="103" t="s">
        <v>124</v>
      </c>
      <c r="K137" s="103" t="s">
        <v>124</v>
      </c>
      <c r="L137" s="103" t="s">
        <v>124</v>
      </c>
      <c r="M137" s="103" t="s">
        <v>124</v>
      </c>
      <c r="N137" s="103" t="s">
        <v>124</v>
      </c>
      <c r="O137" s="126" t="s">
        <v>124</v>
      </c>
      <c r="P137" s="114" t="s">
        <v>124</v>
      </c>
      <c r="Q137" s="103" t="s">
        <v>124</v>
      </c>
      <c r="R137" s="103" t="s">
        <v>124</v>
      </c>
      <c r="S137" s="103" t="s">
        <v>124</v>
      </c>
      <c r="T137" s="103" t="s">
        <v>124</v>
      </c>
      <c r="U137" s="103" t="s">
        <v>124</v>
      </c>
      <c r="V137" s="103" t="s">
        <v>124</v>
      </c>
      <c r="W137" s="103" t="s">
        <v>124</v>
      </c>
      <c r="X137" s="103" t="s">
        <v>124</v>
      </c>
      <c r="Y137" s="103" t="s">
        <v>124</v>
      </c>
      <c r="Z137" s="103" t="s">
        <v>124</v>
      </c>
      <c r="AA137" s="146" t="s">
        <v>124</v>
      </c>
      <c r="AB137" s="1125">
        <v>0</v>
      </c>
      <c r="AC137" s="1126">
        <v>0</v>
      </c>
      <c r="AD137" s="1126">
        <v>2</v>
      </c>
      <c r="AE137" s="1126">
        <v>0</v>
      </c>
      <c r="AF137" s="1126">
        <v>0</v>
      </c>
      <c r="AG137" s="1126">
        <v>0</v>
      </c>
      <c r="AH137" s="1126">
        <v>0</v>
      </c>
      <c r="AI137" s="1126">
        <v>1</v>
      </c>
      <c r="AJ137" s="1126">
        <v>2</v>
      </c>
      <c r="AK137" s="1126">
        <v>3</v>
      </c>
      <c r="AL137" s="1126">
        <v>0</v>
      </c>
      <c r="AM137" s="1144">
        <v>0</v>
      </c>
      <c r="AN137" s="1129">
        <v>2</v>
      </c>
      <c r="AO137" s="1129">
        <v>2</v>
      </c>
      <c r="AP137" s="535"/>
      <c r="AQ137" s="535"/>
      <c r="AR137" s="535"/>
      <c r="AS137" s="535"/>
      <c r="AT137" s="535"/>
      <c r="AU137" s="535"/>
      <c r="AV137" s="535"/>
      <c r="AW137" s="103"/>
      <c r="AX137" s="103"/>
      <c r="AY137" s="146"/>
      <c r="AZ137" s="438"/>
      <c r="BA137" s="441" t="str">
        <f t="shared" si="36"/>
        <v>-</v>
      </c>
      <c r="BB137" s="277" t="str">
        <f t="shared" si="37"/>
        <v>-</v>
      </c>
      <c r="BC137" s="420">
        <f t="shared" si="33"/>
        <v>2</v>
      </c>
    </row>
    <row r="138" spans="1:55" ht="16">
      <c r="A138" s="93"/>
      <c r="B138" s="100" t="s">
        <v>242</v>
      </c>
      <c r="C138" s="99" t="s">
        <v>153</v>
      </c>
      <c r="D138" s="125" t="s">
        <v>124</v>
      </c>
      <c r="E138" s="103" t="s">
        <v>124</v>
      </c>
      <c r="F138" s="103" t="s">
        <v>124</v>
      </c>
      <c r="G138" s="103">
        <v>4</v>
      </c>
      <c r="H138" s="103">
        <v>2</v>
      </c>
      <c r="I138" s="103">
        <v>3</v>
      </c>
      <c r="J138" s="103">
        <v>4</v>
      </c>
      <c r="K138" s="103">
        <v>1</v>
      </c>
      <c r="L138" s="103">
        <v>2</v>
      </c>
      <c r="M138" s="103">
        <v>3</v>
      </c>
      <c r="N138" s="103">
        <v>4</v>
      </c>
      <c r="O138" s="126">
        <v>2</v>
      </c>
      <c r="P138" s="114" t="s">
        <v>156</v>
      </c>
      <c r="Q138" s="103" t="s">
        <v>156</v>
      </c>
      <c r="R138" s="103">
        <v>6</v>
      </c>
      <c r="S138" s="103">
        <v>2</v>
      </c>
      <c r="T138" s="103" t="s">
        <v>157</v>
      </c>
      <c r="U138" s="103">
        <v>1</v>
      </c>
      <c r="V138" s="103">
        <v>3</v>
      </c>
      <c r="W138" s="103">
        <v>1</v>
      </c>
      <c r="X138" s="103">
        <v>1</v>
      </c>
      <c r="Y138" s="103">
        <v>3</v>
      </c>
      <c r="Z138" s="103">
        <v>5</v>
      </c>
      <c r="AA138" s="146">
        <v>3</v>
      </c>
      <c r="AB138" s="1125">
        <v>1</v>
      </c>
      <c r="AC138" s="1126">
        <v>4</v>
      </c>
      <c r="AD138" s="1126">
        <v>1</v>
      </c>
      <c r="AE138" s="1126">
        <v>1</v>
      </c>
      <c r="AF138" s="1126">
        <v>1</v>
      </c>
      <c r="AG138" s="1126">
        <v>3</v>
      </c>
      <c r="AH138" s="1126">
        <v>2</v>
      </c>
      <c r="AI138" s="1126">
        <v>9</v>
      </c>
      <c r="AJ138" s="1126">
        <v>2</v>
      </c>
      <c r="AK138" s="1126">
        <v>4</v>
      </c>
      <c r="AL138" s="1126">
        <v>2</v>
      </c>
      <c r="AM138" s="1144">
        <v>0</v>
      </c>
      <c r="AN138" s="1129">
        <f>+SUM(AN139:AN140)</f>
        <v>3</v>
      </c>
      <c r="AO138" s="1129">
        <f>+SUM(AO139:AO140)</f>
        <v>4</v>
      </c>
      <c r="AP138" s="535"/>
      <c r="AQ138" s="535"/>
      <c r="AR138" s="535"/>
      <c r="AS138" s="535"/>
      <c r="AT138" s="535"/>
      <c r="AU138" s="535"/>
      <c r="AV138" s="535"/>
      <c r="AW138" s="103"/>
      <c r="AX138" s="103"/>
      <c r="AY138" s="146"/>
      <c r="AZ138" s="438"/>
      <c r="BA138" s="441">
        <f t="shared" si="36"/>
        <v>2.7777777777777777</v>
      </c>
      <c r="BB138" s="277">
        <f t="shared" si="37"/>
        <v>2.7777777777777777</v>
      </c>
      <c r="BC138" s="420">
        <f t="shared" si="33"/>
        <v>2.7272727272727271</v>
      </c>
    </row>
    <row r="139" spans="1:55" ht="16" hidden="1" outlineLevel="1">
      <c r="A139" s="93"/>
      <c r="B139" s="100" t="s">
        <v>245</v>
      </c>
      <c r="C139" s="99" t="s">
        <v>153</v>
      </c>
      <c r="D139" s="846"/>
      <c r="E139" s="847"/>
      <c r="F139" s="847"/>
      <c r="G139" s="847"/>
      <c r="H139" s="847"/>
      <c r="I139" s="847"/>
      <c r="J139" s="847"/>
      <c r="K139" s="847"/>
      <c r="L139" s="847"/>
      <c r="M139" s="847"/>
      <c r="N139" s="847"/>
      <c r="O139" s="848"/>
      <c r="P139" s="849"/>
      <c r="Q139" s="847"/>
      <c r="R139" s="847"/>
      <c r="S139" s="847"/>
      <c r="T139" s="847"/>
      <c r="U139" s="847"/>
      <c r="V139" s="847"/>
      <c r="W139" s="847"/>
      <c r="X139" s="847"/>
      <c r="Y139" s="847"/>
      <c r="Z139" s="847"/>
      <c r="AA139" s="851"/>
      <c r="AB139" s="1130">
        <v>1</v>
      </c>
      <c r="AC139" s="1131">
        <v>2</v>
      </c>
      <c r="AD139" s="1131">
        <v>1</v>
      </c>
      <c r="AE139" s="1131"/>
      <c r="AF139" s="1131">
        <v>1</v>
      </c>
      <c r="AG139" s="1131">
        <v>2</v>
      </c>
      <c r="AH139" s="1131">
        <v>2</v>
      </c>
      <c r="AI139" s="1131">
        <v>5</v>
      </c>
      <c r="AJ139" s="1131">
        <v>1</v>
      </c>
      <c r="AK139" s="1131">
        <v>1</v>
      </c>
      <c r="AL139" s="1131">
        <v>2</v>
      </c>
      <c r="AM139" s="1145"/>
      <c r="AN139" s="1134">
        <v>3</v>
      </c>
      <c r="AO139" s="1134">
        <v>1</v>
      </c>
      <c r="AP139" s="850"/>
      <c r="AQ139" s="850"/>
      <c r="AR139" s="850"/>
      <c r="AS139" s="850"/>
      <c r="AT139" s="850"/>
      <c r="AU139" s="850"/>
      <c r="AV139" s="850"/>
      <c r="AW139" s="847"/>
      <c r="AX139" s="847"/>
      <c r="AY139" s="851"/>
      <c r="AZ139" s="438"/>
      <c r="BA139" s="441"/>
      <c r="BB139" s="277"/>
      <c r="BC139" s="420"/>
    </row>
    <row r="140" spans="1:55" ht="16" hidden="1" outlineLevel="1">
      <c r="A140" s="93"/>
      <c r="B140" s="100" t="s">
        <v>246</v>
      </c>
      <c r="C140" s="99" t="s">
        <v>153</v>
      </c>
      <c r="D140" s="846"/>
      <c r="E140" s="847"/>
      <c r="F140" s="847"/>
      <c r="G140" s="847"/>
      <c r="H140" s="847"/>
      <c r="I140" s="847"/>
      <c r="J140" s="847"/>
      <c r="K140" s="847"/>
      <c r="L140" s="847"/>
      <c r="M140" s="847"/>
      <c r="N140" s="847"/>
      <c r="O140" s="848"/>
      <c r="P140" s="849"/>
      <c r="Q140" s="847"/>
      <c r="R140" s="847"/>
      <c r="S140" s="847"/>
      <c r="T140" s="847"/>
      <c r="U140" s="847"/>
      <c r="V140" s="847"/>
      <c r="W140" s="847"/>
      <c r="X140" s="847"/>
      <c r="Y140" s="847"/>
      <c r="Z140" s="847"/>
      <c r="AA140" s="851"/>
      <c r="AB140" s="1130"/>
      <c r="AC140" s="1131">
        <v>2</v>
      </c>
      <c r="AD140" s="1131"/>
      <c r="AE140" s="1131"/>
      <c r="AF140" s="1131"/>
      <c r="AG140" s="1131">
        <v>1</v>
      </c>
      <c r="AH140" s="1131"/>
      <c r="AI140" s="1131">
        <v>4</v>
      </c>
      <c r="AJ140" s="1131">
        <v>1</v>
      </c>
      <c r="AK140" s="1131">
        <v>3</v>
      </c>
      <c r="AL140" s="1131">
        <v>0</v>
      </c>
      <c r="AM140" s="1145"/>
      <c r="AN140" s="1134"/>
      <c r="AO140" s="1134">
        <v>3</v>
      </c>
      <c r="AP140" s="850"/>
      <c r="AQ140" s="850"/>
      <c r="AR140" s="850"/>
      <c r="AS140" s="850"/>
      <c r="AT140" s="850"/>
      <c r="AU140" s="850"/>
      <c r="AV140" s="850"/>
      <c r="AW140" s="847"/>
      <c r="AX140" s="847"/>
      <c r="AY140" s="851"/>
      <c r="AZ140" s="438"/>
      <c r="BA140" s="441"/>
      <c r="BB140" s="277"/>
      <c r="BC140" s="420"/>
    </row>
    <row r="141" spans="1:55" ht="16" collapsed="1">
      <c r="A141" s="93"/>
      <c r="B141" s="100" t="s">
        <v>259</v>
      </c>
      <c r="C141" s="99" t="s">
        <v>153</v>
      </c>
      <c r="D141" s="125" t="s">
        <v>124</v>
      </c>
      <c r="E141" s="103" t="s">
        <v>124</v>
      </c>
      <c r="F141" s="103" t="s">
        <v>124</v>
      </c>
      <c r="G141" s="103" t="s">
        <v>156</v>
      </c>
      <c r="H141" s="103" t="s">
        <v>156</v>
      </c>
      <c r="I141" s="103" t="s">
        <v>156</v>
      </c>
      <c r="J141" s="103" t="s">
        <v>156</v>
      </c>
      <c r="K141" s="103">
        <v>1</v>
      </c>
      <c r="L141" s="103" t="s">
        <v>156</v>
      </c>
      <c r="M141" s="103" t="s">
        <v>156</v>
      </c>
      <c r="N141" s="103">
        <v>1</v>
      </c>
      <c r="O141" s="126" t="s">
        <v>156</v>
      </c>
      <c r="P141" s="114" t="s">
        <v>156</v>
      </c>
      <c r="Q141" s="103" t="s">
        <v>156</v>
      </c>
      <c r="R141" s="103" t="s">
        <v>157</v>
      </c>
      <c r="S141" s="103" t="s">
        <v>157</v>
      </c>
      <c r="T141" s="103" t="s">
        <v>157</v>
      </c>
      <c r="U141" s="103" t="s">
        <v>156</v>
      </c>
      <c r="V141" s="103" t="s">
        <v>169</v>
      </c>
      <c r="W141" s="103" t="s">
        <v>156</v>
      </c>
      <c r="X141" s="103" t="s">
        <v>156</v>
      </c>
      <c r="Y141" s="103" t="s">
        <v>167</v>
      </c>
      <c r="Z141" s="103" t="s">
        <v>157</v>
      </c>
      <c r="AA141" s="146" t="s">
        <v>157</v>
      </c>
      <c r="AB141" s="1125">
        <v>0</v>
      </c>
      <c r="AC141" s="1126">
        <v>1</v>
      </c>
      <c r="AD141" s="1126">
        <v>0</v>
      </c>
      <c r="AE141" s="1126">
        <v>0</v>
      </c>
      <c r="AF141" s="1126">
        <v>0</v>
      </c>
      <c r="AG141" s="1126">
        <v>0</v>
      </c>
      <c r="AH141" s="1126">
        <v>0</v>
      </c>
      <c r="AI141" s="1126">
        <v>0</v>
      </c>
      <c r="AJ141" s="1126">
        <v>1</v>
      </c>
      <c r="AK141" s="1126">
        <v>0</v>
      </c>
      <c r="AL141" s="1126">
        <v>0</v>
      </c>
      <c r="AM141" s="1144">
        <v>0</v>
      </c>
      <c r="AN141" s="1129">
        <v>0</v>
      </c>
      <c r="AO141" s="1129">
        <v>0</v>
      </c>
      <c r="AP141" s="535"/>
      <c r="AQ141" s="535"/>
      <c r="AR141" s="535"/>
      <c r="AS141" s="535"/>
      <c r="AT141" s="535"/>
      <c r="AU141" s="535"/>
      <c r="AV141" s="535"/>
      <c r="AW141" s="103"/>
      <c r="AX141" s="103"/>
      <c r="AY141" s="146"/>
      <c r="AZ141" s="438"/>
      <c r="BA141" s="441">
        <f t="shared" si="36"/>
        <v>1</v>
      </c>
      <c r="BB141" s="277" t="str">
        <f t="shared" si="37"/>
        <v>-</v>
      </c>
      <c r="BC141" s="420">
        <f t="shared" si="33"/>
        <v>1</v>
      </c>
    </row>
    <row r="142" spans="1:55" ht="16">
      <c r="A142" s="93"/>
      <c r="B142" s="100" t="s">
        <v>227</v>
      </c>
      <c r="C142" s="99" t="s">
        <v>153</v>
      </c>
      <c r="D142" s="634"/>
      <c r="E142" s="365"/>
      <c r="F142" s="365"/>
      <c r="G142" s="365"/>
      <c r="H142" s="365"/>
      <c r="I142" s="365"/>
      <c r="J142" s="365"/>
      <c r="K142" s="365"/>
      <c r="L142" s="365"/>
      <c r="M142" s="365"/>
      <c r="N142" s="365"/>
      <c r="O142" s="366"/>
      <c r="P142" s="367"/>
      <c r="Q142" s="365"/>
      <c r="R142" s="365"/>
      <c r="S142" s="365"/>
      <c r="T142" s="365"/>
      <c r="U142" s="365"/>
      <c r="V142" s="365"/>
      <c r="W142" s="365"/>
      <c r="X142" s="365"/>
      <c r="Y142" s="365"/>
      <c r="Z142" s="365"/>
      <c r="AA142" s="633"/>
      <c r="AB142" s="1137">
        <v>0</v>
      </c>
      <c r="AC142" s="1138">
        <v>0</v>
      </c>
      <c r="AD142" s="1138">
        <v>0</v>
      </c>
      <c r="AE142" s="1138">
        <v>0</v>
      </c>
      <c r="AF142" s="1138">
        <v>0</v>
      </c>
      <c r="AG142" s="1138">
        <v>0</v>
      </c>
      <c r="AH142" s="1138">
        <v>0</v>
      </c>
      <c r="AI142" s="1138">
        <v>0</v>
      </c>
      <c r="AJ142" s="1138">
        <v>1</v>
      </c>
      <c r="AK142" s="1138">
        <v>0</v>
      </c>
      <c r="AL142" s="1138">
        <v>0</v>
      </c>
      <c r="AM142" s="1146">
        <v>0</v>
      </c>
      <c r="AN142" s="1142">
        <v>0</v>
      </c>
      <c r="AO142" s="1142">
        <v>0</v>
      </c>
      <c r="AP142" s="654"/>
      <c r="AQ142" s="654"/>
      <c r="AR142" s="654"/>
      <c r="AS142" s="654"/>
      <c r="AT142" s="654"/>
      <c r="AU142" s="654"/>
      <c r="AV142" s="654"/>
      <c r="AW142" s="365"/>
      <c r="AX142" s="365"/>
      <c r="AY142" s="633"/>
      <c r="AZ142" s="438"/>
      <c r="BA142" s="635"/>
      <c r="BB142" s="636"/>
      <c r="BC142" s="637">
        <f t="shared" si="33"/>
        <v>1</v>
      </c>
    </row>
    <row r="143" spans="1:55" ht="16">
      <c r="A143" s="93" t="s">
        <v>124</v>
      </c>
      <c r="B143" s="100" t="s">
        <v>260</v>
      </c>
      <c r="C143" s="99" t="s">
        <v>153</v>
      </c>
      <c r="D143" s="634" t="s">
        <v>124</v>
      </c>
      <c r="E143" s="365" t="s">
        <v>124</v>
      </c>
      <c r="F143" s="365" t="s">
        <v>124</v>
      </c>
      <c r="G143" s="365">
        <v>12</v>
      </c>
      <c r="H143" s="365">
        <v>11</v>
      </c>
      <c r="I143" s="365">
        <v>12</v>
      </c>
      <c r="J143" s="365">
        <v>13</v>
      </c>
      <c r="K143" s="365">
        <v>6</v>
      </c>
      <c r="L143" s="365">
        <v>4</v>
      </c>
      <c r="M143" s="365">
        <v>6</v>
      </c>
      <c r="N143" s="365">
        <v>12</v>
      </c>
      <c r="O143" s="366">
        <v>4</v>
      </c>
      <c r="P143" s="367">
        <v>6</v>
      </c>
      <c r="Q143" s="365">
        <v>2</v>
      </c>
      <c r="R143" s="365">
        <v>3</v>
      </c>
      <c r="S143" s="365">
        <v>1</v>
      </c>
      <c r="T143" s="365" t="s">
        <v>157</v>
      </c>
      <c r="U143" s="365">
        <v>4</v>
      </c>
      <c r="V143" s="365">
        <v>3</v>
      </c>
      <c r="W143" s="365" t="s">
        <v>156</v>
      </c>
      <c r="X143" s="365">
        <v>1</v>
      </c>
      <c r="Y143" s="365">
        <v>2</v>
      </c>
      <c r="Z143" s="365">
        <v>3</v>
      </c>
      <c r="AA143" s="633">
        <v>2</v>
      </c>
      <c r="AB143" s="1137">
        <v>4</v>
      </c>
      <c r="AC143" s="1138">
        <v>1</v>
      </c>
      <c r="AD143" s="1138">
        <v>4</v>
      </c>
      <c r="AE143" s="1138">
        <v>2</v>
      </c>
      <c r="AF143" s="1138">
        <v>2</v>
      </c>
      <c r="AG143" s="1138">
        <v>0</v>
      </c>
      <c r="AH143" s="1138">
        <v>0</v>
      </c>
      <c r="AI143" s="1138">
        <v>0</v>
      </c>
      <c r="AJ143" s="1138">
        <v>4</v>
      </c>
      <c r="AK143" s="1138">
        <v>10</v>
      </c>
      <c r="AL143" s="1138">
        <v>7</v>
      </c>
      <c r="AM143" s="1146">
        <v>0</v>
      </c>
      <c r="AN143" s="1142">
        <f>+SUM(AN144:AN145)</f>
        <v>4</v>
      </c>
      <c r="AO143" s="1142">
        <f>+SUM(AO144:AO145)</f>
        <v>0</v>
      </c>
      <c r="AP143" s="654"/>
      <c r="AQ143" s="654"/>
      <c r="AR143" s="654"/>
      <c r="AS143" s="654"/>
      <c r="AT143" s="654"/>
      <c r="AU143" s="654"/>
      <c r="AV143" s="654"/>
      <c r="AW143" s="365"/>
      <c r="AX143" s="365"/>
      <c r="AY143" s="633"/>
      <c r="AZ143" s="438" t="s">
        <v>124</v>
      </c>
      <c r="BA143" s="635">
        <f t="shared" ref="BA143" si="40">IFERROR(AVERAGE(D143:O143),"-")</f>
        <v>8.8888888888888893</v>
      </c>
      <c r="BB143" s="636">
        <f t="shared" ref="BB143" si="41">IFERROR(AVERAGE(P143:AA143),"-")</f>
        <v>2.7</v>
      </c>
      <c r="BC143" s="637">
        <f t="shared" ref="BC143" si="42">IFERROR(SUMIFS(AB143:AM143,AB143:AM143,"&lt;&gt;0",AB143:AM143,"&lt;&gt;-",AB143:AM143,"&lt;&gt;",AB143:AM143,"&lt;&gt; ")/COUNTIFS(AB143:AM143,"&lt;&gt;0",AB143:AM143,"&lt;&gt;-",AB143:AM143,"&lt;&gt;",AB143:AM143,"&lt;&gt; "),"-")</f>
        <v>4.25</v>
      </c>
    </row>
    <row r="144" spans="1:55" ht="16" hidden="1" outlineLevel="1">
      <c r="A144" s="93"/>
      <c r="B144" s="100" t="s">
        <v>261</v>
      </c>
      <c r="C144" s="99" t="s">
        <v>153</v>
      </c>
      <c r="D144" s="852"/>
      <c r="E144" s="853"/>
      <c r="F144" s="853"/>
      <c r="G144" s="853"/>
      <c r="H144" s="853"/>
      <c r="I144" s="853"/>
      <c r="J144" s="853"/>
      <c r="K144" s="853"/>
      <c r="L144" s="853"/>
      <c r="M144" s="853"/>
      <c r="N144" s="853"/>
      <c r="O144" s="854"/>
      <c r="P144" s="855"/>
      <c r="Q144" s="853"/>
      <c r="R144" s="853"/>
      <c r="S144" s="853"/>
      <c r="T144" s="853"/>
      <c r="U144" s="853"/>
      <c r="V144" s="853"/>
      <c r="W144" s="853"/>
      <c r="X144" s="853"/>
      <c r="Y144" s="853"/>
      <c r="Z144" s="853"/>
      <c r="AA144" s="857"/>
      <c r="AB144" s="1147">
        <v>1</v>
      </c>
      <c r="AC144" s="1135">
        <v>1</v>
      </c>
      <c r="AD144" s="1135">
        <v>3</v>
      </c>
      <c r="AE144" s="1135">
        <v>2</v>
      </c>
      <c r="AF144" s="1135">
        <v>1</v>
      </c>
      <c r="AG144" s="1135"/>
      <c r="AH144" s="1135"/>
      <c r="AI144" s="1135"/>
      <c r="AJ144" s="1135">
        <v>2</v>
      </c>
      <c r="AK144" s="1135">
        <v>3</v>
      </c>
      <c r="AL144" s="1135">
        <v>5</v>
      </c>
      <c r="AM144" s="1148"/>
      <c r="AN144" s="1149">
        <v>4</v>
      </c>
      <c r="AO144" s="1149">
        <v>0</v>
      </c>
      <c r="AP144" s="853"/>
      <c r="AQ144" s="853"/>
      <c r="AR144" s="853"/>
      <c r="AS144" s="853"/>
      <c r="AT144" s="853"/>
      <c r="AU144" s="853"/>
      <c r="AV144" s="853"/>
      <c r="AW144" s="853"/>
      <c r="AX144" s="853"/>
      <c r="AY144" s="857"/>
      <c r="AZ144" s="438"/>
      <c r="BA144" s="635"/>
      <c r="BB144" s="636"/>
      <c r="BC144" s="637"/>
    </row>
    <row r="145" spans="1:55" ht="16" hidden="1" outlineLevel="1">
      <c r="A145" s="94"/>
      <c r="B145" s="101" t="s">
        <v>262</v>
      </c>
      <c r="C145" s="393" t="s">
        <v>153</v>
      </c>
      <c r="D145" s="858"/>
      <c r="E145" s="859"/>
      <c r="F145" s="859"/>
      <c r="G145" s="859"/>
      <c r="H145" s="859"/>
      <c r="I145" s="859"/>
      <c r="J145" s="859"/>
      <c r="K145" s="859"/>
      <c r="L145" s="859"/>
      <c r="M145" s="859"/>
      <c r="N145" s="859"/>
      <c r="O145" s="860"/>
      <c r="P145" s="861"/>
      <c r="Q145" s="859"/>
      <c r="R145" s="859"/>
      <c r="S145" s="859"/>
      <c r="T145" s="859"/>
      <c r="U145" s="859"/>
      <c r="V145" s="859"/>
      <c r="W145" s="859"/>
      <c r="X145" s="859"/>
      <c r="Y145" s="859"/>
      <c r="Z145" s="859"/>
      <c r="AA145" s="862"/>
      <c r="AB145" s="1150">
        <v>3</v>
      </c>
      <c r="AC145" s="1151"/>
      <c r="AD145" s="1151">
        <v>1</v>
      </c>
      <c r="AE145" s="1151"/>
      <c r="AF145" s="1151">
        <v>1</v>
      </c>
      <c r="AG145" s="1151"/>
      <c r="AH145" s="1151"/>
      <c r="AI145" s="1151"/>
      <c r="AJ145" s="1151">
        <v>2</v>
      </c>
      <c r="AK145" s="1151">
        <v>7</v>
      </c>
      <c r="AL145" s="1151">
        <v>2</v>
      </c>
      <c r="AM145" s="1152"/>
      <c r="AN145" s="1153"/>
      <c r="AO145" s="1153">
        <v>0</v>
      </c>
      <c r="AP145" s="859"/>
      <c r="AQ145" s="859"/>
      <c r="AR145" s="859"/>
      <c r="AS145" s="859"/>
      <c r="AT145" s="859"/>
      <c r="AU145" s="859"/>
      <c r="AV145" s="859"/>
      <c r="AW145" s="859"/>
      <c r="AX145" s="859"/>
      <c r="AY145" s="862"/>
      <c r="AZ145" s="438"/>
      <c r="BA145" s="518"/>
      <c r="BB145" s="519"/>
      <c r="BC145" s="520"/>
    </row>
    <row r="146" spans="1:55" ht="16" collapsed="1">
      <c r="A146" s="92"/>
      <c r="B146" s="98" t="s">
        <v>263</v>
      </c>
      <c r="C146" s="99" t="s">
        <v>153</v>
      </c>
      <c r="D146" s="168" t="s">
        <v>124</v>
      </c>
      <c r="E146" s="169" t="s">
        <v>124</v>
      </c>
      <c r="F146" s="169" t="s">
        <v>124</v>
      </c>
      <c r="G146" s="169">
        <f t="shared" ref="G146:AA146" si="43">+SUM(G147:G162)</f>
        <v>5</v>
      </c>
      <c r="H146" s="169">
        <f t="shared" si="43"/>
        <v>7</v>
      </c>
      <c r="I146" s="169">
        <f t="shared" si="43"/>
        <v>2</v>
      </c>
      <c r="J146" s="169">
        <f t="shared" si="43"/>
        <v>2</v>
      </c>
      <c r="K146" s="169">
        <f t="shared" si="43"/>
        <v>2</v>
      </c>
      <c r="L146" s="169">
        <f t="shared" si="43"/>
        <v>0</v>
      </c>
      <c r="M146" s="169">
        <f t="shared" si="43"/>
        <v>3</v>
      </c>
      <c r="N146" s="169">
        <f t="shared" si="43"/>
        <v>2</v>
      </c>
      <c r="O146" s="170">
        <f t="shared" si="43"/>
        <v>2</v>
      </c>
      <c r="P146" s="171">
        <f t="shared" si="43"/>
        <v>1</v>
      </c>
      <c r="Q146" s="169">
        <f t="shared" si="43"/>
        <v>1</v>
      </c>
      <c r="R146" s="169">
        <f t="shared" si="43"/>
        <v>2</v>
      </c>
      <c r="S146" s="169">
        <f t="shared" si="43"/>
        <v>6</v>
      </c>
      <c r="T146" s="169">
        <f t="shared" si="43"/>
        <v>7</v>
      </c>
      <c r="U146" s="169">
        <f t="shared" si="43"/>
        <v>7</v>
      </c>
      <c r="V146" s="169">
        <f t="shared" si="43"/>
        <v>1</v>
      </c>
      <c r="W146" s="169">
        <f t="shared" si="43"/>
        <v>3</v>
      </c>
      <c r="X146" s="169">
        <f t="shared" si="43"/>
        <v>1</v>
      </c>
      <c r="Y146" s="169">
        <f t="shared" si="43"/>
        <v>2</v>
      </c>
      <c r="Z146" s="169">
        <f t="shared" si="43"/>
        <v>3</v>
      </c>
      <c r="AA146" s="315">
        <f t="shared" si="43"/>
        <v>1</v>
      </c>
      <c r="AB146" s="1154">
        <f>+AB147+AB148+AB149+AB153+AB154+AB158+AB159+AB160+AB162+AB161</f>
        <v>4</v>
      </c>
      <c r="AC146" s="1155">
        <v>0</v>
      </c>
      <c r="AD146" s="1155">
        <f t="shared" ref="AD146:AJ146" si="44">+AD147+AD148+AD149+AD153+AD154+AD158+AD159+AD160+AD162+AD161</f>
        <v>3</v>
      </c>
      <c r="AE146" s="1155">
        <f t="shared" si="44"/>
        <v>6</v>
      </c>
      <c r="AF146" s="1155">
        <f t="shared" si="44"/>
        <v>2</v>
      </c>
      <c r="AG146" s="1155">
        <f t="shared" si="44"/>
        <v>2</v>
      </c>
      <c r="AH146" s="1155">
        <f t="shared" si="44"/>
        <v>5</v>
      </c>
      <c r="AI146" s="1155">
        <f t="shared" si="44"/>
        <v>9</v>
      </c>
      <c r="AJ146" s="1155">
        <f t="shared" si="44"/>
        <v>5</v>
      </c>
      <c r="AK146" s="1155">
        <f>+AK147+AK148+AK149+AK153+AK154+AK158+AK159+AK160+AK162+AK161</f>
        <v>8</v>
      </c>
      <c r="AL146" s="1155">
        <f>+AL147+AL148+AL149+AL153+AL154+AL158+AL159+AL160+AL162+AL161</f>
        <v>11</v>
      </c>
      <c r="AM146" s="1156">
        <f>+AM147+AM148+AM149+AM153+AM154+AM158+AM159+AM160+AM162+AM161</f>
        <v>5</v>
      </c>
      <c r="AN146" s="1157">
        <f>+AN147+AN148+AN149+AN153+AN154+AN158+AN159+AN160+AN162+AN161</f>
        <v>3</v>
      </c>
      <c r="AO146" s="1157">
        <f>+AO147+AO148+AO149+AO153+AO154+AO158+AO159+AO160+AO162+AO161</f>
        <v>4</v>
      </c>
      <c r="AP146" s="169"/>
      <c r="AQ146" s="169"/>
      <c r="AR146" s="169"/>
      <c r="AS146" s="169"/>
      <c r="AT146" s="169"/>
      <c r="AU146" s="169"/>
      <c r="AV146" s="169"/>
      <c r="AW146" s="169"/>
      <c r="AX146" s="169"/>
      <c r="AY146" s="169"/>
      <c r="AZ146" s="437"/>
      <c r="BA146" s="452">
        <f t="shared" si="36"/>
        <v>2.7777777777777777</v>
      </c>
      <c r="BB146" s="317">
        <f t="shared" si="37"/>
        <v>2.9166666666666665</v>
      </c>
      <c r="BC146" s="431">
        <f t="shared" si="33"/>
        <v>5.4545454545454541</v>
      </c>
    </row>
    <row r="147" spans="1:55" ht="16">
      <c r="A147" s="93"/>
      <c r="B147" s="100" t="s">
        <v>233</v>
      </c>
      <c r="C147" s="99" t="s">
        <v>153</v>
      </c>
      <c r="D147" s="125" t="s">
        <v>124</v>
      </c>
      <c r="E147" s="103" t="s">
        <v>124</v>
      </c>
      <c r="F147" s="103" t="s">
        <v>124</v>
      </c>
      <c r="G147" s="103">
        <v>3</v>
      </c>
      <c r="H147" s="103" t="s">
        <v>156</v>
      </c>
      <c r="I147" s="103" t="s">
        <v>156</v>
      </c>
      <c r="J147" s="103" t="s">
        <v>156</v>
      </c>
      <c r="K147" s="103">
        <v>1</v>
      </c>
      <c r="L147" s="103" t="s">
        <v>156</v>
      </c>
      <c r="M147" s="103" t="s">
        <v>156</v>
      </c>
      <c r="N147" s="103" t="s">
        <v>156</v>
      </c>
      <c r="O147" s="126">
        <v>1</v>
      </c>
      <c r="P147" s="114" t="s">
        <v>156</v>
      </c>
      <c r="Q147" s="103" t="s">
        <v>156</v>
      </c>
      <c r="R147" s="103" t="s">
        <v>157</v>
      </c>
      <c r="S147" s="103">
        <v>2</v>
      </c>
      <c r="T147" s="103">
        <v>4</v>
      </c>
      <c r="U147" s="103">
        <v>3</v>
      </c>
      <c r="V147" s="103">
        <v>1</v>
      </c>
      <c r="W147" s="103">
        <v>1</v>
      </c>
      <c r="X147" s="103">
        <v>1</v>
      </c>
      <c r="Y147" s="103" t="s">
        <v>167</v>
      </c>
      <c r="Z147" s="103" t="s">
        <v>157</v>
      </c>
      <c r="AA147" s="146" t="s">
        <v>157</v>
      </c>
      <c r="AB147" s="1125">
        <v>2</v>
      </c>
      <c r="AC147" s="1126">
        <v>0</v>
      </c>
      <c r="AD147" s="1126">
        <v>2</v>
      </c>
      <c r="AE147" s="1126">
        <v>1</v>
      </c>
      <c r="AF147" s="1126">
        <v>0</v>
      </c>
      <c r="AG147" s="1126">
        <v>0</v>
      </c>
      <c r="AH147" s="1126">
        <v>1</v>
      </c>
      <c r="AI147" s="1126">
        <v>6</v>
      </c>
      <c r="AJ147" s="1126">
        <v>1</v>
      </c>
      <c r="AK147" s="1126">
        <v>4</v>
      </c>
      <c r="AL147" s="1126">
        <v>4</v>
      </c>
      <c r="AM147" s="1144">
        <v>0</v>
      </c>
      <c r="AN147" s="1129">
        <v>0</v>
      </c>
      <c r="AO147" s="1129">
        <v>1</v>
      </c>
      <c r="AP147" s="535"/>
      <c r="AQ147" s="535"/>
      <c r="AR147" s="535"/>
      <c r="AS147" s="535"/>
      <c r="AT147" s="535"/>
      <c r="AU147" s="535"/>
      <c r="AV147" s="535"/>
      <c r="AW147" s="103"/>
      <c r="AX147" s="103"/>
      <c r="AY147" s="146"/>
      <c r="AZ147" s="438"/>
      <c r="BA147" s="441">
        <f t="shared" si="36"/>
        <v>1.6666666666666667</v>
      </c>
      <c r="BB147" s="277">
        <f t="shared" si="37"/>
        <v>2</v>
      </c>
      <c r="BC147" s="420">
        <f t="shared" si="33"/>
        <v>2.625</v>
      </c>
    </row>
    <row r="148" spans="1:55" ht="16">
      <c r="A148" s="93"/>
      <c r="B148" s="100" t="s">
        <v>230</v>
      </c>
      <c r="C148" s="99" t="s">
        <v>153</v>
      </c>
      <c r="D148" s="125" t="s">
        <v>124</v>
      </c>
      <c r="E148" s="103" t="s">
        <v>124</v>
      </c>
      <c r="F148" s="103" t="s">
        <v>124</v>
      </c>
      <c r="G148" s="103" t="s">
        <v>156</v>
      </c>
      <c r="H148" s="103" t="s">
        <v>156</v>
      </c>
      <c r="I148" s="103" t="s">
        <v>156</v>
      </c>
      <c r="J148" s="103" t="s">
        <v>156</v>
      </c>
      <c r="K148" s="103" t="s">
        <v>156</v>
      </c>
      <c r="L148" s="103" t="s">
        <v>156</v>
      </c>
      <c r="M148" s="103" t="s">
        <v>156</v>
      </c>
      <c r="N148" s="103" t="s">
        <v>156</v>
      </c>
      <c r="O148" s="126" t="s">
        <v>156</v>
      </c>
      <c r="P148" s="114" t="s">
        <v>156</v>
      </c>
      <c r="Q148" s="103" t="s">
        <v>156</v>
      </c>
      <c r="R148" s="103" t="s">
        <v>157</v>
      </c>
      <c r="S148" s="103" t="s">
        <v>157</v>
      </c>
      <c r="T148" s="103" t="s">
        <v>157</v>
      </c>
      <c r="U148" s="103">
        <v>1</v>
      </c>
      <c r="V148" s="103" t="s">
        <v>169</v>
      </c>
      <c r="W148" s="103">
        <v>1</v>
      </c>
      <c r="X148" s="103"/>
      <c r="Y148" s="103"/>
      <c r="Z148" s="103"/>
      <c r="AA148" s="146"/>
      <c r="AB148" s="1125">
        <v>0</v>
      </c>
      <c r="AC148" s="1126">
        <v>0</v>
      </c>
      <c r="AD148" s="1126">
        <v>0</v>
      </c>
      <c r="AE148" s="1126">
        <v>0</v>
      </c>
      <c r="AF148" s="1126">
        <v>0</v>
      </c>
      <c r="AG148" s="1126">
        <v>1</v>
      </c>
      <c r="AH148" s="1126">
        <v>0</v>
      </c>
      <c r="AI148" s="1126">
        <v>0</v>
      </c>
      <c r="AJ148" s="1126">
        <v>0</v>
      </c>
      <c r="AK148" s="1126">
        <v>0</v>
      </c>
      <c r="AL148" s="1126">
        <v>1</v>
      </c>
      <c r="AM148" s="1144">
        <v>1</v>
      </c>
      <c r="AN148" s="1129">
        <v>1</v>
      </c>
      <c r="AO148" s="1129">
        <v>0</v>
      </c>
      <c r="AP148" s="535"/>
      <c r="AQ148" s="535"/>
      <c r="AR148" s="535"/>
      <c r="AS148" s="535"/>
      <c r="AT148" s="535"/>
      <c r="AU148" s="535"/>
      <c r="AV148" s="535"/>
      <c r="AW148" s="103"/>
      <c r="AX148" s="103"/>
      <c r="AY148" s="146"/>
      <c r="AZ148" s="438"/>
      <c r="BA148" s="441" t="str">
        <f t="shared" si="36"/>
        <v>-</v>
      </c>
      <c r="BB148" s="277">
        <f t="shared" si="37"/>
        <v>1</v>
      </c>
      <c r="BC148" s="420">
        <f t="shared" si="33"/>
        <v>1</v>
      </c>
    </row>
    <row r="149" spans="1:55" ht="16">
      <c r="A149" s="93"/>
      <c r="B149" s="100" t="s">
        <v>242</v>
      </c>
      <c r="C149" s="99" t="s">
        <v>153</v>
      </c>
      <c r="D149" s="125" t="s">
        <v>124</v>
      </c>
      <c r="E149" s="103" t="s">
        <v>124</v>
      </c>
      <c r="F149" s="103" t="s">
        <v>124</v>
      </c>
      <c r="G149" s="103">
        <v>1</v>
      </c>
      <c r="H149" s="103">
        <v>1</v>
      </c>
      <c r="I149" s="103">
        <v>1</v>
      </c>
      <c r="J149" s="103">
        <v>2</v>
      </c>
      <c r="K149" s="103" t="s">
        <v>156</v>
      </c>
      <c r="L149" s="103" t="s">
        <v>156</v>
      </c>
      <c r="M149" s="103" t="s">
        <v>156</v>
      </c>
      <c r="N149" s="103" t="s">
        <v>156</v>
      </c>
      <c r="O149" s="126">
        <v>1</v>
      </c>
      <c r="P149" s="114" t="s">
        <v>156</v>
      </c>
      <c r="Q149" s="103" t="s">
        <v>156</v>
      </c>
      <c r="R149" s="103" t="s">
        <v>157</v>
      </c>
      <c r="S149" s="103">
        <v>1</v>
      </c>
      <c r="T149" s="103">
        <v>3</v>
      </c>
      <c r="U149" s="103">
        <v>2</v>
      </c>
      <c r="V149" s="103" t="s">
        <v>169</v>
      </c>
      <c r="W149" s="103" t="s">
        <v>156</v>
      </c>
      <c r="X149" s="103" t="s">
        <v>156</v>
      </c>
      <c r="Y149" s="103" t="s">
        <v>167</v>
      </c>
      <c r="Z149" s="103">
        <v>2</v>
      </c>
      <c r="AA149" s="146">
        <v>1</v>
      </c>
      <c r="AB149" s="1125">
        <v>0</v>
      </c>
      <c r="AC149" s="1126">
        <v>0</v>
      </c>
      <c r="AD149" s="1126">
        <v>1</v>
      </c>
      <c r="AE149" s="1126">
        <v>2</v>
      </c>
      <c r="AF149" s="1126">
        <v>0</v>
      </c>
      <c r="AG149" s="1126">
        <v>0</v>
      </c>
      <c r="AH149" s="1126">
        <v>0</v>
      </c>
      <c r="AI149" s="1126">
        <v>0</v>
      </c>
      <c r="AJ149" s="1126">
        <v>1</v>
      </c>
      <c r="AK149" s="1126">
        <v>1</v>
      </c>
      <c r="AL149" s="1126">
        <v>0</v>
      </c>
      <c r="AM149" s="1144">
        <v>0</v>
      </c>
      <c r="AN149" s="1129">
        <v>0</v>
      </c>
      <c r="AO149" s="1129">
        <v>0</v>
      </c>
      <c r="AP149" s="535"/>
      <c r="AQ149" s="535"/>
      <c r="AR149" s="535"/>
      <c r="AS149" s="535"/>
      <c r="AT149" s="535"/>
      <c r="AU149" s="535"/>
      <c r="AV149" s="535"/>
      <c r="AW149" s="103"/>
      <c r="AX149" s="103"/>
      <c r="AY149" s="146"/>
      <c r="AZ149" s="438"/>
      <c r="BA149" s="441">
        <f t="shared" si="36"/>
        <v>1.2</v>
      </c>
      <c r="BB149" s="277">
        <f t="shared" si="37"/>
        <v>1.8</v>
      </c>
      <c r="BC149" s="420">
        <f t="shared" si="33"/>
        <v>1.25</v>
      </c>
    </row>
    <row r="150" spans="1:55" ht="16" hidden="1" outlineLevel="1">
      <c r="A150" s="93"/>
      <c r="B150" s="100" t="s">
        <v>245</v>
      </c>
      <c r="C150" s="99" t="s">
        <v>153</v>
      </c>
      <c r="D150" s="125"/>
      <c r="E150" s="103"/>
      <c r="F150" s="103"/>
      <c r="G150" s="103"/>
      <c r="H150" s="103"/>
      <c r="I150" s="103"/>
      <c r="J150" s="103"/>
      <c r="K150" s="103"/>
      <c r="L150" s="103"/>
      <c r="M150" s="103"/>
      <c r="N150" s="103"/>
      <c r="O150" s="126"/>
      <c r="P150" s="114"/>
      <c r="Q150" s="103"/>
      <c r="R150" s="103"/>
      <c r="S150" s="103"/>
      <c r="T150" s="103"/>
      <c r="U150" s="103"/>
      <c r="V150" s="103"/>
      <c r="W150" s="103"/>
      <c r="X150" s="103"/>
      <c r="Y150" s="103"/>
      <c r="Z150" s="103"/>
      <c r="AA150" s="146"/>
      <c r="AB150" s="1125"/>
      <c r="AC150" s="1126"/>
      <c r="AD150" s="1126">
        <v>1</v>
      </c>
      <c r="AE150" s="1126">
        <v>1</v>
      </c>
      <c r="AF150" s="1126"/>
      <c r="AG150" s="1126"/>
      <c r="AH150" s="1126"/>
      <c r="AI150" s="1126"/>
      <c r="AJ150" s="1126"/>
      <c r="AK150" s="1126">
        <v>1</v>
      </c>
      <c r="AL150" s="1126"/>
      <c r="AM150" s="1144">
        <v>0</v>
      </c>
      <c r="AN150" s="1129"/>
      <c r="AO150" s="1129"/>
      <c r="AP150" s="535"/>
      <c r="AQ150" s="535"/>
      <c r="AR150" s="535"/>
      <c r="AS150" s="535"/>
      <c r="AT150" s="535"/>
      <c r="AU150" s="535"/>
      <c r="AV150" s="535"/>
      <c r="AW150" s="103"/>
      <c r="AX150" s="103"/>
      <c r="AY150" s="146"/>
      <c r="AZ150" s="438"/>
      <c r="BA150" s="441"/>
      <c r="BB150" s="277"/>
      <c r="BC150" s="420"/>
    </row>
    <row r="151" spans="1:55" ht="16" hidden="1" outlineLevel="1">
      <c r="A151" s="93"/>
      <c r="B151" s="100" t="s">
        <v>246</v>
      </c>
      <c r="C151" s="99" t="s">
        <v>153</v>
      </c>
      <c r="D151" s="125"/>
      <c r="E151" s="103"/>
      <c r="F151" s="103"/>
      <c r="G151" s="103"/>
      <c r="H151" s="103"/>
      <c r="I151" s="103"/>
      <c r="J151" s="103"/>
      <c r="K151" s="103"/>
      <c r="L151" s="103"/>
      <c r="M151" s="103"/>
      <c r="N151" s="103"/>
      <c r="O151" s="126"/>
      <c r="P151" s="114"/>
      <c r="Q151" s="103"/>
      <c r="R151" s="103"/>
      <c r="S151" s="103"/>
      <c r="T151" s="103"/>
      <c r="U151" s="103"/>
      <c r="V151" s="103"/>
      <c r="W151" s="103"/>
      <c r="X151" s="103"/>
      <c r="Y151" s="103"/>
      <c r="Z151" s="103"/>
      <c r="AA151" s="146"/>
      <c r="AB151" s="1125"/>
      <c r="AC151" s="1126"/>
      <c r="AD151" s="1126"/>
      <c r="AE151" s="1126"/>
      <c r="AF151" s="1126"/>
      <c r="AG151" s="1126"/>
      <c r="AH151" s="1126"/>
      <c r="AI151" s="1126"/>
      <c r="AJ151" s="1126">
        <v>1</v>
      </c>
      <c r="AK151" s="1126">
        <v>0</v>
      </c>
      <c r="AL151" s="1126"/>
      <c r="AM151" s="1144">
        <v>0</v>
      </c>
      <c r="AN151" s="1129"/>
      <c r="AO151" s="1129"/>
      <c r="AP151" s="535"/>
      <c r="AQ151" s="535"/>
      <c r="AR151" s="535"/>
      <c r="AS151" s="535"/>
      <c r="AT151" s="535"/>
      <c r="AU151" s="535"/>
      <c r="AV151" s="535"/>
      <c r="AW151" s="103"/>
      <c r="AX151" s="103"/>
      <c r="AY151" s="146"/>
      <c r="AZ151" s="438"/>
      <c r="BA151" s="441"/>
      <c r="BB151" s="277"/>
      <c r="BC151" s="420"/>
    </row>
    <row r="152" spans="1:55" ht="16" hidden="1" outlineLevel="1">
      <c r="A152" s="93"/>
      <c r="B152" s="100" t="s">
        <v>247</v>
      </c>
      <c r="C152" s="99" t="s">
        <v>153</v>
      </c>
      <c r="D152" s="125"/>
      <c r="E152" s="103"/>
      <c r="F152" s="103"/>
      <c r="G152" s="103"/>
      <c r="H152" s="103"/>
      <c r="I152" s="103"/>
      <c r="J152" s="103"/>
      <c r="K152" s="103"/>
      <c r="L152" s="103"/>
      <c r="M152" s="103"/>
      <c r="N152" s="103"/>
      <c r="O152" s="126"/>
      <c r="P152" s="114"/>
      <c r="Q152" s="103"/>
      <c r="R152" s="103"/>
      <c r="S152" s="103"/>
      <c r="T152" s="103"/>
      <c r="U152" s="103"/>
      <c r="V152" s="103"/>
      <c r="W152" s="103"/>
      <c r="X152" s="103"/>
      <c r="Y152" s="103"/>
      <c r="Z152" s="103"/>
      <c r="AA152" s="146"/>
      <c r="AB152" s="1125"/>
      <c r="AC152" s="1126"/>
      <c r="AD152" s="1126"/>
      <c r="AE152" s="1126">
        <v>1</v>
      </c>
      <c r="AF152" s="1126"/>
      <c r="AG152" s="1126"/>
      <c r="AH152" s="1126"/>
      <c r="AI152" s="1126"/>
      <c r="AJ152" s="1126"/>
      <c r="AK152" s="1126">
        <v>0</v>
      </c>
      <c r="AL152" s="1126"/>
      <c r="AM152" s="1144">
        <v>0</v>
      </c>
      <c r="AN152" s="1129"/>
      <c r="AO152" s="1129"/>
      <c r="AP152" s="535"/>
      <c r="AQ152" s="535"/>
      <c r="AR152" s="535"/>
      <c r="AS152" s="535"/>
      <c r="AT152" s="535"/>
      <c r="AU152" s="535"/>
      <c r="AV152" s="535"/>
      <c r="AW152" s="103"/>
      <c r="AX152" s="103"/>
      <c r="AY152" s="146"/>
      <c r="AZ152" s="438"/>
      <c r="BA152" s="441"/>
      <c r="BB152" s="277"/>
      <c r="BC152" s="420"/>
    </row>
    <row r="153" spans="1:55" ht="16" collapsed="1">
      <c r="A153" s="93"/>
      <c r="B153" s="100" t="s">
        <v>213</v>
      </c>
      <c r="C153" s="99" t="s">
        <v>153</v>
      </c>
      <c r="D153" s="125" t="s">
        <v>124</v>
      </c>
      <c r="E153" s="103" t="s">
        <v>124</v>
      </c>
      <c r="F153" s="103" t="s">
        <v>124</v>
      </c>
      <c r="G153" s="103">
        <v>1</v>
      </c>
      <c r="H153" s="103">
        <v>3</v>
      </c>
      <c r="I153" s="103" t="s">
        <v>156</v>
      </c>
      <c r="J153" s="103" t="s">
        <v>156</v>
      </c>
      <c r="K153" s="103" t="s">
        <v>156</v>
      </c>
      <c r="L153" s="103" t="s">
        <v>156</v>
      </c>
      <c r="M153" s="103">
        <v>1</v>
      </c>
      <c r="N153" s="103" t="s">
        <v>156</v>
      </c>
      <c r="O153" s="126" t="s">
        <v>156</v>
      </c>
      <c r="P153" s="114" t="s">
        <v>156</v>
      </c>
      <c r="Q153" s="103" t="s">
        <v>156</v>
      </c>
      <c r="R153" s="103">
        <v>2</v>
      </c>
      <c r="S153" s="103"/>
      <c r="T153" s="103"/>
      <c r="U153" s="103"/>
      <c r="V153" s="103"/>
      <c r="W153" s="103"/>
      <c r="X153" s="103"/>
      <c r="Y153" s="103"/>
      <c r="Z153" s="103"/>
      <c r="AA153" s="146"/>
      <c r="AB153" s="1125">
        <v>0</v>
      </c>
      <c r="AC153" s="1126">
        <v>0</v>
      </c>
      <c r="AD153" s="1126">
        <v>0</v>
      </c>
      <c r="AE153" s="1126">
        <v>1</v>
      </c>
      <c r="AF153" s="1126">
        <v>1</v>
      </c>
      <c r="AG153" s="1126">
        <v>1</v>
      </c>
      <c r="AH153" s="1126">
        <v>2</v>
      </c>
      <c r="AI153" s="1126">
        <v>3</v>
      </c>
      <c r="AJ153" s="1126">
        <v>0</v>
      </c>
      <c r="AK153" s="1126">
        <v>0</v>
      </c>
      <c r="AL153" s="1126">
        <v>1</v>
      </c>
      <c r="AM153" s="1144">
        <v>1</v>
      </c>
      <c r="AN153" s="1129">
        <v>0</v>
      </c>
      <c r="AO153" s="1129">
        <v>0</v>
      </c>
      <c r="AP153" s="535"/>
      <c r="AQ153" s="535"/>
      <c r="AR153" s="535"/>
      <c r="AS153" s="535"/>
      <c r="AT153" s="535"/>
      <c r="AU153" s="535"/>
      <c r="AV153" s="535"/>
      <c r="AW153" s="103"/>
      <c r="AX153" s="103"/>
      <c r="AY153" s="146"/>
      <c r="AZ153" s="438"/>
      <c r="BA153" s="441">
        <f t="shared" si="36"/>
        <v>1.6666666666666667</v>
      </c>
      <c r="BB153" s="277">
        <f t="shared" si="37"/>
        <v>2</v>
      </c>
      <c r="BC153" s="420">
        <f t="shared" si="33"/>
        <v>1.4285714285714286</v>
      </c>
    </row>
    <row r="154" spans="1:55" ht="16">
      <c r="A154" s="93"/>
      <c r="B154" s="100" t="s">
        <v>217</v>
      </c>
      <c r="C154" s="99" t="s">
        <v>153</v>
      </c>
      <c r="D154" s="125" t="s">
        <v>124</v>
      </c>
      <c r="E154" s="103" t="s">
        <v>124</v>
      </c>
      <c r="F154" s="103" t="s">
        <v>124</v>
      </c>
      <c r="G154" s="103" t="s">
        <v>156</v>
      </c>
      <c r="H154" s="103" t="s">
        <v>156</v>
      </c>
      <c r="I154" s="103" t="s">
        <v>156</v>
      </c>
      <c r="J154" s="103" t="s">
        <v>156</v>
      </c>
      <c r="K154" s="103" t="s">
        <v>156</v>
      </c>
      <c r="L154" s="103" t="s">
        <v>156</v>
      </c>
      <c r="M154" s="103" t="s">
        <v>156</v>
      </c>
      <c r="N154" s="103" t="s">
        <v>156</v>
      </c>
      <c r="O154" s="126" t="s">
        <v>156</v>
      </c>
      <c r="P154" s="114">
        <v>1</v>
      </c>
      <c r="Q154" s="103" t="s">
        <v>156</v>
      </c>
      <c r="R154" s="103" t="s">
        <v>157</v>
      </c>
      <c r="S154" s="103">
        <v>2</v>
      </c>
      <c r="T154" s="103" t="s">
        <v>157</v>
      </c>
      <c r="U154" s="103">
        <v>1</v>
      </c>
      <c r="V154" s="103" t="s">
        <v>169</v>
      </c>
      <c r="W154" s="103">
        <v>1</v>
      </c>
      <c r="X154" s="103" t="s">
        <v>156</v>
      </c>
      <c r="Y154" s="103">
        <v>2</v>
      </c>
      <c r="Z154" s="103"/>
      <c r="AA154" s="146"/>
      <c r="AB154" s="1125">
        <v>0</v>
      </c>
      <c r="AC154" s="1126">
        <v>1</v>
      </c>
      <c r="AD154" s="1126">
        <v>0</v>
      </c>
      <c r="AE154" s="1126">
        <v>1</v>
      </c>
      <c r="AF154" s="1126">
        <v>0</v>
      </c>
      <c r="AG154" s="1126">
        <v>0</v>
      </c>
      <c r="AH154" s="1126">
        <v>2</v>
      </c>
      <c r="AI154" s="1126">
        <v>0</v>
      </c>
      <c r="AJ154" s="1126">
        <v>1</v>
      </c>
      <c r="AK154" s="1126">
        <v>0</v>
      </c>
      <c r="AL154" s="1126">
        <v>0</v>
      </c>
      <c r="AM154" s="1144">
        <v>0</v>
      </c>
      <c r="AN154" s="1129">
        <f>+SUM(AN155:AN157)</f>
        <v>2</v>
      </c>
      <c r="AO154" s="1129">
        <f>+SUM(AO155:AO157)</f>
        <v>1</v>
      </c>
      <c r="AP154" s="535"/>
      <c r="AQ154" s="535"/>
      <c r="AR154" s="535"/>
      <c r="AS154" s="535"/>
      <c r="AT154" s="535"/>
      <c r="AU154" s="535"/>
      <c r="AV154" s="535"/>
      <c r="AW154" s="103"/>
      <c r="AX154" s="103"/>
      <c r="AY154" s="146"/>
      <c r="AZ154" s="438"/>
      <c r="BA154" s="441" t="str">
        <f t="shared" si="36"/>
        <v>-</v>
      </c>
      <c r="BB154" s="277">
        <f t="shared" si="37"/>
        <v>1.4</v>
      </c>
      <c r="BC154" s="420">
        <f t="shared" si="33"/>
        <v>1.25</v>
      </c>
    </row>
    <row r="155" spans="1:55" ht="16" hidden="1" outlineLevel="1">
      <c r="A155" s="93"/>
      <c r="B155" s="100" t="s">
        <v>220</v>
      </c>
      <c r="C155" s="99" t="s">
        <v>153</v>
      </c>
      <c r="D155" s="125"/>
      <c r="E155" s="103"/>
      <c r="F155" s="103"/>
      <c r="G155" s="103"/>
      <c r="H155" s="103"/>
      <c r="I155" s="103"/>
      <c r="J155" s="103"/>
      <c r="K155" s="103"/>
      <c r="L155" s="103"/>
      <c r="M155" s="103"/>
      <c r="N155" s="103"/>
      <c r="O155" s="126"/>
      <c r="P155" s="114"/>
      <c r="Q155" s="103"/>
      <c r="R155" s="103"/>
      <c r="S155" s="103"/>
      <c r="T155" s="103"/>
      <c r="U155" s="103"/>
      <c r="V155" s="103"/>
      <c r="W155" s="103"/>
      <c r="X155" s="103"/>
      <c r="Y155" s="103"/>
      <c r="Z155" s="103"/>
      <c r="AA155" s="146"/>
      <c r="AB155" s="1125"/>
      <c r="AC155" s="1126"/>
      <c r="AD155" s="1126"/>
      <c r="AE155" s="1126">
        <v>1</v>
      </c>
      <c r="AF155" s="1126"/>
      <c r="AG155" s="1126"/>
      <c r="AH155" s="1126">
        <v>1</v>
      </c>
      <c r="AI155" s="1126"/>
      <c r="AJ155" s="1126"/>
      <c r="AK155" s="1126">
        <v>0</v>
      </c>
      <c r="AL155" s="1126"/>
      <c r="AM155" s="1144">
        <v>0</v>
      </c>
      <c r="AN155" s="1129"/>
      <c r="AO155" s="1129">
        <v>0</v>
      </c>
      <c r="AP155" s="535"/>
      <c r="AQ155" s="535"/>
      <c r="AR155" s="535"/>
      <c r="AS155" s="535"/>
      <c r="AT155" s="535"/>
      <c r="AU155" s="535"/>
      <c r="AV155" s="535"/>
      <c r="AW155" s="103"/>
      <c r="AX155" s="103"/>
      <c r="AY155" s="146"/>
      <c r="AZ155" s="438"/>
      <c r="BA155" s="441"/>
      <c r="BB155" s="277"/>
      <c r="BC155" s="420"/>
    </row>
    <row r="156" spans="1:55" ht="16" hidden="1" outlineLevel="1">
      <c r="A156" s="93"/>
      <c r="B156" s="100" t="s">
        <v>222</v>
      </c>
      <c r="C156" s="99" t="s">
        <v>153</v>
      </c>
      <c r="D156" s="125"/>
      <c r="E156" s="103"/>
      <c r="F156" s="103"/>
      <c r="G156" s="103"/>
      <c r="H156" s="103"/>
      <c r="I156" s="103"/>
      <c r="J156" s="103"/>
      <c r="K156" s="103"/>
      <c r="L156" s="103"/>
      <c r="M156" s="103"/>
      <c r="N156" s="103"/>
      <c r="O156" s="126"/>
      <c r="P156" s="114"/>
      <c r="Q156" s="103"/>
      <c r="R156" s="103"/>
      <c r="S156" s="103"/>
      <c r="T156" s="103"/>
      <c r="U156" s="103"/>
      <c r="V156" s="103"/>
      <c r="W156" s="103"/>
      <c r="X156" s="103"/>
      <c r="Y156" s="103"/>
      <c r="Z156" s="103"/>
      <c r="AA156" s="146"/>
      <c r="AB156" s="1125"/>
      <c r="AC156" s="1126">
        <v>1</v>
      </c>
      <c r="AD156" s="1126"/>
      <c r="AE156" s="1126"/>
      <c r="AF156" s="1126"/>
      <c r="AG156" s="1126"/>
      <c r="AH156" s="1126"/>
      <c r="AI156" s="1126"/>
      <c r="AJ156" s="1126"/>
      <c r="AK156" s="1126">
        <v>0</v>
      </c>
      <c r="AL156" s="1126"/>
      <c r="AM156" s="1144">
        <v>0</v>
      </c>
      <c r="AN156" s="1129">
        <v>2</v>
      </c>
      <c r="AO156" s="1129">
        <v>0</v>
      </c>
      <c r="AP156" s="535"/>
      <c r="AQ156" s="535"/>
      <c r="AR156" s="535"/>
      <c r="AS156" s="535"/>
      <c r="AT156" s="535"/>
      <c r="AU156" s="535"/>
      <c r="AV156" s="535"/>
      <c r="AW156" s="103"/>
      <c r="AX156" s="103"/>
      <c r="AY156" s="146"/>
      <c r="AZ156" s="438"/>
      <c r="BA156" s="441"/>
      <c r="BB156" s="277"/>
      <c r="BC156" s="420"/>
    </row>
    <row r="157" spans="1:55" ht="16" hidden="1" outlineLevel="1">
      <c r="A157" s="93"/>
      <c r="B157" s="100" t="s">
        <v>224</v>
      </c>
      <c r="C157" s="99" t="s">
        <v>153</v>
      </c>
      <c r="D157" s="125"/>
      <c r="E157" s="103"/>
      <c r="F157" s="103"/>
      <c r="G157" s="103"/>
      <c r="H157" s="103"/>
      <c r="I157" s="103"/>
      <c r="J157" s="103"/>
      <c r="K157" s="103"/>
      <c r="L157" s="103"/>
      <c r="M157" s="103"/>
      <c r="N157" s="103"/>
      <c r="O157" s="126"/>
      <c r="P157" s="114"/>
      <c r="Q157" s="103"/>
      <c r="R157" s="103"/>
      <c r="S157" s="103"/>
      <c r="T157" s="103"/>
      <c r="U157" s="103"/>
      <c r="V157" s="103"/>
      <c r="W157" s="103"/>
      <c r="X157" s="103"/>
      <c r="Y157" s="103"/>
      <c r="Z157" s="103"/>
      <c r="AA157" s="146"/>
      <c r="AB157" s="1125"/>
      <c r="AC157" s="1126"/>
      <c r="AD157" s="1126"/>
      <c r="AE157" s="1126"/>
      <c r="AF157" s="1126"/>
      <c r="AG157" s="1126"/>
      <c r="AH157" s="1126">
        <v>1</v>
      </c>
      <c r="AI157" s="1126"/>
      <c r="AJ157" s="1126">
        <v>1</v>
      </c>
      <c r="AK157" s="1126">
        <v>0</v>
      </c>
      <c r="AL157" s="1126"/>
      <c r="AM157" s="1144">
        <v>0</v>
      </c>
      <c r="AN157" s="1129"/>
      <c r="AO157" s="1129">
        <v>1</v>
      </c>
      <c r="AP157" s="535"/>
      <c r="AQ157" s="535"/>
      <c r="AR157" s="535"/>
      <c r="AS157" s="535"/>
      <c r="AT157" s="535"/>
      <c r="AU157" s="535"/>
      <c r="AV157" s="535"/>
      <c r="AW157" s="103"/>
      <c r="AX157" s="103"/>
      <c r="AY157" s="146"/>
      <c r="AZ157" s="438"/>
      <c r="BA157" s="441"/>
      <c r="BB157" s="277"/>
      <c r="BC157" s="420"/>
    </row>
    <row r="158" spans="1:55" ht="16" collapsed="1">
      <c r="A158" s="93"/>
      <c r="B158" s="100" t="s">
        <v>234</v>
      </c>
      <c r="C158" s="99" t="s">
        <v>153</v>
      </c>
      <c r="D158" s="125" t="s">
        <v>124</v>
      </c>
      <c r="E158" s="103" t="s">
        <v>124</v>
      </c>
      <c r="F158" s="103" t="s">
        <v>124</v>
      </c>
      <c r="G158" s="103" t="s">
        <v>156</v>
      </c>
      <c r="H158" s="103">
        <v>2</v>
      </c>
      <c r="I158" s="103">
        <v>1</v>
      </c>
      <c r="J158" s="103" t="s">
        <v>156</v>
      </c>
      <c r="K158" s="103">
        <v>1</v>
      </c>
      <c r="L158" s="103" t="s">
        <v>156</v>
      </c>
      <c r="M158" s="103">
        <v>1</v>
      </c>
      <c r="N158" s="103">
        <v>1</v>
      </c>
      <c r="O158" s="126" t="s">
        <v>156</v>
      </c>
      <c r="P158" s="114" t="s">
        <v>156</v>
      </c>
      <c r="Q158" s="103" t="s">
        <v>156</v>
      </c>
      <c r="R158" s="103" t="s">
        <v>157</v>
      </c>
      <c r="S158" s="103">
        <v>1</v>
      </c>
      <c r="T158" s="103" t="s">
        <v>157</v>
      </c>
      <c r="U158" s="103" t="s">
        <v>156</v>
      </c>
      <c r="V158" s="103" t="s">
        <v>169</v>
      </c>
      <c r="W158" s="103" t="s">
        <v>156</v>
      </c>
      <c r="X158" s="103" t="s">
        <v>156</v>
      </c>
      <c r="Y158" s="103" t="s">
        <v>167</v>
      </c>
      <c r="Z158" s="103">
        <v>1</v>
      </c>
      <c r="AA158" s="146" t="s">
        <v>157</v>
      </c>
      <c r="AB158" s="1125">
        <v>1</v>
      </c>
      <c r="AC158" s="1126">
        <v>0</v>
      </c>
      <c r="AD158" s="1126">
        <v>0</v>
      </c>
      <c r="AE158" s="1126">
        <v>0</v>
      </c>
      <c r="AF158" s="1126">
        <v>0</v>
      </c>
      <c r="AG158" s="1126">
        <v>0</v>
      </c>
      <c r="AH158" s="1126">
        <v>0</v>
      </c>
      <c r="AI158" s="1126">
        <v>0</v>
      </c>
      <c r="AJ158" s="1126">
        <v>2</v>
      </c>
      <c r="AK158" s="1126">
        <v>2</v>
      </c>
      <c r="AL158" s="1126">
        <v>5</v>
      </c>
      <c r="AM158" s="1144">
        <v>3</v>
      </c>
      <c r="AN158" s="1129">
        <v>0</v>
      </c>
      <c r="AO158" s="1129">
        <v>2</v>
      </c>
      <c r="AP158" s="535"/>
      <c r="AQ158" s="535"/>
      <c r="AR158" s="535"/>
      <c r="AS158" s="535"/>
      <c r="AT158" s="535"/>
      <c r="AU158" s="535"/>
      <c r="AV158" s="535"/>
      <c r="AW158" s="103"/>
      <c r="AX158" s="103"/>
      <c r="AY158" s="146"/>
      <c r="AZ158" s="438"/>
      <c r="BA158" s="441">
        <f t="shared" si="36"/>
        <v>1.2</v>
      </c>
      <c r="BB158" s="277">
        <f t="shared" si="37"/>
        <v>1</v>
      </c>
      <c r="BC158" s="420">
        <f t="shared" si="33"/>
        <v>2.6</v>
      </c>
    </row>
    <row r="159" spans="1:55" ht="16">
      <c r="A159" s="93"/>
      <c r="B159" s="100" t="s">
        <v>259</v>
      </c>
      <c r="C159" s="99" t="s">
        <v>153</v>
      </c>
      <c r="D159" s="125" t="s">
        <v>124</v>
      </c>
      <c r="E159" s="103" t="s">
        <v>124</v>
      </c>
      <c r="F159" s="103" t="s">
        <v>124</v>
      </c>
      <c r="G159" s="103" t="s">
        <v>156</v>
      </c>
      <c r="H159" s="103">
        <v>1</v>
      </c>
      <c r="I159" s="103" t="s">
        <v>156</v>
      </c>
      <c r="J159" s="103" t="s">
        <v>156</v>
      </c>
      <c r="K159" s="103" t="s">
        <v>156</v>
      </c>
      <c r="L159" s="103" t="s">
        <v>156</v>
      </c>
      <c r="M159" s="103">
        <v>1</v>
      </c>
      <c r="N159" s="103"/>
      <c r="O159" s="126"/>
      <c r="P159" s="114"/>
      <c r="Q159" s="103"/>
      <c r="R159" s="103"/>
      <c r="S159" s="103"/>
      <c r="T159" s="103"/>
      <c r="U159" s="103"/>
      <c r="V159" s="103"/>
      <c r="W159" s="103"/>
      <c r="X159" s="103"/>
      <c r="Y159" s="103"/>
      <c r="Z159" s="103"/>
      <c r="AA159" s="146"/>
      <c r="AB159" s="1125">
        <v>0</v>
      </c>
      <c r="AC159" s="1126">
        <v>0</v>
      </c>
      <c r="AD159" s="1126">
        <v>0</v>
      </c>
      <c r="AE159" s="1126">
        <v>0</v>
      </c>
      <c r="AF159" s="1126">
        <v>0</v>
      </c>
      <c r="AG159" s="1126">
        <v>0</v>
      </c>
      <c r="AH159" s="1126">
        <v>0</v>
      </c>
      <c r="AI159" s="1126">
        <v>0</v>
      </c>
      <c r="AJ159" s="1126">
        <v>0</v>
      </c>
      <c r="AK159" s="1126">
        <v>0</v>
      </c>
      <c r="AL159" s="1126">
        <v>0</v>
      </c>
      <c r="AM159" s="1144">
        <v>0</v>
      </c>
      <c r="AN159" s="1129">
        <v>0</v>
      </c>
      <c r="AO159" s="1129">
        <v>0</v>
      </c>
      <c r="AP159" s="535"/>
      <c r="AQ159" s="535"/>
      <c r="AR159" s="535"/>
      <c r="AS159" s="535"/>
      <c r="AT159" s="535"/>
      <c r="AU159" s="535"/>
      <c r="AV159" s="535"/>
      <c r="AW159" s="103"/>
      <c r="AX159" s="103"/>
      <c r="AY159" s="146"/>
      <c r="AZ159" s="438"/>
      <c r="BA159" s="441">
        <f t="shared" si="36"/>
        <v>1</v>
      </c>
      <c r="BB159" s="277" t="str">
        <f t="shared" si="37"/>
        <v>-</v>
      </c>
      <c r="BC159" s="420" t="str">
        <f t="shared" si="33"/>
        <v>-</v>
      </c>
    </row>
    <row r="160" spans="1:55" ht="16">
      <c r="A160" s="93"/>
      <c r="B160" s="100" t="s">
        <v>264</v>
      </c>
      <c r="C160" s="99" t="s">
        <v>153</v>
      </c>
      <c r="D160" s="125" t="s">
        <v>124</v>
      </c>
      <c r="E160" s="103" t="s">
        <v>124</v>
      </c>
      <c r="F160" s="103" t="s">
        <v>124</v>
      </c>
      <c r="G160" s="103" t="s">
        <v>156</v>
      </c>
      <c r="H160" s="103" t="s">
        <v>156</v>
      </c>
      <c r="I160" s="103" t="s">
        <v>156</v>
      </c>
      <c r="J160" s="103" t="s">
        <v>156</v>
      </c>
      <c r="K160" s="103" t="s">
        <v>156</v>
      </c>
      <c r="L160" s="103" t="s">
        <v>156</v>
      </c>
      <c r="M160" s="103" t="s">
        <v>156</v>
      </c>
      <c r="N160" s="103">
        <v>1</v>
      </c>
      <c r="O160" s="126"/>
      <c r="P160" s="114"/>
      <c r="Q160" s="103"/>
      <c r="R160" s="103"/>
      <c r="S160" s="103"/>
      <c r="T160" s="103"/>
      <c r="U160" s="103"/>
      <c r="V160" s="103"/>
      <c r="W160" s="103"/>
      <c r="X160" s="103"/>
      <c r="Y160" s="103"/>
      <c r="Z160" s="103"/>
      <c r="AA160" s="146"/>
      <c r="AB160" s="1125">
        <v>0</v>
      </c>
      <c r="AC160" s="1126">
        <v>0</v>
      </c>
      <c r="AD160" s="1126">
        <v>0</v>
      </c>
      <c r="AE160" s="1126">
        <v>0</v>
      </c>
      <c r="AF160" s="1126">
        <v>1</v>
      </c>
      <c r="AG160" s="1126">
        <v>0</v>
      </c>
      <c r="AH160" s="1126">
        <v>0</v>
      </c>
      <c r="AI160" s="1126">
        <v>0</v>
      </c>
      <c r="AJ160" s="1126">
        <v>0</v>
      </c>
      <c r="AK160" s="1126">
        <v>0</v>
      </c>
      <c r="AL160" s="1126">
        <v>0</v>
      </c>
      <c r="AM160" s="1144">
        <v>0</v>
      </c>
      <c r="AN160" s="1129">
        <v>0</v>
      </c>
      <c r="AO160" s="1129">
        <v>0</v>
      </c>
      <c r="AP160" s="535"/>
      <c r="AQ160" s="535"/>
      <c r="AR160" s="535"/>
      <c r="AS160" s="535"/>
      <c r="AT160" s="535"/>
      <c r="AU160" s="535"/>
      <c r="AV160" s="535"/>
      <c r="AW160" s="103"/>
      <c r="AX160" s="103"/>
      <c r="AY160" s="146"/>
      <c r="AZ160" s="438"/>
      <c r="BA160" s="441">
        <f t="shared" si="36"/>
        <v>1</v>
      </c>
      <c r="BB160" s="277" t="str">
        <f t="shared" si="37"/>
        <v>-</v>
      </c>
      <c r="BC160" s="420">
        <f t="shared" si="33"/>
        <v>1</v>
      </c>
    </row>
    <row r="161" spans="1:55" ht="16">
      <c r="A161" s="93"/>
      <c r="B161" s="100" t="s">
        <v>260</v>
      </c>
      <c r="C161" s="99" t="s">
        <v>153</v>
      </c>
      <c r="D161" s="125" t="s">
        <v>124</v>
      </c>
      <c r="E161" s="103" t="s">
        <v>124</v>
      </c>
      <c r="F161" s="103" t="s">
        <v>124</v>
      </c>
      <c r="G161" s="103" t="s">
        <v>124</v>
      </c>
      <c r="H161" s="103" t="s">
        <v>124</v>
      </c>
      <c r="I161" s="103" t="s">
        <v>124</v>
      </c>
      <c r="J161" s="103" t="s">
        <v>124</v>
      </c>
      <c r="K161" s="103" t="s">
        <v>124</v>
      </c>
      <c r="L161" s="103" t="s">
        <v>124</v>
      </c>
      <c r="M161" s="103" t="s">
        <v>124</v>
      </c>
      <c r="N161" s="103" t="s">
        <v>124</v>
      </c>
      <c r="O161" s="126" t="s">
        <v>124</v>
      </c>
      <c r="P161" s="114"/>
      <c r="Q161" s="103"/>
      <c r="R161" s="103"/>
      <c r="S161" s="103"/>
      <c r="T161" s="103"/>
      <c r="U161" s="103"/>
      <c r="V161" s="103"/>
      <c r="W161" s="103"/>
      <c r="X161" s="103"/>
      <c r="Y161" s="103"/>
      <c r="Z161" s="103"/>
      <c r="AA161" s="146"/>
      <c r="AB161" s="1125">
        <v>1</v>
      </c>
      <c r="AC161" s="1126">
        <v>0</v>
      </c>
      <c r="AD161" s="1126">
        <v>0</v>
      </c>
      <c r="AE161" s="1126">
        <v>1</v>
      </c>
      <c r="AF161" s="1126">
        <v>0</v>
      </c>
      <c r="AG161" s="1126">
        <v>0</v>
      </c>
      <c r="AH161" s="1126">
        <v>0</v>
      </c>
      <c r="AI161" s="1126">
        <v>0</v>
      </c>
      <c r="AJ161" s="1126">
        <v>0</v>
      </c>
      <c r="AK161" s="1126">
        <v>1</v>
      </c>
      <c r="AL161" s="1126">
        <v>0</v>
      </c>
      <c r="AM161" s="1144">
        <v>0</v>
      </c>
      <c r="AN161" s="1129">
        <v>0</v>
      </c>
      <c r="AO161" s="1129">
        <v>0</v>
      </c>
      <c r="AP161" s="535"/>
      <c r="AQ161" s="535"/>
      <c r="AR161" s="535"/>
      <c r="AS161" s="535"/>
      <c r="AT161" s="535"/>
      <c r="AU161" s="535"/>
      <c r="AV161" s="535"/>
      <c r="AW161" s="103"/>
      <c r="AX161" s="103"/>
      <c r="AY161" s="146"/>
      <c r="AZ161" s="438"/>
      <c r="BA161" s="441" t="str">
        <f t="shared" si="36"/>
        <v>-</v>
      </c>
      <c r="BB161" s="277" t="str">
        <f t="shared" si="37"/>
        <v>-</v>
      </c>
      <c r="BC161" s="420">
        <f t="shared" si="33"/>
        <v>1</v>
      </c>
    </row>
    <row r="162" spans="1:55" ht="16">
      <c r="A162" s="94" t="s">
        <v>124</v>
      </c>
      <c r="B162" s="101" t="s">
        <v>265</v>
      </c>
      <c r="C162" s="393" t="s">
        <v>153</v>
      </c>
      <c r="D162" s="165" t="s">
        <v>124</v>
      </c>
      <c r="E162" s="142" t="s">
        <v>124</v>
      </c>
      <c r="F162" s="142" t="s">
        <v>124</v>
      </c>
      <c r="G162" s="142" t="s">
        <v>156</v>
      </c>
      <c r="H162" s="142" t="s">
        <v>156</v>
      </c>
      <c r="I162" s="142" t="s">
        <v>156</v>
      </c>
      <c r="J162" s="142" t="s">
        <v>156</v>
      </c>
      <c r="K162" s="142" t="s">
        <v>156</v>
      </c>
      <c r="L162" s="142" t="s">
        <v>156</v>
      </c>
      <c r="M162" s="142" t="s">
        <v>156</v>
      </c>
      <c r="N162" s="142" t="s">
        <v>156</v>
      </c>
      <c r="O162" s="143" t="s">
        <v>156</v>
      </c>
      <c r="P162" s="144" t="s">
        <v>156</v>
      </c>
      <c r="Q162" s="142">
        <v>1</v>
      </c>
      <c r="R162" s="142"/>
      <c r="S162" s="142"/>
      <c r="T162" s="142"/>
      <c r="U162" s="142"/>
      <c r="V162" s="142"/>
      <c r="W162" s="142"/>
      <c r="X162" s="142"/>
      <c r="Y162" s="142"/>
      <c r="Z162" s="142"/>
      <c r="AA162" s="1037"/>
      <c r="AB162" s="1137">
        <v>0</v>
      </c>
      <c r="AC162" s="1138">
        <v>0</v>
      </c>
      <c r="AD162" s="1138">
        <v>0</v>
      </c>
      <c r="AE162" s="1138">
        <v>0</v>
      </c>
      <c r="AF162" s="1138">
        <v>0</v>
      </c>
      <c r="AG162" s="1138">
        <v>0</v>
      </c>
      <c r="AH162" s="1138">
        <v>0</v>
      </c>
      <c r="AI162" s="1138">
        <v>0</v>
      </c>
      <c r="AJ162" s="1138">
        <v>0</v>
      </c>
      <c r="AK162" s="1138">
        <v>0</v>
      </c>
      <c r="AL162" s="1138">
        <v>0</v>
      </c>
      <c r="AM162" s="1146">
        <v>0</v>
      </c>
      <c r="AN162" s="1143">
        <v>0</v>
      </c>
      <c r="AO162" s="1143">
        <v>0</v>
      </c>
      <c r="AP162" s="655"/>
      <c r="AQ162" s="655"/>
      <c r="AR162" s="655"/>
      <c r="AS162" s="655"/>
      <c r="AT162" s="655"/>
      <c r="AU162" s="655"/>
      <c r="AV162" s="655"/>
      <c r="AW162" s="142"/>
      <c r="AX162" s="142"/>
      <c r="AY162" s="146"/>
      <c r="AZ162" s="438" t="s">
        <v>124</v>
      </c>
      <c r="BA162" s="518" t="str">
        <f t="shared" si="36"/>
        <v>-</v>
      </c>
      <c r="BB162" s="519">
        <f t="shared" si="37"/>
        <v>1</v>
      </c>
      <c r="BC162" s="520" t="str">
        <f t="shared" si="33"/>
        <v>-</v>
      </c>
    </row>
    <row r="163" spans="1:55" ht="16">
      <c r="A163" s="92"/>
      <c r="B163" s="98" t="s">
        <v>266</v>
      </c>
      <c r="C163" s="99" t="s">
        <v>153</v>
      </c>
      <c r="D163" s="168" t="s">
        <v>124</v>
      </c>
      <c r="E163" s="169" t="s">
        <v>124</v>
      </c>
      <c r="F163" s="169" t="s">
        <v>124</v>
      </c>
      <c r="G163" s="169">
        <f t="shared" ref="G163:AK163" si="45">+SUM(G164:G168)</f>
        <v>4</v>
      </c>
      <c r="H163" s="169">
        <f t="shared" si="45"/>
        <v>1</v>
      </c>
      <c r="I163" s="169">
        <f t="shared" si="45"/>
        <v>0</v>
      </c>
      <c r="J163" s="169">
        <f t="shared" si="45"/>
        <v>3</v>
      </c>
      <c r="K163" s="169">
        <f t="shared" si="45"/>
        <v>1</v>
      </c>
      <c r="L163" s="169">
        <f t="shared" si="45"/>
        <v>5</v>
      </c>
      <c r="M163" s="169">
        <f t="shared" si="45"/>
        <v>1</v>
      </c>
      <c r="N163" s="169">
        <f t="shared" si="45"/>
        <v>2</v>
      </c>
      <c r="O163" s="170">
        <f t="shared" si="45"/>
        <v>0</v>
      </c>
      <c r="P163" s="171">
        <f t="shared" si="45"/>
        <v>1</v>
      </c>
      <c r="Q163" s="169">
        <f t="shared" si="45"/>
        <v>0</v>
      </c>
      <c r="R163" s="169">
        <f t="shared" si="45"/>
        <v>1</v>
      </c>
      <c r="S163" s="169">
        <f t="shared" si="45"/>
        <v>3</v>
      </c>
      <c r="T163" s="169">
        <f t="shared" si="45"/>
        <v>2</v>
      </c>
      <c r="U163" s="169">
        <f t="shared" si="45"/>
        <v>1</v>
      </c>
      <c r="V163" s="169">
        <f t="shared" si="45"/>
        <v>0</v>
      </c>
      <c r="W163" s="169">
        <f t="shared" si="45"/>
        <v>0</v>
      </c>
      <c r="X163" s="169">
        <f t="shared" si="45"/>
        <v>2</v>
      </c>
      <c r="Y163" s="169">
        <f t="shared" si="45"/>
        <v>1</v>
      </c>
      <c r="Z163" s="169">
        <f t="shared" si="45"/>
        <v>1</v>
      </c>
      <c r="AA163" s="315">
        <f t="shared" si="45"/>
        <v>1</v>
      </c>
      <c r="AB163" s="1158">
        <f t="shared" si="45"/>
        <v>0</v>
      </c>
      <c r="AC163" s="1159">
        <f t="shared" si="45"/>
        <v>0</v>
      </c>
      <c r="AD163" s="1159">
        <f t="shared" si="45"/>
        <v>1</v>
      </c>
      <c r="AE163" s="1159">
        <f t="shared" si="45"/>
        <v>0</v>
      </c>
      <c r="AF163" s="1159">
        <f t="shared" si="45"/>
        <v>0</v>
      </c>
      <c r="AG163" s="1159">
        <f t="shared" si="45"/>
        <v>0</v>
      </c>
      <c r="AH163" s="1159">
        <f t="shared" si="45"/>
        <v>0</v>
      </c>
      <c r="AI163" s="1159">
        <f t="shared" si="45"/>
        <v>0</v>
      </c>
      <c r="AJ163" s="1159">
        <f t="shared" si="45"/>
        <v>3</v>
      </c>
      <c r="AK163" s="1159">
        <f t="shared" si="45"/>
        <v>0</v>
      </c>
      <c r="AL163" s="1159">
        <v>0</v>
      </c>
      <c r="AM163" s="1160">
        <v>0</v>
      </c>
      <c r="AN163" s="1157">
        <v>0</v>
      </c>
      <c r="AO163" s="1157">
        <v>0</v>
      </c>
      <c r="AP163" s="169"/>
      <c r="AQ163" s="169"/>
      <c r="AR163" s="169"/>
      <c r="AS163" s="169"/>
      <c r="AT163" s="169"/>
      <c r="AU163" s="169"/>
      <c r="AV163" s="169"/>
      <c r="AW163" s="169"/>
      <c r="AX163" s="169"/>
      <c r="AY163" s="169"/>
      <c r="AZ163" s="437"/>
      <c r="BA163" s="452">
        <f t="shared" si="36"/>
        <v>1.8888888888888888</v>
      </c>
      <c r="BB163" s="317">
        <f t="shared" si="37"/>
        <v>1.0833333333333333</v>
      </c>
      <c r="BC163" s="431">
        <f t="shared" si="33"/>
        <v>2</v>
      </c>
    </row>
    <row r="164" spans="1:55" ht="16">
      <c r="A164" s="93"/>
      <c r="B164" s="100" t="s">
        <v>213</v>
      </c>
      <c r="C164" s="99" t="s">
        <v>153</v>
      </c>
      <c r="D164" s="125" t="s">
        <v>124</v>
      </c>
      <c r="E164" s="103" t="s">
        <v>124</v>
      </c>
      <c r="F164" s="103" t="s">
        <v>124</v>
      </c>
      <c r="G164" s="103">
        <v>4</v>
      </c>
      <c r="H164" s="103">
        <v>1</v>
      </c>
      <c r="I164" s="103" t="s">
        <v>156</v>
      </c>
      <c r="J164" s="103">
        <v>3</v>
      </c>
      <c r="K164" s="103">
        <v>1</v>
      </c>
      <c r="L164" s="103">
        <v>4</v>
      </c>
      <c r="M164" s="103">
        <v>1</v>
      </c>
      <c r="N164" s="103">
        <v>1</v>
      </c>
      <c r="O164" s="126" t="s">
        <v>156</v>
      </c>
      <c r="P164" s="114">
        <v>1</v>
      </c>
      <c r="Q164" s="103" t="s">
        <v>156</v>
      </c>
      <c r="R164" s="103">
        <v>1</v>
      </c>
      <c r="S164" s="103">
        <v>3</v>
      </c>
      <c r="T164" s="103" t="s">
        <v>157</v>
      </c>
      <c r="U164" s="103" t="s">
        <v>156</v>
      </c>
      <c r="V164" s="103" t="s">
        <v>169</v>
      </c>
      <c r="W164" s="103" t="s">
        <v>156</v>
      </c>
      <c r="X164" s="103">
        <v>2</v>
      </c>
      <c r="Y164" s="103" t="s">
        <v>167</v>
      </c>
      <c r="Z164" s="103">
        <v>1</v>
      </c>
      <c r="AA164" s="146">
        <v>1</v>
      </c>
      <c r="AB164" s="1125">
        <v>0</v>
      </c>
      <c r="AC164" s="1126">
        <v>0</v>
      </c>
      <c r="AD164" s="1126">
        <v>1</v>
      </c>
      <c r="AE164" s="1126">
        <v>0</v>
      </c>
      <c r="AF164" s="1126">
        <v>0</v>
      </c>
      <c r="AG164" s="1126">
        <v>0</v>
      </c>
      <c r="AH164" s="1126">
        <v>0</v>
      </c>
      <c r="AI164" s="1126">
        <v>0</v>
      </c>
      <c r="AJ164" s="1126">
        <v>3</v>
      </c>
      <c r="AK164" s="1126">
        <v>0</v>
      </c>
      <c r="AL164" s="1126">
        <v>0</v>
      </c>
      <c r="AM164" s="1144">
        <v>0</v>
      </c>
      <c r="AN164" s="1129">
        <v>0</v>
      </c>
      <c r="AO164" s="1144">
        <v>0</v>
      </c>
      <c r="AP164" s="103"/>
      <c r="AQ164" s="103"/>
      <c r="AR164" s="103"/>
      <c r="AS164" s="103"/>
      <c r="AT164" s="103"/>
      <c r="AU164" s="103"/>
      <c r="AV164" s="103"/>
      <c r="AW164" s="103"/>
      <c r="AX164" s="103"/>
      <c r="AY164" s="103"/>
      <c r="AZ164" s="438"/>
      <c r="BA164" s="441">
        <f t="shared" si="36"/>
        <v>2.1428571428571428</v>
      </c>
      <c r="BB164" s="277">
        <f t="shared" si="37"/>
        <v>1.5</v>
      </c>
      <c r="BC164" s="420">
        <f t="shared" si="33"/>
        <v>2</v>
      </c>
    </row>
    <row r="165" spans="1:55" ht="16">
      <c r="A165" s="93"/>
      <c r="B165" s="100" t="s">
        <v>217</v>
      </c>
      <c r="C165" s="99" t="s">
        <v>153</v>
      </c>
      <c r="D165" s="125" t="s">
        <v>124</v>
      </c>
      <c r="E165" s="103" t="s">
        <v>124</v>
      </c>
      <c r="F165" s="103" t="s">
        <v>124</v>
      </c>
      <c r="G165" s="103" t="s">
        <v>156</v>
      </c>
      <c r="H165" s="103" t="s">
        <v>156</v>
      </c>
      <c r="I165" s="103" t="s">
        <v>156</v>
      </c>
      <c r="J165" s="103" t="s">
        <v>156</v>
      </c>
      <c r="K165" s="103" t="s">
        <v>156</v>
      </c>
      <c r="L165" s="103" t="s">
        <v>156</v>
      </c>
      <c r="M165" s="103" t="s">
        <v>156</v>
      </c>
      <c r="N165" s="103">
        <v>1</v>
      </c>
      <c r="O165" s="126" t="s">
        <v>156</v>
      </c>
      <c r="P165" s="114" t="s">
        <v>156</v>
      </c>
      <c r="Q165" s="103" t="s">
        <v>156</v>
      </c>
      <c r="R165" s="103" t="s">
        <v>157</v>
      </c>
      <c r="S165" s="103" t="s">
        <v>157</v>
      </c>
      <c r="T165" s="103" t="s">
        <v>157</v>
      </c>
      <c r="U165" s="103" t="s">
        <v>156</v>
      </c>
      <c r="V165" s="103" t="s">
        <v>169</v>
      </c>
      <c r="W165" s="103" t="s">
        <v>156</v>
      </c>
      <c r="X165" s="103" t="s">
        <v>156</v>
      </c>
      <c r="Y165" s="103">
        <v>1</v>
      </c>
      <c r="Z165" s="103"/>
      <c r="AA165" s="146"/>
      <c r="AB165" s="1125">
        <v>0</v>
      </c>
      <c r="AC165" s="1126">
        <v>0</v>
      </c>
      <c r="AD165" s="1126">
        <v>0</v>
      </c>
      <c r="AE165" s="1126">
        <v>0</v>
      </c>
      <c r="AF165" s="1126">
        <v>0</v>
      </c>
      <c r="AG165" s="1126">
        <v>0</v>
      </c>
      <c r="AH165" s="1126">
        <v>0</v>
      </c>
      <c r="AI165" s="1126">
        <v>0</v>
      </c>
      <c r="AJ165" s="1126">
        <v>0</v>
      </c>
      <c r="AK165" s="1126">
        <v>0</v>
      </c>
      <c r="AL165" s="1126">
        <v>0</v>
      </c>
      <c r="AM165" s="1144">
        <v>0</v>
      </c>
      <c r="AN165" s="1129">
        <v>0</v>
      </c>
      <c r="AO165" s="1144">
        <v>0</v>
      </c>
      <c r="AP165" s="103"/>
      <c r="AQ165" s="103"/>
      <c r="AR165" s="103"/>
      <c r="AS165" s="103"/>
      <c r="AT165" s="103"/>
      <c r="AU165" s="103"/>
      <c r="AV165" s="103"/>
      <c r="AW165" s="103"/>
      <c r="AX165" s="103"/>
      <c r="AY165" s="103"/>
      <c r="AZ165" s="438"/>
      <c r="BA165" s="441">
        <f t="shared" si="36"/>
        <v>1</v>
      </c>
      <c r="BB165" s="277">
        <f t="shared" si="37"/>
        <v>1</v>
      </c>
      <c r="BC165" s="420" t="str">
        <f t="shared" si="33"/>
        <v>-</v>
      </c>
    </row>
    <row r="166" spans="1:55" ht="16">
      <c r="A166" s="93"/>
      <c r="B166" s="100" t="s">
        <v>265</v>
      </c>
      <c r="C166" s="99" t="s">
        <v>153</v>
      </c>
      <c r="D166" s="125" t="s">
        <v>124</v>
      </c>
      <c r="E166" s="103" t="s">
        <v>124</v>
      </c>
      <c r="F166" s="103" t="s">
        <v>124</v>
      </c>
      <c r="G166" s="103" t="s">
        <v>156</v>
      </c>
      <c r="H166" s="103" t="s">
        <v>156</v>
      </c>
      <c r="I166" s="103" t="s">
        <v>156</v>
      </c>
      <c r="J166" s="103" t="s">
        <v>156</v>
      </c>
      <c r="K166" s="103" t="s">
        <v>156</v>
      </c>
      <c r="L166" s="103" t="s">
        <v>156</v>
      </c>
      <c r="M166" s="103" t="s">
        <v>156</v>
      </c>
      <c r="N166" s="103" t="s">
        <v>156</v>
      </c>
      <c r="O166" s="126" t="s">
        <v>156</v>
      </c>
      <c r="P166" s="114" t="s">
        <v>156</v>
      </c>
      <c r="Q166" s="103" t="s">
        <v>156</v>
      </c>
      <c r="R166" s="103" t="s">
        <v>157</v>
      </c>
      <c r="S166" s="103" t="s">
        <v>157</v>
      </c>
      <c r="T166" s="103" t="s">
        <v>157</v>
      </c>
      <c r="U166" s="103">
        <v>1</v>
      </c>
      <c r="V166" s="103"/>
      <c r="W166" s="103"/>
      <c r="X166" s="103"/>
      <c r="Y166" s="103"/>
      <c r="Z166" s="103"/>
      <c r="AA166" s="146"/>
      <c r="AB166" s="1125">
        <v>0</v>
      </c>
      <c r="AC166" s="1126">
        <v>0</v>
      </c>
      <c r="AD166" s="1126">
        <v>0</v>
      </c>
      <c r="AE166" s="1126">
        <v>0</v>
      </c>
      <c r="AF166" s="1126">
        <v>0</v>
      </c>
      <c r="AG166" s="1126">
        <v>0</v>
      </c>
      <c r="AH166" s="1126">
        <v>0</v>
      </c>
      <c r="AI166" s="1126">
        <v>0</v>
      </c>
      <c r="AJ166" s="1126">
        <v>0</v>
      </c>
      <c r="AK166" s="1126">
        <v>0</v>
      </c>
      <c r="AL166" s="1126">
        <v>0</v>
      </c>
      <c r="AM166" s="1144">
        <v>0</v>
      </c>
      <c r="AN166" s="1129">
        <v>0</v>
      </c>
      <c r="AO166" s="1144">
        <v>0</v>
      </c>
      <c r="AP166" s="103"/>
      <c r="AQ166" s="103"/>
      <c r="AR166" s="103"/>
      <c r="AS166" s="103"/>
      <c r="AT166" s="103"/>
      <c r="AU166" s="103"/>
      <c r="AV166" s="103"/>
      <c r="AW166" s="103"/>
      <c r="AX166" s="103"/>
      <c r="AY166" s="103"/>
      <c r="AZ166" s="438"/>
      <c r="BA166" s="441" t="str">
        <f t="shared" si="36"/>
        <v>-</v>
      </c>
      <c r="BB166" s="277">
        <f t="shared" si="37"/>
        <v>1</v>
      </c>
      <c r="BC166" s="420" t="str">
        <f t="shared" si="33"/>
        <v>-</v>
      </c>
    </row>
    <row r="167" spans="1:55" ht="16">
      <c r="A167" s="93"/>
      <c r="B167" s="100" t="s">
        <v>267</v>
      </c>
      <c r="C167" s="99" t="s">
        <v>153</v>
      </c>
      <c r="D167" s="125" t="s">
        <v>124</v>
      </c>
      <c r="E167" s="103" t="s">
        <v>124</v>
      </c>
      <c r="F167" s="103" t="s">
        <v>124</v>
      </c>
      <c r="G167" s="103" t="s">
        <v>156</v>
      </c>
      <c r="H167" s="103" t="s">
        <v>156</v>
      </c>
      <c r="I167" s="103" t="s">
        <v>156</v>
      </c>
      <c r="J167" s="103" t="s">
        <v>156</v>
      </c>
      <c r="K167" s="103" t="s">
        <v>156</v>
      </c>
      <c r="L167" s="103" t="s">
        <v>156</v>
      </c>
      <c r="M167" s="103" t="s">
        <v>156</v>
      </c>
      <c r="N167" s="103" t="s">
        <v>156</v>
      </c>
      <c r="O167" s="126" t="s">
        <v>156</v>
      </c>
      <c r="P167" s="114" t="s">
        <v>156</v>
      </c>
      <c r="Q167" s="103" t="s">
        <v>156</v>
      </c>
      <c r="R167" s="103" t="s">
        <v>157</v>
      </c>
      <c r="S167" s="103" t="s">
        <v>157</v>
      </c>
      <c r="T167" s="103">
        <v>2</v>
      </c>
      <c r="U167" s="103"/>
      <c r="V167" s="103"/>
      <c r="W167" s="103"/>
      <c r="X167" s="103"/>
      <c r="Y167" s="103"/>
      <c r="Z167" s="103"/>
      <c r="AA167" s="146"/>
      <c r="AB167" s="1125">
        <v>0</v>
      </c>
      <c r="AC167" s="1126">
        <v>0</v>
      </c>
      <c r="AD167" s="1126">
        <v>0</v>
      </c>
      <c r="AE167" s="1126">
        <v>0</v>
      </c>
      <c r="AF167" s="1126">
        <v>0</v>
      </c>
      <c r="AG167" s="1126">
        <v>0</v>
      </c>
      <c r="AH167" s="1126">
        <v>0</v>
      </c>
      <c r="AI167" s="1126">
        <v>0</v>
      </c>
      <c r="AJ167" s="1126">
        <v>0</v>
      </c>
      <c r="AK167" s="1126">
        <v>0</v>
      </c>
      <c r="AL167" s="1126">
        <v>0</v>
      </c>
      <c r="AM167" s="1144">
        <v>0</v>
      </c>
      <c r="AN167" s="1129">
        <v>0</v>
      </c>
      <c r="AO167" s="1144">
        <v>0</v>
      </c>
      <c r="AP167" s="103"/>
      <c r="AQ167" s="103"/>
      <c r="AR167" s="103"/>
      <c r="AS167" s="103"/>
      <c r="AT167" s="103"/>
      <c r="AU167" s="103"/>
      <c r="AV167" s="103"/>
      <c r="AW167" s="103"/>
      <c r="AX167" s="103"/>
      <c r="AY167" s="103"/>
      <c r="AZ167" s="438"/>
      <c r="BA167" s="441" t="str">
        <f t="shared" si="36"/>
        <v>-</v>
      </c>
      <c r="BB167" s="277">
        <f t="shared" si="37"/>
        <v>2</v>
      </c>
      <c r="BC167" s="420" t="str">
        <f t="shared" si="33"/>
        <v>-</v>
      </c>
    </row>
    <row r="168" spans="1:55" ht="16">
      <c r="A168" s="94" t="s">
        <v>124</v>
      </c>
      <c r="B168" s="101" t="s">
        <v>234</v>
      </c>
      <c r="C168" s="393" t="s">
        <v>153</v>
      </c>
      <c r="D168" s="634" t="s">
        <v>124</v>
      </c>
      <c r="E168" s="365" t="s">
        <v>124</v>
      </c>
      <c r="F168" s="365" t="s">
        <v>124</v>
      </c>
      <c r="G168" s="365" t="s">
        <v>156</v>
      </c>
      <c r="H168" s="365" t="s">
        <v>156</v>
      </c>
      <c r="I168" s="365" t="s">
        <v>156</v>
      </c>
      <c r="J168" s="365" t="s">
        <v>156</v>
      </c>
      <c r="K168" s="365" t="s">
        <v>156</v>
      </c>
      <c r="L168" s="365">
        <v>1</v>
      </c>
      <c r="M168" s="365"/>
      <c r="N168" s="365"/>
      <c r="O168" s="366"/>
      <c r="P168" s="144"/>
      <c r="Q168" s="142"/>
      <c r="R168" s="142"/>
      <c r="S168" s="142"/>
      <c r="T168" s="142"/>
      <c r="U168" s="142"/>
      <c r="V168" s="142"/>
      <c r="W168" s="142"/>
      <c r="X168" s="142"/>
      <c r="Y168" s="142"/>
      <c r="Z168" s="142"/>
      <c r="AA168" s="1037"/>
      <c r="AB168" s="1161">
        <v>0</v>
      </c>
      <c r="AC168" s="1162">
        <v>0</v>
      </c>
      <c r="AD168" s="1162">
        <v>0</v>
      </c>
      <c r="AE168" s="1162">
        <v>0</v>
      </c>
      <c r="AF168" s="1162">
        <v>0</v>
      </c>
      <c r="AG168" s="1162">
        <v>0</v>
      </c>
      <c r="AH168" s="1162">
        <v>0</v>
      </c>
      <c r="AI168" s="1162">
        <v>0</v>
      </c>
      <c r="AJ168" s="1162">
        <v>0</v>
      </c>
      <c r="AK168" s="1162">
        <v>0</v>
      </c>
      <c r="AL168" s="1162">
        <v>0</v>
      </c>
      <c r="AM168" s="1163">
        <v>0</v>
      </c>
      <c r="AN168" s="1143">
        <v>0</v>
      </c>
      <c r="AO168" s="1163">
        <v>0</v>
      </c>
      <c r="AP168" s="365"/>
      <c r="AQ168" s="365"/>
      <c r="AR168" s="365"/>
      <c r="AS168" s="365"/>
      <c r="AT168" s="365"/>
      <c r="AU168" s="365"/>
      <c r="AV168" s="365"/>
      <c r="AW168" s="365"/>
      <c r="AX168" s="365"/>
      <c r="AY168" s="365"/>
      <c r="AZ168" s="438" t="s">
        <v>124</v>
      </c>
      <c r="BA168" s="635">
        <f t="shared" si="36"/>
        <v>1</v>
      </c>
      <c r="BB168" s="636" t="str">
        <f t="shared" si="37"/>
        <v>-</v>
      </c>
      <c r="BC168" s="637" t="str">
        <f t="shared" si="33"/>
        <v>-</v>
      </c>
    </row>
    <row r="169" spans="1:55" ht="16">
      <c r="A169" s="93"/>
      <c r="B169" s="98" t="s">
        <v>268</v>
      </c>
      <c r="C169" s="99" t="s">
        <v>153</v>
      </c>
      <c r="D169" s="670"/>
      <c r="E169" s="671"/>
      <c r="F169" s="671"/>
      <c r="G169" s="672"/>
      <c r="H169" s="672"/>
      <c r="I169" s="672"/>
      <c r="J169" s="672"/>
      <c r="K169" s="672"/>
      <c r="L169" s="672"/>
      <c r="M169" s="672"/>
      <c r="N169" s="672"/>
      <c r="O169" s="673"/>
      <c r="P169" s="674"/>
      <c r="Q169" s="357"/>
      <c r="R169" s="357"/>
      <c r="S169" s="357"/>
      <c r="T169" s="357"/>
      <c r="U169" s="357"/>
      <c r="V169" s="357"/>
      <c r="W169" s="357"/>
      <c r="X169" s="357"/>
      <c r="Y169" s="357"/>
      <c r="Z169" s="357"/>
      <c r="AA169" s="666"/>
      <c r="AB169" s="1154">
        <f>+AB170+AB171+AB176+AB177+AB178+AB181</f>
        <v>2</v>
      </c>
      <c r="AC169" s="1155">
        <f t="shared" ref="AC169:AJ169" si="46">+AC170+AC171+AC176+AC177+AC178+AC181</f>
        <v>0</v>
      </c>
      <c r="AD169" s="1155">
        <f t="shared" si="46"/>
        <v>0</v>
      </c>
      <c r="AE169" s="1155">
        <f t="shared" si="46"/>
        <v>0</v>
      </c>
      <c r="AF169" s="1155">
        <f t="shared" si="46"/>
        <v>3</v>
      </c>
      <c r="AG169" s="1155">
        <f t="shared" si="46"/>
        <v>1</v>
      </c>
      <c r="AH169" s="1155">
        <f t="shared" si="46"/>
        <v>3</v>
      </c>
      <c r="AI169" s="1155">
        <f>+AI170+AI171+AI176+AI177+AI178+AI181</f>
        <v>3</v>
      </c>
      <c r="AJ169" s="1155">
        <f t="shared" si="46"/>
        <v>4</v>
      </c>
      <c r="AK169" s="1155">
        <f>+AK170+AK171+AK176+AK177+AK178+AK181</f>
        <v>7</v>
      </c>
      <c r="AL169" s="1155">
        <f>+AL170+AL171+AL176+AL177+AL178+AL181</f>
        <v>7</v>
      </c>
      <c r="AM169" s="1155">
        <f>+AM170+AM171+AM176+AM177+AM178+AM181</f>
        <v>2</v>
      </c>
      <c r="AN169" s="1157">
        <f>+AN170+AN171+AN176+AN177+AN178+AN181</f>
        <v>1</v>
      </c>
      <c r="AO169" s="1158">
        <f>+AO170+AO171+AO176+AO177+AO178+AO181</f>
        <v>1</v>
      </c>
      <c r="AP169" s="662"/>
      <c r="AQ169" s="662"/>
      <c r="AR169" s="662"/>
      <c r="AS169" s="662"/>
      <c r="AT169" s="662"/>
      <c r="AU169" s="662"/>
      <c r="AV169" s="662"/>
      <c r="AW169" s="662"/>
      <c r="AX169" s="662"/>
      <c r="AY169" s="662"/>
      <c r="AZ169" s="93"/>
      <c r="BA169" s="657" t="str">
        <f t="shared" si="36"/>
        <v>-</v>
      </c>
      <c r="BB169" s="658" t="str">
        <f t="shared" si="37"/>
        <v>-</v>
      </c>
      <c r="BC169" s="659">
        <f t="shared" si="33"/>
        <v>3.5555555555555554</v>
      </c>
    </row>
    <row r="170" spans="1:55" ht="16">
      <c r="A170" s="93"/>
      <c r="B170" s="100" t="s">
        <v>213</v>
      </c>
      <c r="C170" s="99" t="s">
        <v>153</v>
      </c>
      <c r="D170" s="166"/>
      <c r="E170" s="164"/>
      <c r="F170" s="164"/>
      <c r="G170" s="164"/>
      <c r="H170" s="164"/>
      <c r="I170" s="164"/>
      <c r="J170" s="164"/>
      <c r="K170" s="164"/>
      <c r="L170" s="164"/>
      <c r="M170" s="164"/>
      <c r="N170" s="164"/>
      <c r="O170" s="167"/>
      <c r="P170" s="675"/>
      <c r="Q170" s="164"/>
      <c r="R170" s="164"/>
      <c r="S170" s="164"/>
      <c r="T170" s="164"/>
      <c r="U170" s="164"/>
      <c r="V170" s="164"/>
      <c r="W170" s="164"/>
      <c r="X170" s="164"/>
      <c r="Y170" s="164"/>
      <c r="Z170" s="164"/>
      <c r="AA170" s="667"/>
      <c r="AB170" s="1164">
        <v>0</v>
      </c>
      <c r="AC170" s="1165">
        <v>0</v>
      </c>
      <c r="AD170" s="1165">
        <v>0</v>
      </c>
      <c r="AE170" s="1165">
        <v>0</v>
      </c>
      <c r="AF170" s="1126">
        <v>0</v>
      </c>
      <c r="AG170" s="1126">
        <v>0</v>
      </c>
      <c r="AH170" s="1126">
        <v>0</v>
      </c>
      <c r="AI170" s="1126">
        <v>1</v>
      </c>
      <c r="AJ170" s="1126">
        <v>0</v>
      </c>
      <c r="AK170" s="1126">
        <v>0</v>
      </c>
      <c r="AL170" s="1126">
        <v>1</v>
      </c>
      <c r="AM170" s="1144">
        <v>0</v>
      </c>
      <c r="AN170" s="1129">
        <v>0</v>
      </c>
      <c r="AO170" s="1125">
        <v>0</v>
      </c>
      <c r="AP170" s="103"/>
      <c r="AQ170" s="103"/>
      <c r="AR170" s="103"/>
      <c r="AS170" s="103"/>
      <c r="AT170" s="103"/>
      <c r="AU170" s="103"/>
      <c r="AV170" s="103"/>
      <c r="AW170" s="103"/>
      <c r="AX170" s="103"/>
      <c r="AY170" s="126"/>
      <c r="AZ170" s="93"/>
      <c r="BA170" s="660" t="str">
        <f t="shared" si="36"/>
        <v>-</v>
      </c>
      <c r="BB170" s="277" t="str">
        <f t="shared" si="37"/>
        <v>-</v>
      </c>
      <c r="BC170" s="420">
        <f t="shared" si="33"/>
        <v>1</v>
      </c>
    </row>
    <row r="171" spans="1:55" ht="16">
      <c r="A171" s="93"/>
      <c r="B171" s="100" t="s">
        <v>217</v>
      </c>
      <c r="C171" s="99" t="s">
        <v>153</v>
      </c>
      <c r="D171" s="166"/>
      <c r="E171" s="164"/>
      <c r="F171" s="164"/>
      <c r="G171" s="164"/>
      <c r="H171" s="164"/>
      <c r="I171" s="164"/>
      <c r="J171" s="164"/>
      <c r="K171" s="164"/>
      <c r="L171" s="164"/>
      <c r="M171" s="164"/>
      <c r="N171" s="164"/>
      <c r="O171" s="167"/>
      <c r="P171" s="675"/>
      <c r="Q171" s="164"/>
      <c r="R171" s="164"/>
      <c r="S171" s="164"/>
      <c r="T171" s="164"/>
      <c r="U171" s="164"/>
      <c r="V171" s="164"/>
      <c r="W171" s="164"/>
      <c r="X171" s="164"/>
      <c r="Y171" s="164"/>
      <c r="Z171" s="164"/>
      <c r="AA171" s="667"/>
      <c r="AB171" s="1125">
        <v>1</v>
      </c>
      <c r="AC171" s="1126">
        <v>0</v>
      </c>
      <c r="AD171" s="1126">
        <v>0</v>
      </c>
      <c r="AE171" s="1126">
        <v>0</v>
      </c>
      <c r="AF171" s="1126">
        <v>3</v>
      </c>
      <c r="AG171" s="1126">
        <v>1</v>
      </c>
      <c r="AH171" s="1126">
        <v>3</v>
      </c>
      <c r="AI171" s="1126">
        <v>2</v>
      </c>
      <c r="AJ171" s="1126">
        <v>1</v>
      </c>
      <c r="AK171" s="1126">
        <v>4</v>
      </c>
      <c r="AL171" s="1126">
        <v>4</v>
      </c>
      <c r="AM171" s="1144">
        <v>1</v>
      </c>
      <c r="AN171" s="1129">
        <v>0</v>
      </c>
      <c r="AO171" s="1125">
        <v>1</v>
      </c>
      <c r="AP171" s="103"/>
      <c r="AQ171" s="103"/>
      <c r="AR171" s="103"/>
      <c r="AS171" s="103"/>
      <c r="AT171" s="103"/>
      <c r="AU171" s="103"/>
      <c r="AV171" s="103"/>
      <c r="AW171" s="103"/>
      <c r="AX171" s="103"/>
      <c r="AY171" s="126"/>
      <c r="AZ171" s="93"/>
      <c r="BA171" s="660" t="str">
        <f t="shared" si="36"/>
        <v>-</v>
      </c>
      <c r="BB171" s="277" t="str">
        <f t="shared" si="37"/>
        <v>-</v>
      </c>
      <c r="BC171" s="420">
        <f t="shared" si="33"/>
        <v>2.2222222222222223</v>
      </c>
    </row>
    <row r="172" spans="1:55" ht="16" hidden="1" outlineLevel="1">
      <c r="A172" s="93"/>
      <c r="B172" s="100" t="s">
        <v>220</v>
      </c>
      <c r="C172" s="99" t="s">
        <v>153</v>
      </c>
      <c r="D172" s="166"/>
      <c r="E172" s="164"/>
      <c r="F172" s="164"/>
      <c r="G172" s="164"/>
      <c r="H172" s="164"/>
      <c r="I172" s="164"/>
      <c r="J172" s="164"/>
      <c r="K172" s="164"/>
      <c r="L172" s="164"/>
      <c r="M172" s="164"/>
      <c r="N172" s="164"/>
      <c r="O172" s="167"/>
      <c r="P172" s="675"/>
      <c r="Q172" s="164"/>
      <c r="R172" s="164"/>
      <c r="S172" s="164"/>
      <c r="T172" s="164"/>
      <c r="U172" s="164"/>
      <c r="V172" s="164"/>
      <c r="W172" s="164"/>
      <c r="X172" s="164"/>
      <c r="Y172" s="164"/>
      <c r="Z172" s="164"/>
      <c r="AA172" s="667"/>
      <c r="AB172" s="1125"/>
      <c r="AC172" s="1126"/>
      <c r="AD172" s="1126"/>
      <c r="AE172" s="1126"/>
      <c r="AF172" s="1126"/>
      <c r="AG172" s="1126">
        <v>1</v>
      </c>
      <c r="AH172" s="1126">
        <v>1</v>
      </c>
      <c r="AI172" s="1126">
        <v>1</v>
      </c>
      <c r="AJ172" s="1126"/>
      <c r="AK172" s="1126">
        <v>1</v>
      </c>
      <c r="AL172" s="1126">
        <v>1</v>
      </c>
      <c r="AM172" s="1144"/>
      <c r="AN172" s="1129"/>
      <c r="AO172" s="1125"/>
      <c r="AP172" s="103"/>
      <c r="AQ172" s="103"/>
      <c r="AR172" s="103"/>
      <c r="AS172" s="103"/>
      <c r="AT172" s="103"/>
      <c r="AU172" s="103"/>
      <c r="AV172" s="103"/>
      <c r="AW172" s="103"/>
      <c r="AX172" s="103"/>
      <c r="AY172" s="126"/>
      <c r="AZ172" s="93"/>
      <c r="BA172" s="660"/>
      <c r="BB172" s="277"/>
      <c r="BC172" s="420"/>
    </row>
    <row r="173" spans="1:55" ht="16" hidden="1" outlineLevel="1">
      <c r="A173" s="93"/>
      <c r="B173" s="100" t="s">
        <v>222</v>
      </c>
      <c r="C173" s="99" t="s">
        <v>153</v>
      </c>
      <c r="D173" s="166"/>
      <c r="E173" s="164"/>
      <c r="F173" s="164"/>
      <c r="G173" s="164"/>
      <c r="H173" s="164"/>
      <c r="I173" s="164"/>
      <c r="J173" s="164"/>
      <c r="K173" s="164"/>
      <c r="L173" s="164"/>
      <c r="M173" s="164"/>
      <c r="N173" s="164"/>
      <c r="O173" s="167"/>
      <c r="P173" s="675"/>
      <c r="Q173" s="164"/>
      <c r="R173" s="164"/>
      <c r="S173" s="164"/>
      <c r="T173" s="164"/>
      <c r="U173" s="164"/>
      <c r="V173" s="164"/>
      <c r="W173" s="164"/>
      <c r="X173" s="164"/>
      <c r="Y173" s="164"/>
      <c r="Z173" s="164"/>
      <c r="AA173" s="667"/>
      <c r="AB173" s="1125">
        <v>1</v>
      </c>
      <c r="AC173" s="1126"/>
      <c r="AD173" s="1126"/>
      <c r="AE173" s="1126"/>
      <c r="AF173" s="1126"/>
      <c r="AG173" s="1126"/>
      <c r="AH173" s="1126">
        <v>2</v>
      </c>
      <c r="AI173" s="1126">
        <v>1</v>
      </c>
      <c r="AJ173" s="1126">
        <v>1</v>
      </c>
      <c r="AK173" s="1126">
        <v>2</v>
      </c>
      <c r="AL173" s="1126">
        <v>2</v>
      </c>
      <c r="AM173" s="1144"/>
      <c r="AN173" s="1129"/>
      <c r="AO173" s="1125"/>
      <c r="AP173" s="103"/>
      <c r="AQ173" s="103"/>
      <c r="AR173" s="103"/>
      <c r="AS173" s="103"/>
      <c r="AT173" s="103"/>
      <c r="AU173" s="103"/>
      <c r="AV173" s="103"/>
      <c r="AW173" s="103"/>
      <c r="AX173" s="103"/>
      <c r="AY173" s="126"/>
      <c r="AZ173" s="93"/>
      <c r="BA173" s="660"/>
      <c r="BB173" s="277"/>
      <c r="BC173" s="420"/>
    </row>
    <row r="174" spans="1:55" ht="16" hidden="1" outlineLevel="1">
      <c r="A174" s="93"/>
      <c r="B174" s="100" t="s">
        <v>223</v>
      </c>
      <c r="C174" s="99" t="s">
        <v>153</v>
      </c>
      <c r="D174" s="166"/>
      <c r="E174" s="164"/>
      <c r="F174" s="164"/>
      <c r="G174" s="164"/>
      <c r="H174" s="164"/>
      <c r="I174" s="164"/>
      <c r="J174" s="164"/>
      <c r="K174" s="164"/>
      <c r="L174" s="164"/>
      <c r="M174" s="164"/>
      <c r="N174" s="164"/>
      <c r="O174" s="167"/>
      <c r="P174" s="675"/>
      <c r="Q174" s="164"/>
      <c r="R174" s="164"/>
      <c r="S174" s="164"/>
      <c r="T174" s="164"/>
      <c r="U174" s="164"/>
      <c r="V174" s="164"/>
      <c r="W174" s="164"/>
      <c r="X174" s="164"/>
      <c r="Y174" s="164"/>
      <c r="Z174" s="164"/>
      <c r="AA174" s="667"/>
      <c r="AB174" s="1125"/>
      <c r="AC174" s="1126"/>
      <c r="AD174" s="1126"/>
      <c r="AE174" s="1126"/>
      <c r="AF174" s="1126">
        <v>1</v>
      </c>
      <c r="AG174" s="1126"/>
      <c r="AH174" s="1126"/>
      <c r="AI174" s="1126"/>
      <c r="AJ174" s="1126"/>
      <c r="AK174" s="1126">
        <v>0</v>
      </c>
      <c r="AL174" s="1126">
        <v>0</v>
      </c>
      <c r="AM174" s="1144"/>
      <c r="AN174" s="1143"/>
      <c r="AO174" s="1125"/>
      <c r="AP174" s="103"/>
      <c r="AQ174" s="103"/>
      <c r="AR174" s="103"/>
      <c r="AS174" s="103"/>
      <c r="AT174" s="103"/>
      <c r="AU174" s="103"/>
      <c r="AV174" s="103"/>
      <c r="AW174" s="103"/>
      <c r="AX174" s="103"/>
      <c r="AY174" s="126"/>
      <c r="AZ174" s="93"/>
      <c r="BA174" s="660"/>
      <c r="BB174" s="277"/>
      <c r="BC174" s="420"/>
    </row>
    <row r="175" spans="1:55" ht="16" hidden="1" outlineLevel="1">
      <c r="A175" s="93"/>
      <c r="B175" s="100" t="s">
        <v>224</v>
      </c>
      <c r="C175" s="99" t="s">
        <v>153</v>
      </c>
      <c r="D175" s="166"/>
      <c r="E175" s="164"/>
      <c r="F175" s="164"/>
      <c r="G175" s="164"/>
      <c r="H175" s="164"/>
      <c r="I175" s="164"/>
      <c r="J175" s="164"/>
      <c r="K175" s="164"/>
      <c r="L175" s="164"/>
      <c r="M175" s="164"/>
      <c r="N175" s="164"/>
      <c r="O175" s="167"/>
      <c r="P175" s="675"/>
      <c r="Q175" s="164"/>
      <c r="R175" s="164"/>
      <c r="S175" s="164"/>
      <c r="T175" s="164"/>
      <c r="U175" s="164"/>
      <c r="V175" s="164"/>
      <c r="W175" s="164"/>
      <c r="X175" s="164"/>
      <c r="Y175" s="164"/>
      <c r="Z175" s="164"/>
      <c r="AA175" s="667"/>
      <c r="AB175" s="1125"/>
      <c r="AC175" s="1126"/>
      <c r="AD175" s="1126"/>
      <c r="AE175" s="1126"/>
      <c r="AF175" s="1126">
        <v>2</v>
      </c>
      <c r="AG175" s="1126"/>
      <c r="AH175" s="1126"/>
      <c r="AI175" s="1126"/>
      <c r="AJ175" s="1126"/>
      <c r="AK175" s="1126">
        <v>1</v>
      </c>
      <c r="AL175" s="1126">
        <v>1</v>
      </c>
      <c r="AM175" s="1144"/>
      <c r="AN175" s="1157"/>
      <c r="AO175" s="1125">
        <v>1</v>
      </c>
      <c r="AP175" s="103"/>
      <c r="AQ175" s="103"/>
      <c r="AR175" s="103"/>
      <c r="AS175" s="103"/>
      <c r="AT175" s="103"/>
      <c r="AU175" s="103"/>
      <c r="AV175" s="103"/>
      <c r="AW175" s="103"/>
      <c r="AX175" s="103"/>
      <c r="AY175" s="126"/>
      <c r="AZ175" s="93"/>
      <c r="BA175" s="660"/>
      <c r="BB175" s="277"/>
      <c r="BC175" s="420"/>
    </row>
    <row r="176" spans="1:55" ht="16" collapsed="1">
      <c r="A176" s="93"/>
      <c r="B176" s="100" t="s">
        <v>265</v>
      </c>
      <c r="C176" s="99" t="s">
        <v>153</v>
      </c>
      <c r="D176" s="166"/>
      <c r="E176" s="164"/>
      <c r="F176" s="164"/>
      <c r="G176" s="164"/>
      <c r="H176" s="164"/>
      <c r="I176" s="164"/>
      <c r="J176" s="164"/>
      <c r="K176" s="164"/>
      <c r="L176" s="164"/>
      <c r="M176" s="164"/>
      <c r="N176" s="164"/>
      <c r="O176" s="167"/>
      <c r="P176" s="675"/>
      <c r="Q176" s="164"/>
      <c r="R176" s="164"/>
      <c r="S176" s="164"/>
      <c r="T176" s="164"/>
      <c r="U176" s="164"/>
      <c r="V176" s="164"/>
      <c r="W176" s="164"/>
      <c r="X176" s="164"/>
      <c r="Y176" s="164"/>
      <c r="Z176" s="164"/>
      <c r="AA176" s="667"/>
      <c r="AB176" s="1125">
        <v>0</v>
      </c>
      <c r="AC176" s="1126">
        <v>0</v>
      </c>
      <c r="AD176" s="1126">
        <v>0</v>
      </c>
      <c r="AE176" s="1126">
        <v>0</v>
      </c>
      <c r="AF176" s="1126">
        <v>0</v>
      </c>
      <c r="AG176" s="1126">
        <v>0</v>
      </c>
      <c r="AH176" s="1126">
        <v>0</v>
      </c>
      <c r="AI176" s="1126">
        <v>0</v>
      </c>
      <c r="AJ176" s="1126">
        <v>0</v>
      </c>
      <c r="AK176" s="1126">
        <v>0</v>
      </c>
      <c r="AL176" s="1126">
        <v>1</v>
      </c>
      <c r="AM176" s="1144">
        <v>0</v>
      </c>
      <c r="AN176" s="1129">
        <v>0</v>
      </c>
      <c r="AO176" s="1125">
        <v>0</v>
      </c>
      <c r="AP176" s="103"/>
      <c r="AQ176" s="103"/>
      <c r="AR176" s="103"/>
      <c r="AS176" s="103"/>
      <c r="AT176" s="103"/>
      <c r="AU176" s="103"/>
      <c r="AV176" s="103"/>
      <c r="AW176" s="103"/>
      <c r="AX176" s="103"/>
      <c r="AY176" s="126"/>
      <c r="AZ176" s="93"/>
      <c r="BA176" s="660" t="str">
        <f t="shared" si="36"/>
        <v>-</v>
      </c>
      <c r="BB176" s="277" t="str">
        <f t="shared" si="37"/>
        <v>-</v>
      </c>
      <c r="BC176" s="420">
        <f t="shared" si="33"/>
        <v>1</v>
      </c>
    </row>
    <row r="177" spans="1:55" ht="16">
      <c r="A177" s="93"/>
      <c r="B177" s="100" t="s">
        <v>267</v>
      </c>
      <c r="C177" s="99" t="s">
        <v>153</v>
      </c>
      <c r="D177" s="166"/>
      <c r="E177" s="164"/>
      <c r="F177" s="164"/>
      <c r="G177" s="164"/>
      <c r="H177" s="164"/>
      <c r="I177" s="164"/>
      <c r="J177" s="164"/>
      <c r="K177" s="164"/>
      <c r="L177" s="164"/>
      <c r="M177" s="164"/>
      <c r="N177" s="164"/>
      <c r="O177" s="167"/>
      <c r="P177" s="675"/>
      <c r="Q177" s="164"/>
      <c r="R177" s="164"/>
      <c r="S177" s="164"/>
      <c r="T177" s="164"/>
      <c r="U177" s="164"/>
      <c r="V177" s="164"/>
      <c r="W177" s="164"/>
      <c r="X177" s="164"/>
      <c r="Y177" s="164"/>
      <c r="Z177" s="164"/>
      <c r="AA177" s="667"/>
      <c r="AB177" s="1125">
        <v>0</v>
      </c>
      <c r="AC177" s="1126">
        <v>0</v>
      </c>
      <c r="AD177" s="1126">
        <v>0</v>
      </c>
      <c r="AE177" s="1126">
        <v>0</v>
      </c>
      <c r="AF177" s="1126">
        <v>0</v>
      </c>
      <c r="AG177" s="1126">
        <v>0</v>
      </c>
      <c r="AH177" s="1126">
        <v>0</v>
      </c>
      <c r="AI177" s="1126">
        <v>0</v>
      </c>
      <c r="AJ177" s="1126">
        <v>0</v>
      </c>
      <c r="AK177" s="1126">
        <v>0</v>
      </c>
      <c r="AL177" s="1126">
        <v>0</v>
      </c>
      <c r="AM177" s="1146">
        <v>0</v>
      </c>
      <c r="AN177" s="1129">
        <v>0</v>
      </c>
      <c r="AO177" s="1125">
        <v>0</v>
      </c>
      <c r="AP177" s="103"/>
      <c r="AQ177" s="103"/>
      <c r="AR177" s="103"/>
      <c r="AS177" s="103"/>
      <c r="AT177" s="103"/>
      <c r="AU177" s="103"/>
      <c r="AV177" s="103"/>
      <c r="AW177" s="103"/>
      <c r="AX177" s="103"/>
      <c r="AY177" s="366"/>
      <c r="AZ177" s="93"/>
      <c r="BA177" s="660" t="str">
        <f t="shared" si="36"/>
        <v>-</v>
      </c>
      <c r="BB177" s="277" t="str">
        <f t="shared" si="37"/>
        <v>-</v>
      </c>
      <c r="BC177" s="420" t="str">
        <f t="shared" si="33"/>
        <v>-</v>
      </c>
    </row>
    <row r="178" spans="1:55" ht="16">
      <c r="A178" s="93" t="s">
        <v>124</v>
      </c>
      <c r="B178" s="100" t="s">
        <v>234</v>
      </c>
      <c r="C178" s="99" t="s">
        <v>153</v>
      </c>
      <c r="D178" s="166"/>
      <c r="E178" s="164"/>
      <c r="F178" s="164"/>
      <c r="G178" s="164"/>
      <c r="H178" s="164"/>
      <c r="I178" s="164"/>
      <c r="J178" s="164"/>
      <c r="K178" s="164"/>
      <c r="L178" s="164"/>
      <c r="M178" s="164"/>
      <c r="N178" s="164"/>
      <c r="O178" s="167"/>
      <c r="P178" s="675"/>
      <c r="Q178" s="164"/>
      <c r="R178" s="164"/>
      <c r="S178" s="164"/>
      <c r="T178" s="164"/>
      <c r="U178" s="164"/>
      <c r="V178" s="164"/>
      <c r="W178" s="164"/>
      <c r="X178" s="164"/>
      <c r="Y178" s="164"/>
      <c r="Z178" s="164"/>
      <c r="AA178" s="667"/>
      <c r="AB178" s="1125">
        <v>1</v>
      </c>
      <c r="AC178" s="1126">
        <v>0</v>
      </c>
      <c r="AD178" s="1126">
        <v>0</v>
      </c>
      <c r="AE178" s="1126">
        <v>0</v>
      </c>
      <c r="AF178" s="1126">
        <v>0</v>
      </c>
      <c r="AG178" s="1126">
        <v>0</v>
      </c>
      <c r="AH178" s="1126">
        <v>0</v>
      </c>
      <c r="AI178" s="1126">
        <v>0</v>
      </c>
      <c r="AJ178" s="1126">
        <v>1</v>
      </c>
      <c r="AK178" s="1126">
        <v>2</v>
      </c>
      <c r="AL178" s="1166">
        <v>1</v>
      </c>
      <c r="AM178" s="1144">
        <v>0</v>
      </c>
      <c r="AN178" s="1129">
        <v>0</v>
      </c>
      <c r="AO178" s="1125">
        <v>0</v>
      </c>
      <c r="AP178" s="103"/>
      <c r="AQ178" s="103"/>
      <c r="AR178" s="103"/>
      <c r="AS178" s="103"/>
      <c r="AT178" s="103"/>
      <c r="AU178" s="103"/>
      <c r="AV178" s="103"/>
      <c r="AW178" s="103"/>
      <c r="AX178" s="146"/>
      <c r="AY178" s="126"/>
      <c r="AZ178" s="93" t="s">
        <v>124</v>
      </c>
      <c r="BA178" s="660" t="str">
        <f t="shared" si="36"/>
        <v>-</v>
      </c>
      <c r="BB178" s="277" t="str">
        <f t="shared" si="37"/>
        <v>-</v>
      </c>
      <c r="BC178" s="420">
        <f t="shared" si="33"/>
        <v>1.25</v>
      </c>
    </row>
    <row r="179" spans="1:55" ht="16" hidden="1" outlineLevel="1">
      <c r="A179" s="93"/>
      <c r="B179" s="100" t="s">
        <v>238</v>
      </c>
      <c r="C179" s="99" t="s">
        <v>153</v>
      </c>
      <c r="D179" s="166"/>
      <c r="E179" s="164"/>
      <c r="F179" s="164"/>
      <c r="G179" s="164"/>
      <c r="H179" s="164"/>
      <c r="I179" s="164"/>
      <c r="J179" s="164"/>
      <c r="K179" s="164"/>
      <c r="L179" s="164"/>
      <c r="M179" s="164"/>
      <c r="N179" s="164"/>
      <c r="O179" s="167"/>
      <c r="P179" s="675"/>
      <c r="Q179" s="164"/>
      <c r="R179" s="164"/>
      <c r="S179" s="164"/>
      <c r="T179" s="164"/>
      <c r="U179" s="164"/>
      <c r="V179" s="164"/>
      <c r="W179" s="164"/>
      <c r="X179" s="656"/>
      <c r="Y179" s="656"/>
      <c r="Z179" s="656"/>
      <c r="AA179" s="668"/>
      <c r="AB179" s="1137"/>
      <c r="AC179" s="1138"/>
      <c r="AD179" s="1138"/>
      <c r="AE179" s="1138"/>
      <c r="AF179" s="1138"/>
      <c r="AG179" s="1138"/>
      <c r="AH179" s="1138"/>
      <c r="AI179" s="1138"/>
      <c r="AJ179" s="1138">
        <v>1</v>
      </c>
      <c r="AK179" s="1138">
        <v>2</v>
      </c>
      <c r="AL179" s="1167">
        <v>1</v>
      </c>
      <c r="AM179" s="1168"/>
      <c r="AN179" s="1129"/>
      <c r="AO179" s="1137"/>
      <c r="AP179" s="365"/>
      <c r="AQ179" s="365"/>
      <c r="AR179" s="365"/>
      <c r="AS179" s="365"/>
      <c r="AT179" s="365"/>
      <c r="AU179" s="365"/>
      <c r="AV179" s="365"/>
      <c r="AW179" s="365"/>
      <c r="AX179" s="633"/>
      <c r="AY179" s="663"/>
      <c r="AZ179" s="93"/>
      <c r="BA179" s="660"/>
      <c r="BB179" s="277"/>
      <c r="BC179" s="420"/>
    </row>
    <row r="180" spans="1:55" ht="16" hidden="1" outlineLevel="1">
      <c r="A180" s="93"/>
      <c r="B180" s="100" t="s">
        <v>269</v>
      </c>
      <c r="C180" s="99" t="s">
        <v>153</v>
      </c>
      <c r="D180" s="166"/>
      <c r="E180" s="164"/>
      <c r="F180" s="164"/>
      <c r="G180" s="164"/>
      <c r="H180" s="164"/>
      <c r="I180" s="164"/>
      <c r="J180" s="164"/>
      <c r="K180" s="164"/>
      <c r="L180" s="164"/>
      <c r="M180" s="164"/>
      <c r="N180" s="164"/>
      <c r="O180" s="167"/>
      <c r="P180" s="675"/>
      <c r="Q180" s="164"/>
      <c r="R180" s="164"/>
      <c r="S180" s="164"/>
      <c r="T180" s="164"/>
      <c r="U180" s="164"/>
      <c r="V180" s="164"/>
      <c r="W180" s="164"/>
      <c r="X180" s="656"/>
      <c r="Y180" s="656"/>
      <c r="Z180" s="656"/>
      <c r="AA180" s="668"/>
      <c r="AB180" s="1137">
        <v>1</v>
      </c>
      <c r="AC180" s="1138"/>
      <c r="AD180" s="1138"/>
      <c r="AE180" s="1138"/>
      <c r="AF180" s="1138"/>
      <c r="AG180" s="1138"/>
      <c r="AH180" s="1138"/>
      <c r="AI180" s="1138"/>
      <c r="AJ180" s="1138"/>
      <c r="AK180" s="1138">
        <v>0</v>
      </c>
      <c r="AL180" s="1167">
        <v>0</v>
      </c>
      <c r="AM180" s="1168"/>
      <c r="AN180" s="1129"/>
      <c r="AO180" s="1137"/>
      <c r="AP180" s="365"/>
      <c r="AQ180" s="365"/>
      <c r="AR180" s="365"/>
      <c r="AS180" s="365"/>
      <c r="AT180" s="365"/>
      <c r="AU180" s="365"/>
      <c r="AV180" s="365"/>
      <c r="AW180" s="365"/>
      <c r="AX180" s="633"/>
      <c r="AY180" s="663"/>
      <c r="AZ180" s="93"/>
      <c r="BA180" s="660"/>
      <c r="BB180" s="277"/>
      <c r="BC180" s="420"/>
    </row>
    <row r="181" spans="1:55" ht="16" collapsed="1">
      <c r="A181" s="93"/>
      <c r="B181" s="100" t="s">
        <v>242</v>
      </c>
      <c r="C181" s="99" t="s">
        <v>153</v>
      </c>
      <c r="D181" s="166"/>
      <c r="E181" s="164"/>
      <c r="F181" s="164"/>
      <c r="G181" s="164"/>
      <c r="H181" s="164"/>
      <c r="I181" s="164"/>
      <c r="J181" s="164"/>
      <c r="K181" s="164"/>
      <c r="L181" s="164"/>
      <c r="M181" s="164"/>
      <c r="N181" s="164"/>
      <c r="O181" s="167"/>
      <c r="P181" s="675"/>
      <c r="Q181" s="164"/>
      <c r="R181" s="164"/>
      <c r="S181" s="164"/>
      <c r="T181" s="164"/>
      <c r="U181" s="164"/>
      <c r="V181" s="164"/>
      <c r="W181" s="164"/>
      <c r="X181" s="164"/>
      <c r="Y181" s="164"/>
      <c r="Z181" s="164"/>
      <c r="AA181" s="667"/>
      <c r="AB181" s="1125">
        <v>0</v>
      </c>
      <c r="AC181" s="1126">
        <v>0</v>
      </c>
      <c r="AD181" s="1126">
        <v>0</v>
      </c>
      <c r="AE181" s="1126">
        <v>0</v>
      </c>
      <c r="AF181" s="1126">
        <v>0</v>
      </c>
      <c r="AG181" s="1126">
        <v>0</v>
      </c>
      <c r="AH181" s="1126">
        <v>0</v>
      </c>
      <c r="AI181" s="1126">
        <v>0</v>
      </c>
      <c r="AJ181" s="1126">
        <v>2</v>
      </c>
      <c r="AK181" s="1126">
        <v>1</v>
      </c>
      <c r="AL181" s="1166">
        <v>0</v>
      </c>
      <c r="AM181" s="1144">
        <v>1</v>
      </c>
      <c r="AN181" s="1129">
        <f>+SUM(AN182:AN183)</f>
        <v>1</v>
      </c>
      <c r="AO181" s="1125">
        <f>+SUM(AO182:AO183)</f>
        <v>0</v>
      </c>
      <c r="AP181" s="103"/>
      <c r="AQ181" s="103"/>
      <c r="AR181" s="103"/>
      <c r="AS181" s="103"/>
      <c r="AT181" s="103"/>
      <c r="AU181" s="103"/>
      <c r="AV181" s="103"/>
      <c r="AW181" s="103"/>
      <c r="AX181" s="146"/>
      <c r="AY181" s="126"/>
      <c r="AZ181" s="93"/>
      <c r="BA181" s="660"/>
      <c r="BB181" s="277"/>
      <c r="BC181" s="420">
        <f t="shared" si="33"/>
        <v>1.3333333333333333</v>
      </c>
    </row>
    <row r="182" spans="1:55" ht="16" hidden="1" outlineLevel="1">
      <c r="A182" s="93"/>
      <c r="B182" s="100" t="s">
        <v>244</v>
      </c>
      <c r="C182" s="99" t="s">
        <v>153</v>
      </c>
      <c r="D182" s="166"/>
      <c r="E182" s="164"/>
      <c r="F182" s="164"/>
      <c r="G182" s="164"/>
      <c r="H182" s="164"/>
      <c r="I182" s="164"/>
      <c r="J182" s="164"/>
      <c r="K182" s="164"/>
      <c r="L182" s="164"/>
      <c r="M182" s="164"/>
      <c r="N182" s="164"/>
      <c r="O182" s="167"/>
      <c r="P182" s="675"/>
      <c r="Q182" s="164"/>
      <c r="R182" s="164"/>
      <c r="S182" s="164"/>
      <c r="T182" s="164"/>
      <c r="U182" s="164"/>
      <c r="V182" s="164"/>
      <c r="W182" s="164"/>
      <c r="X182" s="164"/>
      <c r="Y182" s="164"/>
      <c r="Z182" s="164"/>
      <c r="AA182" s="667"/>
      <c r="AB182" s="125"/>
      <c r="AC182" s="103"/>
      <c r="AD182" s="103"/>
      <c r="AE182" s="103"/>
      <c r="AF182" s="103"/>
      <c r="AG182" s="103"/>
      <c r="AH182" s="103"/>
      <c r="AI182" s="103"/>
      <c r="AJ182" s="103">
        <v>1</v>
      </c>
      <c r="AK182" s="103">
        <v>0</v>
      </c>
      <c r="AL182" s="146">
        <v>0</v>
      </c>
      <c r="AM182" s="126"/>
      <c r="AN182" s="125"/>
      <c r="AO182" s="103"/>
      <c r="AP182" s="103"/>
      <c r="AQ182" s="103"/>
      <c r="AR182" s="103"/>
      <c r="AS182" s="103"/>
      <c r="AT182" s="103"/>
      <c r="AU182" s="103"/>
      <c r="AV182" s="103"/>
      <c r="AW182" s="103"/>
      <c r="AX182" s="146"/>
      <c r="AY182" s="126"/>
      <c r="AZ182" s="93"/>
      <c r="BA182" s="660"/>
      <c r="BB182" s="277"/>
      <c r="BC182" s="420"/>
    </row>
    <row r="183" spans="1:55" ht="16" hidden="1" outlineLevel="1">
      <c r="A183" s="93"/>
      <c r="B183" s="109" t="s">
        <v>245</v>
      </c>
      <c r="C183" s="99" t="s">
        <v>153</v>
      </c>
      <c r="D183" s="664"/>
      <c r="E183" s="519"/>
      <c r="F183" s="519"/>
      <c r="G183" s="519"/>
      <c r="H183" s="519"/>
      <c r="I183" s="519"/>
      <c r="J183" s="519"/>
      <c r="K183" s="519"/>
      <c r="L183" s="519"/>
      <c r="M183" s="519"/>
      <c r="N183" s="519"/>
      <c r="O183" s="665"/>
      <c r="P183" s="676"/>
      <c r="Q183" s="314"/>
      <c r="R183" s="314"/>
      <c r="S183" s="314"/>
      <c r="T183" s="314"/>
      <c r="U183" s="314"/>
      <c r="V183" s="314"/>
      <c r="W183" s="314"/>
      <c r="X183" s="314"/>
      <c r="Y183" s="314"/>
      <c r="Z183" s="314"/>
      <c r="AA183" s="669"/>
      <c r="AB183" s="664"/>
      <c r="AC183" s="519"/>
      <c r="AD183" s="519"/>
      <c r="AE183" s="519"/>
      <c r="AF183" s="519"/>
      <c r="AG183" s="519"/>
      <c r="AH183" s="519"/>
      <c r="AI183" s="519"/>
      <c r="AJ183" s="519">
        <v>1</v>
      </c>
      <c r="AK183" s="519">
        <v>1</v>
      </c>
      <c r="AL183" s="519">
        <v>0</v>
      </c>
      <c r="AM183" s="665"/>
      <c r="AN183" s="664">
        <v>1</v>
      </c>
      <c r="AO183" s="519"/>
      <c r="AP183" s="519"/>
      <c r="AQ183" s="519"/>
      <c r="AR183" s="519"/>
      <c r="AS183" s="519"/>
      <c r="AT183" s="519"/>
      <c r="AU183" s="519"/>
      <c r="AV183" s="519"/>
      <c r="AW183" s="519"/>
      <c r="AX183" s="519"/>
      <c r="AY183" s="665"/>
      <c r="AZ183" s="93"/>
      <c r="BA183" s="661"/>
      <c r="BB183" s="519"/>
      <c r="BC183" s="520"/>
    </row>
    <row r="184" spans="1:55" ht="15" customHeight="1" collapsed="1">
      <c r="A184" s="93"/>
      <c r="B184" s="300"/>
      <c r="C184" s="301"/>
      <c r="D184" s="340"/>
      <c r="E184" s="340"/>
      <c r="F184" s="340"/>
      <c r="G184" s="340"/>
      <c r="H184" s="340"/>
      <c r="I184" s="340"/>
      <c r="J184" s="340"/>
      <c r="K184" s="340"/>
      <c r="L184" s="340"/>
      <c r="M184" s="340"/>
      <c r="N184" s="340"/>
      <c r="O184" s="340"/>
      <c r="P184" s="340"/>
      <c r="Q184" s="340"/>
      <c r="R184" s="340"/>
      <c r="S184" s="340"/>
      <c r="T184" s="340"/>
      <c r="U184" s="340"/>
      <c r="V184" s="340"/>
      <c r="W184" s="340"/>
      <c r="X184" s="340"/>
      <c r="Y184" s="340"/>
      <c r="Z184" s="340"/>
      <c r="AA184" s="340"/>
      <c r="AB184" s="341"/>
      <c r="AC184" s="341"/>
      <c r="AD184" s="341"/>
      <c r="AE184" s="341"/>
      <c r="AF184" s="341"/>
      <c r="AG184" s="341"/>
      <c r="AH184" s="341"/>
      <c r="AI184" s="341"/>
      <c r="AJ184" s="341"/>
      <c r="AK184" s="341"/>
      <c r="AL184" s="341"/>
      <c r="AM184" s="341"/>
      <c r="AN184" s="341"/>
      <c r="AO184" s="341"/>
      <c r="AP184" s="341"/>
      <c r="AQ184" s="341"/>
      <c r="AR184" s="341"/>
      <c r="AS184" s="341"/>
      <c r="AT184" s="341"/>
      <c r="AU184" s="341"/>
      <c r="AV184" s="341"/>
      <c r="AW184" s="341"/>
      <c r="AX184" s="341"/>
      <c r="AY184" s="341"/>
      <c r="AZ184" s="93"/>
      <c r="BA184" s="341"/>
      <c r="BB184" s="341"/>
      <c r="BC184" s="341"/>
    </row>
    <row r="185" spans="1:55" ht="16">
      <c r="A185" s="93"/>
      <c r="B185" s="100" t="s">
        <v>270</v>
      </c>
      <c r="C185" s="99" t="s">
        <v>153</v>
      </c>
      <c r="D185" s="330" t="s">
        <v>20</v>
      </c>
      <c r="E185" s="331" t="s">
        <v>20</v>
      </c>
      <c r="F185" s="331" t="s">
        <v>20</v>
      </c>
      <c r="G185" s="331" t="s">
        <v>20</v>
      </c>
      <c r="H185" s="331" t="s">
        <v>20</v>
      </c>
      <c r="I185" s="331" t="s">
        <v>20</v>
      </c>
      <c r="J185" s="331" t="s">
        <v>20</v>
      </c>
      <c r="K185" s="331" t="s">
        <v>20</v>
      </c>
      <c r="L185" s="331" t="s">
        <v>20</v>
      </c>
      <c r="M185" s="331" t="s">
        <v>20</v>
      </c>
      <c r="N185" s="331" t="s">
        <v>20</v>
      </c>
      <c r="O185" s="332" t="s">
        <v>20</v>
      </c>
      <c r="P185" s="330" t="s">
        <v>20</v>
      </c>
      <c r="Q185" s="331" t="s">
        <v>20</v>
      </c>
      <c r="R185" s="331" t="s">
        <v>20</v>
      </c>
      <c r="S185" s="331" t="s">
        <v>20</v>
      </c>
      <c r="T185" s="331" t="s">
        <v>20</v>
      </c>
      <c r="U185" s="331" t="s">
        <v>20</v>
      </c>
      <c r="V185" s="331" t="s">
        <v>20</v>
      </c>
      <c r="W185" s="331" t="s">
        <v>20</v>
      </c>
      <c r="X185" s="331" t="s">
        <v>20</v>
      </c>
      <c r="Y185" s="331" t="s">
        <v>20</v>
      </c>
      <c r="Z185" s="331" t="s">
        <v>20</v>
      </c>
      <c r="AA185" s="332" t="s">
        <v>20</v>
      </c>
      <c r="AB185" s="626" t="s">
        <v>271</v>
      </c>
      <c r="AC185" s="627" t="s">
        <v>271</v>
      </c>
      <c r="AD185" s="624" t="s">
        <v>271</v>
      </c>
      <c r="AE185" s="624" t="s">
        <v>271</v>
      </c>
      <c r="AF185" s="624" t="s">
        <v>271</v>
      </c>
      <c r="AG185" s="624" t="s">
        <v>271</v>
      </c>
      <c r="AH185" s="624">
        <v>0.89400000000000002</v>
      </c>
      <c r="AI185" s="624">
        <v>0.90800000000000003</v>
      </c>
      <c r="AJ185" s="624">
        <v>0.89690000000000003</v>
      </c>
      <c r="AK185" s="624">
        <v>0.877</v>
      </c>
      <c r="AL185" s="624">
        <v>0.91639999999999999</v>
      </c>
      <c r="AM185" s="625">
        <v>0.88109999999999999</v>
      </c>
      <c r="AN185" s="1028">
        <v>0.82410000000000005</v>
      </c>
      <c r="AO185" s="624">
        <v>0.85</v>
      </c>
      <c r="AP185" s="624"/>
      <c r="AQ185" s="624"/>
      <c r="AR185" s="624"/>
      <c r="AS185" s="624"/>
      <c r="AT185" s="624"/>
      <c r="AU185" s="624"/>
      <c r="AV185" s="624"/>
      <c r="AW185" s="624"/>
      <c r="AX185" s="624"/>
      <c r="AY185" s="625"/>
      <c r="AZ185" s="438"/>
      <c r="BA185" s="459" t="str">
        <f t="shared" ref="BA185:BA193" si="47">IFERROR(AVERAGE(D185:O185),"-")</f>
        <v>-</v>
      </c>
      <c r="BB185" s="333" t="str">
        <f t="shared" ref="BB185:BB193" si="48">IFERROR(AVERAGE(P185:AA185),"-")</f>
        <v>-</v>
      </c>
      <c r="BC185" s="632">
        <f t="shared" si="33"/>
        <v>0.89556666666666673</v>
      </c>
    </row>
    <row r="186" spans="1:55" ht="16">
      <c r="A186" s="93"/>
      <c r="B186" s="100" t="s">
        <v>272</v>
      </c>
      <c r="C186" s="99" t="s">
        <v>153</v>
      </c>
      <c r="D186" s="166" t="s">
        <v>20</v>
      </c>
      <c r="E186" s="164" t="s">
        <v>20</v>
      </c>
      <c r="F186" s="164" t="s">
        <v>20</v>
      </c>
      <c r="G186" s="164" t="s">
        <v>20</v>
      </c>
      <c r="H186" s="164" t="s">
        <v>20</v>
      </c>
      <c r="I186" s="164" t="s">
        <v>20</v>
      </c>
      <c r="J186" s="164" t="s">
        <v>20</v>
      </c>
      <c r="K186" s="164" t="s">
        <v>20</v>
      </c>
      <c r="L186" s="164" t="s">
        <v>20</v>
      </c>
      <c r="M186" s="164" t="s">
        <v>20</v>
      </c>
      <c r="N186" s="164" t="s">
        <v>20</v>
      </c>
      <c r="O186" s="167" t="s">
        <v>20</v>
      </c>
      <c r="P186" s="166" t="s">
        <v>20</v>
      </c>
      <c r="Q186" s="164" t="s">
        <v>20</v>
      </c>
      <c r="R186" s="164" t="s">
        <v>20</v>
      </c>
      <c r="S186" s="164" t="s">
        <v>20</v>
      </c>
      <c r="T186" s="164" t="s">
        <v>20</v>
      </c>
      <c r="U186" s="164" t="s">
        <v>20</v>
      </c>
      <c r="V186" s="164" t="s">
        <v>20</v>
      </c>
      <c r="W186" s="164" t="s">
        <v>20</v>
      </c>
      <c r="X186" s="164" t="s">
        <v>20</v>
      </c>
      <c r="Y186" s="164" t="s">
        <v>20</v>
      </c>
      <c r="Z186" s="164" t="s">
        <v>20</v>
      </c>
      <c r="AA186" s="167" t="s">
        <v>20</v>
      </c>
      <c r="AB186" s="166" t="str">
        <f>IF(SUMIFS('TABLERO DIARIO'!$I56:$ZZ56,'TABLERO DIARIO'!$I$2:$ZZ$2,"&gt;="&amp;DATE(2025,MONTH(AB$2),1),'TABLERO DIARIO'!$I$2:$ZZ$2,"&lt;="&amp;EOMONTH(AB$2,0))=0,"-",SUMIFS('TABLERO DIARIO'!$I56:$ZZ56,'TABLERO DIARIO'!$I$2:$ZZ$2,"&gt;="&amp;DATE(2025,MONTH(AB$2),1),'TABLERO DIARIO'!$I$2:$ZZ$2,"&lt;="&amp;EOMONTH(AB$2,0)))</f>
        <v>-</v>
      </c>
      <c r="AC186" s="164">
        <f>IF(SUMIFS('TABLERO DIARIO'!$I56:$ZZ56,'TABLERO DIARIO'!$I$2:$ZZ$2,"&gt;="&amp;DATE(2025,MONTH(AC$2),1),'TABLERO DIARIO'!$I$2:$ZZ$2,"&lt;="&amp;EOMONTH(AC$2,0))=0,"-",SUMIFS('TABLERO DIARIO'!$I56:$ZZ56,'TABLERO DIARIO'!$I$2:$ZZ$2,"&gt;="&amp;DATE(2025,MONTH(AC$2),1),'TABLERO DIARIO'!$I$2:$ZZ$2,"&lt;="&amp;EOMONTH(AC$2,0)))</f>
        <v>3</v>
      </c>
      <c r="AD186" s="103">
        <f>IF(SUMIFS('TABLERO DIARIO'!$I56:$ZZ56,'TABLERO DIARIO'!$I$2:$ZZ$2,"&gt;="&amp;DATE(2025,MONTH(AD$2),1),'TABLERO DIARIO'!$I$2:$ZZ$2,"&lt;="&amp;EOMONTH(AD$2,0))=0,"-",SUMIFS('TABLERO DIARIO'!$I56:$ZZ56,'TABLERO DIARIO'!$I$2:$ZZ$2,"&gt;="&amp;DATE(2025,MONTH(AD$2),1),'TABLERO DIARIO'!$I$2:$ZZ$2,"&lt;="&amp;EOMONTH(AD$2,0)))</f>
        <v>3</v>
      </c>
      <c r="AE186" s="103" t="str">
        <f>IF(SUMIFS('TABLERO DIARIO'!$I56:$ZZ56,'TABLERO DIARIO'!$I$2:$ZZ$2,"&gt;="&amp;DATE(2025,MONTH(AE$2),1),'TABLERO DIARIO'!$I$2:$ZZ$2,"&lt;="&amp;EOMONTH(AE$2,0))=0,"-",SUMIFS('TABLERO DIARIO'!$I56:$ZZ56,'TABLERO DIARIO'!$I$2:$ZZ$2,"&gt;="&amp;DATE(2025,MONTH(AE$2),1),'TABLERO DIARIO'!$I$2:$ZZ$2,"&lt;="&amp;EOMONTH(AE$2,0)))</f>
        <v>-</v>
      </c>
      <c r="AF186" s="103">
        <f>IF(SUMIFS('TABLERO DIARIO'!$I56:$ZZ56,'TABLERO DIARIO'!$I$2:$ZZ$2,"&gt;="&amp;DATE(2025,MONTH(AF$2),1),'TABLERO DIARIO'!$I$2:$ZZ$2,"&lt;="&amp;EOMONTH(AF$2,0))=0,"-",SUMIFS('TABLERO DIARIO'!$I56:$ZZ56,'TABLERO DIARIO'!$I$2:$ZZ$2,"&gt;="&amp;DATE(2025,MONTH(AF$2),1),'TABLERO DIARIO'!$I$2:$ZZ$2,"&lt;="&amp;EOMONTH(AF$2,0)))</f>
        <v>2</v>
      </c>
      <c r="AG186" s="103" t="str">
        <f>IF(SUMIFS('TABLERO DIARIO'!$I56:$ZZ56,'TABLERO DIARIO'!$I$2:$ZZ$2,"&gt;="&amp;DATE(2025,MONTH(AG$2),1),'TABLERO DIARIO'!$I$2:$ZZ$2,"&lt;="&amp;EOMONTH(AG$2,0))=0,"-",SUMIFS('TABLERO DIARIO'!$I56:$ZZ56,'TABLERO DIARIO'!$I$2:$ZZ$2,"&gt;="&amp;DATE(2025,MONTH(AG$2),1),'TABLERO DIARIO'!$I$2:$ZZ$2,"&lt;="&amp;EOMONTH(AG$2,0)))</f>
        <v>-</v>
      </c>
      <c r="AH186" s="103" t="str">
        <f>IF(SUMIFS('TABLERO DIARIO'!$I56:$ZZ56,'TABLERO DIARIO'!$I$2:$ZZ$2,"&gt;="&amp;DATE(2025,MONTH(AH$2),1),'TABLERO DIARIO'!$I$2:$ZZ$2,"&lt;="&amp;EOMONTH(AH$2,0))=0,"-",SUMIFS('TABLERO DIARIO'!$I56:$ZZ56,'TABLERO DIARIO'!$I$2:$ZZ$2,"&gt;="&amp;DATE(2025,MONTH(AH$2),1),'TABLERO DIARIO'!$I$2:$ZZ$2,"&lt;="&amp;EOMONTH(AH$2,0)))</f>
        <v>-</v>
      </c>
      <c r="AI186" s="103" t="str">
        <f>IF(SUMIFS('TABLERO DIARIO'!$I56:$ZZ56,'TABLERO DIARIO'!$I$2:$ZZ$2,"&gt;="&amp;DATE(2025,MONTH(AI$2),1),'TABLERO DIARIO'!$I$2:$ZZ$2,"&lt;="&amp;EOMONTH(AI$2,0))=0,"-",SUMIFS('TABLERO DIARIO'!$I56:$ZZ56,'TABLERO DIARIO'!$I$2:$ZZ$2,"&gt;="&amp;DATE(2025,MONTH(AI$2),1),'TABLERO DIARIO'!$I$2:$ZZ$2,"&lt;="&amp;EOMONTH(AI$2,0)))</f>
        <v>-</v>
      </c>
      <c r="AJ186" s="652" t="str">
        <f>IF(SUMIFS('TABLERO DIARIO'!$I56:$ABL56,'TABLERO DIARIO'!$I$2:$ABL$2,"&gt;="&amp;DATE(2025,MONTH(AJ$2),1),'TABLERO DIARIO'!$I$2:$ABL$2,"&lt;="&amp;EOMONTH(AJ$2,0))=0,"-",SUMIFS('TABLERO DIARIO'!$I56:$ABL56,'TABLERO DIARIO'!$I$2:$ABL$2,"&gt;="&amp;DATE(2025,MONTH(AJ$2),1),'TABLERO DIARIO'!$I$2:$ABL$2,"&lt;="&amp;EOMONTH(AJ$2,0)))</f>
        <v>-</v>
      </c>
      <c r="AK186" s="103" t="str">
        <f>IF(SUMIFS('TABLERO DIARIO'!$ABF$56:$AEV$56,'TABLERO DIARIO'!$ABF$2:$AEV$2,"&gt;="&amp;DATE(2025,MONTH(AK$2),1),'TABLERO DIARIO'!$ABF$2:$AEV$2,"&lt;="&amp;EOMONTH(AK$2,0))=0,"-",SUMIFS('TABLERO DIARIO'!$ABF$56:$AEV$56,'TABLERO DIARIO'!$ABF$2:$AEV$2,"&gt;="&amp;DATE(2025,MONTH(AK$2),1),'TABLERO DIARIO'!$ABF$2:$AEV$2,"&lt;="&amp;EOMONTH(AK$2,0)))</f>
        <v>-</v>
      </c>
      <c r="AL186" s="103" t="str">
        <f>IF(SUMIFS('TABLERO DIARIO'!$AEV$56:$AII$56,'TABLERO DIARIO'!$AEV$2:$AII$2,"&gt;="&amp;DATE(2025,MONTH(AL$2),1),'TABLERO DIARIO'!$AEV$2:$AII$2,"&lt;="&amp;EOMONTH(AL$2,0))=0,"-",SUMIFS('TABLERO DIARIO'!$AEV$56:$AII$56,'TABLERO DIARIO'!$AEV$2:$AII$2,"&gt;="&amp;DATE(2025,MONTH(AL$2),1),'TABLERO DIARIO'!$AEV$2:$AII$2,"&lt;="&amp;EOMONTH(AL$2,0)))</f>
        <v>-</v>
      </c>
      <c r="AM186" s="146" t="str">
        <f>IF(SUMIFS('TABLERO DIARIO'!$AIA$56:$AMA$56,'TABLERO DIARIO'!$AIA$2:$AMA$2,"&gt;="&amp;DATE(2025,MONTH(AM$2),1),'TABLERO DIARIO'!$AIA$2:$AMA$2,"&lt;="&amp;EOMONTH(AM$2,0))=0,"-",SUMIFS('TABLERO DIARIO'!$AIA$56:$AMA$56,'TABLERO DIARIO'!$AIA$2:$AMA$2,"&gt;="&amp;DATE(2025,MONTH(AM$2),1),'TABLERO DIARIO'!$AIA$2:$AMA$2,"&lt;="&amp;EOMONTH(AM$2,0)))</f>
        <v>-</v>
      </c>
      <c r="AN186" s="125">
        <f>IF(SUMIFS('TABLERO DIARIO'!$ALW$56:$ASW$56,'TABLERO DIARIO'!$ALW$2:$ASW$2,"&gt;="&amp;DATE(2026,MONTH(AN$2),1),'TABLERO DIARIO'!$ALW$2:$ASW$2,"&lt;="&amp;EOMONTH(AN$2,0))=0,"-",SUMIFS('TABLERO DIARIO'!$ALW$56:$ASW$56,'TABLERO DIARIO'!$ALW$2:$ASW$2,"&gt;="&amp;DATE(2026,MONTH(AN$2),1),'TABLERO DIARIO'!$ALW$2:$ASW$2,"&lt;="&amp;EOMONTH(AN$2,0)))</f>
        <v>4</v>
      </c>
      <c r="AO186" s="103">
        <f>IF(SUMIFS('TABLERO DIARIO'!$ALW$56:$AWW$56,'TABLERO DIARIO'!$ALW$2:$AWW$2,"&gt;="&amp;DATE(2026,MONTH(AO$2),1),'TABLERO DIARIO'!$ALW$2:$AWW$2,"&lt;="&amp;EOMONTH(AO$2,0))=0,"-",SUMIFS('TABLERO DIARIO'!$ALW$56:$AWW$56,'TABLERO DIARIO'!$ALW$2:$AWW$2,"&gt;="&amp;DATE(2026,MONTH(AO$2),1),'TABLERO DIARIO'!$ALW$2:$AWW$2,"&lt;="&amp;EOMONTH(AO$2,0)))</f>
        <v>1</v>
      </c>
      <c r="AP186" s="103"/>
      <c r="AQ186" s="103"/>
      <c r="AR186" s="103"/>
      <c r="AS186" s="103"/>
      <c r="AT186" s="103"/>
      <c r="AU186" s="103"/>
      <c r="AV186" s="652"/>
      <c r="AW186" s="103"/>
      <c r="AX186" s="103"/>
      <c r="AY186" s="146"/>
      <c r="AZ186" s="438"/>
      <c r="BA186" s="457" t="str">
        <f t="shared" si="47"/>
        <v>-</v>
      </c>
      <c r="BB186" s="103" t="str">
        <f t="shared" si="48"/>
        <v>-</v>
      </c>
      <c r="BC186" s="462">
        <f t="shared" si="33"/>
        <v>2.6666666666666665</v>
      </c>
    </row>
    <row r="187" spans="1:55" ht="16">
      <c r="A187" s="93"/>
      <c r="B187" s="100" t="s">
        <v>273</v>
      </c>
      <c r="C187" s="99" t="s">
        <v>153</v>
      </c>
      <c r="D187" s="166" t="s">
        <v>20</v>
      </c>
      <c r="E187" s="164" t="s">
        <v>20</v>
      </c>
      <c r="F187" s="164" t="s">
        <v>20</v>
      </c>
      <c r="G187" s="164" t="s">
        <v>20</v>
      </c>
      <c r="H187" s="164" t="s">
        <v>20</v>
      </c>
      <c r="I187" s="164" t="s">
        <v>20</v>
      </c>
      <c r="J187" s="164" t="s">
        <v>20</v>
      </c>
      <c r="K187" s="164" t="s">
        <v>20</v>
      </c>
      <c r="L187" s="164" t="s">
        <v>20</v>
      </c>
      <c r="M187" s="164" t="s">
        <v>20</v>
      </c>
      <c r="N187" s="164" t="s">
        <v>20</v>
      </c>
      <c r="O187" s="167" t="s">
        <v>20</v>
      </c>
      <c r="P187" s="166" t="s">
        <v>20</v>
      </c>
      <c r="Q187" s="164" t="s">
        <v>20</v>
      </c>
      <c r="R187" s="164" t="s">
        <v>20</v>
      </c>
      <c r="S187" s="164" t="s">
        <v>20</v>
      </c>
      <c r="T187" s="164" t="s">
        <v>20</v>
      </c>
      <c r="U187" s="164" t="s">
        <v>20</v>
      </c>
      <c r="V187" s="164" t="s">
        <v>20</v>
      </c>
      <c r="W187" s="164" t="s">
        <v>20</v>
      </c>
      <c r="X187" s="164" t="s">
        <v>20</v>
      </c>
      <c r="Y187" s="164" t="s">
        <v>20</v>
      </c>
      <c r="Z187" s="164" t="s">
        <v>20</v>
      </c>
      <c r="AA187" s="167" t="s">
        <v>20</v>
      </c>
      <c r="AB187" s="166" t="str">
        <f>IF(SUMIFS('TABLERO DIARIO'!$I57:$ZZ57,'TABLERO DIARIO'!$I$2:$ZZ$2,"&gt;="&amp;DATE(2025,MONTH(AB$2),1),'TABLERO DIARIO'!$I$2:$ZZ$2,"&lt;="&amp;EOMONTH(AB$2,0))=0,"-",SUMIFS('TABLERO DIARIO'!$I57:$ZZ57,'TABLERO DIARIO'!$I$2:$ZZ$2,"&gt;="&amp;DATE(2025,MONTH(AB$2),1),'TABLERO DIARIO'!$I$2:$ZZ$2,"&lt;="&amp;EOMONTH(AB$2,0)))</f>
        <v>-</v>
      </c>
      <c r="AC187" s="164">
        <f>IF(SUMIFS('TABLERO DIARIO'!$I57:$ZZ57,'TABLERO DIARIO'!$I$2:$ZZ$2,"&gt;="&amp;DATE(2025,MONTH(AC$2),1),'TABLERO DIARIO'!$I$2:$ZZ$2,"&lt;="&amp;EOMONTH(AC$2,0))=0,"-",SUMIFS('TABLERO DIARIO'!$I57:$ZZ57,'TABLERO DIARIO'!$I$2:$ZZ$2,"&gt;="&amp;DATE(2025,MONTH(AC$2),1),'TABLERO DIARIO'!$I$2:$ZZ$2,"&lt;="&amp;EOMONTH(AC$2,0)))</f>
        <v>3</v>
      </c>
      <c r="AD187" s="103">
        <f>IF(SUMIFS('TABLERO DIARIO'!$I57:$ZZ57,'TABLERO DIARIO'!$I$2:$ZZ$2,"&gt;="&amp;DATE(2025,MONTH(AD$2),1),'TABLERO DIARIO'!$I$2:$ZZ$2,"&lt;="&amp;EOMONTH(AD$2,0))=0,"-",SUMIFS('TABLERO DIARIO'!$I57:$ZZ57,'TABLERO DIARIO'!$I$2:$ZZ$2,"&gt;="&amp;DATE(2025,MONTH(AD$2),1),'TABLERO DIARIO'!$I$2:$ZZ$2,"&lt;="&amp;EOMONTH(AD$2,0)))</f>
        <v>26</v>
      </c>
      <c r="AE187" s="103">
        <f>IF(SUMIFS('TABLERO DIARIO'!$I57:$ZZ57,'TABLERO DIARIO'!$I$2:$ZZ$2,"&gt;="&amp;DATE(2025,MONTH(AE$2),1),'TABLERO DIARIO'!$I$2:$ZZ$2,"&lt;="&amp;EOMONTH(AE$2,0))=0,"-",SUMIFS('TABLERO DIARIO'!$I57:$ZZ57,'TABLERO DIARIO'!$I$2:$ZZ$2,"&gt;="&amp;DATE(2025,MONTH(AE$2),1),'TABLERO DIARIO'!$I$2:$ZZ$2,"&lt;="&amp;EOMONTH(AE$2,0)))</f>
        <v>13</v>
      </c>
      <c r="AF187" s="103">
        <f>IF(SUMIFS('TABLERO DIARIO'!$I57:$ZZ57,'TABLERO DIARIO'!$I$2:$ZZ$2,"&gt;="&amp;DATE(2025,MONTH(AF$2),1),'TABLERO DIARIO'!$I$2:$ZZ$2,"&lt;="&amp;EOMONTH(AF$2,0))=0,"-",SUMIFS('TABLERO DIARIO'!$I57:$ZZ57,'TABLERO DIARIO'!$I$2:$ZZ$2,"&gt;="&amp;DATE(2025,MONTH(AF$2),1),'TABLERO DIARIO'!$I$2:$ZZ$2,"&lt;="&amp;EOMONTH(AF$2,0)))</f>
        <v>8</v>
      </c>
      <c r="AG187" s="103">
        <f>IF(SUMIFS('TABLERO DIARIO'!$I57:$ZZ57,'TABLERO DIARIO'!$I$2:$ZZ$2,"&gt;="&amp;DATE(2025,MONTH(AG$2),1),'TABLERO DIARIO'!$I$2:$ZZ$2,"&lt;="&amp;EOMONTH(AG$2,0))=0,"-",SUMIFS('TABLERO DIARIO'!$I57:$ZZ57,'TABLERO DIARIO'!$I$2:$ZZ$2,"&gt;="&amp;DATE(2025,MONTH(AG$2),1),'TABLERO DIARIO'!$I$2:$ZZ$2,"&lt;="&amp;EOMONTH(AG$2,0)))</f>
        <v>3</v>
      </c>
      <c r="AH187" s="103">
        <f>IF(SUMIFS('TABLERO DIARIO'!$I57:$ZZ57,'TABLERO DIARIO'!$I$2:$ZZ$2,"&gt;="&amp;DATE(2025,MONTH(AH$2),1),'TABLERO DIARIO'!$I$2:$ZZ$2,"&lt;="&amp;EOMONTH(AH$2,0))=0,"-",SUMIFS('TABLERO DIARIO'!$I57:$ZZ57,'TABLERO DIARIO'!$I$2:$ZZ$2,"&gt;="&amp;DATE(2025,MONTH(AH$2),1),'TABLERO DIARIO'!$I$2:$ZZ$2,"&lt;="&amp;EOMONTH(AH$2,0)))</f>
        <v>18</v>
      </c>
      <c r="AI187" s="103">
        <f>IF(SUMIFS('TABLERO DIARIO'!$I57:$ZZ57,'TABLERO DIARIO'!$I$2:$ZZ$2,"&gt;="&amp;DATE(2025,MONTH(AI$2),1),'TABLERO DIARIO'!$I$2:$ZZ$2,"&lt;="&amp;EOMONTH(AI$2,0))=0,"-",SUMIFS('TABLERO DIARIO'!$I57:$ZZ57,'TABLERO DIARIO'!$I$2:$ZZ$2,"&gt;="&amp;DATE(2025,MONTH(AI$2),1),'TABLERO DIARIO'!$I$2:$ZZ$2,"&lt;="&amp;EOMONTH(AI$2,0)))</f>
        <v>12</v>
      </c>
      <c r="AJ187" s="103">
        <f>IF(SUMIFS('TABLERO DIARIO'!$I57:$ABL57,'TABLERO DIARIO'!$I$2:$ABL$2,"&gt;="&amp;DATE(2025,MONTH(AJ$2),1),'TABLERO DIARIO'!$I$2:$ABL$2,"&lt;="&amp;EOMONTH(AJ$2,0))=0,"-",SUMIFS('TABLERO DIARIO'!$I57:$ABL57,'TABLERO DIARIO'!$I$2:$ABL$2,"&gt;="&amp;DATE(2025,MONTH(AJ$2),1),'TABLERO DIARIO'!$I$2:$ABL$2,"&lt;="&amp;EOMONTH(AJ$2,0)))</f>
        <v>7</v>
      </c>
      <c r="AK187" s="103">
        <f>IF(SUMIFS('TABLERO DIARIO'!$ABF$57:$AEV$57,'TABLERO DIARIO'!$ABF$2:$AEV$2,"&gt;="&amp;DATE(2025,MONTH(AK$2),1),'TABLERO DIARIO'!$ABF$2:$AEV$2,"&lt;="&amp;EOMONTH(AK$2,0))=0,"-",SUMIFS('TABLERO DIARIO'!$ABF$57:$AEV$57,'TABLERO DIARIO'!$ABF$2:$AEV$2,"&gt;="&amp;DATE(2025,MONTH(AK$2),1),'TABLERO DIARIO'!$ABF$2:$AEV$2,"&lt;="&amp;EOMONTH(AK$2,0)))</f>
        <v>1</v>
      </c>
      <c r="AL187" s="103" t="str">
        <f>IF(SUMIFS('TABLERO DIARIO'!$AEV$57:$AII$57,'TABLERO DIARIO'!$AEV$2:$AII$2,"&gt;="&amp;DATE(2025,MONTH(AL$2),1),'TABLERO DIARIO'!$AEV$2:$AII$2,"&lt;="&amp;EOMONTH(AL$2,0))=0,"-",SUMIFS('TABLERO DIARIO'!$AEV$57:$AII$57,'TABLERO DIARIO'!$AEV$2:$AII$2,"&gt;="&amp;DATE(2025,MONTH(AL$2),1),'TABLERO DIARIO'!$AEV$2:$AII$2,"&lt;="&amp;EOMONTH(AL$2,0)))</f>
        <v>-</v>
      </c>
      <c r="AM187" s="146" t="str">
        <f>IF(SUMIFS('TABLERO DIARIO'!$AIA$57:$AMA$57,'TABLERO DIARIO'!$AIA$2:$AMA$2,"&gt;="&amp;DATE(2025,MONTH(AM$2),1),'TABLERO DIARIO'!$AIA$2:$AMA$2,"&lt;="&amp;EOMONTH(AM$2,0))=0,"-",SUMIFS('TABLERO DIARIO'!$AIA$57:$AMA$57,'TABLERO DIARIO'!$AIA$2:$AMA$2,"&gt;="&amp;DATE(2025,MONTH(AM$2),1),'TABLERO DIARIO'!$AIA$2:$AMA$2,"&lt;="&amp;EOMONTH(AM$2,0)))</f>
        <v>-</v>
      </c>
      <c r="AN187" s="125">
        <f>IF(SUMIFS('TABLERO DIARIO'!$ALW$57:$ASW$57,'TABLERO DIARIO'!$ALW$2:$ASW$2,"&gt;="&amp;DATE(2026,MONTH(AN$2),1),'TABLERO DIARIO'!$ALW$2:$ASW$2,"&lt;="&amp;EOMONTH(AN$2,0))=0,"-",SUMIFS('TABLERO DIARIO'!$ALW$57:$ASW$57,'TABLERO DIARIO'!$ALW$2:$ASW$2,"&gt;="&amp;DATE(2026,MONTH(AN$2),1),'TABLERO DIARIO'!$ALW$2:$ASW$2,"&lt;="&amp;EOMONTH(AN$2,0)))</f>
        <v>1</v>
      </c>
      <c r="AO187" s="103">
        <f>IF(SUMIFS('TABLERO DIARIO'!$ALW$57:$AWW$57,'TABLERO DIARIO'!$ALW$2:$AWW$2,"&gt;="&amp;DATE(2026,MONTH(AO$2),1),'TABLERO DIARIO'!$ALW$2:$AWW$2,"&lt;="&amp;EOMONTH(AO$2,0))=0,"-",SUMIFS('TABLERO DIARIO'!$ALW$57:$AWW$57,'TABLERO DIARIO'!$ALW$2:$AWW$2,"&gt;="&amp;DATE(2026,MONTH(AO$2),1),'TABLERO DIARIO'!$ALW$2:$AWW$2,"&lt;="&amp;EOMONTH(AO$2,0)))</f>
        <v>18</v>
      </c>
      <c r="AP187" s="103"/>
      <c r="AQ187" s="103"/>
      <c r="AR187" s="103"/>
      <c r="AS187" s="103"/>
      <c r="AT187" s="103"/>
      <c r="AU187" s="103"/>
      <c r="AV187" s="103"/>
      <c r="AW187" s="103"/>
      <c r="AX187" s="103"/>
      <c r="AY187" s="146"/>
      <c r="AZ187" s="438"/>
      <c r="BA187" s="457" t="str">
        <f t="shared" si="47"/>
        <v>-</v>
      </c>
      <c r="BB187" s="103" t="str">
        <f t="shared" si="48"/>
        <v>-</v>
      </c>
      <c r="BC187" s="462">
        <f t="shared" si="33"/>
        <v>10.111111111111111</v>
      </c>
    </row>
    <row r="188" spans="1:55" ht="16">
      <c r="A188" s="93"/>
      <c r="B188" s="100" t="s">
        <v>274</v>
      </c>
      <c r="C188" s="99" t="s">
        <v>153</v>
      </c>
      <c r="D188" s="166" t="s">
        <v>20</v>
      </c>
      <c r="E188" s="164" t="s">
        <v>20</v>
      </c>
      <c r="F188" s="164" t="s">
        <v>20</v>
      </c>
      <c r="G188" s="164" t="s">
        <v>20</v>
      </c>
      <c r="H188" s="164" t="s">
        <v>20</v>
      </c>
      <c r="I188" s="164" t="s">
        <v>20</v>
      </c>
      <c r="J188" s="164" t="s">
        <v>20</v>
      </c>
      <c r="K188" s="164" t="s">
        <v>20</v>
      </c>
      <c r="L188" s="164" t="s">
        <v>20</v>
      </c>
      <c r="M188" s="164" t="s">
        <v>20</v>
      </c>
      <c r="N188" s="164" t="s">
        <v>20</v>
      </c>
      <c r="O188" s="167" t="s">
        <v>20</v>
      </c>
      <c r="P188" s="166" t="s">
        <v>20</v>
      </c>
      <c r="Q188" s="164" t="s">
        <v>20</v>
      </c>
      <c r="R188" s="164" t="s">
        <v>20</v>
      </c>
      <c r="S188" s="164" t="s">
        <v>20</v>
      </c>
      <c r="T188" s="164" t="s">
        <v>20</v>
      </c>
      <c r="U188" s="164" t="s">
        <v>20</v>
      </c>
      <c r="V188" s="164" t="s">
        <v>20</v>
      </c>
      <c r="W188" s="164" t="s">
        <v>20</v>
      </c>
      <c r="X188" s="164" t="s">
        <v>20</v>
      </c>
      <c r="Y188" s="164" t="s">
        <v>20</v>
      </c>
      <c r="Z188" s="164" t="s">
        <v>20</v>
      </c>
      <c r="AA188" s="167" t="s">
        <v>20</v>
      </c>
      <c r="AB188" s="166" t="str">
        <f>IF(SUMIFS('TABLERO DIARIO'!$I58:$ZZ58,'TABLERO DIARIO'!$I$2:$ZZ$2,"&gt;="&amp;DATE(2025,MONTH(AB$2),1),'TABLERO DIARIO'!$I$2:$ZZ$2,"&lt;="&amp;EOMONTH(AB$2,0))=0,"-",SUMIFS('TABLERO DIARIO'!$I58:$ZZ58,'TABLERO DIARIO'!$I$2:$ZZ$2,"&gt;="&amp;DATE(2025,MONTH(AB$2),1),'TABLERO DIARIO'!$I$2:$ZZ$2,"&lt;="&amp;EOMONTH(AB$2,0)))</f>
        <v>-</v>
      </c>
      <c r="AC188" s="164" t="str">
        <f>IF(SUMIFS('TABLERO DIARIO'!$I58:$ZZ58,'TABLERO DIARIO'!$I$2:$ZZ$2,"&gt;="&amp;DATE(2025,MONTH(AC$2),1),'TABLERO DIARIO'!$I$2:$ZZ$2,"&lt;="&amp;EOMONTH(AC$2,0))=0,"-",SUMIFS('TABLERO DIARIO'!$I58:$ZZ58,'TABLERO DIARIO'!$I$2:$ZZ$2,"&gt;="&amp;DATE(2025,MONTH(AC$2),1),'TABLERO DIARIO'!$I$2:$ZZ$2,"&lt;="&amp;EOMONTH(AC$2,0)))</f>
        <v>-</v>
      </c>
      <c r="AD188" s="103" t="str">
        <f>IF(SUMIFS('TABLERO DIARIO'!$I58:$ZZ58,'TABLERO DIARIO'!$I$2:$ZZ$2,"&gt;="&amp;DATE(2025,MONTH(AD$2),1),'TABLERO DIARIO'!$I$2:$ZZ$2,"&lt;="&amp;EOMONTH(AD$2,0))=0,"-",SUMIFS('TABLERO DIARIO'!$I58:$ZZ58,'TABLERO DIARIO'!$I$2:$ZZ$2,"&gt;="&amp;DATE(2025,MONTH(AD$2),1),'TABLERO DIARIO'!$I$2:$ZZ$2,"&lt;="&amp;EOMONTH(AD$2,0)))</f>
        <v>-</v>
      </c>
      <c r="AE188" s="103" t="str">
        <f>IF(SUMIFS('TABLERO DIARIO'!$I58:$ZZ58,'TABLERO DIARIO'!$I$2:$ZZ$2,"&gt;="&amp;DATE(2025,MONTH(AE$2),1),'TABLERO DIARIO'!$I$2:$ZZ$2,"&lt;="&amp;EOMONTH(AE$2,0))=0,"-",SUMIFS('TABLERO DIARIO'!$I58:$ZZ58,'TABLERO DIARIO'!$I$2:$ZZ$2,"&gt;="&amp;DATE(2025,MONTH(AE$2),1),'TABLERO DIARIO'!$I$2:$ZZ$2,"&lt;="&amp;EOMONTH(AE$2,0)))</f>
        <v>-</v>
      </c>
      <c r="AF188" s="103" t="str">
        <f>IF(SUMIFS('TABLERO DIARIO'!$I58:$ZZ58,'TABLERO DIARIO'!$I$2:$ZZ$2,"&gt;="&amp;DATE(2025,MONTH(AF$2),1),'TABLERO DIARIO'!$I$2:$ZZ$2,"&lt;="&amp;EOMONTH(AF$2,0))=0,"-",SUMIFS('TABLERO DIARIO'!$I58:$ZZ58,'TABLERO DIARIO'!$I$2:$ZZ$2,"&gt;="&amp;DATE(2025,MONTH(AF$2),1),'TABLERO DIARIO'!$I$2:$ZZ$2,"&lt;="&amp;EOMONTH(AF$2,0)))</f>
        <v>-</v>
      </c>
      <c r="AG188" s="103" t="str">
        <f>IF(SUMIFS('TABLERO DIARIO'!$I58:$ZZ58,'TABLERO DIARIO'!$I$2:$ZZ$2,"&gt;="&amp;DATE(2025,MONTH(AG$2),1),'TABLERO DIARIO'!$I$2:$ZZ$2,"&lt;="&amp;EOMONTH(AG$2,0))=0,"-",SUMIFS('TABLERO DIARIO'!$I58:$ZZ58,'TABLERO DIARIO'!$I$2:$ZZ$2,"&gt;="&amp;DATE(2025,MONTH(AG$2),1),'TABLERO DIARIO'!$I$2:$ZZ$2,"&lt;="&amp;EOMONTH(AG$2,0)))</f>
        <v>-</v>
      </c>
      <c r="AH188" s="103" t="str">
        <f>IF(SUMIFS('TABLERO DIARIO'!$I58:$ZZ58,'TABLERO DIARIO'!$I$2:$ZZ$2,"&gt;="&amp;DATE(2025,MONTH(AH$2),1),'TABLERO DIARIO'!$I$2:$ZZ$2,"&lt;="&amp;EOMONTH(AH$2,0))=0,"-",SUMIFS('TABLERO DIARIO'!$I58:$ZZ58,'TABLERO DIARIO'!$I$2:$ZZ$2,"&gt;="&amp;DATE(2025,MONTH(AH$2),1),'TABLERO DIARIO'!$I$2:$ZZ$2,"&lt;="&amp;EOMONTH(AH$2,0)))</f>
        <v>-</v>
      </c>
      <c r="AI188" s="103">
        <f>IF(SUMIFS('TABLERO DIARIO'!$I58:$ZZ58,'TABLERO DIARIO'!$I$2:$ZZ$2,"&gt;="&amp;DATE(2025,MONTH(AI$2),1),'TABLERO DIARIO'!$I$2:$ZZ$2,"&lt;="&amp;EOMONTH(AI$2,0))=0,"-",SUMIFS('TABLERO DIARIO'!$I58:$ZZ58,'TABLERO DIARIO'!$I$2:$ZZ$2,"&gt;="&amp;DATE(2025,MONTH(AI$2),1),'TABLERO DIARIO'!$I$2:$ZZ$2,"&lt;="&amp;EOMONTH(AI$2,0)))</f>
        <v>2</v>
      </c>
      <c r="AJ188" s="103">
        <f>IF(SUMIFS('TABLERO DIARIO'!$I58:$ABL58,'TABLERO DIARIO'!$I$2:$ABL$2,"&gt;="&amp;DATE(2025,MONTH(AJ$2),1),'TABLERO DIARIO'!$I$2:$ABL$2,"&lt;="&amp;EOMONTH(AJ$2,0))=0,"-",SUMIFS('TABLERO DIARIO'!$I58:$ABL58,'TABLERO DIARIO'!$I$2:$ABL$2,"&gt;="&amp;DATE(2025,MONTH(AJ$2),1),'TABLERO DIARIO'!$I$2:$ABL$2,"&lt;="&amp;EOMONTH(AJ$2,0)))</f>
        <v>2</v>
      </c>
      <c r="AK188" s="103">
        <f>IF(SUMIFS('TABLERO DIARIO'!$ABF$58:$AEV$58,'TABLERO DIARIO'!$ABF$2:$AEV$2,"&gt;="&amp;DATE(2025,MONTH(AK$2),1),'TABLERO DIARIO'!$ABF$2:$AEV$2,"&lt;="&amp;EOMONTH(AK$2,0))=0,"-",SUMIFS('TABLERO DIARIO'!$ABF$58:$AEV$58,'TABLERO DIARIO'!$ABF$2:$AEV$2,"&gt;="&amp;DATE(2025,MONTH(AK$2),1),'TABLERO DIARIO'!$ABF$2:$AEV$2,"&lt;="&amp;EOMONTH(AK$2,0)))</f>
        <v>7</v>
      </c>
      <c r="AL188" s="103">
        <f>IF(SUMIFS('TABLERO DIARIO'!$AEV$58:$AII$58,'TABLERO DIARIO'!$AEV$2:$AII$2,"&gt;="&amp;DATE(2025,MONTH(AL$2),1),'TABLERO DIARIO'!$AEV$2:$AII$2,"&lt;="&amp;EOMONTH(AL$2,0))=0,"-",SUMIFS('TABLERO DIARIO'!$AEV$58:$AII$58,'TABLERO DIARIO'!$AEV$2:$AII$2,"&gt;="&amp;DATE(2025,MONTH(AL$2),1),'TABLERO DIARIO'!$AEV$2:$AII$2,"&lt;="&amp;EOMONTH(AL$2,0)))</f>
        <v>5</v>
      </c>
      <c r="AM188" s="146">
        <f>IF(SUMIFS('TABLERO DIARIO'!$AIA$58:$AMA$58,'TABLERO DIARIO'!$AIA$2:$AMA$2,"&gt;="&amp;DATE(2025,MONTH(AM$2),1),'TABLERO DIARIO'!$AIA$2:$AMA$2,"&lt;="&amp;EOMONTH(AM$2,0))=0,"-",SUMIFS('TABLERO DIARIO'!$AIA$58:$AMA$58,'TABLERO DIARIO'!$AIA$2:$AMA$2,"&gt;="&amp;DATE(2025,MONTH(AM$2),1),'TABLERO DIARIO'!$AIA$2:$AMA$2,"&lt;="&amp;EOMONTH(AM$2,0)))</f>
        <v>3</v>
      </c>
      <c r="AN188" s="125">
        <f>IF(SUMIFS('TABLERO DIARIO'!$ALW$58:$ASW$58,'TABLERO DIARIO'!$ALW$2:$ASW$2,"&gt;="&amp;DATE(2026,MONTH(AN$2),1),'TABLERO DIARIO'!$ALW$2:$ASW$2,"&lt;="&amp;EOMONTH(AN$2,0))=0,"-",SUMIFS('TABLERO DIARIO'!$ALW$58:$ASW$58,'TABLERO DIARIO'!$ALW$2:$ASW$2,"&gt;="&amp;DATE(2026,MONTH(AN$2),1),'TABLERO DIARIO'!$ALW$2:$ASW$2,"&lt;="&amp;EOMONTH(AN$2,0)))</f>
        <v>5</v>
      </c>
      <c r="AO188" s="103" t="str">
        <f>IF(SUMIFS('TABLERO DIARIO'!$ALW$58:$AWW$58,'TABLERO DIARIO'!$ALW$2:$AWW$2,"&gt;="&amp;DATE(2026,MONTH(AO$2),1),'TABLERO DIARIO'!$ALW$2:$AWW$2,"&lt;="&amp;EOMONTH(AO$2,0))=0,"-",SUMIFS('TABLERO DIARIO'!$ALW$58:$AWW$58,'TABLERO DIARIO'!$ALW$2:$AWW$2,"&gt;="&amp;DATE(2026,MONTH(AO$2),1),'TABLERO DIARIO'!$ALW$2:$AWW$2,"&lt;="&amp;EOMONTH(AO$2,0)))</f>
        <v>-</v>
      </c>
      <c r="AP188" s="103"/>
      <c r="AQ188" s="103"/>
      <c r="AR188" s="103"/>
      <c r="AS188" s="103"/>
      <c r="AT188" s="103"/>
      <c r="AU188" s="103"/>
      <c r="AV188" s="103"/>
      <c r="AW188" s="103"/>
      <c r="AX188" s="103"/>
      <c r="AY188" s="146"/>
      <c r="AZ188" s="438"/>
      <c r="BA188" s="457" t="str">
        <f t="shared" si="47"/>
        <v>-</v>
      </c>
      <c r="BB188" s="103" t="str">
        <f t="shared" si="48"/>
        <v>-</v>
      </c>
      <c r="BC188" s="462">
        <f t="shared" si="33"/>
        <v>3.8</v>
      </c>
    </row>
    <row r="189" spans="1:55" ht="16">
      <c r="A189" s="93"/>
      <c r="B189" s="100" t="s">
        <v>275</v>
      </c>
      <c r="C189" s="99" t="s">
        <v>153</v>
      </c>
      <c r="D189" s="166" t="s">
        <v>20</v>
      </c>
      <c r="E189" s="164" t="s">
        <v>20</v>
      </c>
      <c r="F189" s="164" t="s">
        <v>20</v>
      </c>
      <c r="G189" s="164" t="s">
        <v>20</v>
      </c>
      <c r="H189" s="164" t="s">
        <v>20</v>
      </c>
      <c r="I189" s="164" t="s">
        <v>20</v>
      </c>
      <c r="J189" s="164" t="s">
        <v>20</v>
      </c>
      <c r="K189" s="164" t="s">
        <v>20</v>
      </c>
      <c r="L189" s="164" t="s">
        <v>20</v>
      </c>
      <c r="M189" s="164" t="s">
        <v>20</v>
      </c>
      <c r="N189" s="164" t="s">
        <v>20</v>
      </c>
      <c r="O189" s="167" t="s">
        <v>20</v>
      </c>
      <c r="P189" s="166" t="s">
        <v>20</v>
      </c>
      <c r="Q189" s="164" t="s">
        <v>20</v>
      </c>
      <c r="R189" s="164" t="s">
        <v>20</v>
      </c>
      <c r="S189" s="164" t="s">
        <v>20</v>
      </c>
      <c r="T189" s="164" t="s">
        <v>20</v>
      </c>
      <c r="U189" s="164" t="s">
        <v>20</v>
      </c>
      <c r="V189" s="164" t="s">
        <v>20</v>
      </c>
      <c r="W189" s="164" t="s">
        <v>20</v>
      </c>
      <c r="X189" s="164" t="s">
        <v>20</v>
      </c>
      <c r="Y189" s="164" t="s">
        <v>20</v>
      </c>
      <c r="Z189" s="164" t="s">
        <v>20</v>
      </c>
      <c r="AA189" s="167" t="s">
        <v>20</v>
      </c>
      <c r="AB189" s="166" t="str">
        <f>IF(SUMIFS('TABLERO DIARIO'!$I59:$ZZ59,'TABLERO DIARIO'!$I$2:$ZZ$2,"&gt;="&amp;DATE(2025,MONTH(AB$2),1),'TABLERO DIARIO'!$I$2:$ZZ$2,"&lt;="&amp;EOMONTH(AB$2,0))=0,"-",SUMIFS('TABLERO DIARIO'!$I59:$ZZ59,'TABLERO DIARIO'!$I$2:$ZZ$2,"&gt;="&amp;DATE(2025,MONTH(AB$2),1),'TABLERO DIARIO'!$I$2:$ZZ$2,"&lt;="&amp;EOMONTH(AB$2,0)))</f>
        <v>-</v>
      </c>
      <c r="AC189" s="164" t="str">
        <f>IF(SUMIFS('TABLERO DIARIO'!$I59:$ZZ59,'TABLERO DIARIO'!$I$2:$ZZ$2,"&gt;="&amp;DATE(2025,MONTH(AC$2),1),'TABLERO DIARIO'!$I$2:$ZZ$2,"&lt;="&amp;EOMONTH(AC$2,0))=0,"-",SUMIFS('TABLERO DIARIO'!$I59:$ZZ59,'TABLERO DIARIO'!$I$2:$ZZ$2,"&gt;="&amp;DATE(2025,MONTH(AC$2),1),'TABLERO DIARIO'!$I$2:$ZZ$2,"&lt;="&amp;EOMONTH(AC$2,0)))</f>
        <v>-</v>
      </c>
      <c r="AD189" s="103" t="str">
        <f>IF(SUMIFS('TABLERO DIARIO'!$I59:$ZZ59,'TABLERO DIARIO'!$I$2:$ZZ$2,"&gt;="&amp;DATE(2025,MONTH(AD$2),1),'TABLERO DIARIO'!$I$2:$ZZ$2,"&lt;="&amp;EOMONTH(AD$2,0))=0,"-",SUMIFS('TABLERO DIARIO'!$I59:$ZZ59,'TABLERO DIARIO'!$I$2:$ZZ$2,"&gt;="&amp;DATE(2025,MONTH(AD$2),1),'TABLERO DIARIO'!$I$2:$ZZ$2,"&lt;="&amp;EOMONTH(AD$2,0)))</f>
        <v>-</v>
      </c>
      <c r="AE189" s="103">
        <f>IF(SUMIFS('TABLERO DIARIO'!$I59:$ZZ59,'TABLERO DIARIO'!$I$2:$ZZ$2,"&gt;="&amp;DATE(2025,MONTH(AE$2),1),'TABLERO DIARIO'!$I$2:$ZZ$2,"&lt;="&amp;EOMONTH(AE$2,0))=0,"-",SUMIFS('TABLERO DIARIO'!$I59:$ZZ59,'TABLERO DIARIO'!$I$2:$ZZ$2,"&gt;="&amp;DATE(2025,MONTH(AE$2),1),'TABLERO DIARIO'!$I$2:$ZZ$2,"&lt;="&amp;EOMONTH(AE$2,0)))</f>
        <v>1</v>
      </c>
      <c r="AF189" s="103">
        <f>IF(SUMIFS('TABLERO DIARIO'!$I59:$ZZ59,'TABLERO DIARIO'!$I$2:$ZZ$2,"&gt;="&amp;DATE(2025,MONTH(AF$2),1),'TABLERO DIARIO'!$I$2:$ZZ$2,"&lt;="&amp;EOMONTH(AF$2,0))=0,"-",SUMIFS('TABLERO DIARIO'!$I59:$ZZ59,'TABLERO DIARIO'!$I$2:$ZZ$2,"&gt;="&amp;DATE(2025,MONTH(AF$2),1),'TABLERO DIARIO'!$I$2:$ZZ$2,"&lt;="&amp;EOMONTH(AF$2,0)))</f>
        <v>3</v>
      </c>
      <c r="AG189" s="103">
        <f>IF(SUMIFS('TABLERO DIARIO'!$I59:$ZZ59,'TABLERO DIARIO'!$I$2:$ZZ$2,"&gt;="&amp;DATE(2025,MONTH(AG$2),1),'TABLERO DIARIO'!$I$2:$ZZ$2,"&lt;="&amp;EOMONTH(AG$2,0))=0,"-",SUMIFS('TABLERO DIARIO'!$I59:$ZZ59,'TABLERO DIARIO'!$I$2:$ZZ$2,"&gt;="&amp;DATE(2025,MONTH(AG$2),1),'TABLERO DIARIO'!$I$2:$ZZ$2,"&lt;="&amp;EOMONTH(AG$2,0)))</f>
        <v>1</v>
      </c>
      <c r="AH189" s="103">
        <f>IF(SUMIFS('TABLERO DIARIO'!$I59:$ZZ59,'TABLERO DIARIO'!$I$2:$ZZ$2,"&gt;="&amp;DATE(2025,MONTH(AH$2),1),'TABLERO DIARIO'!$I$2:$ZZ$2,"&lt;="&amp;EOMONTH(AH$2,0))=0,"-",SUMIFS('TABLERO DIARIO'!$I59:$ZZ59,'TABLERO DIARIO'!$I$2:$ZZ$2,"&gt;="&amp;DATE(2025,MONTH(AH$2),1),'TABLERO DIARIO'!$I$2:$ZZ$2,"&lt;="&amp;EOMONTH(AH$2,0)))</f>
        <v>1</v>
      </c>
      <c r="AI189" s="103">
        <f>IF(SUMIFS('TABLERO DIARIO'!$I59:$ZZ59,'TABLERO DIARIO'!$I$2:$ZZ$2,"&gt;="&amp;DATE(2025,MONTH(AI$2),1),'TABLERO DIARIO'!$I$2:$ZZ$2,"&lt;="&amp;EOMONTH(AI$2,0))=0,"-",SUMIFS('TABLERO DIARIO'!$I59:$ZZ59,'TABLERO DIARIO'!$I$2:$ZZ$2,"&gt;="&amp;DATE(2025,MONTH(AI$2),1),'TABLERO DIARIO'!$I$2:$ZZ$2,"&lt;="&amp;EOMONTH(AI$2,0)))</f>
        <v>3</v>
      </c>
      <c r="AJ189" s="103">
        <f>IF(SUMIFS('TABLERO DIARIO'!$I59:$ABL59,'TABLERO DIARIO'!$I$2:$ABL$2,"&gt;="&amp;DATE(2025,MONTH(AJ$2),1),'TABLERO DIARIO'!$I$2:$ABL$2,"&lt;="&amp;EOMONTH(AJ$2,0))=0,"-",SUMIFS('TABLERO DIARIO'!$I59:$ABL59,'TABLERO DIARIO'!$I$2:$ABL$2,"&gt;="&amp;DATE(2025,MONTH(AJ$2),1),'TABLERO DIARIO'!$I$2:$ABL$2,"&lt;="&amp;EOMONTH(AJ$2,0)))</f>
        <v>2</v>
      </c>
      <c r="AK189" s="103">
        <f>IF(SUMIFS('TABLERO DIARIO'!$ABF$59:$AEV$59,'TABLERO DIARIO'!$ABF$2:$AEV$2,"&gt;="&amp;DATE(2025,MONTH(AK$2),1),'TABLERO DIARIO'!$ABF$2:$AEV$2,"&lt;="&amp;EOMONTH(AK$2,0))=0,"-",SUMIFS('TABLERO DIARIO'!$ABF$59:$AEV$59,'TABLERO DIARIO'!$ABF$2:$AEV$2,"&gt;="&amp;DATE(2025,MONTH(AK$2),1),'TABLERO DIARIO'!$ABF$2:$AEV$2,"&lt;="&amp;EOMONTH(AK$2,0)))</f>
        <v>1</v>
      </c>
      <c r="AL189" s="103" t="str">
        <f>IF(SUMIFS('TABLERO DIARIO'!$AEV$59:$AII$59,'TABLERO DIARIO'!$AEV$2:$AII$2,"&gt;="&amp;DATE(2025,MONTH(AL$2),1),'TABLERO DIARIO'!$AEV$2:$AII$2,"&lt;="&amp;EOMONTH(AL$2,0))=0,"-",SUMIFS('TABLERO DIARIO'!$AEV$59:$AII$59,'TABLERO DIARIO'!$AEV$2:$AII$2,"&gt;="&amp;DATE(2025,MONTH(AL$2),1),'TABLERO DIARIO'!$AEV$2:$AII$2,"&lt;="&amp;EOMONTH(AL$2,0)))</f>
        <v>-</v>
      </c>
      <c r="AM189" s="146">
        <f>IF(SUMIFS('TABLERO DIARIO'!$AIA$59:$AMA$59,'TABLERO DIARIO'!$AIA$2:$AMA$2,"&gt;="&amp;DATE(2025,MONTH(AM$2),1),'TABLERO DIARIO'!$AIA$2:$AMA$2,"&lt;="&amp;EOMONTH(AM$2,0))=0,"-",SUMIFS('TABLERO DIARIO'!$AIA$59:$AMA$59,'TABLERO DIARIO'!$AIA$2:$AMA$2,"&gt;="&amp;DATE(2025,MONTH(AM$2),1),'TABLERO DIARIO'!$AIA$2:$AMA$2,"&lt;="&amp;EOMONTH(AM$2,0)))</f>
        <v>4</v>
      </c>
      <c r="AN189" s="125">
        <f>IF(SUMIFS('TABLERO DIARIO'!$ALW$59:$ASW$59,'TABLERO DIARIO'!$ALW$2:$ASW$2,"&gt;="&amp;DATE(2026,MONTH(AN$2),1),'TABLERO DIARIO'!$ALW$2:$ASW$2,"&lt;="&amp;EOMONTH(AN$2,0))=0,"-",SUMIFS('TABLERO DIARIO'!$ALW$59:$ASW$59,'TABLERO DIARIO'!$ALW$2:$ASW$2,"&gt;="&amp;DATE(2026,MONTH(AN$2),1),'TABLERO DIARIO'!$ALW$2:$ASW$2,"&lt;="&amp;EOMONTH(AN$2,0)))</f>
        <v>3</v>
      </c>
      <c r="AO189" s="103" t="str">
        <f>IF(SUMIFS('TABLERO DIARIO'!$ALW$59:$AWW$59,'TABLERO DIARIO'!$ALW$2:$AWW$2,"&gt;="&amp;DATE(2026,MONTH(AO$2),1),'TABLERO DIARIO'!$ALW$2:$AWW$2,"&lt;="&amp;EOMONTH(AO$2,0))=0,"-",SUMIFS('TABLERO DIARIO'!$ALW$59:$AWW$59,'TABLERO DIARIO'!$ALW$2:$AWW$2,"&gt;="&amp;DATE(2026,MONTH(AO$2),1),'TABLERO DIARIO'!$ALW$2:$AWW$2,"&lt;="&amp;EOMONTH(AO$2,0)))</f>
        <v>-</v>
      </c>
      <c r="AP189" s="103"/>
      <c r="AQ189" s="103"/>
      <c r="AR189" s="103"/>
      <c r="AS189" s="103"/>
      <c r="AT189" s="103"/>
      <c r="AU189" s="103"/>
      <c r="AV189" s="103"/>
      <c r="AW189" s="103"/>
      <c r="AX189" s="103"/>
      <c r="AY189" s="146"/>
      <c r="AZ189" s="438"/>
      <c r="BA189" s="457" t="str">
        <f t="shared" si="47"/>
        <v>-</v>
      </c>
      <c r="BB189" s="103" t="str">
        <f t="shared" si="48"/>
        <v>-</v>
      </c>
      <c r="BC189" s="462">
        <f t="shared" si="33"/>
        <v>2</v>
      </c>
    </row>
    <row r="190" spans="1:55" ht="16">
      <c r="A190" s="93"/>
      <c r="B190" s="109" t="s">
        <v>276</v>
      </c>
      <c r="C190" s="108" t="s">
        <v>153</v>
      </c>
      <c r="D190" s="327" t="s">
        <v>20</v>
      </c>
      <c r="E190" s="328" t="s">
        <v>20</v>
      </c>
      <c r="F190" s="328" t="s">
        <v>20</v>
      </c>
      <c r="G190" s="328" t="s">
        <v>20</v>
      </c>
      <c r="H190" s="328" t="s">
        <v>20</v>
      </c>
      <c r="I190" s="328" t="s">
        <v>20</v>
      </c>
      <c r="J190" s="328" t="s">
        <v>20</v>
      </c>
      <c r="K190" s="328" t="s">
        <v>20</v>
      </c>
      <c r="L190" s="328" t="s">
        <v>20</v>
      </c>
      <c r="M190" s="328" t="s">
        <v>20</v>
      </c>
      <c r="N190" s="328" t="s">
        <v>20</v>
      </c>
      <c r="O190" s="329" t="s">
        <v>20</v>
      </c>
      <c r="P190" s="327" t="s">
        <v>20</v>
      </c>
      <c r="Q190" s="328" t="s">
        <v>20</v>
      </c>
      <c r="R190" s="328" t="s">
        <v>20</v>
      </c>
      <c r="S190" s="328" t="s">
        <v>20</v>
      </c>
      <c r="T190" s="328" t="s">
        <v>20</v>
      </c>
      <c r="U190" s="328" t="s">
        <v>20</v>
      </c>
      <c r="V190" s="328" t="s">
        <v>20</v>
      </c>
      <c r="W190" s="328" t="s">
        <v>20</v>
      </c>
      <c r="X190" s="328" t="s">
        <v>20</v>
      </c>
      <c r="Y190" s="328" t="s">
        <v>20</v>
      </c>
      <c r="Z190" s="328" t="s">
        <v>20</v>
      </c>
      <c r="AA190" s="329" t="s">
        <v>20</v>
      </c>
      <c r="AB190" s="327" t="str">
        <f>IF(SUMIFS('TABLERO DIARIO'!$I60:$ZZ60,'TABLERO DIARIO'!$I$2:$ZZ$2,"&gt;="&amp;DATE(2025,MONTH(AB$2),1),'TABLERO DIARIO'!$I$2:$ZZ$2,"&lt;="&amp;EOMONTH(AB$2,0))=0,"-",SUMIFS('TABLERO DIARIO'!$I60:$ZZ60,'TABLERO DIARIO'!$I$2:$ZZ$2,"&gt;="&amp;DATE(2025,MONTH(AB$2),1),'TABLERO DIARIO'!$I$2:$ZZ$2,"&lt;="&amp;EOMONTH(AB$2,0)))</f>
        <v>-</v>
      </c>
      <c r="AC190" s="328">
        <f>IF(SUMIFS('TABLERO DIARIO'!$I60:$ZZ60,'TABLERO DIARIO'!$I$2:$ZZ$2,"&gt;="&amp;DATE(2025,MONTH(AC$2),1),'TABLERO DIARIO'!$I$2:$ZZ$2,"&lt;="&amp;EOMONTH(AC$2,0))=0,"-",SUMIFS('TABLERO DIARIO'!$I60:$ZZ60,'TABLERO DIARIO'!$I$2:$ZZ$2,"&gt;="&amp;DATE(2025,MONTH(AC$2),1),'TABLERO DIARIO'!$I$2:$ZZ$2,"&lt;="&amp;EOMONTH(AC$2,0)))</f>
        <v>2</v>
      </c>
      <c r="AD190" s="310">
        <f>IF(SUMIFS('TABLERO DIARIO'!$I60:$ZZ60,'TABLERO DIARIO'!$I$2:$ZZ$2,"&gt;="&amp;DATE(2025,MONTH(AD$2),1),'TABLERO DIARIO'!$I$2:$ZZ$2,"&lt;="&amp;EOMONTH(AD$2,0))=0,"-",SUMIFS('TABLERO DIARIO'!$I60:$ZZ60,'TABLERO DIARIO'!$I$2:$ZZ$2,"&gt;="&amp;DATE(2025,MONTH(AD$2),1),'TABLERO DIARIO'!$I$2:$ZZ$2,"&lt;="&amp;EOMONTH(AD$2,0)))</f>
        <v>1</v>
      </c>
      <c r="AE190" s="310">
        <f>IF(SUMIFS('TABLERO DIARIO'!$I60:$ZZ60,'TABLERO DIARIO'!$I$2:$ZZ$2,"&gt;="&amp;DATE(2025,MONTH(AE$2),1),'TABLERO DIARIO'!$I$2:$ZZ$2,"&lt;="&amp;EOMONTH(AE$2,0))=0,"-",SUMIFS('TABLERO DIARIO'!$I60:$ZZ60,'TABLERO DIARIO'!$I$2:$ZZ$2,"&gt;="&amp;DATE(2025,MONTH(AE$2),1),'TABLERO DIARIO'!$I$2:$ZZ$2,"&lt;="&amp;EOMONTH(AE$2,0)))</f>
        <v>4</v>
      </c>
      <c r="AF190" s="310">
        <f>IF(SUMIFS('TABLERO DIARIO'!$I60:$ZZ60,'TABLERO DIARIO'!$I$2:$ZZ$2,"&gt;="&amp;DATE(2025,MONTH(AF$2),1),'TABLERO DIARIO'!$I$2:$ZZ$2,"&lt;="&amp;EOMONTH(AF$2,0))=0,"-",SUMIFS('TABLERO DIARIO'!$I60:$ZZ60,'TABLERO DIARIO'!$I$2:$ZZ$2,"&gt;="&amp;DATE(2025,MONTH(AF$2),1),'TABLERO DIARIO'!$I$2:$ZZ$2,"&lt;="&amp;EOMONTH(AF$2,0)))</f>
        <v>3</v>
      </c>
      <c r="AG190" s="310">
        <f>IF(SUMIFS('TABLERO DIARIO'!$I60:$ZZ60,'TABLERO DIARIO'!$I$2:$ZZ$2,"&gt;="&amp;DATE(2025,MONTH(AG$2),1),'TABLERO DIARIO'!$I$2:$ZZ$2,"&lt;="&amp;EOMONTH(AG$2,0))=0,"-",SUMIFS('TABLERO DIARIO'!$I60:$ZZ60,'TABLERO DIARIO'!$I$2:$ZZ$2,"&gt;="&amp;DATE(2025,MONTH(AG$2),1),'TABLERO DIARIO'!$I$2:$ZZ$2,"&lt;="&amp;EOMONTH(AG$2,0)))</f>
        <v>2</v>
      </c>
      <c r="AH190" s="310" t="str">
        <f>IF(SUMIFS('TABLERO DIARIO'!$I60:$ZZ60,'TABLERO DIARIO'!$I$2:$ZZ$2,"&gt;="&amp;DATE(2025,MONTH(AH$2),1),'TABLERO DIARIO'!$I$2:$ZZ$2,"&lt;="&amp;EOMONTH(AH$2,0))=0,"-",SUMIFS('TABLERO DIARIO'!$I60:$ZZ60,'TABLERO DIARIO'!$I$2:$ZZ$2,"&gt;="&amp;DATE(2025,MONTH(AH$2),1),'TABLERO DIARIO'!$I$2:$ZZ$2,"&lt;="&amp;EOMONTH(AH$2,0)))</f>
        <v>-</v>
      </c>
      <c r="AI190" s="310" t="str">
        <f>IF(SUMIFS('TABLERO DIARIO'!$I60:$ZZ60,'TABLERO DIARIO'!$I$2:$ZZ$2,"&gt;="&amp;DATE(2025,MONTH(AI$2),1),'TABLERO DIARIO'!$I$2:$ZZ$2,"&lt;="&amp;EOMONTH(AI$2,0))=0,"-",SUMIFS('TABLERO DIARIO'!$I60:$ZZ60,'TABLERO DIARIO'!$I$2:$ZZ$2,"&gt;="&amp;DATE(2025,MONTH(AI$2),1),'TABLERO DIARIO'!$I$2:$ZZ$2,"&lt;="&amp;EOMONTH(AI$2,0)))</f>
        <v>-</v>
      </c>
      <c r="AJ190" s="653">
        <f>IF(SUMIFS('TABLERO DIARIO'!$I60:$ABL60,'TABLERO DIARIO'!$I$2:$ABL$2,"&gt;="&amp;DATE(2025,MONTH(AJ$2),1),'TABLERO DIARIO'!$I$2:$ABL$2,"&lt;="&amp;EOMONTH(AJ$2,0))=0,"-",SUMIFS('TABLERO DIARIO'!$I60:$ABL60,'TABLERO DIARIO'!$I$2:$ABL$2,"&gt;="&amp;DATE(2025,MONTH(AJ$2),1),'TABLERO DIARIO'!$I$2:$ABL$2,"&lt;="&amp;EOMONTH(AJ$2,0)))</f>
        <v>2</v>
      </c>
      <c r="AK190" s="310">
        <f>IF(SUMIFS('TABLERO DIARIO'!$ABF$60:$AEV$60,'TABLERO DIARIO'!$ABF$2:$AEV$2,"&gt;="&amp;DATE(2025,MONTH(AK$2),1),'TABLERO DIARIO'!$ABF$2:$AEV$2,"&lt;="&amp;EOMONTH(AK$2,0))=0,"-",SUMIFS('TABLERO DIARIO'!$ABF$60:$AEV$60,'TABLERO DIARIO'!$ABF$2:$AEV$2,"&gt;="&amp;DATE(2025,MONTH(AK$2),1),'TABLERO DIARIO'!$ABF$2:$AEV$2,"&lt;="&amp;EOMONTH(AK$2,0)))</f>
        <v>7</v>
      </c>
      <c r="AL190" s="310">
        <f>IF(SUMIFS('TABLERO DIARIO'!$AEV$60:$AII$60,'TABLERO DIARIO'!$AEV$2:$AII$2,"&gt;="&amp;DATE(2025,MONTH(AL$2),1),'TABLERO DIARIO'!$AEV$2:$AII$2,"&lt;="&amp;EOMONTH(AL$2,0))=0,"-",SUMIFS('TABLERO DIARIO'!$AEV$60:$AII$60,'TABLERO DIARIO'!$AEV$2:$AII$2,"&gt;="&amp;DATE(2025,MONTH(AL$2),1),'TABLERO DIARIO'!$AEV$2:$AII$2,"&lt;="&amp;EOMONTH(AL$2,0)))</f>
        <v>4</v>
      </c>
      <c r="AM190" s="313" t="str">
        <f>IF(SUMIFS('TABLERO DIARIO'!$AIA$60:$AMA$60,'TABLERO DIARIO'!$AIA$2:$AMA$2,"&gt;="&amp;DATE(2025,MONTH(AM$2),1),'TABLERO DIARIO'!$AIA$2:$AMA$2,"&lt;="&amp;EOMONTH(AM$2,0))=0,"-",SUMIFS('TABLERO DIARIO'!$AIA$60:$AMA$60,'TABLERO DIARIO'!$AIA$2:$AMA$2,"&gt;="&amp;DATE(2025,MONTH(AM$2),1),'TABLERO DIARIO'!$AIA$2:$AMA$2,"&lt;="&amp;EOMONTH(AM$2,0)))</f>
        <v>-</v>
      </c>
      <c r="AN190" s="309">
        <f>IF(SUMIFS('TABLERO DIARIO'!$ALW$60:$ASW$60,'TABLERO DIARIO'!$ALW$2:$ASW$2,"&gt;="&amp;DATE(2026,MONTH(AN$2),1),'TABLERO DIARIO'!$ALW$2:$ASW$2,"&lt;="&amp;EOMONTH(AN$2,0))=0,"-",SUMIFS('TABLERO DIARIO'!$ALW$60:$ASW$60,'TABLERO DIARIO'!$ALW$2:$ASW$2,"&gt;="&amp;DATE(2026,MONTH(AN$2),1),'TABLERO DIARIO'!$ALW$2:$ASW$2,"&lt;="&amp;EOMONTH(AN$2,0)))</f>
        <v>3</v>
      </c>
      <c r="AO190" s="310" t="str">
        <f>IF(SUMIFS('TABLERO DIARIO'!$ALW$60:$AWW$60,'TABLERO DIARIO'!$ALW$2:$AWW$2,"&gt;="&amp;DATE(2026,MONTH(AO$2),1),'TABLERO DIARIO'!$ALW$2:$AWW$2,"&lt;="&amp;EOMONTH(AO$2,0))=0,"-",SUMIFS('TABLERO DIARIO'!$ALW$60:$AWW$60,'TABLERO DIARIO'!$ALW$2:$AWW$2,"&gt;="&amp;DATE(2026,MONTH(AO$2),1),'TABLERO DIARIO'!$ALW$2:$AWW$2,"&lt;="&amp;EOMONTH(AO$2,0)))</f>
        <v>-</v>
      </c>
      <c r="AP190" s="310"/>
      <c r="AQ190" s="310"/>
      <c r="AR190" s="310"/>
      <c r="AS190" s="310"/>
      <c r="AT190" s="310"/>
      <c r="AU190" s="310"/>
      <c r="AV190" s="653"/>
      <c r="AW190" s="310"/>
      <c r="AX190" s="310"/>
      <c r="AY190" s="313"/>
      <c r="AZ190" s="438"/>
      <c r="BA190" s="458" t="str">
        <f t="shared" si="47"/>
        <v>-</v>
      </c>
      <c r="BB190" s="310" t="str">
        <f t="shared" si="48"/>
        <v>-</v>
      </c>
      <c r="BC190" s="544">
        <f t="shared" si="33"/>
        <v>3.125</v>
      </c>
    </row>
    <row r="191" spans="1:55" ht="16">
      <c r="A191" s="93"/>
      <c r="B191" s="100" t="s">
        <v>277</v>
      </c>
      <c r="C191" s="99" t="s">
        <v>278</v>
      </c>
      <c r="D191" s="166"/>
      <c r="E191" s="164"/>
      <c r="F191" s="164"/>
      <c r="G191" s="164"/>
      <c r="H191" s="164"/>
      <c r="I191" s="164"/>
      <c r="J191" s="164"/>
      <c r="K191" s="164"/>
      <c r="L191" s="164"/>
      <c r="M191" s="164"/>
      <c r="N191" s="164"/>
      <c r="O191" s="167"/>
      <c r="P191" s="166"/>
      <c r="Q191" s="164"/>
      <c r="R191" s="164"/>
      <c r="S191" s="164"/>
      <c r="T191" s="164"/>
      <c r="U191" s="164"/>
      <c r="V191" s="164"/>
      <c r="W191" s="164"/>
      <c r="X191" s="164"/>
      <c r="Y191" s="164"/>
      <c r="Z191" s="164"/>
      <c r="AA191" s="167"/>
      <c r="AB191" s="553" t="str">
        <f>IFERROR(IF((SUMIFS('TABLERO DIARIO'!$I$61:$ZZ$61,'TABLERO DIARIO'!$I$2:$ZZ$2,"&gt;="&amp;DATE(2025,MONTH(AB$2),1),'TABLERO DIARIO'!$I$2:$ZZ$2,"&lt;="&amp;EOMONTH(AB$2,0))/COUNTIFS('TABLERO DIARIO'!$I$2:$ZZ$2,"&gt;="&amp;DATE(2025,MONTH(AB$2),1),'TABLERO DIARIO'!$I$2:$ZZ$2,"&lt;="&amp;EOMONTH(AB$2,0),'TABLERO DIARIO'!$I$61:$ZZ$61,"&lt;&gt;0",'TABLERO DIARIO'!$I$61:$ZZ$61,"&lt;&gt;-"))=0,"-",(SUMIFS('TABLERO DIARIO'!$I$61:$ZZ$61,'TABLERO DIARIO'!$I$2:$ZZ$2,"&gt;="&amp;DATE(2025,MONTH(AB$2),1),'TABLERO DIARIO'!$I$2:$ZZ$2,"&lt;="&amp;EOMONTH(AB$2,0))/COUNTIFS('TABLERO DIARIO'!$I$2:$ZZ$2,"&gt;="&amp;DATE(2025,MONTH(AB$2),1),'TABLERO DIARIO'!$I$2:$ZZ$2,"&lt;="&amp;EOMONTH(AB$2,0),'TABLERO DIARIO'!$I$61:$ZZ$61,"&lt;&gt;0",'TABLERO DIARIO'!$I$61:$ZZ$61,"&lt;&gt;-"))),"-")</f>
        <v>-</v>
      </c>
      <c r="AC191" s="554">
        <f>IFERROR(IF((SUMIFS('TABLERO DIARIO'!$I$61:$ZZ$61,'TABLERO DIARIO'!$I$2:$ZZ$2,"&gt;="&amp;DATE(2025,MONTH(AC$2),1),'TABLERO DIARIO'!$I$2:$ZZ$2,"&lt;="&amp;EOMONTH(AC$2,0))/COUNTIFS('TABLERO DIARIO'!$I$2:$ZZ$2,"&gt;="&amp;DATE(2025,MONTH(AC$2),1),'TABLERO DIARIO'!$I$2:$ZZ$2,"&lt;="&amp;EOMONTH(AC$2,0),'TABLERO DIARIO'!$I$61:$ZZ$61,"&lt;&gt;0",'TABLERO DIARIO'!$I$61:$ZZ$61,"&lt;&gt;-"))=0,"-",(SUMIFS('TABLERO DIARIO'!$I$61:$ZZ$61,'TABLERO DIARIO'!$I$2:$ZZ$2,"&gt;="&amp;DATE(2025,MONTH(AC$2),1),'TABLERO DIARIO'!$I$2:$ZZ$2,"&lt;="&amp;EOMONTH(AC$2,0))/COUNTIFS('TABLERO DIARIO'!$I$2:$ZZ$2,"&gt;="&amp;DATE(2025,MONTH(AC$2),1),'TABLERO DIARIO'!$I$2:$ZZ$2,"&lt;="&amp;EOMONTH(AC$2,0),'TABLERO DIARIO'!$I$61:$ZZ$61,"&lt;&gt;0",'TABLERO DIARIO'!$I$61:$ZZ$61,"&lt;&gt;-"))),"-")</f>
        <v>15.461319547079501</v>
      </c>
      <c r="AD191" s="555">
        <f>IFERROR(IF((SUMIFS('TABLERO DIARIO'!$I$61:$ZZ$61,'TABLERO DIARIO'!$I$2:$ZZ$2,"&gt;="&amp;DATE(2025,MONTH(AD$2),1),'TABLERO DIARIO'!$I$2:$ZZ$2,"&lt;="&amp;EOMONTH(AD$2,0))/COUNTIFS('TABLERO DIARIO'!$I$2:$ZZ$2,"&gt;="&amp;DATE(2025,MONTH(AD$2),1),'TABLERO DIARIO'!$I$2:$ZZ$2,"&lt;="&amp;EOMONTH(AD$2,0),'TABLERO DIARIO'!$I$61:$ZZ$61,"&lt;&gt;0",'TABLERO DIARIO'!$I$61:$ZZ$61,"&lt;&gt;-"))=0,"-",(SUMIFS('TABLERO DIARIO'!$I$61:$ZZ$61,'TABLERO DIARIO'!$I$2:$ZZ$2,"&gt;="&amp;DATE(2025,MONTH(AD$2),1),'TABLERO DIARIO'!$I$2:$ZZ$2,"&lt;="&amp;EOMONTH(AD$2,0))/COUNTIFS('TABLERO DIARIO'!$I$2:$ZZ$2,"&gt;="&amp;DATE(2025,MONTH(AD$2),1),'TABLERO DIARIO'!$I$2:$ZZ$2,"&lt;="&amp;EOMONTH(AD$2,0),'TABLERO DIARIO'!$I$61:$ZZ$61,"&lt;&gt;0",'TABLERO DIARIO'!$I$61:$ZZ$61,"&lt;&gt;-"))),"-")</f>
        <v>15.077124958136167</v>
      </c>
      <c r="AE191" s="555">
        <f>IFERROR(IF((SUMIFS('TABLERO DIARIO'!$I$61:$ZZ$61,'TABLERO DIARIO'!$I$2:$ZZ$2,"&gt;="&amp;DATE(2025,MONTH(AE$2),1),'TABLERO DIARIO'!$I$2:$ZZ$2,"&lt;="&amp;EOMONTH(AE$2,0))/COUNTIFS('TABLERO DIARIO'!$I$2:$ZZ$2,"&gt;="&amp;DATE(2025,MONTH(AE$2),1),'TABLERO DIARIO'!$I$2:$ZZ$2,"&lt;="&amp;EOMONTH(AE$2,0),'TABLERO DIARIO'!$I$61:$ZZ$61,"&lt;&gt;0",'TABLERO DIARIO'!$I$61:$ZZ$61,"&lt;&gt;-"))=0,"-",(SUMIFS('TABLERO DIARIO'!$I$61:$ZZ$61,'TABLERO DIARIO'!$I$2:$ZZ$2,"&gt;="&amp;DATE(2025,MONTH(AE$2),1),'TABLERO DIARIO'!$I$2:$ZZ$2,"&lt;="&amp;EOMONTH(AE$2,0))/COUNTIFS('TABLERO DIARIO'!$I$2:$ZZ$2,"&gt;="&amp;DATE(2025,MONTH(AE$2),1),'TABLERO DIARIO'!$I$2:$ZZ$2,"&lt;="&amp;EOMONTH(AE$2,0),'TABLERO DIARIO'!$I$61:$ZZ$61,"&lt;&gt;0",'TABLERO DIARIO'!$I$61:$ZZ$61,"&lt;&gt;-"))),"-")</f>
        <v>16.443547045107454</v>
      </c>
      <c r="AF191" s="555">
        <f>IFERROR(IF((SUMIFS('TABLERO DIARIO'!$I$61:$ZZ$61,'TABLERO DIARIO'!$I$2:$ZZ$2,"&gt;="&amp;DATE(2025,MONTH(AF$2),1),'TABLERO DIARIO'!$I$2:$ZZ$2,"&lt;="&amp;EOMONTH(AF$2,0))/COUNTIFS('TABLERO DIARIO'!$I$2:$ZZ$2,"&gt;="&amp;DATE(2025,MONTH(AF$2),1),'TABLERO DIARIO'!$I$2:$ZZ$2,"&lt;="&amp;EOMONTH(AF$2,0),'TABLERO DIARIO'!$I$61:$ZZ$61,"&lt;&gt;0",'TABLERO DIARIO'!$I$61:$ZZ$61,"&lt;&gt;-"))=0,"-",(SUMIFS('TABLERO DIARIO'!$I$61:$ZZ$61,'TABLERO DIARIO'!$I$2:$ZZ$2,"&gt;="&amp;DATE(2025,MONTH(AF$2),1),'TABLERO DIARIO'!$I$2:$ZZ$2,"&lt;="&amp;EOMONTH(AF$2,0))/COUNTIFS('TABLERO DIARIO'!$I$2:$ZZ$2,"&gt;="&amp;DATE(2025,MONTH(AF$2),1),'TABLERO DIARIO'!$I$2:$ZZ$2,"&lt;="&amp;EOMONTH(AF$2,0),'TABLERO DIARIO'!$I$61:$ZZ$61,"&lt;&gt;0",'TABLERO DIARIO'!$I$61:$ZZ$61,"&lt;&gt;-"))),"-")</f>
        <v>15.862712673776159</v>
      </c>
      <c r="AG191" s="555">
        <f>IFERROR(IF((SUMIFS('TABLERO DIARIO'!$I$61:$ZZ$61,'TABLERO DIARIO'!$I$2:$ZZ$2,"&gt;="&amp;DATE(2025,MONTH(AG$2),1),'TABLERO DIARIO'!$I$2:$ZZ$2,"&lt;="&amp;EOMONTH(AG$2,0))/COUNTIFS('TABLERO DIARIO'!$I$2:$ZZ$2,"&gt;="&amp;DATE(2025,MONTH(AG$2),1),'TABLERO DIARIO'!$I$2:$ZZ$2,"&lt;="&amp;EOMONTH(AG$2,0),'TABLERO DIARIO'!$I$61:$ZZ$61,"&lt;&gt;0",'TABLERO DIARIO'!$I$61:$ZZ$61,"&lt;&gt;-"))=0,"-",(SUMIFS('TABLERO DIARIO'!$I$61:$ZZ$61,'TABLERO DIARIO'!$I$2:$ZZ$2,"&gt;="&amp;DATE(2025,MONTH(AG$2),1),'TABLERO DIARIO'!$I$2:$ZZ$2,"&lt;="&amp;EOMONTH(AG$2,0))/COUNTIFS('TABLERO DIARIO'!$I$2:$ZZ$2,"&gt;="&amp;DATE(2025,MONTH(AG$2),1),'TABLERO DIARIO'!$I$2:$ZZ$2,"&lt;="&amp;EOMONTH(AG$2,0),'TABLERO DIARIO'!$I$61:$ZZ$61,"&lt;&gt;0",'TABLERO DIARIO'!$I$61:$ZZ$61,"&lt;&gt;-"))),"-")</f>
        <v>16.457946547577169</v>
      </c>
      <c r="AH191" s="555">
        <f>IFERROR(IF((SUMIFS('TABLERO DIARIO'!$I$61:$ZZ$61,'TABLERO DIARIO'!$I$2:$ZZ$2,"&gt;="&amp;DATE(2025,MONTH(AH$2),1),'TABLERO DIARIO'!$I$2:$ZZ$2,"&lt;="&amp;EOMONTH(AH$2,0))/COUNTIFS('TABLERO DIARIO'!$I$2:$ZZ$2,"&gt;="&amp;DATE(2025,MONTH(AH$2),1),'TABLERO DIARIO'!$I$2:$ZZ$2,"&lt;="&amp;EOMONTH(AH$2,0),'TABLERO DIARIO'!$I$61:$ZZ$61,"&lt;&gt;0",'TABLERO DIARIO'!$I$61:$ZZ$61,"&lt;&gt;-"))=0,"-",(SUMIFS('TABLERO DIARIO'!$I$61:$ZZ$61,'TABLERO DIARIO'!$I$2:$ZZ$2,"&gt;="&amp;DATE(2025,MONTH(AH$2),1),'TABLERO DIARIO'!$I$2:$ZZ$2,"&lt;="&amp;EOMONTH(AH$2,0))/COUNTIFS('TABLERO DIARIO'!$I$2:$ZZ$2,"&gt;="&amp;DATE(2025,MONTH(AH$2),1),'TABLERO DIARIO'!$I$2:$ZZ$2,"&lt;="&amp;EOMONTH(AH$2,0),'TABLERO DIARIO'!$I$61:$ZZ$61,"&lt;&gt;0",'TABLERO DIARIO'!$I$61:$ZZ$61,"&lt;&gt;-"))),"-")</f>
        <v>15.911510411655364</v>
      </c>
      <c r="AI191" s="555">
        <f>IFERROR(IF((SUMIFS('TABLERO DIARIO'!$I$61:$ZZ$61,'TABLERO DIARIO'!$I$2:$ZZ$2,"&gt;="&amp;DATE(2025,MONTH(AI$2),1),'TABLERO DIARIO'!$I$2:$ZZ$2,"&lt;="&amp;EOMONTH(AI$2,0))/COUNTIFS('TABLERO DIARIO'!$I$2:$ZZ$2,"&gt;="&amp;DATE(2025,MONTH(AI$2),1),'TABLERO DIARIO'!$I$2:$ZZ$2,"&lt;="&amp;EOMONTH(AI$2,0),'TABLERO DIARIO'!$I$61:$ZZ$61,"&lt;&gt;0",'TABLERO DIARIO'!$I$61:$ZZ$61,"&lt;&gt;-"))=0,"-",(SUMIFS('TABLERO DIARIO'!$I$61:$ZZ$61,'TABLERO DIARIO'!$I$2:$ZZ$2,"&gt;="&amp;DATE(2025,MONTH(AI$2),1),'TABLERO DIARIO'!$I$2:$ZZ$2,"&lt;="&amp;EOMONTH(AI$2,0))/COUNTIFS('TABLERO DIARIO'!$I$2:$ZZ$2,"&gt;="&amp;DATE(2025,MONTH(AI$2),1),'TABLERO DIARIO'!$I$2:$ZZ$2,"&lt;="&amp;EOMONTH(AI$2,0),'TABLERO DIARIO'!$I$61:$ZZ$61,"&lt;&gt;0",'TABLERO DIARIO'!$I$61:$ZZ$61,"&lt;&gt;-"))),"-")</f>
        <v>16.567202386210106</v>
      </c>
      <c r="AJ191" s="555">
        <f>IFERROR(IF((SUMIFS('TABLERO DIARIO'!$I$61:$ABL$61,'TABLERO DIARIO'!$I$2:$ABL$2,"&gt;="&amp;DATE(2025,MONTH(AJ$2),1),'TABLERO DIARIO'!$I$2:$ABL$2,"&lt;="&amp;EOMONTH(AJ$2,0))/COUNTIFS('TABLERO DIARIO'!$I$2:$ABL$2,"&gt;="&amp;DATE(2025,MONTH(AJ$2),1),'TABLERO DIARIO'!$I$2:$ABL$2,"&lt;="&amp;EOMONTH(AJ$2,0),'TABLERO DIARIO'!$I$61:$ABL$61,"&lt;&gt;0",'TABLERO DIARIO'!$I$61:$ABL$61,"&lt;&gt;-"))=0,"-",(SUMIFS('TABLERO DIARIO'!$I$61:$ABL$61,'TABLERO DIARIO'!$I$2:$ABL$2,"&gt;="&amp;DATE(2025,MONTH(AJ$2),1),'TABLERO DIARIO'!$I$2:$ABL$2,"&lt;="&amp;EOMONTH(AJ$2,0))/COUNTIFS('TABLERO DIARIO'!$I$2:$ABL$2,"&gt;="&amp;DATE(2025,MONTH(AJ$2),1),'TABLERO DIARIO'!$I$2:$ABL$2,"&lt;="&amp;EOMONTH(AJ$2,0),'TABLERO DIARIO'!$I$61:$ABL$61,"&lt;&gt;0",'TABLERO DIARIO'!$I$61:$ABL$61,"&lt;&gt;-"))),"-")</f>
        <v>15.758485973445753</v>
      </c>
      <c r="AK191" s="555">
        <f>IFERROR(IF((SUMIFS('TABLERO DIARIO'!$ABF$61:$AEV$61,'TABLERO DIARIO'!$ABF$2:$AEV$2,"&gt;="&amp;DATE(2025,MONTH(AK$2),1),'TABLERO DIARIO'!$ABF$2:$AEV$2,"&lt;="&amp;EOMONTH(AK$2,0))/COUNTIFS('TABLERO DIARIO'!$ABF$2:$AEV$2,"&gt;="&amp;DATE(2025,MONTH(AK$2),1),'TABLERO DIARIO'!$ABF$2:$AEV$2,"&lt;="&amp;EOMONTH(AK$2,0),'TABLERO DIARIO'!$ABF$61:$AEV$61,"&lt;&gt;0",'TABLERO DIARIO'!$ABF$61:$AEV$61,"&lt;&gt;-"))=0,"-",(SUMIFS('TABLERO DIARIO'!$ABF$61:$AEV$61,'TABLERO DIARIO'!$ABF$2:$AEV$2,"&gt;="&amp;DATE(2025,MONTH(AK$2),1),'TABLERO DIARIO'!$ABF$2:$AEV$2,"&lt;="&amp;EOMONTH(AK$2,0))/COUNTIFS('TABLERO DIARIO'!$ABF$2:$AEV$2,"&gt;="&amp;DATE(2025,MONTH(AK$2),1),'TABLERO DIARIO'!$ABF$2:$AEV$2,"&lt;="&amp;EOMONTH(AK$2,0),'TABLERO DIARIO'!$ABF$61:$AEV$61,"&lt;&gt;0",'TABLERO DIARIO'!$ABF$61:$AEV$61,"&lt;&gt;-"))),"-")</f>
        <v>16.201344078002776</v>
      </c>
      <c r="AL191" s="555">
        <f>IFERROR(IF((SUMIFS('TABLERO DIARIO'!$AEV$61:$AII$61,'TABLERO DIARIO'!$AEV$2:$AII$2,"&gt;="&amp;DATE(2025,MONTH(AL$2),1),'TABLERO DIARIO'!$AEV$2:$AII$2,"&lt;="&amp;EOMONTH(AL$2,0))/COUNTIFS('TABLERO DIARIO'!$AEV$2:$AII$2,"&gt;="&amp;DATE(2025,MONTH(AL$2),1),'TABLERO DIARIO'!$AEV$2:$AII$2,"&lt;="&amp;EOMONTH(AL$2,0),'TABLERO DIARIO'!$AEV$61:$AII$61,"&lt;&gt;0",'TABLERO DIARIO'!$AEV$61:$AII$61,"&lt;&gt;-"))=0,"-",(SUMIFS('TABLERO DIARIO'!$AEV$61:$AII$61,'TABLERO DIARIO'!$AEV$2:$AII$2,"&gt;="&amp;DATE(2025,MONTH(AL$2),1),'TABLERO DIARIO'!$AEV$2:$AII$2,"&lt;="&amp;EOMONTH(AL$2,0))/COUNTIFS('TABLERO DIARIO'!$AEV$2:$AII$2,"&gt;="&amp;DATE(2025,MONTH(AL$2),1),'TABLERO DIARIO'!$AEV$2:$AII$2,"&lt;="&amp;EOMONTH(AL$2,0),'TABLERO DIARIO'!$AEV$61:$AII$61,"&lt;&gt;0",'TABLERO DIARIO'!$AEV$61:$AII$61,"&lt;&gt;-"))),"-")</f>
        <v>17.019883552796465</v>
      </c>
      <c r="AM191" s="556">
        <f>IFERROR(IF((SUMIFS('TABLERO DIARIO'!$AIA$61:$AMA$61,'TABLERO DIARIO'!$AIA$2:$AMA$2,"&gt;="&amp;DATE(2025,MONTH(AM$2),1),'TABLERO DIARIO'!$AIA$2:$AMA$2,"&lt;="&amp;EOMONTH(AM$2,0))/COUNTIFS('TABLERO DIARIO'!$AIA$2:$AMA$2,"&gt;="&amp;DATE(2025,MONTH(AM$2),1),'TABLERO DIARIO'!$AIA$2:$AMA$2,"&lt;="&amp;EOMONTH(AM$2,0),'TABLERO DIARIO'!$AIA$61:$AMA$61,"&lt;&gt;0",'TABLERO DIARIO'!$AIA$61:$AMA$61,"&lt;&gt;-"))=0,"-",(SUMIFS('TABLERO DIARIO'!$AIA$61:$AMA$61,'TABLERO DIARIO'!$AIA$2:$AMA$2,"&gt;="&amp;DATE(2025,MONTH(AM$2),1),'TABLERO DIARIO'!$AIA$2:$AMA$2,"&lt;="&amp;EOMONTH(AM$2,0))/COUNTIFS('TABLERO DIARIO'!$AIA$2:$AMA$2,"&gt;="&amp;DATE(2025,MONTH(AM$2),1),'TABLERO DIARIO'!$AIA$2:$AMA$2,"&lt;="&amp;EOMONTH(AM$2,0),'TABLERO DIARIO'!$AIA$61:$AMA$61,"&lt;&gt;0",'TABLERO DIARIO'!$AIA$61:$AMA$61,"&lt;&gt;-"))),"-")</f>
        <v>16.497819810443854</v>
      </c>
      <c r="AN191" s="1029">
        <f>IFERROR(IF((SUMIFS('TABLERO DIARIO'!$ALW$61:$ASW$61,'TABLERO DIARIO'!$ALW$2:$ASW$2,"&gt;="&amp;DATE(2026,MONTH(AN$2),1),'TABLERO DIARIO'!$ALW$2:$ASW$2,"&lt;="&amp;EOMONTH(AN$2,0))/COUNTIFS('TABLERO DIARIO'!$ALW$2:$ASW$2,"&gt;="&amp;DATE(2026,MONTH(AN$2),1),'TABLERO DIARIO'!$ALW$2:$ASW$2,"&lt;="&amp;EOMONTH(AN$2,0),'TABLERO DIARIO'!$ALW$61:$ASW$61,"&lt;&gt;0",'TABLERO DIARIO'!$ALW$61:$ASW$61,"&lt;&gt;-"))=0,"-",(SUMIFS('TABLERO DIARIO'!$ALW$61:$ASW$61,'TABLERO DIARIO'!$ALW$2:$ASW$2,"&gt;="&amp;DATE(2026,MONTH(AN$2),1),'TABLERO DIARIO'!$ALW$2:$ASW$2,"&lt;="&amp;EOMONTH(AN$2,0))/COUNTIFS('TABLERO DIARIO'!$ALW$2:$ASW$2,"&gt;="&amp;DATE(2026,MONTH(AN$2),1),'TABLERO DIARIO'!$ALW$2:$ASW$2,"&lt;="&amp;EOMONTH(AN$2,0),'TABLERO DIARIO'!$ALW$61:$ASW$61,"&lt;&gt;0",'TABLERO DIARIO'!$ALW$61:$ASW$61,"&lt;&gt;-"))),"-")</f>
        <v>14.985090498436383</v>
      </c>
      <c r="AO191" s="555">
        <f>IFERROR(IF((SUMIFS('TABLERO DIARIO'!$ALW$61:$AWW$61,'TABLERO DIARIO'!$ALW$2:$AWW$2,"&gt;="&amp;DATE(2026,MONTH(AO$2),1),'TABLERO DIARIO'!$ALW$2:$AWW$2,"&lt;="&amp;EOMONTH(AO$2,0))/COUNTIFS('TABLERO DIARIO'!$ALW$2:$AWW$2,"&gt;="&amp;DATE(2026,MONTH(AO$2),1),'TABLERO DIARIO'!$ALW$2:$AWW$2,"&lt;="&amp;EOMONTH(AO$2,0),'TABLERO DIARIO'!$ALW$61:$AWW$61,"&lt;&gt;0",'TABLERO DIARIO'!$ALW$61:$AWW$61,"&lt;&gt;-"))=0,"-",(SUMIFS('TABLERO DIARIO'!$ALW$61:$AWW$61,'TABLERO DIARIO'!$ALW$2:$AWW$2,"&gt;="&amp;DATE(2026,MONTH(AO$2),1),'TABLERO DIARIO'!$ALW$2:$AWW$2,"&lt;="&amp;EOMONTH(AO$2,0))/COUNTIFS('TABLERO DIARIO'!$ALW$2:$AWW$2,"&gt;="&amp;DATE(2026,MONTH(AO$2),1),'TABLERO DIARIO'!$ALW$2:$AWW$2,"&lt;="&amp;EOMONTH(AO$2,0),'TABLERO DIARIO'!$ALW$61:$AWW$61,"&lt;&gt;0",'TABLERO DIARIO'!$ALW$61:$AWW$61,"&lt;&gt;-"))),"-")</f>
        <v>15.004316672677803</v>
      </c>
      <c r="AP191" s="555"/>
      <c r="AQ191" s="555"/>
      <c r="AR191" s="555"/>
      <c r="AS191" s="555"/>
      <c r="AT191" s="555"/>
      <c r="AU191" s="555"/>
      <c r="AV191" s="555"/>
      <c r="AW191" s="555"/>
      <c r="AX191" s="555"/>
      <c r="AY191" s="556"/>
      <c r="AZ191" s="438"/>
      <c r="BA191" s="457" t="str">
        <f t="shared" si="47"/>
        <v>-</v>
      </c>
      <c r="BB191" s="103" t="str">
        <f t="shared" si="48"/>
        <v>-</v>
      </c>
      <c r="BC191" s="462">
        <f t="shared" si="33"/>
        <v>16.114445180384617</v>
      </c>
    </row>
    <row r="192" spans="1:55" ht="16">
      <c r="A192" s="93"/>
      <c r="B192" s="100" t="s">
        <v>279</v>
      </c>
      <c r="C192" s="99" t="s">
        <v>278</v>
      </c>
      <c r="D192" s="166"/>
      <c r="E192" s="164"/>
      <c r="F192" s="164"/>
      <c r="G192" s="164"/>
      <c r="H192" s="164"/>
      <c r="I192" s="164"/>
      <c r="J192" s="164"/>
      <c r="K192" s="164"/>
      <c r="L192" s="164"/>
      <c r="M192" s="164"/>
      <c r="N192" s="164"/>
      <c r="O192" s="167"/>
      <c r="P192" s="166"/>
      <c r="Q192" s="164"/>
      <c r="R192" s="164"/>
      <c r="S192" s="164"/>
      <c r="T192" s="164"/>
      <c r="U192" s="164"/>
      <c r="V192" s="164"/>
      <c r="W192" s="164"/>
      <c r="X192" s="164"/>
      <c r="Y192" s="164"/>
      <c r="Z192" s="164"/>
      <c r="AA192" s="167"/>
      <c r="AB192" s="553" t="str">
        <f>IFERROR(IF((SUMIFS('TABLERO DIARIO'!$I$61:$ZZ$61,'TABLERO DIARIO'!$I$2:$ZZ$2,"&gt;="&amp;DATE(2025,MONTH(AB$2),1),'TABLERO DIARIO'!$I$2:$ZZ$2,"&lt;="&amp;EOMONTH(AB$2,0),'TABLERO DIARIO'!$I$5:$ZZ$5,"SDF")/COUNTIFS('TABLERO DIARIO'!$I$2:$ZZ$2,"&gt;="&amp;DATE(2025,MONTH(AB$2),1),'TABLERO DIARIO'!$I$2:$ZZ$2,"&lt;="&amp;EOMONTH(AB$2,0),'TABLERO DIARIO'!$I$5:$ZZ$5,"SDF",'TABLERO DIARIO'!$I$61:$ZZ$61,"&lt;&gt;0",'TABLERO DIARIO'!$I$61:$ZZ$61,"&lt;&gt;-"))=0,"-",(SUMIFS('TABLERO DIARIO'!$I$61:$ZZ$61,'TABLERO DIARIO'!$I$2:$ZZ$2,"&gt;="&amp;DATE(2025,MONTH(AB$2),1),'TABLERO DIARIO'!$I$2:$ZZ$2,"&lt;="&amp;EOMONTH(AB$2,0),'TABLERO DIARIO'!$I$5:$ZZ$5,"SDF")/COUNTIFS('TABLERO DIARIO'!$I$2:$ZZ$2,"&gt;="&amp;DATE(2025,MONTH(AB$2),1),'TABLERO DIARIO'!$I$2:$ZZ$2,"&lt;="&amp;EOMONTH(AB$2,0),'TABLERO DIARIO'!$I$5:$ZZ$5,"SDF",'TABLERO DIARIO'!$I$61:$ZZ$61,"&lt;&gt;0",'TABLERO DIARIO'!$I$61:$ZZ$61,"&lt;&gt;-"))),"-")</f>
        <v>-</v>
      </c>
      <c r="AC192" s="554" t="str">
        <f>IFERROR(IF((SUMIFS('TABLERO DIARIO'!$I$61:$ZZ$61,'TABLERO DIARIO'!$I$2:$ZZ$2,"&gt;="&amp;DATE(2025,MONTH(AC$2),1),'TABLERO DIARIO'!$I$2:$ZZ$2,"&lt;="&amp;EOMONTH(AC$2,0),'TABLERO DIARIO'!$I$5:$ZZ$5,"SDF")/COUNTIFS('TABLERO DIARIO'!$I$2:$ZZ$2,"&gt;="&amp;DATE(2025,MONTH(AC$2),1),'TABLERO DIARIO'!$I$2:$ZZ$2,"&lt;="&amp;EOMONTH(AC$2,0),'TABLERO DIARIO'!$I$5:$ZZ$5,"SDF",'TABLERO DIARIO'!$I$61:$ZZ$61,"&lt;&gt;0",'TABLERO DIARIO'!$I$61:$ZZ$61,"&lt;&gt;-"))=0,"-",(SUMIFS('TABLERO DIARIO'!$I$61:$ZZ$61,'TABLERO DIARIO'!$I$2:$ZZ$2,"&gt;="&amp;DATE(2025,MONTH(AC$2),1),'TABLERO DIARIO'!$I$2:$ZZ$2,"&lt;="&amp;EOMONTH(AC$2,0),'TABLERO DIARIO'!$I$5:$ZZ$5,"SDF")/COUNTIFS('TABLERO DIARIO'!$I$2:$ZZ$2,"&gt;="&amp;DATE(2025,MONTH(AC$2),1),'TABLERO DIARIO'!$I$2:$ZZ$2,"&lt;="&amp;EOMONTH(AC$2,0),'TABLERO DIARIO'!$I$5:$ZZ$5,"SDF",'TABLERO DIARIO'!$I$61:$ZZ$61,"&lt;&gt;0",'TABLERO DIARIO'!$I$61:$ZZ$61,"&lt;&gt;-"))),"-")</f>
        <v>-</v>
      </c>
      <c r="AD192" s="555">
        <f>IFERROR(IF((SUMIFS('TABLERO DIARIO'!$I$61:$ZZ$61,'TABLERO DIARIO'!$I$2:$ZZ$2,"&gt;="&amp;DATE(2025,MONTH(AD$2),1),'TABLERO DIARIO'!$I$2:$ZZ$2,"&lt;="&amp;EOMONTH(AD$2,0),'TABLERO DIARIO'!$I$5:$ZZ$5,"SDF")/COUNTIFS('TABLERO DIARIO'!$I$2:$ZZ$2,"&gt;="&amp;DATE(2025,MONTH(AD$2),1),'TABLERO DIARIO'!$I$2:$ZZ$2,"&lt;="&amp;EOMONTH(AD$2,0),'TABLERO DIARIO'!$I$5:$ZZ$5,"SDF",'TABLERO DIARIO'!$I$61:$ZZ$61,"&lt;&gt;0",'TABLERO DIARIO'!$I$61:$ZZ$61,"&lt;&gt;-"))=0,"-",(SUMIFS('TABLERO DIARIO'!$I$61:$ZZ$61,'TABLERO DIARIO'!$I$2:$ZZ$2,"&gt;="&amp;DATE(2025,MONTH(AD$2),1),'TABLERO DIARIO'!$I$2:$ZZ$2,"&lt;="&amp;EOMONTH(AD$2,0),'TABLERO DIARIO'!$I$5:$ZZ$5,"SDF")/COUNTIFS('TABLERO DIARIO'!$I$2:$ZZ$2,"&gt;="&amp;DATE(2025,MONTH(AD$2),1),'TABLERO DIARIO'!$I$2:$ZZ$2,"&lt;="&amp;EOMONTH(AD$2,0),'TABLERO DIARIO'!$I$5:$ZZ$5,"SDF",'TABLERO DIARIO'!$I$61:$ZZ$61,"&lt;&gt;0",'TABLERO DIARIO'!$I$61:$ZZ$61,"&lt;&gt;-"))),"-")</f>
        <v>11.83779764714599</v>
      </c>
      <c r="AE192" s="555">
        <f>IFERROR(IF((SUMIFS('TABLERO DIARIO'!$I$61:$ZZ$61,'TABLERO DIARIO'!$I$2:$ZZ$2,"&gt;="&amp;DATE(2025,MONTH(AE$2),1),'TABLERO DIARIO'!$I$2:$ZZ$2,"&lt;="&amp;EOMONTH(AE$2,0),'TABLERO DIARIO'!$I$5:$ZZ$5,"SDF")/COUNTIFS('TABLERO DIARIO'!$I$2:$ZZ$2,"&gt;="&amp;DATE(2025,MONTH(AE$2),1),'TABLERO DIARIO'!$I$2:$ZZ$2,"&lt;="&amp;EOMONTH(AE$2,0),'TABLERO DIARIO'!$I$5:$ZZ$5,"SDF",'TABLERO DIARIO'!$I$61:$ZZ$61,"&lt;&gt;0",'TABLERO DIARIO'!$I$61:$ZZ$61,"&lt;&gt;-"))=0,"-",(SUMIFS('TABLERO DIARIO'!$I$61:$ZZ$61,'TABLERO DIARIO'!$I$2:$ZZ$2,"&gt;="&amp;DATE(2025,MONTH(AE$2),1),'TABLERO DIARIO'!$I$2:$ZZ$2,"&lt;="&amp;EOMONTH(AE$2,0),'TABLERO DIARIO'!$I$5:$ZZ$5,"SDF")/COUNTIFS('TABLERO DIARIO'!$I$2:$ZZ$2,"&gt;="&amp;DATE(2025,MONTH(AE$2),1),'TABLERO DIARIO'!$I$2:$ZZ$2,"&lt;="&amp;EOMONTH(AE$2,0),'TABLERO DIARIO'!$I$5:$ZZ$5,"SDF",'TABLERO DIARIO'!$I$61:$ZZ$61,"&lt;&gt;0",'TABLERO DIARIO'!$I$61:$ZZ$61,"&lt;&gt;-"))),"-")</f>
        <v>13.184563420875833</v>
      </c>
      <c r="AF192" s="555">
        <f>IFERROR(IF((SUMIFS('TABLERO DIARIO'!$I$61:$ZZ$61,'TABLERO DIARIO'!$I$2:$ZZ$2,"&gt;="&amp;DATE(2025,MONTH(AF$2),1),'TABLERO DIARIO'!$I$2:$ZZ$2,"&lt;="&amp;EOMONTH(AF$2,0),'TABLERO DIARIO'!$I$5:$ZZ$5,"SDF")/COUNTIFS('TABLERO DIARIO'!$I$2:$ZZ$2,"&gt;="&amp;DATE(2025,MONTH(AF$2),1),'TABLERO DIARIO'!$I$2:$ZZ$2,"&lt;="&amp;EOMONTH(AF$2,0),'TABLERO DIARIO'!$I$5:$ZZ$5,"SDF",'TABLERO DIARIO'!$I$61:$ZZ$61,"&lt;&gt;0",'TABLERO DIARIO'!$I$61:$ZZ$61,"&lt;&gt;-"))=0,"-",(SUMIFS('TABLERO DIARIO'!$I$61:$ZZ$61,'TABLERO DIARIO'!$I$2:$ZZ$2,"&gt;="&amp;DATE(2025,MONTH(AF$2),1),'TABLERO DIARIO'!$I$2:$ZZ$2,"&lt;="&amp;EOMONTH(AF$2,0),'TABLERO DIARIO'!$I$5:$ZZ$5,"SDF")/COUNTIFS('TABLERO DIARIO'!$I$2:$ZZ$2,"&gt;="&amp;DATE(2025,MONTH(AF$2),1),'TABLERO DIARIO'!$I$2:$ZZ$2,"&lt;="&amp;EOMONTH(AF$2,0),'TABLERO DIARIO'!$I$5:$ZZ$5,"SDF",'TABLERO DIARIO'!$I$61:$ZZ$61,"&lt;&gt;0",'TABLERO DIARIO'!$I$61:$ZZ$61,"&lt;&gt;-"))),"-")</f>
        <v>12.544317378440455</v>
      </c>
      <c r="AG192" s="555">
        <f>IFERROR(IF((SUMIFS('TABLERO DIARIO'!$I$61:$ZZ$61,'TABLERO DIARIO'!$I$2:$ZZ$2,"&gt;="&amp;DATE(2025,MONTH(AG$2),1),'TABLERO DIARIO'!$I$2:$ZZ$2,"&lt;="&amp;EOMONTH(AG$2,0),'TABLERO DIARIO'!$I$5:$ZZ$5,"SDF")/COUNTIFS('TABLERO DIARIO'!$I$2:$ZZ$2,"&gt;="&amp;DATE(2025,MONTH(AG$2),1),'TABLERO DIARIO'!$I$2:$ZZ$2,"&lt;="&amp;EOMONTH(AG$2,0),'TABLERO DIARIO'!$I$5:$ZZ$5,"SDF",'TABLERO DIARIO'!$I$61:$ZZ$61,"&lt;&gt;0",'TABLERO DIARIO'!$I$61:$ZZ$61,"&lt;&gt;-"))=0,"-",(SUMIFS('TABLERO DIARIO'!$I$61:$ZZ$61,'TABLERO DIARIO'!$I$2:$ZZ$2,"&gt;="&amp;DATE(2025,MONTH(AG$2),1),'TABLERO DIARIO'!$I$2:$ZZ$2,"&lt;="&amp;EOMONTH(AG$2,0),'TABLERO DIARIO'!$I$5:$ZZ$5,"SDF")/COUNTIFS('TABLERO DIARIO'!$I$2:$ZZ$2,"&gt;="&amp;DATE(2025,MONTH(AG$2),1),'TABLERO DIARIO'!$I$2:$ZZ$2,"&lt;="&amp;EOMONTH(AG$2,0),'TABLERO DIARIO'!$I$5:$ZZ$5,"SDF",'TABLERO DIARIO'!$I$61:$ZZ$61,"&lt;&gt;0",'TABLERO DIARIO'!$I$61:$ZZ$61,"&lt;&gt;-"))),"-")</f>
        <v>12.723733561221099</v>
      </c>
      <c r="AH192" s="555">
        <f>IFERROR(IF((SUMIFS('TABLERO DIARIO'!$I$61:$ZZ$61,'TABLERO DIARIO'!$I$2:$ZZ$2,"&gt;="&amp;DATE(2025,MONTH(AH$2),1),'TABLERO DIARIO'!$I$2:$ZZ$2,"&lt;="&amp;EOMONTH(AH$2,0),'TABLERO DIARIO'!$I$5:$ZZ$5,"SDF")/COUNTIFS('TABLERO DIARIO'!$I$2:$ZZ$2,"&gt;="&amp;DATE(2025,MONTH(AH$2),1),'TABLERO DIARIO'!$I$2:$ZZ$2,"&lt;="&amp;EOMONTH(AH$2,0),'TABLERO DIARIO'!$I$5:$ZZ$5,"SDF",'TABLERO DIARIO'!$I$61:$ZZ$61,"&lt;&gt;0",'TABLERO DIARIO'!$I$61:$ZZ$61,"&lt;&gt;-"))=0,"-",(SUMIFS('TABLERO DIARIO'!$I$61:$ZZ$61,'TABLERO DIARIO'!$I$2:$ZZ$2,"&gt;="&amp;DATE(2025,MONTH(AH$2),1),'TABLERO DIARIO'!$I$2:$ZZ$2,"&lt;="&amp;EOMONTH(AH$2,0),'TABLERO DIARIO'!$I$5:$ZZ$5,"SDF")/COUNTIFS('TABLERO DIARIO'!$I$2:$ZZ$2,"&gt;="&amp;DATE(2025,MONTH(AH$2),1),'TABLERO DIARIO'!$I$2:$ZZ$2,"&lt;="&amp;EOMONTH(AH$2,0),'TABLERO DIARIO'!$I$5:$ZZ$5,"SDF",'TABLERO DIARIO'!$I$61:$ZZ$61,"&lt;&gt;0",'TABLERO DIARIO'!$I$61:$ZZ$61,"&lt;&gt;-"))),"-")</f>
        <v>12.472123983776916</v>
      </c>
      <c r="AI192" s="963" t="str">
        <f>IFERROR(IF((SUMIFS('TABLERO DIARIO'!$I$61:$ZZ$61,'TABLERO DIARIO'!$I$2:$ZZ$2,"&gt;="&amp;DATE(2025,MONTH(AI$2),1),'TABLERO DIARIO'!$I$2:$ZZ$2,"&lt;="&amp;EOMONTH(AI$2,0),'TABLERO DIARIO'!$I$5:$ZZ$5,"SDF")/COUNTIFS('TABLERO DIARIO'!$I$2:$ZZ$2,"&gt;="&amp;DATE(2025,MONTH(AI$2),1),'TABLERO DIARIO'!$I$2:$ZZ$2,"&lt;="&amp;EOMONTH(AI$2,0),'TABLERO DIARIO'!$I$5:$ZZ$5,"SDF",'TABLERO DIARIO'!$I$61:$ZZ$61,"&lt;&gt;0",'TABLERO DIARIO'!$I$61:$ZZ$61,"&lt;&gt;-"))=0,"-",(SUMIFS('TABLERO DIARIO'!$I$61:$ZZ$61,'TABLERO DIARIO'!$I$2:$ZZ$2,"&gt;="&amp;DATE(2025,MONTH(AI$2),1),'TABLERO DIARIO'!$I$2:$ZZ$2,"&lt;="&amp;EOMONTH(AI$2,0),'TABLERO DIARIO'!$I$5:$ZZ$5,"SDF")/COUNTIFS('TABLERO DIARIO'!$I$2:$ZZ$2,"&gt;="&amp;DATE(2025,MONTH(AI$2),1),'TABLERO DIARIO'!$I$2:$ZZ$2,"&lt;="&amp;EOMONTH(AI$2,0),'TABLERO DIARIO'!$I$5:$ZZ$5,"SDF",'TABLERO DIARIO'!$I$61:$ZZ$61,"&lt;&gt;0",'TABLERO DIARIO'!$I$61:$ZZ$61,"&lt;&gt;-"))),"-")</f>
        <v>-</v>
      </c>
      <c r="AJ192" s="963">
        <f>IFERROR(IF((SUMIFS('TABLERO DIARIO'!$I$61:$ABL$61,'TABLERO DIARIO'!$I$2:$ABL$2,"&gt;="&amp;DATE(2025,MONTH(AJ$2),1),'TABLERO DIARIO'!$I$2:$ABL$2,"&lt;="&amp;EOMONTH(AJ$2,0),'TABLERO DIARIO'!$I$5:$ABL$5,"SDF")/COUNTIFS('TABLERO DIARIO'!$I$2:$ABL$2,"&gt;="&amp;DATE(2025,MONTH(AJ$2),1),'TABLERO DIARIO'!$I$2:$ABL$2,"&lt;="&amp;EOMONTH(AJ$2,0),'TABLERO DIARIO'!$I$5:$ABL$5,"SDF",'TABLERO DIARIO'!$I$61:$ABL$61,"&lt;&gt;0",'TABLERO DIARIO'!$I$61:$ABL$61,"&lt;&gt;-"))=0,"-",(SUMIFS('TABLERO DIARIO'!$I$61:$ABL$61,'TABLERO DIARIO'!$I$2:$ABL$2,"&gt;="&amp;DATE(2025,MONTH(AJ$2),1),'TABLERO DIARIO'!$I$2:$ABL$2,"&lt;="&amp;EOMONTH(AJ$2,0),'TABLERO DIARIO'!$I$5:$ABL$5,"SDF")/COUNTIFS('TABLERO DIARIO'!$I$2:$ABL$2,"&gt;="&amp;DATE(2025,MONTH(AJ$2),1),'TABLERO DIARIO'!$I$2:$ABL$2,"&lt;="&amp;EOMONTH(AJ$2,0),'TABLERO DIARIO'!$I$5:$ABL$5,"SDF",'TABLERO DIARIO'!$I$61:$ABL$61,"&lt;&gt;0",'TABLERO DIARIO'!$I$61:$ABL$61,"&lt;&gt;-"))),"-")</f>
        <v>10.467719948478649</v>
      </c>
      <c r="AK192" s="555">
        <f>IFERROR(IF((SUMIFS('TABLERO DIARIO'!$ABF$61:$AEV$61,'TABLERO DIARIO'!$ABF$2:$AEV$2,"&gt;="&amp;DATE(2025,MONTH(AK$2),1),'TABLERO DIARIO'!$ABF$2:$AEV$2,"&lt;="&amp;EOMONTH(AK$2,0),'TABLERO DIARIO'!$ABF$5:$AEV$5,"SDF")/COUNTIFS('TABLERO DIARIO'!$ABF$2:$AEV$2,"&gt;="&amp;DATE(2025,MONTH(AK$2),1),'TABLERO DIARIO'!$ABF$2:$AEV$2,"&lt;="&amp;EOMONTH(AK$2,0),'TABLERO DIARIO'!$ABF$5:$AEV$5,"SDF",'TABLERO DIARIO'!$ABF$61:$AEV$61,"&lt;&gt;0",'TABLERO DIARIO'!$ABF$61:$AEV$61,"&lt;&gt;-"))=0,"-",(SUMIFS('TABLERO DIARIO'!$ABF$61:$AEV$61,'TABLERO DIARIO'!$ABF$2:$AEV$2,"&gt;="&amp;DATE(2025,MONTH(AK$2),1),'TABLERO DIARIO'!$ABF$2:$AEV$2,"&lt;="&amp;EOMONTH(AK$2,0),'TABLERO DIARIO'!$ABF$5:$AEV$5,"SDF")/COUNTIFS('TABLERO DIARIO'!$ABF$2:$AEV$2,"&gt;="&amp;DATE(2025,MONTH(AK$2),1),'TABLERO DIARIO'!$ABF$2:$AEV$2,"&lt;="&amp;EOMONTH(AK$2,0),'TABLERO DIARIO'!$ABF$5:$AEV$5,"SDF",'TABLERO DIARIO'!$ABF$61:$AEV$61,"&lt;&gt;0",'TABLERO DIARIO'!$ABF$61:$AEV$61,"&lt;&gt;-"))),"-")</f>
        <v>12.077905829081104</v>
      </c>
      <c r="AL192" s="555">
        <f>IFERROR(IF((SUMIFS('TABLERO DIARIO'!$AEV$61:$AII$61,'TABLERO DIARIO'!$AEV$2:$AII$2,"&gt;="&amp;DATE(2025,MONTH(AL$2),1),'TABLERO DIARIO'!$AEV$2:$AII$2,"&lt;="&amp;EOMONTH(AL$2,0),'TABLERO DIARIO'!$AEV$5:$AII$5,"SDF")/COUNTIFS('TABLERO DIARIO'!$AEV$2:$AII$2,"&gt;="&amp;DATE(2025,MONTH(AL$2),1),'TABLERO DIARIO'!$AEV$2:$AII$2,"&lt;="&amp;EOMONTH(AL$2,0),'TABLERO DIARIO'!$AEV$5:$AII$5,"SDF",'TABLERO DIARIO'!$AEV$61:$AII$61,"&lt;&gt;0",'TABLERO DIARIO'!$AEV$61:$AII$61,"&lt;&gt;-"))=0,"-",(SUMIFS('TABLERO DIARIO'!$AEV$61:$AII$61,'TABLERO DIARIO'!$AEV$2:$AII$2,"&gt;="&amp;DATE(2025,MONTH(AL$2),1),'TABLERO DIARIO'!$AEV$2:$AII$2,"&lt;="&amp;EOMONTH(AL$2,0),'TABLERO DIARIO'!$AEV$5:$AII$5,"SDF")/COUNTIFS('TABLERO DIARIO'!$AEV$2:$AII$2,"&gt;="&amp;DATE(2025,MONTH(AL$2),1),'TABLERO DIARIO'!$AEV$2:$AII$2,"&lt;="&amp;EOMONTH(AL$2,0),'TABLERO DIARIO'!$AEV$5:$AII$5,"SDF",'TABLERO DIARIO'!$AEV$61:$AII$61,"&lt;&gt;0",'TABLERO DIARIO'!$AEV$61:$AII$61,"&lt;&gt;-"))),"-")</f>
        <v>11.140319160371735</v>
      </c>
      <c r="AM192" s="556">
        <f>IFERROR(IF((SUMIFS('TABLERO DIARIO'!$AIA$61:$AMA$61,'TABLERO DIARIO'!$AIA$2:$AMA$2,"&gt;="&amp;DATE(2025,MONTH(AM$2),1),'TABLERO DIARIO'!$AIA$2:$AMA$2,"&lt;="&amp;EOMONTH(AM$2,0),'TABLERO DIARIO'!$AIA$5:$AMA$5,"SDF")/COUNTIFS('TABLERO DIARIO'!$AIA$2:$AMA$2,"&gt;="&amp;DATE(2025,MONTH(AM$2),1),'TABLERO DIARIO'!$AIA$2:$AMA$2,"&lt;="&amp;EOMONTH(AM$2,0),'TABLERO DIARIO'!$AIA$5:$AMA$5,"SDF",'TABLERO DIARIO'!$AIA$61:$AMA$61,"&lt;&gt;0",'TABLERO DIARIO'!$AIA$61:$AMA$61,"&lt;&gt;-"))=0,"-",(SUMIFS('TABLERO DIARIO'!$AIA$61:$AMA$61,'TABLERO DIARIO'!$AIA$2:$AMA$2,"&gt;="&amp;DATE(2025,MONTH(AM$2),1),'TABLERO DIARIO'!$AIA$2:$AMA$2,"&lt;="&amp;EOMONTH(AM$2,0),'TABLERO DIARIO'!$AIA$5:$AMA$5,"SDF")/COUNTIFS('TABLERO DIARIO'!$AIA$2:$AMA$2,"&gt;="&amp;DATE(2025,MONTH(AM$2),1),'TABLERO DIARIO'!$AIA$2:$AMA$2,"&lt;="&amp;EOMONTH(AM$2,0),'TABLERO DIARIO'!$AIA$5:$AMA$5,"SDF",'TABLERO DIARIO'!$AIA$61:$AMA$61,"&lt;&gt;0",'TABLERO DIARIO'!$AIA$61:$AMA$61,"&lt;&gt;-"))),"-")</f>
        <v>13.088044703218657</v>
      </c>
      <c r="AN192" s="1029">
        <f>IFERROR(IF((SUMIFS('TABLERO DIARIO'!$ALW$61:$ASW$61,'TABLERO DIARIO'!$ALW$2:$ASW$2,"&gt;="&amp;DATE(2026,MONTH(AN$2),1),'TABLERO DIARIO'!$ALW$2:$ASW$2,"&lt;="&amp;EOMONTH(AN$2,0),'TABLERO DIARIO'!$ALW$5:$ASW$5,"SDF")/COUNTIFS('TABLERO DIARIO'!$ALW$2:$ASW$2,"&gt;="&amp;DATE(2026,MONTH(AN$2),1),'TABLERO DIARIO'!$ALW$2:$ASW$2,"&lt;="&amp;EOMONTH(AN$2,0),'TABLERO DIARIO'!$ALW$5:$ASW$5,"SDF",'TABLERO DIARIO'!$ALW$61:$ASW$61,"&lt;&gt;0",'TABLERO DIARIO'!$ALW$61:$ASW$61,"&lt;&gt;-"))=0,"-",(SUMIFS('TABLERO DIARIO'!$ALW$61:$ASW$61,'TABLERO DIARIO'!$ALW$2:$ASW$2,"&gt;="&amp;DATE(2026,MONTH(AN$2),1),'TABLERO DIARIO'!$ALW$2:$ASW$2,"&lt;="&amp;EOMONTH(AN$2,0),'TABLERO DIARIO'!$ALW$5:$ASW$5,"SDF")/COUNTIFS('TABLERO DIARIO'!$ALW$2:$ASW$2,"&gt;="&amp;DATE(2026,MONTH(AN$2),1),'TABLERO DIARIO'!$ALW$2:$ASW$2,"&lt;="&amp;EOMONTH(AN$2,0),'TABLERO DIARIO'!$ALW$5:$ASW$5,"SDF",'TABLERO DIARIO'!$ALW$61:$ASW$61,"&lt;&gt;0",'TABLERO DIARIO'!$ALW$61:$ASW$61,"&lt;&gt;-"))),"-")</f>
        <v>11.539540024876068</v>
      </c>
      <c r="AO192" s="555">
        <f>IFERROR(IF((SUMIFS('TABLERO DIARIO'!$ALW$61:$AWW$61,'TABLERO DIARIO'!$ALW$2:$AWW$2,"&gt;="&amp;DATE(2026,MONTH(AO$2),1),'TABLERO DIARIO'!$ALW$2:$AWW$2,"&lt;="&amp;EOMONTH(AO$2,0),'TABLERO DIARIO'!$ALW$5:$AWW$5,"SDF")/COUNTIFS('TABLERO DIARIO'!$ALW$2:$AWW$2,"&gt;="&amp;DATE(2026,MONTH(AO$2),1),'TABLERO DIARIO'!$ALW$2:$AWW$2,"&lt;="&amp;EOMONTH(AO$2,0),'TABLERO DIARIO'!$ALW$5:$AWW$5,"SDF",'TABLERO DIARIO'!$ALW$61:$AWW$61,"&lt;&gt;0",'TABLERO DIARIO'!$ALW$61:$AWW$61,"&lt;&gt;-"))=0,"-",(SUMIFS('TABLERO DIARIO'!$ALW$61:$AWW$61,'TABLERO DIARIO'!$ALW$2:$AWW$2,"&gt;="&amp;DATE(2026,MONTH(AO$2),1),'TABLERO DIARIO'!$ALW$2:$AWW$2,"&lt;="&amp;EOMONTH(AO$2,0),'TABLERO DIARIO'!$ALW$5:$AWW$5,"SDF")/COUNTIFS('TABLERO DIARIO'!$ALW$2:$AWW$2,"&gt;="&amp;DATE(2026,MONTH(AO$2),1),'TABLERO DIARIO'!$ALW$2:$AWW$2,"&lt;="&amp;EOMONTH(AO$2,0),'TABLERO DIARIO'!$ALW$5:$AWW$5,"SDF",'TABLERO DIARIO'!$ALW$61:$AWW$61,"&lt;&gt;0",'TABLERO DIARIO'!$ALW$61:$AWW$61,"&lt;&gt;-"))),"-")</f>
        <v>11.955910391261554</v>
      </c>
      <c r="AP192" s="555"/>
      <c r="AQ192" s="555"/>
      <c r="AR192" s="555"/>
      <c r="AS192" s="555"/>
      <c r="AT192" s="555"/>
      <c r="AU192" s="963"/>
      <c r="AV192" s="963"/>
      <c r="AW192" s="555"/>
      <c r="AX192" s="555"/>
      <c r="AY192" s="556"/>
      <c r="AZ192" s="438"/>
      <c r="BA192" s="457" t="str">
        <f t="shared" si="47"/>
        <v>-</v>
      </c>
      <c r="BB192" s="103" t="str">
        <f t="shared" si="48"/>
        <v>-</v>
      </c>
      <c r="BC192" s="462">
        <f t="shared" si="33"/>
        <v>12.170725070290048</v>
      </c>
    </row>
    <row r="193" spans="1:56" ht="16">
      <c r="A193" s="93"/>
      <c r="B193" s="109" t="s">
        <v>280</v>
      </c>
      <c r="C193" s="99" t="s">
        <v>278</v>
      </c>
      <c r="D193" s="327"/>
      <c r="E193" s="328"/>
      <c r="F193" s="328"/>
      <c r="G193" s="328"/>
      <c r="H193" s="328"/>
      <c r="I193" s="328"/>
      <c r="J193" s="328"/>
      <c r="K193" s="328"/>
      <c r="L193" s="328"/>
      <c r="M193" s="328"/>
      <c r="N193" s="328"/>
      <c r="O193" s="329"/>
      <c r="P193" s="327"/>
      <c r="Q193" s="328"/>
      <c r="R193" s="328"/>
      <c r="S193" s="328"/>
      <c r="T193" s="328"/>
      <c r="U193" s="328"/>
      <c r="V193" s="328"/>
      <c r="W193" s="328"/>
      <c r="X193" s="328"/>
      <c r="Y193" s="328"/>
      <c r="Z193" s="328"/>
      <c r="AA193" s="329"/>
      <c r="AB193" s="557" t="str">
        <f>IFERROR(IF((SUMIFS('TABLERO DIARIO'!$I$61:$ZZ$61,'TABLERO DIARIO'!$I$2:$ZZ$2,"&gt;="&amp;DATE(2025,MONTH(AB$2),1),'TABLERO DIARIO'!$I$2:$ZZ$2,"&lt;="&amp;EOMONTH(AB$2,0),'TABLERO DIARIO'!$I$5:$ZZ$5,"LV")/COUNTIFS('TABLERO DIARIO'!$I$2:$ZZ$2,"&gt;="&amp;DATE(2025,MONTH(AB$2),1),'TABLERO DIARIO'!$I$2:$ZZ$2,"&lt;="&amp;EOMONTH(AB$2,0),'TABLERO DIARIO'!$I$5:$ZZ$5,"LV",'TABLERO DIARIO'!$I$61:$ZZ$61,"&lt;&gt;0",'TABLERO DIARIO'!$I$61:$ZZ$61,"&lt;&gt;-"))=0,"-",(SUMIFS('TABLERO DIARIO'!$I$61:$ZZ$61,'TABLERO DIARIO'!$I$2:$ZZ$2,"&gt;="&amp;DATE(2025,MONTH(AB$2),1),'TABLERO DIARIO'!$I$2:$ZZ$2,"&lt;="&amp;EOMONTH(AB$2,0),'TABLERO DIARIO'!$I$5:$ZZ$5,"LV")/COUNTIFS('TABLERO DIARIO'!$I$2:$ZZ$2,"&gt;="&amp;DATE(2025,MONTH(AB$2),1),'TABLERO DIARIO'!$I$2:$ZZ$2,"&lt;="&amp;EOMONTH(AB$2,0),'TABLERO DIARIO'!$I$5:$ZZ$5,"LV",'TABLERO DIARIO'!$I$61:$ZZ$61,"&lt;&gt;0",'TABLERO DIARIO'!$I$61:$ZZ$61,"&lt;&gt;-"))),"-")</f>
        <v>-</v>
      </c>
      <c r="AC193" s="558">
        <f>IFERROR(IF((SUMIFS('TABLERO DIARIO'!$I$61:$ZZ$61,'TABLERO DIARIO'!$I$2:$ZZ$2,"&gt;="&amp;DATE(2025,MONTH(AC$2),1),'TABLERO DIARIO'!$I$2:$ZZ$2,"&lt;="&amp;EOMONTH(AC$2,0),'TABLERO DIARIO'!$I$5:$ZZ$5,"LV")/COUNTIFS('TABLERO DIARIO'!$I$2:$ZZ$2,"&gt;="&amp;DATE(2025,MONTH(AC$2),1),'TABLERO DIARIO'!$I$2:$ZZ$2,"&lt;="&amp;EOMONTH(AC$2,0),'TABLERO DIARIO'!$I$5:$ZZ$5,"LV",'TABLERO DIARIO'!$I$61:$ZZ$61,"&lt;&gt;0",'TABLERO DIARIO'!$I$61:$ZZ$61,"&lt;&gt;-"))=0,"-",(SUMIFS('TABLERO DIARIO'!$I$61:$ZZ$61,'TABLERO DIARIO'!$I$2:$ZZ$2,"&gt;="&amp;DATE(2025,MONTH(AC$2),1),'TABLERO DIARIO'!$I$2:$ZZ$2,"&lt;="&amp;EOMONTH(AC$2,0),'TABLERO DIARIO'!$I$5:$ZZ$5,"LV")/COUNTIFS('TABLERO DIARIO'!$I$2:$ZZ$2,"&gt;="&amp;DATE(2025,MONTH(AC$2),1),'TABLERO DIARIO'!$I$2:$ZZ$2,"&lt;="&amp;EOMONTH(AC$2,0),'TABLERO DIARIO'!$I$5:$ZZ$5,"LV",'TABLERO DIARIO'!$I$61:$ZZ$61,"&lt;&gt;0",'TABLERO DIARIO'!$I$61:$ZZ$61,"&lt;&gt;-"))),"-")</f>
        <v>15.461319547079501</v>
      </c>
      <c r="AD193" s="559">
        <f>IFERROR(IF((SUMIFS('TABLERO DIARIO'!$I$61:$ZZ$61,'TABLERO DIARIO'!$I$2:$ZZ$2,"&gt;="&amp;DATE(2025,MONTH(AD$2),1),'TABLERO DIARIO'!$I$2:$ZZ$2,"&lt;="&amp;EOMONTH(AD$2,0),'TABLERO DIARIO'!$I$5:$ZZ$5,"LV")/COUNTIFS('TABLERO DIARIO'!$I$2:$ZZ$2,"&gt;="&amp;DATE(2025,MONTH(AD$2),1),'TABLERO DIARIO'!$I$2:$ZZ$2,"&lt;="&amp;EOMONTH(AD$2,0),'TABLERO DIARIO'!$I$5:$ZZ$5,"LV",'TABLERO DIARIO'!$I$61:$ZZ$61,"&lt;&gt;0",'TABLERO DIARIO'!$I$61:$ZZ$61,"&lt;&gt;-"))=0,"-",(SUMIFS('TABLERO DIARIO'!$I$61:$ZZ$61,'TABLERO DIARIO'!$I$2:$ZZ$2,"&gt;="&amp;DATE(2025,MONTH(AD$2),1),'TABLERO DIARIO'!$I$2:$ZZ$2,"&lt;="&amp;EOMONTH(AD$2,0),'TABLERO DIARIO'!$I$5:$ZZ$5,"LV")/COUNTIFS('TABLERO DIARIO'!$I$2:$ZZ$2,"&gt;="&amp;DATE(2025,MONTH(AD$2),1),'TABLERO DIARIO'!$I$2:$ZZ$2,"&lt;="&amp;EOMONTH(AD$2,0),'TABLERO DIARIO'!$I$5:$ZZ$5,"LV",'TABLERO DIARIO'!$I$61:$ZZ$61,"&lt;&gt;0",'TABLERO DIARIO'!$I$61:$ZZ$61,"&lt;&gt;-"))),"-")</f>
        <v>16.156900728466226</v>
      </c>
      <c r="AE193" s="559">
        <f>IFERROR(IF((SUMIFS('TABLERO DIARIO'!$I$61:$ZZ$61,'TABLERO DIARIO'!$I$2:$ZZ$2,"&gt;="&amp;DATE(2025,MONTH(AE$2),1),'TABLERO DIARIO'!$I$2:$ZZ$2,"&lt;="&amp;EOMONTH(AE$2,0),'TABLERO DIARIO'!$I$5:$ZZ$5,"LV")/COUNTIFS('TABLERO DIARIO'!$I$2:$ZZ$2,"&gt;="&amp;DATE(2025,MONTH(AE$2),1),'TABLERO DIARIO'!$I$2:$ZZ$2,"&lt;="&amp;EOMONTH(AE$2,0),'TABLERO DIARIO'!$I$5:$ZZ$5,"LV",'TABLERO DIARIO'!$I$61:$ZZ$61,"&lt;&gt;0",'TABLERO DIARIO'!$I$61:$ZZ$61,"&lt;&gt;-"))=0,"-",(SUMIFS('TABLERO DIARIO'!$I$61:$ZZ$61,'TABLERO DIARIO'!$I$2:$ZZ$2,"&gt;="&amp;DATE(2025,MONTH(AE$2),1),'TABLERO DIARIO'!$I$2:$ZZ$2,"&lt;="&amp;EOMONTH(AE$2,0),'TABLERO DIARIO'!$I$5:$ZZ$5,"LV")/COUNTIFS('TABLERO DIARIO'!$I$2:$ZZ$2,"&gt;="&amp;DATE(2025,MONTH(AE$2),1),'TABLERO DIARIO'!$I$2:$ZZ$2,"&lt;="&amp;EOMONTH(AE$2,0),'TABLERO DIARIO'!$I$5:$ZZ$5,"LV",'TABLERO DIARIO'!$I$61:$ZZ$61,"&lt;&gt;0",'TABLERO DIARIO'!$I$61:$ZZ$61,"&lt;&gt;-"))),"-")</f>
        <v>17.219495527067366</v>
      </c>
      <c r="AF193" s="559">
        <f>IFERROR(IF((SUMIFS('TABLERO DIARIO'!$I$61:$ZZ$61,'TABLERO DIARIO'!$I$2:$ZZ$2,"&gt;="&amp;DATE(2025,MONTH(AF$2),1),'TABLERO DIARIO'!$I$2:$ZZ$2,"&lt;="&amp;EOMONTH(AF$2,0),'TABLERO DIARIO'!$I$5:$ZZ$5,"LV")/COUNTIFS('TABLERO DIARIO'!$I$2:$ZZ$2,"&gt;="&amp;DATE(2025,MONTH(AF$2),1),'TABLERO DIARIO'!$I$2:$ZZ$2,"&lt;="&amp;EOMONTH(AF$2,0),'TABLERO DIARIO'!$I$5:$ZZ$5,"LV",'TABLERO DIARIO'!$I$61:$ZZ$61,"&lt;&gt;0",'TABLERO DIARIO'!$I$61:$ZZ$61,"&lt;&gt;-"))=0,"-",(SUMIFS('TABLERO DIARIO'!$I$61:$ZZ$61,'TABLERO DIARIO'!$I$2:$ZZ$2,"&gt;="&amp;DATE(2025,MONTH(AF$2),1),'TABLERO DIARIO'!$I$2:$ZZ$2,"&lt;="&amp;EOMONTH(AF$2,0),'TABLERO DIARIO'!$I$5:$ZZ$5,"LV")/COUNTIFS('TABLERO DIARIO'!$I$2:$ZZ$2,"&gt;="&amp;DATE(2025,MONTH(AF$2),1),'TABLERO DIARIO'!$I$2:$ZZ$2,"&lt;="&amp;EOMONTH(AF$2,0),'TABLERO DIARIO'!$I$5:$ZZ$5,"LV",'TABLERO DIARIO'!$I$61:$ZZ$61,"&lt;&gt;0",'TABLERO DIARIO'!$I$61:$ZZ$61,"&lt;&gt;-"))),"-")</f>
        <v>16.494787968125813</v>
      </c>
      <c r="AG193" s="559">
        <f>IFERROR(IF((SUMIFS('TABLERO DIARIO'!$I$61:$ZZ$61,'TABLERO DIARIO'!$I$2:$ZZ$2,"&gt;="&amp;DATE(2025,MONTH(AG$2),1),'TABLERO DIARIO'!$I$2:$ZZ$2,"&lt;="&amp;EOMONTH(AG$2,0),'TABLERO DIARIO'!$I$5:$ZZ$5,"LV")/COUNTIFS('TABLERO DIARIO'!$I$2:$ZZ$2,"&gt;="&amp;DATE(2025,MONTH(AG$2),1),'TABLERO DIARIO'!$I$2:$ZZ$2,"&lt;="&amp;EOMONTH(AG$2,0),'TABLERO DIARIO'!$I$5:$ZZ$5,"LV",'TABLERO DIARIO'!$I$61:$ZZ$61,"&lt;&gt;0",'TABLERO DIARIO'!$I$61:$ZZ$61,"&lt;&gt;-"))=0,"-",(SUMIFS('TABLERO DIARIO'!$I$61:$ZZ$61,'TABLERO DIARIO'!$I$2:$ZZ$2,"&gt;="&amp;DATE(2025,MONTH(AG$2),1),'TABLERO DIARIO'!$I$2:$ZZ$2,"&lt;="&amp;EOMONTH(AG$2,0),'TABLERO DIARIO'!$I$5:$ZZ$5,"LV")/COUNTIFS('TABLERO DIARIO'!$I$2:$ZZ$2,"&gt;="&amp;DATE(2025,MONTH(AG$2),1),'TABLERO DIARIO'!$I$2:$ZZ$2,"&lt;="&amp;EOMONTH(AG$2,0),'TABLERO DIARIO'!$I$5:$ZZ$5,"LV",'TABLERO DIARIO'!$I$61:$ZZ$61,"&lt;&gt;0",'TABLERO DIARIO'!$I$61:$ZZ$61,"&lt;&gt;-"))),"-")</f>
        <v>16.665402824596953</v>
      </c>
      <c r="AH193" s="559">
        <f>IFERROR(IF((SUMIFS('TABLERO DIARIO'!$I$61:$ZZ$61,'TABLERO DIARIO'!$I$2:$ZZ$2,"&gt;="&amp;DATE(2025,MONTH(AH$2),1),'TABLERO DIARIO'!$I$2:$ZZ$2,"&lt;="&amp;EOMONTH(AH$2,0),'TABLERO DIARIO'!$I$5:$ZZ$5,"LV")/COUNTIFS('TABLERO DIARIO'!$I$2:$ZZ$2,"&gt;="&amp;DATE(2025,MONTH(AH$2),1),'TABLERO DIARIO'!$I$2:$ZZ$2,"&lt;="&amp;EOMONTH(AH$2,0),'TABLERO DIARIO'!$I$5:$ZZ$5,"LV",'TABLERO DIARIO'!$I$61:$ZZ$61,"&lt;&gt;0",'TABLERO DIARIO'!$I$61:$ZZ$61,"&lt;&gt;-"))=0,"-",(SUMIFS('TABLERO DIARIO'!$I$61:$ZZ$61,'TABLERO DIARIO'!$I$2:$ZZ$2,"&gt;="&amp;DATE(2025,MONTH(AH$2),1),'TABLERO DIARIO'!$I$2:$ZZ$2,"&lt;="&amp;EOMONTH(AH$2,0),'TABLERO DIARIO'!$I$5:$ZZ$5,"LV")/COUNTIFS('TABLERO DIARIO'!$I$2:$ZZ$2,"&gt;="&amp;DATE(2025,MONTH(AH$2),1),'TABLERO DIARIO'!$I$2:$ZZ$2,"&lt;="&amp;EOMONTH(AH$2,0),'TABLERO DIARIO'!$I$5:$ZZ$5,"LV",'TABLERO DIARIO'!$I$61:$ZZ$61,"&lt;&gt;0",'TABLERO DIARIO'!$I$61:$ZZ$61,"&lt;&gt;-"))),"-")</f>
        <v>16.536853398542355</v>
      </c>
      <c r="AI193" s="559">
        <f>IFERROR(IF((SUMIFS('TABLERO DIARIO'!$I$61:$ZZ$61,'TABLERO DIARIO'!$I$2:$ZZ$2,"&gt;="&amp;DATE(2025,MONTH(AI$2),1),'TABLERO DIARIO'!$I$2:$ZZ$2,"&lt;="&amp;EOMONTH(AI$2,0),'TABLERO DIARIO'!$I$5:$ZZ$5,"LV")/COUNTIFS('TABLERO DIARIO'!$I$2:$ZZ$2,"&gt;="&amp;DATE(2025,MONTH(AI$2),1),'TABLERO DIARIO'!$I$2:$ZZ$2,"&lt;="&amp;EOMONTH(AI$2,0),'TABLERO DIARIO'!$I$5:$ZZ$5,"LV",'TABLERO DIARIO'!$I$61:$ZZ$61,"&lt;&gt;0",'TABLERO DIARIO'!$I$61:$ZZ$61,"&lt;&gt;-"))=0,"-",(SUMIFS('TABLERO DIARIO'!$I$61:$ZZ$61,'TABLERO DIARIO'!$I$2:$ZZ$2,"&gt;="&amp;DATE(2025,MONTH(AI$2),1),'TABLERO DIARIO'!$I$2:$ZZ$2,"&lt;="&amp;EOMONTH(AI$2,0),'TABLERO DIARIO'!$I$5:$ZZ$5,"LV")/COUNTIFS('TABLERO DIARIO'!$I$2:$ZZ$2,"&gt;="&amp;DATE(2025,MONTH(AI$2),1),'TABLERO DIARIO'!$I$2:$ZZ$2,"&lt;="&amp;EOMONTH(AI$2,0),'TABLERO DIARIO'!$I$5:$ZZ$5,"LV",'TABLERO DIARIO'!$I$61:$ZZ$61,"&lt;&gt;0",'TABLERO DIARIO'!$I$61:$ZZ$61,"&lt;&gt;-"))),"-")</f>
        <v>16.567202386210106</v>
      </c>
      <c r="AJ193" s="559">
        <f>IFERROR(IF((SUMIFS('TABLERO DIARIO'!$I$61:$ABL$61,'TABLERO DIARIO'!$I$2:$ABL$2,"&gt;="&amp;DATE(2025,MONTH(AJ$2),1),'TABLERO DIARIO'!$I$2:$ABL$2,"&lt;="&amp;EOMONTH(AJ$2,0),'TABLERO DIARIO'!$I$5:$ABL$5,"LV")/COUNTIFS('TABLERO DIARIO'!$I$2:$ABL$2,"&gt;="&amp;DATE(2025,MONTH(AJ$2),1),'TABLERO DIARIO'!$I$2:$ABL$2,"&lt;="&amp;EOMONTH(AJ$2,0),'TABLERO DIARIO'!$I$5:$ABL$5,"LV",'TABLERO DIARIO'!$I$61:$ABL$61,"&lt;&gt;0",'TABLERO DIARIO'!$I$61:$ABL$61,"&lt;&gt;-"))=0,"-",(SUMIFS('TABLERO DIARIO'!$I$61:$ABL$61,'TABLERO DIARIO'!$I$2:$ABL$2,"&gt;="&amp;DATE(2025,MONTH(AJ$2),1),'TABLERO DIARIO'!$I$2:$ABL$2,"&lt;="&amp;EOMONTH(AJ$2,0),'TABLERO DIARIO'!$I$5:$ABL$5,"LV")/COUNTIFS('TABLERO DIARIO'!$I$2:$ABL$2,"&gt;="&amp;DATE(2025,MONTH(AJ$2),1),'TABLERO DIARIO'!$I$2:$ABL$2,"&lt;="&amp;EOMONTH(AJ$2,0),'TABLERO DIARIO'!$I$5:$ABL$5,"LV",'TABLERO DIARIO'!$I$61:$ABL$61,"&lt;&gt;0",'TABLERO DIARIO'!$I$61:$ABL$61,"&lt;&gt;-"))),"-")</f>
        <v>16.239464702988219</v>
      </c>
      <c r="AK193" s="559">
        <f>IFERROR(IF((SUMIFS('TABLERO DIARIO'!$ABF$61:$AEV$61,'TABLERO DIARIO'!$ABF$2:$AEV$2,"&gt;="&amp;DATE(2025,MONTH(AK$2),1),'TABLERO DIARIO'!$ABF$2:$AEV$2,"&lt;="&amp;EOMONTH(AK$2,0),'TABLERO DIARIO'!$ABF$5:$AEV$5,"LV")/COUNTIFS('TABLERO DIARIO'!$ABF$2:$AEV$2,"&gt;="&amp;DATE(2025,MONTH(AK$2),1),'TABLERO DIARIO'!$ABF$2:$AEV$2,"&lt;="&amp;EOMONTH(AK$2,0),'TABLERO DIARIO'!$ABF$5:$AEV$5,"LV",'TABLERO DIARIO'!$ABF$61:$AEV$61,"&lt;&gt;0",'TABLERO DIARIO'!$ABF$61:$AEV$61,"&lt;&gt;-"))=0,"-",(SUMIFS('TABLERO DIARIO'!$ABF$61:$AEV$61,'TABLERO DIARIO'!$ABF$2:$AEV$2,"&gt;="&amp;DATE(2025,MONTH(AK$2),1),'TABLERO DIARIO'!$ABF$2:$AEV$2,"&lt;="&amp;EOMONTH(AK$2,0),'TABLERO DIARIO'!$ABF$5:$AEV$5,"LV")/COUNTIFS('TABLERO DIARIO'!$ABF$2:$AEV$2,"&gt;="&amp;DATE(2025,MONTH(AK$2),1),'TABLERO DIARIO'!$ABF$2:$AEV$2,"&lt;="&amp;EOMONTH(AK$2,0),'TABLERO DIARIO'!$ABF$5:$AEV$5,"LV",'TABLERO DIARIO'!$ABF$61:$AEV$61,"&lt;&gt;0",'TABLERO DIARIO'!$ABF$61:$AEV$61,"&lt;&gt;-"))),"-")</f>
        <v>16.57620210063202</v>
      </c>
      <c r="AL193" s="559">
        <f>IFERROR(IF((SUMIFS('TABLERO DIARIO'!$AEV$61:$AII$61,'TABLERO DIARIO'!$AEV$2:$AII$2,"&gt;="&amp;DATE(2025,MONTH(AL$2),1),'TABLERO DIARIO'!$AEV$2:$AII$2,"&lt;="&amp;EOMONTH(AL$2,0),'TABLERO DIARIO'!$AEV$5:$AII$5,"LV")/COUNTIFS('TABLERO DIARIO'!$AEV$2:$AII$2,"&gt;="&amp;DATE(2025,MONTH(AL$2),1),'TABLERO DIARIO'!$AEV$2:$AII$2,"&lt;="&amp;EOMONTH(AL$2,0),'TABLERO DIARIO'!$AEV$5:$AII$5,"LV",'TABLERO DIARIO'!$AEV$61:$AII$61,"&lt;&gt;0",'TABLERO DIARIO'!$AEV$61:$AII$61,"&lt;&gt;-"))=0,"-",(SUMIFS('TABLERO DIARIO'!$AEV$61:$AII$61,'TABLERO DIARIO'!$AEV$2:$AII$2,"&gt;="&amp;DATE(2025,MONTH(AL$2),1),'TABLERO DIARIO'!$AEV$2:$AII$2,"&lt;="&amp;EOMONTH(AL$2,0),'TABLERO DIARIO'!$AEV$5:$AII$5,"LV")/COUNTIFS('TABLERO DIARIO'!$AEV$2:$AII$2,"&gt;="&amp;DATE(2025,MONTH(AL$2),1),'TABLERO DIARIO'!$AEV$2:$AII$2,"&lt;="&amp;EOMONTH(AL$2,0),'TABLERO DIARIO'!$AEV$5:$AII$5,"LV",'TABLERO DIARIO'!$AEV$61:$AII$61,"&lt;&gt;0",'TABLERO DIARIO'!$AEV$61:$AII$61,"&lt;&gt;-"))),"-")</f>
        <v>17.329334310292502</v>
      </c>
      <c r="AM193" s="560">
        <f>IFERROR(IF((SUMIFS('TABLERO DIARIO'!$AIA$61:$AMA$61,'TABLERO DIARIO'!$AIA$2:$AMA$2,"&gt;="&amp;DATE(2025,MONTH(AM$2),1),'TABLERO DIARIO'!$AIA$2:$AMA$2,"&lt;="&amp;EOMONTH(AM$2,0),'TABLERO DIARIO'!$AIA$5:$AMA$5,"LV")/COUNTIFS('TABLERO DIARIO'!$AIA$2:$AMA$2,"&gt;="&amp;DATE(2025,MONTH(AM$2),1),'TABLERO DIARIO'!$AIA$2:$AMA$2,"&lt;="&amp;EOMONTH(AM$2,0),'TABLERO DIARIO'!$AIA$5:$AMA$5,"LV",'TABLERO DIARIO'!$AIA$61:$AMA$61,"&lt;&gt;0",'TABLERO DIARIO'!$AIA$61:$AMA$61,"&lt;&gt;-"))=0,"-",(SUMIFS('TABLERO DIARIO'!$AIA$61:$AMA$61,'TABLERO DIARIO'!$AIA$2:$AMA$2,"&gt;="&amp;DATE(2025,MONTH(AM$2),1),'TABLERO DIARIO'!$AIA$2:$AMA$2,"&lt;="&amp;EOMONTH(AM$2,0),'TABLERO DIARIO'!$AIA$5:$AMA$5,"LV")/COUNTIFS('TABLERO DIARIO'!$AIA$2:$AMA$2,"&gt;="&amp;DATE(2025,MONTH(AM$2),1),'TABLERO DIARIO'!$AIA$2:$AMA$2,"&lt;="&amp;EOMONTH(AM$2,0),'TABLERO DIARIO'!$AIA$5:$AMA$5,"LV",'TABLERO DIARIO'!$AIA$61:$AMA$61,"&lt;&gt;0",'TABLERO DIARIO'!$AIA$61:$AMA$61,"&lt;&gt;-"))),"-")</f>
        <v>17.574590896936019</v>
      </c>
      <c r="AN193" s="1030">
        <f>IFERROR(IF((SUMIFS('TABLERO DIARIO'!$ALW$61:$ASW$61,'TABLERO DIARIO'!$ALW$2:$ASW$2,"&gt;="&amp;DATE(2026,MONTH(AN$2),1),'TABLERO DIARIO'!$ALW$2:$ASW$2,"&lt;="&amp;EOMONTH(AN$2,0),'TABLERO DIARIO'!$ALW$5:$ASW$5,"LV")/COUNTIFS('TABLERO DIARIO'!$ALW$2:$ASW$2,"&gt;="&amp;DATE(2026,MONTH(AN$2),1),'TABLERO DIARIO'!$ALW$2:$ASW$2,"&lt;="&amp;EOMONTH(AN$2,0),'TABLERO DIARIO'!$ALW$5:$ASW$5,"LV",'TABLERO DIARIO'!$ALW$61:$ASW$61,"&lt;&gt;0",'TABLERO DIARIO'!$ALW$61:$ASW$61,"&lt;&gt;-"))=0,"-",(SUMIFS('TABLERO DIARIO'!$ALW$61:$ASW$61,'TABLERO DIARIO'!$ALW$2:$ASW$2,"&gt;="&amp;DATE(2026,MONTH(AN$2),1),'TABLERO DIARIO'!$ALW$2:$ASW$2,"&lt;="&amp;EOMONTH(AN$2,0),'TABLERO DIARIO'!$ALW$5:$ASW$5,"LV")/COUNTIFS('TABLERO DIARIO'!$ALW$2:$ASW$2,"&gt;="&amp;DATE(2026,MONTH(AN$2),1),'TABLERO DIARIO'!$ALW$2:$ASW$2,"&lt;="&amp;EOMONTH(AN$2,0),'TABLERO DIARIO'!$ALW$5:$ASW$5,"LV",'TABLERO DIARIO'!$ALW$61:$ASW$61,"&lt;&gt;0",'TABLERO DIARIO'!$ALW$61:$ASW$61,"&lt;&gt;-"))),"-")</f>
        <v>15.969533490882187</v>
      </c>
      <c r="AO193" s="559">
        <f>IFERROR(IF((SUMIFS('TABLERO DIARIO'!$ALW$61:$AWW$61,'TABLERO DIARIO'!$ALW$2:$AWW$2,"&gt;="&amp;DATE(2026,MONTH(AO$2),1),'TABLERO DIARIO'!$ALW$2:$AWW$2,"&lt;="&amp;EOMONTH(AO$2,0),'TABLERO DIARIO'!$ALW$5:$AWW$5,"LV")/COUNTIFS('TABLERO DIARIO'!$ALW$2:$AWW$2,"&gt;="&amp;DATE(2026,MONTH(AO$2),1),'TABLERO DIARIO'!$ALW$2:$AWW$2,"&lt;="&amp;EOMONTH(AO$2,0),'TABLERO DIARIO'!$ALW$5:$AWW$5,"LV",'TABLERO DIARIO'!$ALW$61:$AWW$61,"&lt;&gt;0",'TABLERO DIARIO'!$ALW$61:$AWW$61,"&lt;&gt;-"))=0,"-",(SUMIFS('TABLERO DIARIO'!$ALW$61:$AWW$61,'TABLERO DIARIO'!$ALW$2:$AWW$2,"&gt;="&amp;DATE(2026,MONTH(AO$2),1),'TABLERO DIARIO'!$ALW$2:$AWW$2,"&lt;="&amp;EOMONTH(AO$2,0),'TABLERO DIARIO'!$ALW$5:$AWW$5,"LV")/COUNTIFS('TABLERO DIARIO'!$ALW$2:$AWW$2,"&gt;="&amp;DATE(2026,MONTH(AO$2),1),'TABLERO DIARIO'!$ALW$2:$AWW$2,"&lt;="&amp;EOMONTH(AO$2,0),'TABLERO DIARIO'!$ALW$5:$AWW$5,"LV",'TABLERO DIARIO'!$ALW$61:$AWW$61,"&lt;&gt;0",'TABLERO DIARIO'!$ALW$61:$AWW$61,"&lt;&gt;-"))),"-")</f>
        <v>16.020452099816548</v>
      </c>
      <c r="AP193" s="559"/>
      <c r="AQ193" s="559"/>
      <c r="AR193" s="559"/>
      <c r="AS193" s="559"/>
      <c r="AT193" s="559"/>
      <c r="AU193" s="559"/>
      <c r="AV193" s="559"/>
      <c r="AW193" s="559"/>
      <c r="AX193" s="559"/>
      <c r="AY193" s="560"/>
      <c r="AZ193" s="438"/>
      <c r="BA193" s="458" t="str">
        <f t="shared" si="47"/>
        <v>-</v>
      </c>
      <c r="BB193" s="310" t="str">
        <f t="shared" si="48"/>
        <v>-</v>
      </c>
      <c r="BC193" s="544">
        <f t="shared" si="33"/>
        <v>16.620141308267009</v>
      </c>
    </row>
    <row r="194" spans="1:56" ht="16">
      <c r="A194" s="93"/>
      <c r="B194" s="300"/>
      <c r="C194" s="301"/>
      <c r="D194" s="340"/>
      <c r="E194" s="340"/>
      <c r="F194" s="340"/>
      <c r="G194" s="340"/>
      <c r="H194" s="340"/>
      <c r="I194" s="340"/>
      <c r="J194" s="340"/>
      <c r="K194" s="340"/>
      <c r="L194" s="340"/>
      <c r="M194" s="340"/>
      <c r="N194" s="340"/>
      <c r="O194" s="340"/>
      <c r="P194" s="340"/>
      <c r="Q194" s="340"/>
      <c r="R194" s="340"/>
      <c r="S194" s="340"/>
      <c r="T194" s="340"/>
      <c r="U194" s="340"/>
      <c r="V194" s="340"/>
      <c r="W194" s="340"/>
      <c r="X194" s="340"/>
      <c r="Y194" s="340"/>
      <c r="Z194" s="340"/>
      <c r="AA194" s="340"/>
      <c r="AB194" s="521"/>
      <c r="AC194" s="521"/>
      <c r="AD194" s="522"/>
      <c r="AE194" s="522"/>
      <c r="AF194" s="522"/>
      <c r="AG194" s="522"/>
      <c r="AH194" s="529"/>
      <c r="AI194" s="341"/>
      <c r="AJ194" s="341"/>
      <c r="AK194" s="341"/>
      <c r="AL194" s="341"/>
      <c r="AM194" s="341"/>
      <c r="AN194" s="522"/>
      <c r="AO194" s="522"/>
      <c r="AP194" s="522"/>
      <c r="AQ194" s="522"/>
      <c r="AR194" s="522"/>
      <c r="AS194" s="522"/>
      <c r="AT194" s="529"/>
      <c r="AU194" s="341"/>
      <c r="AV194" s="341"/>
      <c r="AW194" s="341"/>
      <c r="AX194" s="341"/>
      <c r="AY194" s="341"/>
      <c r="AZ194" s="93"/>
      <c r="BA194" s="341"/>
      <c r="BB194" s="341"/>
      <c r="BC194" s="341"/>
    </row>
    <row r="195" spans="1:56" ht="16">
      <c r="A195" s="93"/>
      <c r="B195" s="100" t="s">
        <v>281</v>
      </c>
      <c r="C195" s="99" t="s">
        <v>282</v>
      </c>
      <c r="D195" s="166"/>
      <c r="E195" s="164"/>
      <c r="F195" s="164"/>
      <c r="G195" s="164"/>
      <c r="H195" s="164"/>
      <c r="I195" s="164"/>
      <c r="J195" s="164"/>
      <c r="K195" s="164"/>
      <c r="L195" s="164"/>
      <c r="M195" s="164"/>
      <c r="N195" s="164"/>
      <c r="O195" s="167"/>
      <c r="P195" s="166"/>
      <c r="Q195" s="164"/>
      <c r="R195" s="164"/>
      <c r="S195" s="164"/>
      <c r="T195" s="164"/>
      <c r="U195" s="164"/>
      <c r="V195" s="164"/>
      <c r="W195" s="164"/>
      <c r="X195" s="164"/>
      <c r="Y195" s="164"/>
      <c r="Z195" s="164"/>
      <c r="AA195" s="167"/>
      <c r="AB195" s="598" t="s">
        <v>20</v>
      </c>
      <c r="AC195" s="599" t="s">
        <v>20</v>
      </c>
      <c r="AD195" s="597" t="s">
        <v>20</v>
      </c>
      <c r="AE195" s="597" t="s">
        <v>20</v>
      </c>
      <c r="AF195" s="597">
        <v>4681.83</v>
      </c>
      <c r="AG195" s="597">
        <v>5765.05</v>
      </c>
      <c r="AH195" s="597">
        <v>5900</v>
      </c>
      <c r="AI195" s="597">
        <v>6769.85</v>
      </c>
      <c r="AJ195" s="597">
        <v>6769</v>
      </c>
      <c r="AK195" s="597">
        <v>4656</v>
      </c>
      <c r="AL195" s="597">
        <v>3671</v>
      </c>
      <c r="AM195" s="600">
        <v>2349</v>
      </c>
      <c r="AN195" s="1031">
        <v>3534</v>
      </c>
      <c r="AO195" s="597"/>
      <c r="AP195" s="597"/>
      <c r="AQ195" s="597"/>
      <c r="AR195" s="597"/>
      <c r="AS195" s="597"/>
      <c r="AT195" s="597"/>
      <c r="AU195" s="597"/>
      <c r="AV195" s="597"/>
      <c r="AW195" s="597"/>
      <c r="AX195" s="597"/>
      <c r="AY195" s="600"/>
      <c r="AZ195" s="438"/>
      <c r="BA195" s="459" t="str">
        <f>IFERROR(AVERAGE(D195:O195),"-")</f>
        <v>-</v>
      </c>
      <c r="BB195" s="333" t="str">
        <f>IFERROR(AVERAGE(P195:AA195),"-")</f>
        <v>-</v>
      </c>
      <c r="BC195" s="545">
        <f>IFERROR(SUMIFS(AB195:AM195,AB195:AM195,"&lt;&gt;0",AB195:AM195,"&lt;&gt;-",AB195:AM195,"&lt;&gt;",AB195:AM195,"&lt;&gt; ")/COUNTIFS(AB195:AM195,"&lt;&gt;0",AB195:AM195,"&lt;&gt;-",AB195:AM195,"&lt;&gt;",AB195:AM195,"&lt;&gt; "),"-")</f>
        <v>5070.2162500000004</v>
      </c>
    </row>
    <row r="196" spans="1:56" ht="16">
      <c r="A196" s="93"/>
      <c r="B196" s="100" t="s">
        <v>283</v>
      </c>
      <c r="C196" s="99" t="s">
        <v>284</v>
      </c>
      <c r="D196" s="166"/>
      <c r="E196" s="164"/>
      <c r="F196" s="164"/>
      <c r="G196" s="164"/>
      <c r="H196" s="164"/>
      <c r="I196" s="164"/>
      <c r="J196" s="164"/>
      <c r="K196" s="164"/>
      <c r="L196" s="164"/>
      <c r="M196" s="164"/>
      <c r="N196" s="164"/>
      <c r="O196" s="167"/>
      <c r="P196" s="166"/>
      <c r="Q196" s="164"/>
      <c r="R196" s="164"/>
      <c r="S196" s="164"/>
      <c r="T196" s="164"/>
      <c r="U196" s="164"/>
      <c r="V196" s="164"/>
      <c r="W196" s="164"/>
      <c r="X196" s="164"/>
      <c r="Y196" s="164"/>
      <c r="Z196" s="164"/>
      <c r="AA196" s="167"/>
      <c r="AB196" s="598" t="s">
        <v>20</v>
      </c>
      <c r="AC196" s="599" t="s">
        <v>20</v>
      </c>
      <c r="AD196" s="597" t="s">
        <v>20</v>
      </c>
      <c r="AE196" s="597" t="s">
        <v>20</v>
      </c>
      <c r="AF196" s="597">
        <f>82938+220281+106009</f>
        <v>409228</v>
      </c>
      <c r="AG196" s="597">
        <f>67962+181526+87159</f>
        <v>336647</v>
      </c>
      <c r="AH196" s="597">
        <f>76433+209814+101041</f>
        <v>387288</v>
      </c>
      <c r="AI196" s="597">
        <v>399013</v>
      </c>
      <c r="AJ196" s="597">
        <v>400130</v>
      </c>
      <c r="AK196" s="597">
        <v>419517</v>
      </c>
      <c r="AL196" s="597">
        <f>84785+221874+110674</f>
        <v>417333</v>
      </c>
      <c r="AM196" s="600">
        <f>86887+243908+112454</f>
        <v>443249</v>
      </c>
      <c r="AN196" s="1031">
        <f>87301+233686+111321</f>
        <v>432308</v>
      </c>
      <c r="AO196" s="597">
        <v>426924</v>
      </c>
      <c r="AP196" s="597"/>
      <c r="AQ196" s="597"/>
      <c r="AR196" s="597"/>
      <c r="AS196" s="597"/>
      <c r="AT196" s="597"/>
      <c r="AU196" s="597"/>
      <c r="AV196" s="597"/>
      <c r="AW196" s="597"/>
      <c r="AX196" s="597"/>
      <c r="AY196" s="600"/>
      <c r="AZ196" s="438"/>
      <c r="BA196" s="459" t="str">
        <f>IFERROR(AVERAGE(D196:O196),"-")</f>
        <v>-</v>
      </c>
      <c r="BB196" s="333" t="str">
        <f>IFERROR(AVERAGE(P196:AA196),"-")</f>
        <v>-</v>
      </c>
      <c r="BC196" s="545">
        <f>IFERROR(SUMIFS(AB196:AM196,AB196:AM196,"&lt;&gt;0",AB196:AM196,"&lt;&gt;-",AB196:AM196,"&lt;&gt;",AB196:AM196,"&lt;&gt; ")/COUNTIFS(AB196:AM196,"&lt;&gt;0",AB196:AM196,"&lt;&gt;-",AB196:AM196,"&lt;&gt;",AB196:AM196,"&lt;&gt; "),"-")</f>
        <v>401550.625</v>
      </c>
    </row>
    <row r="197" spans="1:56" ht="16">
      <c r="A197" s="93"/>
      <c r="B197" s="100" t="s">
        <v>285</v>
      </c>
      <c r="C197" s="99" t="s">
        <v>286</v>
      </c>
      <c r="D197" s="166"/>
      <c r="E197" s="164"/>
      <c r="F197" s="164"/>
      <c r="G197" s="164"/>
      <c r="H197" s="164"/>
      <c r="I197" s="164"/>
      <c r="J197" s="164"/>
      <c r="K197" s="164"/>
      <c r="L197" s="164"/>
      <c r="M197" s="164"/>
      <c r="N197" s="164"/>
      <c r="O197" s="167"/>
      <c r="P197" s="166"/>
      <c r="Q197" s="164"/>
      <c r="R197" s="164"/>
      <c r="S197" s="164"/>
      <c r="T197" s="164"/>
      <c r="U197" s="164"/>
      <c r="V197" s="164"/>
      <c r="W197" s="164"/>
      <c r="X197" s="164"/>
      <c r="Y197" s="164"/>
      <c r="Z197" s="164"/>
      <c r="AA197" s="167"/>
      <c r="AB197" s="598" t="s">
        <v>20</v>
      </c>
      <c r="AC197" s="599" t="s">
        <v>20</v>
      </c>
      <c r="AD197" s="597" t="s">
        <v>20</v>
      </c>
      <c r="AE197" s="597" t="s">
        <v>20</v>
      </c>
      <c r="AF197" s="597">
        <f>IFERROR(AF196/COUNTIFS('TABLERO DIARIO'!$I$2:$ZZ$2,"&gt;="&amp;DATE(2025,MONTH(AF$2),1),'TABLERO DIARIO'!$I$2:$ZZ$2,"&lt;="&amp;EOMONTH(AF$2,0),'TABLERO DIARIO'!$I$6:$ZZ$6,"&lt;&gt;0"),"-")</f>
        <v>16369.12</v>
      </c>
      <c r="AG197" s="597">
        <f>IFERROR(AG196/COUNTIFS('TABLERO DIARIO'!$I$2:$ZZ$2,"&gt;="&amp;DATE(2025,MONTH(AG$2),1),'TABLERO DIARIO'!$I$2:$ZZ$2,"&lt;="&amp;EOMONTH(AG$2,0),'TABLERO DIARIO'!$I$6:$ZZ$6,"&lt;&gt;0"),"-")</f>
        <v>17718.263157894737</v>
      </c>
      <c r="AH197" s="597">
        <f>IFERROR(AH196/COUNTIFS('TABLERO DIARIO'!$I$2:$ZZ$2,"&gt;="&amp;DATE(2025,MONTH(AH$2),1),'TABLERO DIARIO'!$I$2:$ZZ$2,"&lt;="&amp;EOMONTH(AH$2,0),'TABLERO DIARIO'!$I$6:$ZZ$6,"&lt;&gt;0"),"-")</f>
        <v>14895.692307692309</v>
      </c>
      <c r="AI197" s="597">
        <f>IFERROR(AI196/COUNTIFS('TABLERO DIARIO'!$I$2:$ZZ$2,"&gt;="&amp;DATE(2025,MONTH(AI$2),1),'TABLERO DIARIO'!$I$2:$ZZ$2,"&lt;="&amp;EOMONTH(AI$2,0),'TABLERO DIARIO'!$I$6:$ZZ$6,"&lt;&gt;0"),"-")</f>
        <v>19000.619047619046</v>
      </c>
      <c r="AJ197" s="597">
        <f>IFERROR(AJ196/COUNTIFS('TABLERO DIARIO'!$I$2:$ABL$2,"&gt;="&amp;DATE(2025,MONTH(AJ$2),1),'TABLERO DIARIO'!$I$2:$ABL$2,"&lt;="&amp;EOMONTH(AJ$2,0),'TABLERO DIARIO'!$I$6:$ABL$6,"&lt;&gt;0"),"-")</f>
        <v>16672.083333333332</v>
      </c>
      <c r="AK197" s="597">
        <f>IFERROR(AK196/COUNTIFS('TABLERO DIARIO'!$I$2:$AMA$2,"&gt;="&amp;DATE(2025,MONTH(AK$2),1),'TABLERO DIARIO'!$I$2:$AMA$2,"&lt;="&amp;EOMONTH(AK$2,0),'TABLERO DIARIO'!$I$6:$AMA$6,"&lt;&gt;0"),"-")</f>
        <v>14982.75</v>
      </c>
      <c r="AL197" s="597">
        <f>IFERROR(AL196/COUNTIFS('TABLERO DIARIO'!$I$2:$AMA$2,"&gt;="&amp;DATE(2025,MONTH(AL$2),1),'TABLERO DIARIO'!$I$2:$AMA$2,"&lt;="&amp;EOMONTH(AL$2,0),'TABLERO DIARIO'!$I$6:$AMA$6,"&lt;&gt;0"),"-")</f>
        <v>16051.26923076923</v>
      </c>
      <c r="AM197" s="597">
        <f>IFERROR(AM196/COUNTIFS('TABLERO DIARIO'!$I$2:$AMA$2,"&gt;="&amp;DATE(2025,MONTH(AM$2),1),'TABLERO DIARIO'!$I$2:$AMA$2,"&lt;="&amp;EOMONTH(AM$2,0),'TABLERO DIARIO'!$I$6:$AMA$6,"&lt;&gt;0"),"-")</f>
        <v>15830.321428571429</v>
      </c>
      <c r="AN197" s="1031">
        <f>IFERROR(AN196/COUNTIFS('TABLERO DIARIO'!$I$2:$ASW$2,"&gt;="&amp;DATE(2026,MONTH(AN$2),1),'TABLERO DIARIO'!$I$2:$ASW$2,"&lt;="&amp;EOMONTH(AN$2,0),'TABLERO DIARIO'!$I$6:$ASW$6,"&lt;&gt;0"),"-")</f>
        <v>16011.407407407407</v>
      </c>
      <c r="AO197" s="597"/>
      <c r="AP197" s="597"/>
      <c r="AQ197" s="597"/>
      <c r="AR197" s="597"/>
      <c r="AS197" s="597"/>
      <c r="AT197" s="597"/>
      <c r="AU197" s="597"/>
      <c r="AV197" s="597"/>
      <c r="AW197" s="597"/>
      <c r="AX197" s="597"/>
      <c r="AY197" s="597"/>
      <c r="AZ197" s="438"/>
      <c r="BA197" s="459" t="str">
        <f>IFERROR(AVERAGE(D197:O197),"-")</f>
        <v>-</v>
      </c>
      <c r="BB197" s="333" t="str">
        <f>IFERROR(AVERAGE(P197:AA197),"-")</f>
        <v>-</v>
      </c>
      <c r="BC197" s="545">
        <f t="shared" si="33"/>
        <v>16440.014813235008</v>
      </c>
    </row>
    <row r="198" spans="1:56" ht="16">
      <c r="A198" s="93"/>
      <c r="B198" s="100" t="s">
        <v>287</v>
      </c>
      <c r="C198" s="99" t="s">
        <v>153</v>
      </c>
      <c r="D198" s="166"/>
      <c r="E198" s="164"/>
      <c r="F198" s="164"/>
      <c r="G198" s="164"/>
      <c r="H198" s="164"/>
      <c r="I198" s="164"/>
      <c r="J198" s="164"/>
      <c r="K198" s="164"/>
      <c r="L198" s="164"/>
      <c r="M198" s="164"/>
      <c r="N198" s="164"/>
      <c r="O198" s="167"/>
      <c r="P198" s="166"/>
      <c r="Q198" s="164"/>
      <c r="R198" s="164"/>
      <c r="S198" s="164"/>
      <c r="T198" s="164"/>
      <c r="U198" s="164"/>
      <c r="V198" s="164"/>
      <c r="W198" s="164"/>
      <c r="X198" s="164"/>
      <c r="Y198" s="164"/>
      <c r="Z198" s="164"/>
      <c r="AA198" s="167"/>
      <c r="AB198" s="598">
        <v>15</v>
      </c>
      <c r="AC198" s="599">
        <f>15+20</f>
        <v>35</v>
      </c>
      <c r="AD198" s="597">
        <v>15</v>
      </c>
      <c r="AE198" s="597">
        <v>15</v>
      </c>
      <c r="AF198" s="597">
        <v>15</v>
      </c>
      <c r="AG198" s="597">
        <v>15</v>
      </c>
      <c r="AH198" s="597">
        <f>15+15+12</f>
        <v>42</v>
      </c>
      <c r="AI198" s="597">
        <v>97</v>
      </c>
      <c r="AJ198" s="597">
        <v>15</v>
      </c>
      <c r="AK198" s="597">
        <v>15</v>
      </c>
      <c r="AL198" s="597">
        <v>15</v>
      </c>
      <c r="AM198" s="600">
        <v>15</v>
      </c>
      <c r="AN198" s="1031">
        <v>35</v>
      </c>
      <c r="AO198" s="597">
        <v>15</v>
      </c>
      <c r="AP198" s="597">
        <v>15</v>
      </c>
      <c r="AQ198" s="597"/>
      <c r="AR198" s="597"/>
      <c r="AS198" s="597"/>
      <c r="AT198" s="597"/>
      <c r="AU198" s="597"/>
      <c r="AV198" s="597"/>
      <c r="AW198" s="597"/>
      <c r="AX198" s="597"/>
      <c r="AY198" s="600"/>
      <c r="AZ198" s="438"/>
      <c r="BA198" s="457" t="str">
        <f t="shared" ref="BA198:BA204" si="49">IFERROR(AVERAGE(D198:O198),"-")</f>
        <v>-</v>
      </c>
      <c r="BB198" s="103" t="str">
        <f t="shared" ref="BB198:BB204" si="50">IFERROR(AVERAGE(P198:AA198),"-")</f>
        <v>-</v>
      </c>
      <c r="BC198" s="546">
        <f t="shared" si="33"/>
        <v>25.75</v>
      </c>
    </row>
    <row r="199" spans="1:56" ht="16">
      <c r="A199" s="93"/>
      <c r="B199" s="100" t="s">
        <v>288</v>
      </c>
      <c r="C199" s="99" t="s">
        <v>289</v>
      </c>
      <c r="D199" s="166"/>
      <c r="E199" s="164"/>
      <c r="F199" s="164"/>
      <c r="G199" s="164"/>
      <c r="H199" s="164"/>
      <c r="I199" s="164"/>
      <c r="J199" s="164"/>
      <c r="K199" s="164"/>
      <c r="L199" s="164"/>
      <c r="M199" s="164"/>
      <c r="N199" s="164"/>
      <c r="O199" s="167"/>
      <c r="P199" s="166"/>
      <c r="Q199" s="164"/>
      <c r="R199" s="164"/>
      <c r="S199" s="164"/>
      <c r="T199" s="164"/>
      <c r="U199" s="164"/>
      <c r="V199" s="164"/>
      <c r="W199" s="164"/>
      <c r="X199" s="164"/>
      <c r="Y199" s="164"/>
      <c r="Z199" s="164"/>
      <c r="AA199" s="167"/>
      <c r="AB199" s="598" t="s">
        <v>20</v>
      </c>
      <c r="AC199" s="599" t="s">
        <v>20</v>
      </c>
      <c r="AD199" s="597">
        <v>2755</v>
      </c>
      <c r="AE199" s="597" t="s">
        <v>20</v>
      </c>
      <c r="AF199" s="597">
        <v>1820</v>
      </c>
      <c r="AG199" s="597"/>
      <c r="AH199" s="597">
        <v>2755</v>
      </c>
      <c r="AI199" s="597">
        <v>1820</v>
      </c>
      <c r="AJ199" s="597">
        <v>2000</v>
      </c>
      <c r="AK199" s="597" t="s">
        <v>20</v>
      </c>
      <c r="AL199" s="597">
        <v>2453</v>
      </c>
      <c r="AM199" s="600" t="s">
        <v>20</v>
      </c>
      <c r="AN199" s="1031">
        <v>2925</v>
      </c>
      <c r="AO199" s="597"/>
      <c r="AP199" s="597"/>
      <c r="AQ199" s="597"/>
      <c r="AR199" s="597"/>
      <c r="AS199" s="597"/>
      <c r="AT199" s="597"/>
      <c r="AU199" s="597"/>
      <c r="AV199" s="597"/>
      <c r="AW199" s="597"/>
      <c r="AX199" s="597"/>
      <c r="AY199" s="600"/>
      <c r="AZ199" s="438"/>
      <c r="BA199" s="457" t="str">
        <f t="shared" si="49"/>
        <v>-</v>
      </c>
      <c r="BB199" s="103" t="str">
        <f t="shared" si="50"/>
        <v>-</v>
      </c>
      <c r="BC199" s="546">
        <f t="shared" ref="BC199:BC226" si="51">IFERROR(SUMIFS(AB199:AM199,AB199:AM199,"&lt;&gt;0",AB199:AM199,"&lt;&gt;-",AB199:AM199,"&lt;&gt;",AB199:AM199,"&lt;&gt; ")/COUNTIFS(AB199:AM199,"&lt;&gt;0",AB199:AM199,"&lt;&gt;-",AB199:AM199,"&lt;&gt;",AB199:AM199,"&lt;&gt; "),"-")</f>
        <v>2267.1666666666665</v>
      </c>
    </row>
    <row r="200" spans="1:56" ht="16">
      <c r="A200" s="93"/>
      <c r="B200" s="100" t="s">
        <v>290</v>
      </c>
      <c r="C200" s="99" t="s">
        <v>153</v>
      </c>
      <c r="D200" s="166"/>
      <c r="E200" s="164"/>
      <c r="F200" s="164"/>
      <c r="G200" s="164"/>
      <c r="H200" s="164"/>
      <c r="I200" s="164"/>
      <c r="J200" s="164"/>
      <c r="K200" s="164"/>
      <c r="L200" s="164"/>
      <c r="M200" s="164"/>
      <c r="N200" s="164"/>
      <c r="O200" s="167"/>
      <c r="P200" s="166"/>
      <c r="Q200" s="164"/>
      <c r="R200" s="164"/>
      <c r="S200" s="164"/>
      <c r="T200" s="164"/>
      <c r="U200" s="164"/>
      <c r="V200" s="164"/>
      <c r="W200" s="164"/>
      <c r="X200" s="164"/>
      <c r="Y200" s="164"/>
      <c r="Z200" s="164"/>
      <c r="AA200" s="167"/>
      <c r="AB200" s="598" t="s">
        <v>20</v>
      </c>
      <c r="AC200" s="599" t="s">
        <v>20</v>
      </c>
      <c r="AD200" s="597" t="s">
        <v>20</v>
      </c>
      <c r="AE200" s="597" t="s">
        <v>20</v>
      </c>
      <c r="AF200" s="597" t="s">
        <v>20</v>
      </c>
      <c r="AG200" s="597" t="s">
        <v>20</v>
      </c>
      <c r="AH200" s="597" t="s">
        <v>20</v>
      </c>
      <c r="AI200" s="597" t="s">
        <v>20</v>
      </c>
      <c r="AJ200" s="597" t="s">
        <v>20</v>
      </c>
      <c r="AK200" s="597" t="s">
        <v>20</v>
      </c>
      <c r="AL200" s="597" t="s">
        <v>20</v>
      </c>
      <c r="AM200" s="600" t="s">
        <v>20</v>
      </c>
      <c r="AN200" s="1031" t="e">
        <f>IF(SUMIFS('TABLERO DIARIO'!#REF!,'TABLERO DIARIO'!$ALW$2:$ASW$2,"&gt;="&amp;DATE(2026,MONTH(AN$2),1),'TABLERO DIARIO'!$ALW$2:$ASW$2,"&lt;="&amp;EOMONTH(AN$2,0))=0,"-",SUMIFS('TABLERO DIARIO'!#REF!,'TABLERO DIARIO'!$ALW$2:$ASW$2,"&gt;="&amp;DATE(2026,MONTH(AN$2),1),'TABLERO DIARIO'!$ALW$2:$ASW$2,"&lt;="&amp;EOMONTH(AN$2,0)))</f>
        <v>#REF!</v>
      </c>
      <c r="AO200" s="597" t="e">
        <f>IF(SUMIFS('TABLERO DIARIO'!#REF!,'TABLERO DIARIO'!$ALW$2:$ASW$2,"&gt;="&amp;DATE(2026,MONTH(AO$2),1),'TABLERO DIARIO'!$ALW$2:$ASW$2,"&lt;="&amp;EOMONTH(AO$2,0))=0,"-",SUMIFS('TABLERO DIARIO'!#REF!,'TABLERO DIARIO'!$ALW$2:$ASW$2,"&gt;="&amp;DATE(2026,MONTH(AO$2),1),'TABLERO DIARIO'!$ALW$2:$ASW$2,"&lt;="&amp;EOMONTH(AO$2,0)))</f>
        <v>#REF!</v>
      </c>
      <c r="AP200" s="597"/>
      <c r="AQ200" s="597"/>
      <c r="AR200" s="597"/>
      <c r="AS200" s="597"/>
      <c r="AT200" s="597"/>
      <c r="AU200" s="597"/>
      <c r="AV200" s="597"/>
      <c r="AW200" s="597"/>
      <c r="AX200" s="597"/>
      <c r="AY200" s="600"/>
      <c r="AZ200" s="438"/>
      <c r="BA200" s="457" t="str">
        <f t="shared" si="49"/>
        <v>-</v>
      </c>
      <c r="BB200" s="103" t="str">
        <f t="shared" si="50"/>
        <v>-</v>
      </c>
      <c r="BC200" s="546" t="str">
        <f t="shared" si="51"/>
        <v>-</v>
      </c>
    </row>
    <row r="201" spans="1:56" ht="16">
      <c r="A201" s="93"/>
      <c r="B201" s="100" t="s">
        <v>291</v>
      </c>
      <c r="C201" s="99" t="s">
        <v>163</v>
      </c>
      <c r="D201" s="166"/>
      <c r="E201" s="164"/>
      <c r="F201" s="164"/>
      <c r="G201" s="164"/>
      <c r="H201" s="164"/>
      <c r="I201" s="164"/>
      <c r="J201" s="164"/>
      <c r="K201" s="164"/>
      <c r="L201" s="164"/>
      <c r="M201" s="164"/>
      <c r="N201" s="164"/>
      <c r="O201" s="167"/>
      <c r="P201" s="166"/>
      <c r="Q201" s="164"/>
      <c r="R201" s="164"/>
      <c r="S201" s="164"/>
      <c r="T201" s="164"/>
      <c r="U201" s="164"/>
      <c r="V201" s="164"/>
      <c r="W201" s="164"/>
      <c r="X201" s="164"/>
      <c r="Y201" s="164"/>
      <c r="Z201" s="164"/>
      <c r="AA201" s="167"/>
      <c r="AB201" s="597" t="e">
        <f>IF(SUMIFS('TABLERO DIARIO'!#REF!,'TABLERO DIARIO'!$I$2:$ABZ$2,"&gt;="&amp;DATE(2025,MONTH(AB$2),1),'TABLERO DIARIO'!$I$2:$ABZ$2,"&lt;="&amp;EOMONTH(AB$2,0))=0,"-",SUMIFS('TABLERO DIARIO'!#REF!,'TABLERO DIARIO'!$I$2:$ABZ$2,"&gt;="&amp;DATE(2025,MONTH(AB$2),1),'TABLERO DIARIO'!$I$2:$ABZ$2,"&lt;="&amp;EOMONTH(AB$2,0)))</f>
        <v>#REF!</v>
      </c>
      <c r="AC201" s="599" t="e">
        <f>IF(SUMIFS('TABLERO DIARIO'!#REF!,'TABLERO DIARIO'!$I$2:$ABZ$2,"&gt;="&amp;DATE(2025,MONTH(AC$2),1),'TABLERO DIARIO'!$I$2:$ABZ$2,"&lt;="&amp;EOMONTH(AC$2,0))=0,"-",SUMIFS('TABLERO DIARIO'!#REF!,'TABLERO DIARIO'!$I$2:$ABZ$2,"&gt;="&amp;DATE(2025,MONTH(AC$2),1),'TABLERO DIARIO'!$I$2:$ABZ$2,"&lt;="&amp;EOMONTH(AC$2,0)))</f>
        <v>#REF!</v>
      </c>
      <c r="AD201" s="597" t="e">
        <f>IF(SUMIFS('TABLERO DIARIO'!#REF!,'TABLERO DIARIO'!$I$2:$ABZ$2,"&gt;="&amp;DATE(2025,MONTH(AD$2),1),'TABLERO DIARIO'!$I$2:$ABZ$2,"&lt;="&amp;EOMONTH(AD$2,0))=0,"-",SUMIFS('TABLERO DIARIO'!#REF!,'TABLERO DIARIO'!$I$2:$ABZ$2,"&gt;="&amp;DATE(2025,MONTH(AD$2),1),'TABLERO DIARIO'!$I$2:$ABZ$2,"&lt;="&amp;EOMONTH(AD$2,0)))</f>
        <v>#REF!</v>
      </c>
      <c r="AE201" s="597" t="e">
        <f>IF(SUMIFS('TABLERO DIARIO'!#REF!,'TABLERO DIARIO'!$I$2:$ABZ$2,"&gt;="&amp;DATE(2025,MONTH(AE$2),1),'TABLERO DIARIO'!$I$2:$ABZ$2,"&lt;="&amp;EOMONTH(AE$2,0))=0,"-",SUMIFS('TABLERO DIARIO'!#REF!,'TABLERO DIARIO'!$I$2:$ABZ$2,"&gt;="&amp;DATE(2025,MONTH(AE$2),1),'TABLERO DIARIO'!$I$2:$ABZ$2,"&lt;="&amp;EOMONTH(AE$2,0)))</f>
        <v>#REF!</v>
      </c>
      <c r="AF201" s="597" t="e">
        <f>IF(SUMIFS('TABLERO DIARIO'!#REF!,'TABLERO DIARIO'!$I$2:$ABZ$2,"&gt;="&amp;DATE(2025,MONTH(AF$2),1),'TABLERO DIARIO'!$I$2:$ABZ$2,"&lt;="&amp;EOMONTH(AF$2,0))=0,"-",SUMIFS('TABLERO DIARIO'!#REF!,'TABLERO DIARIO'!$I$2:$ABZ$2,"&gt;="&amp;DATE(2025,MONTH(AF$2),1),'TABLERO DIARIO'!$I$2:$ABZ$2,"&lt;="&amp;EOMONTH(AF$2,0)))</f>
        <v>#REF!</v>
      </c>
      <c r="AG201" s="597" t="e">
        <f>IF(SUMIFS('TABLERO DIARIO'!#REF!,'TABLERO DIARIO'!$I$2:$ABZ$2,"&gt;="&amp;DATE(2025,MONTH(AG$2),1),'TABLERO DIARIO'!$I$2:$ABZ$2,"&lt;="&amp;EOMONTH(AG$2,0))=0,"-",SUMIFS('TABLERO DIARIO'!#REF!,'TABLERO DIARIO'!$I$2:$ABZ$2,"&gt;="&amp;DATE(2025,MONTH(AG$2),1),'TABLERO DIARIO'!$I$2:$ABZ$2,"&lt;="&amp;EOMONTH(AG$2,0)))</f>
        <v>#REF!</v>
      </c>
      <c r="AH201" s="535" t="e">
        <f>IF(SUMIFS('TABLERO DIARIO'!#REF!,'TABLERO DIARIO'!$I$2:$ABZ$2,"&gt;="&amp;DATE(2025,MONTH(AH$2),1),'TABLERO DIARIO'!$I$2:$ABZ$2,"&lt;="&amp;EOMONTH(AH$2,0))=0,"-",SUMIFS('TABLERO DIARIO'!#REF!,'TABLERO DIARIO'!$I$2:$ABZ$2,"&gt;="&amp;DATE(2025,MONTH(AH$2),1),'TABLERO DIARIO'!$I$2:$ABZ$2,"&lt;="&amp;EOMONTH(AH$2,0)))</f>
        <v>#REF!</v>
      </c>
      <c r="AI201" s="597" t="e">
        <f>IF(SUMIFS('TABLERO DIARIO'!#REF!,'TABLERO DIARIO'!$I$2:$ABZ$2,"&gt;="&amp;DATE(2025,MONTH(AI$2),1),'TABLERO DIARIO'!$I$2:$ABZ$2,"&lt;="&amp;EOMONTH(AI$2,0))=0,"-",SUMIFS('TABLERO DIARIO'!#REF!,'TABLERO DIARIO'!$I$2:$ABZ$2,"&gt;="&amp;DATE(2025,MONTH(AI$2),1),'TABLERO DIARIO'!$I$2:$ABZ$2,"&lt;="&amp;EOMONTH(AI$2,0)))</f>
        <v>#REF!</v>
      </c>
      <c r="AJ201" s="597" t="e">
        <f>IF(SUMIFS('TABLERO DIARIO'!#REF!,'TABLERO DIARIO'!$I$2:$ABZ$2,"&gt;="&amp;DATE(2025,MONTH(AJ$2),1),'TABLERO DIARIO'!$I$2:$ABZ$2,"&lt;="&amp;EOMONTH(AJ$2,0))=0,"-",SUMIFS('TABLERO DIARIO'!#REF!,'TABLERO DIARIO'!$I$2:$ABZ$2,"&gt;="&amp;DATE(2025,MONTH(AJ$2),1),'TABLERO DIARIO'!$I$2:$ABZ$2,"&lt;="&amp;EOMONTH(AJ$2,0)))</f>
        <v>#REF!</v>
      </c>
      <c r="AK201" s="597" t="e">
        <f>IF(SUMIFS('TABLERO DIARIO'!#REF!,'TABLERO DIARIO'!$I$2:$AEV$2,"&gt;="&amp;DATE(2025,MONTH(AK$2),1),'TABLERO DIARIO'!$I$2:$AEV$2,"&lt;="&amp;EOMONTH(AK$2,0))=0,"-",SUMIFS('TABLERO DIARIO'!#REF!,'TABLERO DIARIO'!$I$2:$AEV$2,"&gt;="&amp;DATE(2025,MONTH(AK$2),1),'TABLERO DIARIO'!$I$2:$AEV$2,"&lt;="&amp;EOMONTH(AK$2,0)))</f>
        <v>#REF!</v>
      </c>
      <c r="AL201" s="597" t="e">
        <f>IF(SUMIFS('TABLERO DIARIO'!#REF!,'TABLERO DIARIO'!$AEV$2:$AMA$2,"&gt;="&amp;DATE(2025,MONTH(AL$2),1),'TABLERO DIARIO'!$AEV$2:$AMA$2,"&lt;="&amp;EOMONTH(AL$2,0))=0,"-",SUMIFS('TABLERO DIARIO'!#REF!,'TABLERO DIARIO'!$AEV$2:$AMA$2,"&gt;="&amp;DATE(2025,MONTH(AL$2),1),'TABLERO DIARIO'!$AEV$2:$AMA$2,"&lt;="&amp;EOMONTH(AL$2,0)))</f>
        <v>#REF!</v>
      </c>
      <c r="AM201" s="597" t="e">
        <f>IF(SUMIFS('TABLERO DIARIO'!#REF!,'TABLERO DIARIO'!$AEV$2:$AMA$2,"&gt;="&amp;DATE(2025,MONTH(AM$2),1),'TABLERO DIARIO'!$AEV$2:$AMA$2,"&lt;="&amp;EOMONTH(AM$2,0))=0,"-",SUMIFS('TABLERO DIARIO'!#REF!,'TABLERO DIARIO'!$AEV$2:$AMA$2,"&gt;="&amp;DATE(2025,MONTH(AM$2),1),'TABLERO DIARIO'!$AEV$2:$AMA$2,"&lt;="&amp;EOMONTH(AM$2,0)))</f>
        <v>#REF!</v>
      </c>
      <c r="AN201" s="1031" t="e">
        <f>IF(SUMIFS('TABLERO DIARIO'!#REF!,'TABLERO DIARIO'!$ALW$2:$ASW$2,"&gt;="&amp;DATE(2026,MONTH(AN$2),1),'TABLERO DIARIO'!$ALW$2:$ASW$2,"&lt;="&amp;EOMONTH(AN$2,0))=0,"-",SUMIFS('TABLERO DIARIO'!#REF!,'TABLERO DIARIO'!$ALW$2:$ASW$2,"&gt;="&amp;DATE(2026,MONTH(AN$2),1),'TABLERO DIARIO'!$ALW$2:$ASW$2,"&lt;="&amp;EOMONTH(AN$2,0)))</f>
        <v>#REF!</v>
      </c>
      <c r="AO201" s="597" t="e">
        <f>IF(SUMIFS('TABLERO DIARIO'!#REF!,'TABLERO DIARIO'!$ALW$2:$ASW$2,"&gt;="&amp;DATE(2026,MONTH(AO$2),1),'TABLERO DIARIO'!$ALW$2:$ASW$2,"&lt;="&amp;EOMONTH(AO$2,0))=0,"-",SUMIFS('TABLERO DIARIO'!#REF!,'TABLERO DIARIO'!$ALW$2:$ASW$2,"&gt;="&amp;DATE(2026,MONTH(AO$2),1),'TABLERO DIARIO'!$ALW$2:$ASW$2,"&lt;="&amp;EOMONTH(AO$2,0)))</f>
        <v>#REF!</v>
      </c>
      <c r="AP201" s="597"/>
      <c r="AQ201" s="597"/>
      <c r="AR201" s="597"/>
      <c r="AS201" s="597"/>
      <c r="AT201" s="535"/>
      <c r="AU201" s="597"/>
      <c r="AV201" s="597"/>
      <c r="AW201" s="597"/>
      <c r="AX201" s="597"/>
      <c r="AY201" s="597"/>
      <c r="AZ201" s="438"/>
      <c r="BA201" s="457" t="str">
        <f t="shared" ref="BA201" si="52">IFERROR(AVERAGE(D201:O201),"-")</f>
        <v>-</v>
      </c>
      <c r="BB201" s="103" t="str">
        <f t="shared" ref="BB201" si="53">IFERROR(AVERAGE(P201:AA201),"-")</f>
        <v>-</v>
      </c>
      <c r="BC201" s="546" t="str">
        <f>IFERROR(SUMIFS(AB201:AM201,AB201:AM201,"&lt;&gt;0",AB201:AM201,"&lt;&gt;-",AB201:AM201,"&lt;&gt;",AB201:AM201,"&lt;&gt; ")/COUNTIFS(AB201:AM201,"&lt;&gt;0",AB201:AM201,"&lt;&gt;-",AB201:AM201,"&lt;&gt;",AB201:AM201,"&lt;&gt; "),"-")</f>
        <v>-</v>
      </c>
    </row>
    <row r="202" spans="1:56" ht="16">
      <c r="A202" s="93"/>
      <c r="B202" s="100" t="s">
        <v>292</v>
      </c>
      <c r="C202" s="99" t="s">
        <v>163</v>
      </c>
      <c r="D202" s="166"/>
      <c r="E202" s="164"/>
      <c r="F202" s="164"/>
      <c r="G202" s="164"/>
      <c r="H202" s="164"/>
      <c r="I202" s="164"/>
      <c r="J202" s="164"/>
      <c r="K202" s="164"/>
      <c r="L202" s="164"/>
      <c r="M202" s="164"/>
      <c r="N202" s="164"/>
      <c r="O202" s="167"/>
      <c r="P202" s="166"/>
      <c r="Q202" s="164"/>
      <c r="R202" s="164"/>
      <c r="S202" s="164"/>
      <c r="T202" s="164"/>
      <c r="U202" s="164"/>
      <c r="V202" s="164"/>
      <c r="W202" s="164"/>
      <c r="X202" s="164"/>
      <c r="Y202" s="164"/>
      <c r="Z202" s="164"/>
      <c r="AA202" s="167"/>
      <c r="AB202" s="597" t="s">
        <v>20</v>
      </c>
      <c r="AC202" s="599">
        <f>12860+13720+23220+19740</f>
        <v>69540</v>
      </c>
      <c r="AD202" s="599">
        <v>0.5</v>
      </c>
      <c r="AE202" s="599">
        <f>13660+19520</f>
        <v>33180</v>
      </c>
      <c r="AF202" s="599">
        <v>0.5</v>
      </c>
      <c r="AG202" s="599">
        <v>0.5</v>
      </c>
      <c r="AH202" s="599">
        <v>0.5</v>
      </c>
      <c r="AI202" s="599">
        <f>14940+15260</f>
        <v>30200</v>
      </c>
      <c r="AJ202" s="599">
        <f>19200+7980+3000+11740+12180+4000+12920+4300+12300+1580+14880+1620+10200</f>
        <v>115900</v>
      </c>
      <c r="AK202" s="599">
        <f>16160+22040</f>
        <v>38200</v>
      </c>
      <c r="AL202" s="957">
        <f>996+4400+2315+1401.25+1439.25+151+2205+1310+4370+960+1155+1235+1380+1125+920+1590+1005+1035+1098+1015+1230+1190</f>
        <v>33525.5</v>
      </c>
      <c r="AM202" s="600">
        <f>3855.15+2280+645.15+1406.06+1190.91+3077.57+1000+1424.54+1457.88+1045.15+3222.12+2790.6+1003.33+5454.84+1997.88</f>
        <v>31851.18</v>
      </c>
      <c r="AN202" s="1031">
        <f>2508+2422+2275+3965+998+1520+1710+2266+1798+1431+1653+1945+1819+1938+2141+2046</f>
        <v>32435</v>
      </c>
      <c r="AO202" s="597"/>
      <c r="AP202" s="597"/>
      <c r="AQ202" s="597"/>
      <c r="AR202" s="597"/>
      <c r="AS202" s="597"/>
      <c r="AT202" s="597"/>
      <c r="AU202" s="597"/>
      <c r="AV202" s="597"/>
      <c r="AW202" s="597"/>
      <c r="AX202" s="1032"/>
      <c r="AY202" s="600"/>
      <c r="AZ202" s="438"/>
      <c r="BA202" s="457" t="str">
        <f>IFERROR(AVERAGE(D202:O202),"-")</f>
        <v>-</v>
      </c>
      <c r="BB202" s="103" t="str">
        <f>IFERROR(AVERAGE(P202:AA202),"-")</f>
        <v>-</v>
      </c>
      <c r="BC202" s="546">
        <f>IFERROR(SUMIFS(AB202:AM202,AB202:AM202,"&lt;&gt;0",AB202:AM202,"&lt;&gt;-",AB202:AM202,"&lt;&gt;",AB202:AM202,"&lt;&gt; ")/COUNTIFS(AB202:AM202,"&lt;&gt;0",AB202:AM202,"&lt;&gt;-",AB202:AM202,"&lt;&gt;",AB202:AM202,"&lt;&gt; "),"-")</f>
        <v>32036.243636363637</v>
      </c>
      <c r="BD202" s="27"/>
    </row>
    <row r="203" spans="1:56" ht="16">
      <c r="A203" s="93"/>
      <c r="B203" s="100" t="s">
        <v>293</v>
      </c>
      <c r="C203" s="99" t="s">
        <v>163</v>
      </c>
      <c r="D203" s="166"/>
      <c r="E203" s="164"/>
      <c r="F203" s="164"/>
      <c r="G203" s="164"/>
      <c r="H203" s="164"/>
      <c r="I203" s="164"/>
      <c r="J203" s="164"/>
      <c r="K203" s="164"/>
      <c r="L203" s="164"/>
      <c r="M203" s="164"/>
      <c r="N203" s="164"/>
      <c r="O203" s="167"/>
      <c r="P203" s="166"/>
      <c r="Q203" s="164"/>
      <c r="R203" s="164"/>
      <c r="S203" s="164"/>
      <c r="T203" s="164"/>
      <c r="U203" s="164"/>
      <c r="V203" s="164"/>
      <c r="W203" s="164"/>
      <c r="X203" s="164"/>
      <c r="Y203" s="164"/>
      <c r="Z203" s="164"/>
      <c r="AA203" s="167"/>
      <c r="AB203" s="598" t="s">
        <v>20</v>
      </c>
      <c r="AC203" s="599" t="s">
        <v>20</v>
      </c>
      <c r="AD203" s="597" t="s">
        <v>20</v>
      </c>
      <c r="AE203" s="597">
        <v>2149</v>
      </c>
      <c r="AF203" s="597">
        <v>2677</v>
      </c>
      <c r="AG203" s="597" t="s">
        <v>20</v>
      </c>
      <c r="AH203" s="597">
        <v>2094</v>
      </c>
      <c r="AI203" s="597" t="s">
        <v>20</v>
      </c>
      <c r="AJ203" s="597">
        <v>1167</v>
      </c>
      <c r="AK203" s="597">
        <v>2328</v>
      </c>
      <c r="AL203" s="597">
        <v>1977</v>
      </c>
      <c r="AM203" s="600">
        <v>2379</v>
      </c>
      <c r="AN203" s="1031">
        <v>2360.9699999999998</v>
      </c>
      <c r="AO203" s="597">
        <v>2323</v>
      </c>
      <c r="AP203" s="597"/>
      <c r="AQ203" s="597"/>
      <c r="AR203" s="597"/>
      <c r="AS203" s="597"/>
      <c r="AT203" s="597"/>
      <c r="AU203" s="597"/>
      <c r="AV203" s="597"/>
      <c r="AW203" s="597"/>
      <c r="AX203" s="597"/>
      <c r="AY203" s="600"/>
      <c r="AZ203" s="438"/>
      <c r="BA203" s="457" t="str">
        <f t="shared" si="49"/>
        <v>-</v>
      </c>
      <c r="BB203" s="103" t="str">
        <f t="shared" si="50"/>
        <v>-</v>
      </c>
      <c r="BC203" s="546">
        <f t="shared" si="51"/>
        <v>2110.1428571428573</v>
      </c>
    </row>
    <row r="204" spans="1:56" ht="16">
      <c r="A204" s="93"/>
      <c r="B204" s="109" t="s">
        <v>294</v>
      </c>
      <c r="C204" s="108" t="s">
        <v>295</v>
      </c>
      <c r="D204" s="327"/>
      <c r="E204" s="328"/>
      <c r="F204" s="328"/>
      <c r="G204" s="328"/>
      <c r="H204" s="328"/>
      <c r="I204" s="328"/>
      <c r="J204" s="328"/>
      <c r="K204" s="328"/>
      <c r="L204" s="328"/>
      <c r="M204" s="328"/>
      <c r="N204" s="328"/>
      <c r="O204" s="329"/>
      <c r="P204" s="327"/>
      <c r="Q204" s="328"/>
      <c r="R204" s="328"/>
      <c r="S204" s="328"/>
      <c r="T204" s="328"/>
      <c r="U204" s="328"/>
      <c r="V204" s="328"/>
      <c r="W204" s="328"/>
      <c r="X204" s="328"/>
      <c r="Y204" s="328"/>
      <c r="Z204" s="328"/>
      <c r="AA204" s="329"/>
      <c r="AB204" s="601" t="str">
        <f>IFERROR(AB203/AB3,"-")</f>
        <v>-</v>
      </c>
      <c r="AC204" s="602" t="str">
        <f>IFERROR(AC203/AC3,"-")</f>
        <v>-</v>
      </c>
      <c r="AD204" s="603" t="str">
        <f>IFERROR(AD203/AD3,"-")</f>
        <v>-</v>
      </c>
      <c r="AE204" s="604">
        <f>IFERROR(AE203/AE3,"-")</f>
        <v>1.9085257548845471</v>
      </c>
      <c r="AF204" s="604">
        <f>IFERROR(AF203/AF3,"-")</f>
        <v>2.3738919768303886</v>
      </c>
      <c r="AG204" s="604" t="s">
        <v>20</v>
      </c>
      <c r="AH204" s="603">
        <f t="shared" ref="AH204:AL204" si="54">IFERROR(AH203/AH3,"-")</f>
        <v>1.8705433901749842</v>
      </c>
      <c r="AI204" s="603" t="str">
        <f t="shared" si="54"/>
        <v>-</v>
      </c>
      <c r="AJ204" s="603">
        <f t="shared" si="54"/>
        <v>1.1562179210211019</v>
      </c>
      <c r="AK204" s="603">
        <f t="shared" si="54"/>
        <v>2.1557747259860305</v>
      </c>
      <c r="AL204" s="603">
        <f t="shared" si="54"/>
        <v>2.0075657914444793</v>
      </c>
      <c r="AM204" s="605">
        <f>IFERROR(AM203/AM3,"-")</f>
        <v>2.1832920979601593</v>
      </c>
      <c r="AN204" s="1033">
        <f>IFERROR(AN203/AN3,"-")</f>
        <v>2.0289472211838024</v>
      </c>
      <c r="AO204" s="603"/>
      <c r="AP204" s="603"/>
      <c r="AQ204" s="604"/>
      <c r="AR204" s="604"/>
      <c r="AS204" s="604"/>
      <c r="AT204" s="603"/>
      <c r="AU204" s="603"/>
      <c r="AV204" s="603"/>
      <c r="AW204" s="603"/>
      <c r="AX204" s="603"/>
      <c r="AY204" s="605"/>
      <c r="AZ204" s="438"/>
      <c r="BA204" s="458" t="str">
        <f t="shared" si="49"/>
        <v>-</v>
      </c>
      <c r="BB204" s="310" t="str">
        <f t="shared" si="50"/>
        <v>-</v>
      </c>
      <c r="BC204" s="547">
        <f t="shared" si="51"/>
        <v>1.9508302369002415</v>
      </c>
    </row>
    <row r="205" spans="1:56" ht="16">
      <c r="A205" s="93"/>
      <c r="B205" s="300"/>
      <c r="C205" s="301"/>
      <c r="D205" s="340"/>
      <c r="E205" s="340"/>
      <c r="F205" s="340"/>
      <c r="G205" s="340"/>
      <c r="H205" s="340"/>
      <c r="I205" s="340"/>
      <c r="J205" s="340"/>
      <c r="K205" s="340"/>
      <c r="L205" s="340"/>
      <c r="M205" s="340"/>
      <c r="N205" s="340"/>
      <c r="O205" s="340"/>
      <c r="P205" s="340"/>
      <c r="Q205" s="340"/>
      <c r="R205" s="340"/>
      <c r="S205" s="340"/>
      <c r="T205" s="340"/>
      <c r="U205" s="340"/>
      <c r="V205" s="340"/>
      <c r="W205" s="340"/>
      <c r="X205" s="340"/>
      <c r="Y205" s="340"/>
      <c r="Z205" s="340"/>
      <c r="AA205" s="340"/>
      <c r="AB205" s="521"/>
      <c r="AC205" s="521"/>
      <c r="AD205" s="522"/>
      <c r="AE205" s="522"/>
      <c r="AF205" s="522"/>
      <c r="AG205" s="522"/>
      <c r="AH205" s="522"/>
      <c r="AI205" s="341"/>
      <c r="AJ205" s="341"/>
      <c r="AK205" s="341"/>
      <c r="AL205" s="341"/>
      <c r="AM205" s="341"/>
      <c r="AN205" s="522"/>
      <c r="AO205" s="522"/>
      <c r="AP205" s="522"/>
      <c r="AQ205" s="522"/>
      <c r="AR205" s="522"/>
      <c r="AS205" s="522"/>
      <c r="AT205" s="522"/>
      <c r="AU205" s="341"/>
      <c r="AV205" s="341"/>
      <c r="AW205" s="341"/>
      <c r="AX205" s="341"/>
      <c r="AY205" s="341"/>
      <c r="AZ205" s="93"/>
      <c r="BA205" s="341"/>
      <c r="BB205" s="341"/>
      <c r="BC205" s="548"/>
    </row>
    <row r="206" spans="1:56" ht="16">
      <c r="A206" s="93"/>
      <c r="B206" s="400" t="s">
        <v>296</v>
      </c>
      <c r="C206" s="99" t="s">
        <v>153</v>
      </c>
      <c r="D206" s="401"/>
      <c r="E206" s="402"/>
      <c r="F206" s="402"/>
      <c r="G206" s="402"/>
      <c r="H206" s="402"/>
      <c r="I206" s="402"/>
      <c r="J206" s="402"/>
      <c r="K206" s="402"/>
      <c r="L206" s="402"/>
      <c r="M206" s="402"/>
      <c r="N206" s="402"/>
      <c r="O206" s="403"/>
      <c r="P206" s="401"/>
      <c r="Q206" s="402"/>
      <c r="R206" s="402"/>
      <c r="S206" s="402"/>
      <c r="T206" s="402"/>
      <c r="U206" s="402"/>
      <c r="V206" s="402"/>
      <c r="W206" s="402"/>
      <c r="X206" s="402"/>
      <c r="Y206" s="402"/>
      <c r="Z206" s="402"/>
      <c r="AA206" s="403"/>
      <c r="AB206" s="404">
        <v>65847.727272727599</v>
      </c>
      <c r="AC206" s="405">
        <v>74342.045454545732</v>
      </c>
      <c r="AD206" s="406">
        <v>82170.454545454908</v>
      </c>
      <c r="AE206" s="406">
        <v>75711.363636363894</v>
      </c>
      <c r="AF206" s="406">
        <v>73617.045454545761</v>
      </c>
      <c r="AG206" s="406">
        <v>66068.181818182115</v>
      </c>
      <c r="AH206" s="406"/>
      <c r="AI206" s="399"/>
      <c r="AJ206" s="407"/>
      <c r="AK206" s="407"/>
      <c r="AL206" s="407"/>
      <c r="AM206" s="506"/>
      <c r="AN206" s="1034"/>
      <c r="AO206" s="406"/>
      <c r="AP206" s="406"/>
      <c r="AQ206" s="406"/>
      <c r="AR206" s="406"/>
      <c r="AS206" s="406"/>
      <c r="AT206" s="406"/>
      <c r="AU206" s="399"/>
      <c r="AV206" s="407"/>
      <c r="AW206" s="407"/>
      <c r="AX206" s="407"/>
      <c r="AY206" s="506"/>
      <c r="AZ206" s="438"/>
      <c r="BA206" s="505" t="str">
        <f t="shared" ref="BA206:BA226" si="55">IFERROR(AVERAGE(D206:O206),"-")</f>
        <v>-</v>
      </c>
      <c r="BB206" s="407" t="str">
        <f t="shared" ref="BB206:BB226" si="56">IFERROR(AVERAGE(P206:AA206),"-")</f>
        <v>-</v>
      </c>
      <c r="BC206" s="549">
        <f t="shared" si="51"/>
        <v>72959.469696970002</v>
      </c>
    </row>
    <row r="207" spans="1:56" ht="16">
      <c r="A207" s="93"/>
      <c r="B207" s="400" t="s">
        <v>297</v>
      </c>
      <c r="C207" s="99" t="s">
        <v>153</v>
      </c>
      <c r="D207" s="166"/>
      <c r="E207" s="164"/>
      <c r="F207" s="164"/>
      <c r="G207" s="164"/>
      <c r="H207" s="164"/>
      <c r="I207" s="164"/>
      <c r="J207" s="164"/>
      <c r="K207" s="164"/>
      <c r="L207" s="164"/>
      <c r="M207" s="164"/>
      <c r="N207" s="164"/>
      <c r="O207" s="167"/>
      <c r="P207" s="166"/>
      <c r="Q207" s="164"/>
      <c r="R207" s="164"/>
      <c r="S207" s="164"/>
      <c r="T207" s="164"/>
      <c r="U207" s="164"/>
      <c r="V207" s="164"/>
      <c r="W207" s="164"/>
      <c r="X207" s="164"/>
      <c r="Y207" s="164"/>
      <c r="Z207" s="164"/>
      <c r="AA207" s="167"/>
      <c r="AB207" s="397">
        <v>341411.61157022277</v>
      </c>
      <c r="AC207" s="398">
        <v>297123.71900823578</v>
      </c>
      <c r="AD207" s="399">
        <v>293515.28925617895</v>
      </c>
      <c r="AE207" s="399">
        <v>316671.69421486196</v>
      </c>
      <c r="AF207" s="399">
        <v>383256.94214873295</v>
      </c>
      <c r="AG207" s="399">
        <v>172636.36363635247</v>
      </c>
      <c r="AH207" s="399">
        <v>324023.88085397921</v>
      </c>
      <c r="AI207" s="399">
        <v>341734</v>
      </c>
      <c r="AJ207" s="103"/>
      <c r="AK207" s="103"/>
      <c r="AL207" s="103"/>
      <c r="AM207" s="146"/>
      <c r="AN207" s="1035"/>
      <c r="AO207" s="399"/>
      <c r="AP207" s="399"/>
      <c r="AQ207" s="399"/>
      <c r="AR207" s="399"/>
      <c r="AS207" s="399"/>
      <c r="AT207" s="399"/>
      <c r="AU207" s="399"/>
      <c r="AV207" s="103"/>
      <c r="AW207" s="103"/>
      <c r="AX207" s="103"/>
      <c r="AY207" s="146"/>
      <c r="AZ207" s="438"/>
      <c r="BA207" s="457" t="str">
        <f t="shared" si="55"/>
        <v>-</v>
      </c>
      <c r="BB207" s="103" t="str">
        <f t="shared" si="56"/>
        <v>-</v>
      </c>
      <c r="BC207" s="546">
        <f t="shared" si="51"/>
        <v>308796.68758607056</v>
      </c>
    </row>
    <row r="208" spans="1:56" ht="16">
      <c r="A208" s="93"/>
      <c r="B208" s="400" t="s">
        <v>298</v>
      </c>
      <c r="C208" s="99" t="s">
        <v>153</v>
      </c>
      <c r="D208" s="166"/>
      <c r="E208" s="164"/>
      <c r="F208" s="164"/>
      <c r="G208" s="164"/>
      <c r="H208" s="164"/>
      <c r="I208" s="164"/>
      <c r="J208" s="164"/>
      <c r="K208" s="164"/>
      <c r="L208" s="164"/>
      <c r="M208" s="164"/>
      <c r="N208" s="164"/>
      <c r="O208" s="167"/>
      <c r="P208" s="330"/>
      <c r="Q208" s="331"/>
      <c r="R208" s="331"/>
      <c r="S208" s="331"/>
      <c r="T208" s="331"/>
      <c r="U208" s="331"/>
      <c r="V208" s="331"/>
      <c r="W208" s="331"/>
      <c r="X208" s="331"/>
      <c r="Y208" s="331"/>
      <c r="Z208" s="331"/>
      <c r="AA208" s="332"/>
      <c r="AB208" s="397">
        <v>3163.6363636363826</v>
      </c>
      <c r="AC208" s="398">
        <v>6634.0909090909436</v>
      </c>
      <c r="AD208" s="399">
        <v>4343.1818181818271</v>
      </c>
      <c r="AE208" s="399">
        <v>6940.9090909091137</v>
      </c>
      <c r="AF208" s="399">
        <v>7786.3636363636779</v>
      </c>
      <c r="AG208" s="399">
        <v>5577.2727272727479</v>
      </c>
      <c r="AH208" s="399">
        <v>1772.7272727272789</v>
      </c>
      <c r="AI208" s="399">
        <v>23868</v>
      </c>
      <c r="AJ208" s="103"/>
      <c r="AK208" s="103"/>
      <c r="AL208" s="103"/>
      <c r="AM208" s="146"/>
      <c r="AN208" s="1035"/>
      <c r="AO208" s="399"/>
      <c r="AP208" s="399"/>
      <c r="AQ208" s="399"/>
      <c r="AR208" s="399"/>
      <c r="AS208" s="399"/>
      <c r="AT208" s="399"/>
      <c r="AU208" s="399"/>
      <c r="AV208" s="103"/>
      <c r="AW208" s="103"/>
      <c r="AX208" s="103"/>
      <c r="AY208" s="146"/>
      <c r="AZ208" s="438"/>
      <c r="BA208" s="457" t="str">
        <f t="shared" si="55"/>
        <v>-</v>
      </c>
      <c r="BB208" s="103" t="str">
        <f t="shared" si="56"/>
        <v>-</v>
      </c>
      <c r="BC208" s="546">
        <f t="shared" si="51"/>
        <v>7510.772727272747</v>
      </c>
    </row>
    <row r="209" spans="1:55" ht="16">
      <c r="A209" s="93"/>
      <c r="B209" s="400" t="s">
        <v>299</v>
      </c>
      <c r="C209" s="99" t="s">
        <v>153</v>
      </c>
      <c r="D209" s="166"/>
      <c r="E209" s="164"/>
      <c r="F209" s="164"/>
      <c r="G209" s="164"/>
      <c r="H209" s="164"/>
      <c r="I209" s="164"/>
      <c r="J209" s="164"/>
      <c r="K209" s="164"/>
      <c r="L209" s="164"/>
      <c r="M209" s="164"/>
      <c r="N209" s="164"/>
      <c r="O209" s="167"/>
      <c r="P209" s="166"/>
      <c r="Q209" s="164"/>
      <c r="R209" s="164"/>
      <c r="S209" s="164"/>
      <c r="T209" s="164"/>
      <c r="U209" s="164"/>
      <c r="V209" s="164"/>
      <c r="W209" s="164"/>
      <c r="X209" s="164"/>
      <c r="Y209" s="164"/>
      <c r="Z209" s="164"/>
      <c r="AA209" s="167"/>
      <c r="AB209" s="397">
        <v>18116.033057851328</v>
      </c>
      <c r="AC209" s="398">
        <v>10341.198347107369</v>
      </c>
      <c r="AD209" s="399">
        <v>24484.090909091086</v>
      </c>
      <c r="AE209" s="399">
        <v>6204.0495867769023</v>
      </c>
      <c r="AF209" s="399">
        <v>15773.925619834723</v>
      </c>
      <c r="AG209" s="399">
        <v>13459.090909090832</v>
      </c>
      <c r="AH209" s="399">
        <v>19556.528925619776</v>
      </c>
      <c r="AI209" s="399">
        <v>893</v>
      </c>
      <c r="AJ209" s="103"/>
      <c r="AK209" s="103"/>
      <c r="AL209" s="103"/>
      <c r="AM209" s="146"/>
      <c r="AN209" s="1035"/>
      <c r="AO209" s="399"/>
      <c r="AP209" s="399"/>
      <c r="AQ209" s="399"/>
      <c r="AR209" s="399"/>
      <c r="AS209" s="399"/>
      <c r="AT209" s="399"/>
      <c r="AU209" s="399"/>
      <c r="AV209" s="103"/>
      <c r="AW209" s="103"/>
      <c r="AX209" s="103"/>
      <c r="AY209" s="146"/>
      <c r="AZ209" s="438"/>
      <c r="BA209" s="457" t="str">
        <f t="shared" si="55"/>
        <v>-</v>
      </c>
      <c r="BB209" s="103" t="str">
        <f t="shared" si="56"/>
        <v>-</v>
      </c>
      <c r="BC209" s="546">
        <f t="shared" si="51"/>
        <v>13603.489669421504</v>
      </c>
    </row>
    <row r="210" spans="1:55" ht="16">
      <c r="A210" s="93"/>
      <c r="B210" s="400" t="s">
        <v>300</v>
      </c>
      <c r="C210" s="99" t="s">
        <v>153</v>
      </c>
      <c r="D210" s="166"/>
      <c r="E210" s="164"/>
      <c r="F210" s="164"/>
      <c r="G210" s="164"/>
      <c r="H210" s="164"/>
      <c r="I210" s="164"/>
      <c r="J210" s="164"/>
      <c r="K210" s="164"/>
      <c r="L210" s="164"/>
      <c r="M210" s="164"/>
      <c r="N210" s="164"/>
      <c r="O210" s="167"/>
      <c r="P210" s="166"/>
      <c r="Q210" s="164"/>
      <c r="R210" s="164"/>
      <c r="S210" s="164"/>
      <c r="T210" s="164"/>
      <c r="U210" s="164"/>
      <c r="V210" s="164"/>
      <c r="W210" s="164"/>
      <c r="X210" s="164"/>
      <c r="Y210" s="164"/>
      <c r="Z210" s="164"/>
      <c r="AA210" s="167"/>
      <c r="AB210" s="397">
        <v>767.78656126482213</v>
      </c>
      <c r="AC210" s="398">
        <v>767.78656126482213</v>
      </c>
      <c r="AD210" s="399">
        <v>352.76679841897243</v>
      </c>
      <c r="AE210" s="399">
        <v>2330.3359683794438</v>
      </c>
      <c r="AF210" s="399">
        <v>1386.1660079051387</v>
      </c>
      <c r="AG210" s="399">
        <v>1583.3003952569175</v>
      </c>
      <c r="AH210" s="399"/>
      <c r="AI210" s="399">
        <v>1570</v>
      </c>
      <c r="AJ210" s="103"/>
      <c r="AK210" s="103"/>
      <c r="AL210" s="103"/>
      <c r="AM210" s="146"/>
      <c r="AN210" s="1035"/>
      <c r="AO210" s="399"/>
      <c r="AP210" s="399"/>
      <c r="AQ210" s="399"/>
      <c r="AR210" s="399"/>
      <c r="AS210" s="399"/>
      <c r="AT210" s="399"/>
      <c r="AU210" s="399"/>
      <c r="AV210" s="103"/>
      <c r="AW210" s="103"/>
      <c r="AX210" s="103"/>
      <c r="AY210" s="146"/>
      <c r="AZ210" s="438"/>
      <c r="BA210" s="457" t="str">
        <f t="shared" si="55"/>
        <v>-</v>
      </c>
      <c r="BB210" s="103" t="str">
        <f t="shared" si="56"/>
        <v>-</v>
      </c>
      <c r="BC210" s="546">
        <f t="shared" si="51"/>
        <v>1251.1631846414452</v>
      </c>
    </row>
    <row r="211" spans="1:55" ht="16">
      <c r="A211" s="93"/>
      <c r="B211" s="400" t="s">
        <v>301</v>
      </c>
      <c r="C211" s="99" t="s">
        <v>153</v>
      </c>
      <c r="D211" s="166"/>
      <c r="E211" s="164"/>
      <c r="F211" s="164"/>
      <c r="G211" s="164"/>
      <c r="H211" s="164"/>
      <c r="I211" s="164"/>
      <c r="J211" s="164"/>
      <c r="K211" s="164"/>
      <c r="L211" s="164"/>
      <c r="M211" s="164"/>
      <c r="N211" s="164"/>
      <c r="O211" s="167"/>
      <c r="P211" s="166"/>
      <c r="Q211" s="164"/>
      <c r="R211" s="164"/>
      <c r="S211" s="164"/>
      <c r="T211" s="164"/>
      <c r="U211" s="164"/>
      <c r="V211" s="164"/>
      <c r="W211" s="164"/>
      <c r="X211" s="164"/>
      <c r="Y211" s="164"/>
      <c r="Z211" s="164"/>
      <c r="AA211" s="167"/>
      <c r="AB211" s="397"/>
      <c r="AC211" s="398"/>
      <c r="AD211" s="399"/>
      <c r="AE211" s="399"/>
      <c r="AF211" s="399"/>
      <c r="AG211" s="399"/>
      <c r="AH211" s="399"/>
      <c r="AI211" s="399">
        <v>17075</v>
      </c>
      <c r="AJ211" s="103"/>
      <c r="AK211" s="103"/>
      <c r="AL211" s="103"/>
      <c r="AM211" s="146"/>
      <c r="AN211" s="1035"/>
      <c r="AO211" s="399"/>
      <c r="AP211" s="399"/>
      <c r="AQ211" s="399"/>
      <c r="AR211" s="399"/>
      <c r="AS211" s="399"/>
      <c r="AT211" s="399"/>
      <c r="AU211" s="399"/>
      <c r="AV211" s="103"/>
      <c r="AW211" s="103"/>
      <c r="AX211" s="103"/>
      <c r="AY211" s="146"/>
      <c r="AZ211" s="438"/>
      <c r="BA211" s="457"/>
      <c r="BB211" s="103"/>
      <c r="BC211" s="546">
        <f t="shared" si="51"/>
        <v>17075</v>
      </c>
    </row>
    <row r="212" spans="1:55" ht="16">
      <c r="A212" s="93"/>
      <c r="B212" s="400" t="s">
        <v>302</v>
      </c>
      <c r="C212" s="99" t="s">
        <v>153</v>
      </c>
      <c r="D212" s="166"/>
      <c r="E212" s="164"/>
      <c r="F212" s="164"/>
      <c r="G212" s="164"/>
      <c r="H212" s="164"/>
      <c r="I212" s="164"/>
      <c r="J212" s="164"/>
      <c r="K212" s="164"/>
      <c r="L212" s="164"/>
      <c r="M212" s="164"/>
      <c r="N212" s="164"/>
      <c r="O212" s="167"/>
      <c r="P212" s="166"/>
      <c r="Q212" s="164"/>
      <c r="R212" s="164"/>
      <c r="S212" s="164"/>
      <c r="T212" s="164"/>
      <c r="U212" s="164"/>
      <c r="V212" s="164"/>
      <c r="W212" s="164"/>
      <c r="X212" s="164"/>
      <c r="Y212" s="164"/>
      <c r="Z212" s="164"/>
      <c r="AA212" s="167"/>
      <c r="AB212" s="397">
        <v>100211.06719367609</v>
      </c>
      <c r="AC212" s="398">
        <v>69994.318181818322</v>
      </c>
      <c r="AD212" s="399">
        <v>102545.94861660137</v>
      </c>
      <c r="AE212" s="399">
        <v>86781.818181818424</v>
      </c>
      <c r="AF212" s="399">
        <v>69614.772727272735</v>
      </c>
      <c r="AG212" s="399">
        <v>67921.59090909097</v>
      </c>
      <c r="AH212" s="399">
        <v>68261.363636363676</v>
      </c>
      <c r="AI212" s="399">
        <v>11285</v>
      </c>
      <c r="AJ212" s="103"/>
      <c r="AK212" s="103"/>
      <c r="AL212" s="103"/>
      <c r="AM212" s="146"/>
      <c r="AN212" s="1035"/>
      <c r="AO212" s="399"/>
      <c r="AP212" s="399"/>
      <c r="AQ212" s="399"/>
      <c r="AR212" s="399"/>
      <c r="AS212" s="399"/>
      <c r="AT212" s="399"/>
      <c r="AU212" s="399"/>
      <c r="AV212" s="103"/>
      <c r="AW212" s="103"/>
      <c r="AX212" s="103"/>
      <c r="AY212" s="146"/>
      <c r="AZ212" s="438"/>
      <c r="BA212" s="457" t="str">
        <f t="shared" si="55"/>
        <v>-</v>
      </c>
      <c r="BB212" s="103" t="str">
        <f t="shared" si="56"/>
        <v>-</v>
      </c>
      <c r="BC212" s="546">
        <f t="shared" si="51"/>
        <v>72076.984930830193</v>
      </c>
    </row>
    <row r="213" spans="1:55" ht="16">
      <c r="A213" s="93"/>
      <c r="B213" s="400" t="s">
        <v>303</v>
      </c>
      <c r="C213" s="99" t="s">
        <v>153</v>
      </c>
      <c r="D213" s="166"/>
      <c r="E213" s="164"/>
      <c r="F213" s="164"/>
      <c r="G213" s="164"/>
      <c r="H213" s="164"/>
      <c r="I213" s="164"/>
      <c r="J213" s="164"/>
      <c r="K213" s="164"/>
      <c r="L213" s="164"/>
      <c r="M213" s="164"/>
      <c r="N213" s="164"/>
      <c r="O213" s="167"/>
      <c r="P213" s="166"/>
      <c r="Q213" s="164"/>
      <c r="R213" s="164"/>
      <c r="S213" s="164"/>
      <c r="T213" s="164"/>
      <c r="U213" s="164"/>
      <c r="V213" s="164"/>
      <c r="W213" s="164"/>
      <c r="X213" s="164"/>
      <c r="Y213" s="164"/>
      <c r="Z213" s="164"/>
      <c r="AA213" s="167"/>
      <c r="AB213" s="397"/>
      <c r="AC213" s="398"/>
      <c r="AD213" s="399"/>
      <c r="AE213" s="399"/>
      <c r="AF213" s="399"/>
      <c r="AG213" s="399"/>
      <c r="AH213" s="399"/>
      <c r="AI213" s="399">
        <v>7268</v>
      </c>
      <c r="AJ213" s="103"/>
      <c r="AK213" s="103"/>
      <c r="AL213" s="103"/>
      <c r="AM213" s="146"/>
      <c r="AN213" s="1035"/>
      <c r="AO213" s="399"/>
      <c r="AP213" s="399"/>
      <c r="AQ213" s="399"/>
      <c r="AR213" s="399"/>
      <c r="AS213" s="399"/>
      <c r="AT213" s="399"/>
      <c r="AU213" s="399"/>
      <c r="AV213" s="103"/>
      <c r="AW213" s="103"/>
      <c r="AX213" s="103"/>
      <c r="AY213" s="146"/>
      <c r="AZ213" s="438"/>
      <c r="BA213" s="457"/>
      <c r="BB213" s="103"/>
      <c r="BC213" s="546">
        <f t="shared" si="51"/>
        <v>7268</v>
      </c>
    </row>
    <row r="214" spans="1:55" ht="16">
      <c r="A214" s="93"/>
      <c r="B214" s="400" t="s">
        <v>304</v>
      </c>
      <c r="C214" s="99" t="s">
        <v>153</v>
      </c>
      <c r="D214" s="166"/>
      <c r="E214" s="164"/>
      <c r="F214" s="164"/>
      <c r="G214" s="164"/>
      <c r="H214" s="164"/>
      <c r="I214" s="164"/>
      <c r="J214" s="164"/>
      <c r="K214" s="164"/>
      <c r="L214" s="164"/>
      <c r="M214" s="164"/>
      <c r="N214" s="164"/>
      <c r="O214" s="167"/>
      <c r="P214" s="166"/>
      <c r="Q214" s="164"/>
      <c r="R214" s="164"/>
      <c r="S214" s="164"/>
      <c r="T214" s="164"/>
      <c r="U214" s="164"/>
      <c r="V214" s="164"/>
      <c r="W214" s="164"/>
      <c r="X214" s="164"/>
      <c r="Y214" s="164"/>
      <c r="Z214" s="164"/>
      <c r="AA214" s="167"/>
      <c r="AB214" s="397">
        <v>112471.02272727227</v>
      </c>
      <c r="AC214" s="398">
        <v>108968.939393939</v>
      </c>
      <c r="AD214" s="399">
        <v>87407.95454545437</v>
      </c>
      <c r="AE214" s="399">
        <v>86748.106060605904</v>
      </c>
      <c r="AF214" s="399">
        <v>93618.939393939203</v>
      </c>
      <c r="AG214" s="399">
        <v>79838.446969696786</v>
      </c>
      <c r="AH214" s="399">
        <v>82098.278985506826</v>
      </c>
      <c r="AI214" s="399">
        <v>75164</v>
      </c>
      <c r="AJ214" s="103"/>
      <c r="AK214" s="103"/>
      <c r="AL214" s="103"/>
      <c r="AM214" s="146"/>
      <c r="AN214" s="1035"/>
      <c r="AO214" s="399"/>
      <c r="AP214" s="399"/>
      <c r="AQ214" s="399"/>
      <c r="AR214" s="399"/>
      <c r="AS214" s="399"/>
      <c r="AT214" s="399"/>
      <c r="AU214" s="399"/>
      <c r="AV214" s="103"/>
      <c r="AW214" s="103"/>
      <c r="AX214" s="103"/>
      <c r="AY214" s="146"/>
      <c r="AZ214" s="438"/>
      <c r="BA214" s="457" t="str">
        <f t="shared" si="55"/>
        <v>-</v>
      </c>
      <c r="BB214" s="103" t="str">
        <f t="shared" si="56"/>
        <v>-</v>
      </c>
      <c r="BC214" s="546">
        <f t="shared" si="51"/>
        <v>90789.4610095518</v>
      </c>
    </row>
    <row r="215" spans="1:55" ht="16">
      <c r="A215" s="93"/>
      <c r="B215" s="400" t="s">
        <v>305</v>
      </c>
      <c r="C215" s="99" t="s">
        <v>153</v>
      </c>
      <c r="D215" s="166"/>
      <c r="E215" s="164"/>
      <c r="F215" s="164"/>
      <c r="G215" s="164"/>
      <c r="H215" s="164"/>
      <c r="I215" s="164"/>
      <c r="J215" s="164"/>
      <c r="K215" s="164"/>
      <c r="L215" s="164"/>
      <c r="M215" s="164"/>
      <c r="N215" s="164"/>
      <c r="O215" s="167"/>
      <c r="P215" s="166"/>
      <c r="Q215" s="164"/>
      <c r="R215" s="164"/>
      <c r="S215" s="164"/>
      <c r="T215" s="164"/>
      <c r="U215" s="164"/>
      <c r="V215" s="164"/>
      <c r="W215" s="164"/>
      <c r="X215" s="164"/>
      <c r="Y215" s="164"/>
      <c r="Z215" s="164"/>
      <c r="AA215" s="167"/>
      <c r="AB215" s="397">
        <v>17472.238691260503</v>
      </c>
      <c r="AC215" s="398">
        <v>22587.752525252759</v>
      </c>
      <c r="AD215" s="399">
        <v>60887.5000000004</v>
      </c>
      <c r="AE215" s="399">
        <v>91902.08333333375</v>
      </c>
      <c r="AF215" s="399">
        <v>54325.000000000713</v>
      </c>
      <c r="AG215" s="399">
        <v>49039.583333333685</v>
      </c>
      <c r="AH215" s="399">
        <v>112160.41666666734</v>
      </c>
      <c r="AI215" s="399">
        <v>15707</v>
      </c>
      <c r="AJ215" s="103"/>
      <c r="AK215" s="103"/>
      <c r="AL215" s="103"/>
      <c r="AM215" s="146"/>
      <c r="AN215" s="1035"/>
      <c r="AO215" s="399"/>
      <c r="AP215" s="399"/>
      <c r="AQ215" s="399"/>
      <c r="AR215" s="399"/>
      <c r="AS215" s="399"/>
      <c r="AT215" s="399"/>
      <c r="AU215" s="399"/>
      <c r="AV215" s="103"/>
      <c r="AW215" s="103"/>
      <c r="AX215" s="103"/>
      <c r="AY215" s="146"/>
      <c r="AZ215" s="438"/>
      <c r="BA215" s="457" t="str">
        <f t="shared" si="55"/>
        <v>-</v>
      </c>
      <c r="BB215" s="103" t="str">
        <f t="shared" si="56"/>
        <v>-</v>
      </c>
      <c r="BC215" s="546">
        <f t="shared" si="51"/>
        <v>53010.196818731136</v>
      </c>
    </row>
    <row r="216" spans="1:55" ht="16">
      <c r="A216" s="93"/>
      <c r="B216" s="400" t="s">
        <v>306</v>
      </c>
      <c r="C216" s="99" t="s">
        <v>153</v>
      </c>
      <c r="D216" s="166"/>
      <c r="E216" s="164"/>
      <c r="F216" s="164"/>
      <c r="G216" s="164"/>
      <c r="H216" s="164"/>
      <c r="I216" s="164"/>
      <c r="J216" s="164"/>
      <c r="K216" s="164"/>
      <c r="L216" s="164"/>
      <c r="M216" s="164"/>
      <c r="N216" s="164"/>
      <c r="O216" s="167"/>
      <c r="P216" s="166"/>
      <c r="Q216" s="164"/>
      <c r="R216" s="164"/>
      <c r="S216" s="164"/>
      <c r="T216" s="164"/>
      <c r="U216" s="164"/>
      <c r="V216" s="164"/>
      <c r="W216" s="164"/>
      <c r="X216" s="164"/>
      <c r="Y216" s="164"/>
      <c r="Z216" s="164"/>
      <c r="AA216" s="167"/>
      <c r="AB216" s="397">
        <v>104087.55721275201</v>
      </c>
      <c r="AC216" s="398">
        <v>91857.638888888483</v>
      </c>
      <c r="AD216" s="399">
        <v>90957.658617423716</v>
      </c>
      <c r="AE216" s="399">
        <v>34511.868686868402</v>
      </c>
      <c r="AF216" s="399">
        <v>111628.03030303003</v>
      </c>
      <c r="AG216" s="399">
        <v>61515.151515151556</v>
      </c>
      <c r="AH216" s="399">
        <v>68867.297979797862</v>
      </c>
      <c r="AI216" s="399">
        <v>102020</v>
      </c>
      <c r="AJ216" s="103"/>
      <c r="AK216" s="103"/>
      <c r="AL216" s="103"/>
      <c r="AM216" s="146"/>
      <c r="AN216" s="1035"/>
      <c r="AO216" s="399"/>
      <c r="AP216" s="399"/>
      <c r="AQ216" s="399"/>
      <c r="AR216" s="399"/>
      <c r="AS216" s="399"/>
      <c r="AT216" s="399"/>
      <c r="AU216" s="399"/>
      <c r="AV216" s="103"/>
      <c r="AW216" s="103"/>
      <c r="AX216" s="103"/>
      <c r="AY216" s="146"/>
      <c r="AZ216" s="438"/>
      <c r="BA216" s="457" t="str">
        <f t="shared" si="55"/>
        <v>-</v>
      </c>
      <c r="BB216" s="103" t="str">
        <f t="shared" si="56"/>
        <v>-</v>
      </c>
      <c r="BC216" s="546">
        <f t="shared" si="51"/>
        <v>83180.650400489001</v>
      </c>
    </row>
    <row r="217" spans="1:55" ht="16">
      <c r="A217" s="93"/>
      <c r="B217" s="400" t="s">
        <v>307</v>
      </c>
      <c r="C217" s="99" t="s">
        <v>153</v>
      </c>
      <c r="D217" s="166"/>
      <c r="E217" s="164"/>
      <c r="F217" s="164"/>
      <c r="G217" s="164"/>
      <c r="H217" s="164"/>
      <c r="I217" s="164"/>
      <c r="J217" s="164"/>
      <c r="K217" s="164"/>
      <c r="L217" s="164"/>
      <c r="M217" s="164"/>
      <c r="N217" s="164"/>
      <c r="O217" s="167"/>
      <c r="P217" s="166"/>
      <c r="Q217" s="164"/>
      <c r="R217" s="164"/>
      <c r="S217" s="164"/>
      <c r="T217" s="164"/>
      <c r="U217" s="164"/>
      <c r="V217" s="164"/>
      <c r="W217" s="164"/>
      <c r="X217" s="164"/>
      <c r="Y217" s="164"/>
      <c r="Z217" s="164"/>
      <c r="AA217" s="167"/>
      <c r="AB217" s="397">
        <v>554496.21212121355</v>
      </c>
      <c r="AC217" s="398">
        <v>323945.64393939427</v>
      </c>
      <c r="AD217" s="399">
        <v>554999.24242424173</v>
      </c>
      <c r="AE217" s="399">
        <v>544532.76515151467</v>
      </c>
      <c r="AF217" s="399">
        <v>464647.91666666605</v>
      </c>
      <c r="AG217" s="399">
        <v>470230.87121212017</v>
      </c>
      <c r="AH217" s="399">
        <v>201314.13608981261</v>
      </c>
      <c r="AI217" s="399">
        <v>448951</v>
      </c>
      <c r="AJ217" s="103"/>
      <c r="AK217" s="103"/>
      <c r="AL217" s="103"/>
      <c r="AM217" s="146"/>
      <c r="AN217" s="1035"/>
      <c r="AO217" s="399"/>
      <c r="AP217" s="399"/>
      <c r="AQ217" s="399"/>
      <c r="AR217" s="399"/>
      <c r="AS217" s="399"/>
      <c r="AT217" s="399"/>
      <c r="AU217" s="399"/>
      <c r="AV217" s="103"/>
      <c r="AW217" s="103"/>
      <c r="AX217" s="103"/>
      <c r="AY217" s="146"/>
      <c r="AZ217" s="438"/>
      <c r="BA217" s="457" t="str">
        <f t="shared" si="55"/>
        <v>-</v>
      </c>
      <c r="BB217" s="103" t="str">
        <f t="shared" si="56"/>
        <v>-</v>
      </c>
      <c r="BC217" s="546">
        <f t="shared" si="51"/>
        <v>445389.72345062037</v>
      </c>
    </row>
    <row r="218" spans="1:55" ht="16">
      <c r="A218" s="93"/>
      <c r="B218" s="400" t="s">
        <v>308</v>
      </c>
      <c r="C218" s="99" t="s">
        <v>153</v>
      </c>
      <c r="D218" s="166"/>
      <c r="E218" s="164"/>
      <c r="F218" s="164"/>
      <c r="G218" s="164"/>
      <c r="H218" s="164"/>
      <c r="I218" s="164"/>
      <c r="J218" s="164"/>
      <c r="K218" s="164"/>
      <c r="L218" s="164"/>
      <c r="M218" s="164"/>
      <c r="N218" s="164"/>
      <c r="O218" s="167"/>
      <c r="P218" s="166"/>
      <c r="Q218" s="164"/>
      <c r="R218" s="164"/>
      <c r="S218" s="164"/>
      <c r="T218" s="164"/>
      <c r="U218" s="164"/>
      <c r="V218" s="164"/>
      <c r="W218" s="164"/>
      <c r="X218" s="164"/>
      <c r="Y218" s="164"/>
      <c r="Z218" s="164"/>
      <c r="AA218" s="167"/>
      <c r="AB218" s="397">
        <v>3525.5681818181865</v>
      </c>
      <c r="AC218" s="398">
        <v>372119.69696969917</v>
      </c>
      <c r="AD218" s="399"/>
      <c r="AE218" s="399">
        <v>2207.3863636363703</v>
      </c>
      <c r="AF218" s="399">
        <v>56037.121212120168</v>
      </c>
      <c r="AG218" s="399">
        <v>15621.590909091017</v>
      </c>
      <c r="AH218" s="399">
        <v>423309.09090909117</v>
      </c>
      <c r="AI218" s="399">
        <v>8236</v>
      </c>
      <c r="AJ218" s="103"/>
      <c r="AK218" s="103"/>
      <c r="AL218" s="103"/>
      <c r="AM218" s="146"/>
      <c r="AN218" s="1035"/>
      <c r="AO218" s="399"/>
      <c r="AP218" s="399"/>
      <c r="AQ218" s="399"/>
      <c r="AR218" s="399"/>
      <c r="AS218" s="399"/>
      <c r="AT218" s="399"/>
      <c r="AU218" s="399"/>
      <c r="AV218" s="103"/>
      <c r="AW218" s="103"/>
      <c r="AX218" s="103"/>
      <c r="AY218" s="146"/>
      <c r="AZ218" s="438"/>
      <c r="BA218" s="457" t="str">
        <f t="shared" si="55"/>
        <v>-</v>
      </c>
      <c r="BB218" s="103" t="str">
        <f t="shared" si="56"/>
        <v>-</v>
      </c>
      <c r="BC218" s="546">
        <f t="shared" si="51"/>
        <v>125865.20779220799</v>
      </c>
    </row>
    <row r="219" spans="1:55" ht="16">
      <c r="A219" s="93"/>
      <c r="B219" s="400" t="s">
        <v>309</v>
      </c>
      <c r="C219" s="99" t="s">
        <v>153</v>
      </c>
      <c r="D219" s="166"/>
      <c r="E219" s="164"/>
      <c r="F219" s="164"/>
      <c r="G219" s="164"/>
      <c r="H219" s="164"/>
      <c r="I219" s="164"/>
      <c r="J219" s="164"/>
      <c r="K219" s="164"/>
      <c r="L219" s="164"/>
      <c r="M219" s="164"/>
      <c r="N219" s="164"/>
      <c r="O219" s="167"/>
      <c r="P219" s="166"/>
      <c r="Q219" s="164"/>
      <c r="R219" s="164"/>
      <c r="S219" s="164"/>
      <c r="T219" s="164"/>
      <c r="U219" s="164"/>
      <c r="V219" s="164"/>
      <c r="W219" s="164"/>
      <c r="X219" s="164"/>
      <c r="Y219" s="164"/>
      <c r="Z219" s="164"/>
      <c r="AA219" s="167"/>
      <c r="AB219" s="397">
        <v>343437.50000000087</v>
      </c>
      <c r="AC219" s="398">
        <v>193250.00000000151</v>
      </c>
      <c r="AD219" s="399">
        <v>314937.50000000122</v>
      </c>
      <c r="AE219" s="399">
        <v>355250.00000000192</v>
      </c>
      <c r="AF219" s="399">
        <v>245433.3333333348</v>
      </c>
      <c r="AG219" s="399">
        <v>206837.50000000087</v>
      </c>
      <c r="AH219" s="399">
        <v>369041.66666666936</v>
      </c>
      <c r="AI219" s="399">
        <v>284342</v>
      </c>
      <c r="AJ219" s="103"/>
      <c r="AK219" s="103"/>
      <c r="AL219" s="103"/>
      <c r="AM219" s="146"/>
      <c r="AN219" s="1035"/>
      <c r="AO219" s="399"/>
      <c r="AP219" s="399"/>
      <c r="AQ219" s="399"/>
      <c r="AR219" s="399"/>
      <c r="AS219" s="399"/>
      <c r="AT219" s="399"/>
      <c r="AU219" s="399"/>
      <c r="AV219" s="103"/>
      <c r="AW219" s="103"/>
      <c r="AX219" s="103"/>
      <c r="AY219" s="146"/>
      <c r="AZ219" s="438"/>
      <c r="BA219" s="457" t="str">
        <f t="shared" si="55"/>
        <v>-</v>
      </c>
      <c r="BB219" s="103" t="str">
        <f t="shared" si="56"/>
        <v>-</v>
      </c>
      <c r="BC219" s="546">
        <f t="shared" si="51"/>
        <v>289066.18750000128</v>
      </c>
    </row>
    <row r="220" spans="1:55" ht="16">
      <c r="A220" s="93"/>
      <c r="B220" s="400" t="s">
        <v>310</v>
      </c>
      <c r="C220" s="99" t="s">
        <v>153</v>
      </c>
      <c r="D220" s="166"/>
      <c r="E220" s="164"/>
      <c r="F220" s="164"/>
      <c r="G220" s="164"/>
      <c r="H220" s="164"/>
      <c r="I220" s="164"/>
      <c r="J220" s="164"/>
      <c r="K220" s="164"/>
      <c r="L220" s="164"/>
      <c r="M220" s="164"/>
      <c r="N220" s="164"/>
      <c r="O220" s="167"/>
      <c r="P220" s="166"/>
      <c r="Q220" s="164"/>
      <c r="R220" s="164"/>
      <c r="S220" s="164"/>
      <c r="T220" s="164"/>
      <c r="U220" s="164"/>
      <c r="V220" s="164"/>
      <c r="W220" s="164"/>
      <c r="X220" s="164"/>
      <c r="Y220" s="164"/>
      <c r="Z220" s="164"/>
      <c r="AA220" s="167"/>
      <c r="AB220" s="397">
        <v>142649.9999999998</v>
      </c>
      <c r="AC220" s="398">
        <v>144816.66666666721</v>
      </c>
      <c r="AD220" s="399">
        <v>122475.00000000083</v>
      </c>
      <c r="AE220" s="399">
        <v>111949.99999999984</v>
      </c>
      <c r="AF220" s="399">
        <v>96024.999999999432</v>
      </c>
      <c r="AG220" s="399">
        <v>47966.66666666697</v>
      </c>
      <c r="AH220" s="399">
        <v>75833.333333334056</v>
      </c>
      <c r="AI220" s="399">
        <v>98850</v>
      </c>
      <c r="AJ220" s="103"/>
      <c r="AK220" s="103"/>
      <c r="AL220" s="103"/>
      <c r="AM220" s="146"/>
      <c r="AN220" s="1035"/>
      <c r="AO220" s="399"/>
      <c r="AP220" s="399"/>
      <c r="AQ220" s="399"/>
      <c r="AR220" s="399"/>
      <c r="AS220" s="399"/>
      <c r="AT220" s="399"/>
      <c r="AU220" s="399"/>
      <c r="AV220" s="103"/>
      <c r="AW220" s="103"/>
      <c r="AX220" s="103"/>
      <c r="AY220" s="146"/>
      <c r="AZ220" s="438"/>
      <c r="BA220" s="457" t="str">
        <f t="shared" si="55"/>
        <v>-</v>
      </c>
      <c r="BB220" s="103" t="str">
        <f t="shared" si="56"/>
        <v>-</v>
      </c>
      <c r="BC220" s="546">
        <f t="shared" si="51"/>
        <v>105070.83333333352</v>
      </c>
    </row>
    <row r="221" spans="1:55" ht="16">
      <c r="A221" s="93"/>
      <c r="B221" s="400" t="s">
        <v>311</v>
      </c>
      <c r="C221" s="99" t="s">
        <v>153</v>
      </c>
      <c r="D221" s="166"/>
      <c r="E221" s="164"/>
      <c r="F221" s="164"/>
      <c r="G221" s="164"/>
      <c r="H221" s="164"/>
      <c r="I221" s="164"/>
      <c r="J221" s="164"/>
      <c r="K221" s="164"/>
      <c r="L221" s="164"/>
      <c r="M221" s="164"/>
      <c r="N221" s="164"/>
      <c r="O221" s="167"/>
      <c r="P221" s="166"/>
      <c r="Q221" s="164"/>
      <c r="R221" s="164"/>
      <c r="S221" s="164"/>
      <c r="T221" s="164"/>
      <c r="U221" s="164"/>
      <c r="V221" s="164"/>
      <c r="W221" s="164"/>
      <c r="X221" s="164"/>
      <c r="Y221" s="164"/>
      <c r="Z221" s="164"/>
      <c r="AA221" s="167"/>
      <c r="AB221" s="397">
        <v>250816.66666666613</v>
      </c>
      <c r="AC221" s="398">
        <v>196274.99999999889</v>
      </c>
      <c r="AD221" s="399">
        <v>31900.000000000109</v>
      </c>
      <c r="AE221" s="399">
        <v>139216.66666666645</v>
      </c>
      <c r="AF221" s="399">
        <v>200183.33333333305</v>
      </c>
      <c r="AG221" s="399">
        <v>138766.66666666619</v>
      </c>
      <c r="AH221" s="399">
        <v>109883.33333333264</v>
      </c>
      <c r="AI221" s="399">
        <v>125158</v>
      </c>
      <c r="AJ221" s="103"/>
      <c r="AK221" s="103"/>
      <c r="AL221" s="103"/>
      <c r="AM221" s="146"/>
      <c r="AN221" s="1035"/>
      <c r="AO221" s="399"/>
      <c r="AP221" s="399"/>
      <c r="AQ221" s="399"/>
      <c r="AR221" s="399"/>
      <c r="AS221" s="399"/>
      <c r="AT221" s="399"/>
      <c r="AU221" s="399"/>
      <c r="AV221" s="103"/>
      <c r="AW221" s="103"/>
      <c r="AX221" s="103"/>
      <c r="AY221" s="146"/>
      <c r="AZ221" s="438"/>
      <c r="BA221" s="457" t="str">
        <f t="shared" si="55"/>
        <v>-</v>
      </c>
      <c r="BB221" s="103" t="str">
        <f t="shared" si="56"/>
        <v>-</v>
      </c>
      <c r="BC221" s="546">
        <f t="shared" si="51"/>
        <v>149024.95833333294</v>
      </c>
    </row>
    <row r="222" spans="1:55" ht="16">
      <c r="A222" s="93"/>
      <c r="B222" s="400" t="s">
        <v>312</v>
      </c>
      <c r="C222" s="99" t="s">
        <v>153</v>
      </c>
      <c r="D222" s="166"/>
      <c r="E222" s="164"/>
      <c r="F222" s="164"/>
      <c r="G222" s="164"/>
      <c r="H222" s="164"/>
      <c r="I222" s="164"/>
      <c r="J222" s="164"/>
      <c r="K222" s="164"/>
      <c r="L222" s="164"/>
      <c r="M222" s="164"/>
      <c r="N222" s="164"/>
      <c r="O222" s="167"/>
      <c r="P222" s="166"/>
      <c r="Q222" s="164"/>
      <c r="R222" s="164"/>
      <c r="S222" s="164"/>
      <c r="T222" s="164"/>
      <c r="U222" s="164"/>
      <c r="V222" s="164"/>
      <c r="W222" s="164"/>
      <c r="X222" s="164"/>
      <c r="Y222" s="164"/>
      <c r="Z222" s="164"/>
      <c r="AA222" s="167"/>
      <c r="AB222" s="397">
        <v>50775.000000000487</v>
      </c>
      <c r="AC222" s="398">
        <v>99283.333333333503</v>
      </c>
      <c r="AD222" s="399">
        <v>224908.33333332959</v>
      </c>
      <c r="AE222" s="399">
        <v>108624.99999999878</v>
      </c>
      <c r="AF222" s="399">
        <v>46025.000000000306</v>
      </c>
      <c r="AG222" s="399">
        <v>20241.666666666493</v>
      </c>
      <c r="AH222" s="399">
        <v>66258.333333333925</v>
      </c>
      <c r="AI222" s="399">
        <v>69350</v>
      </c>
      <c r="AJ222" s="103"/>
      <c r="AK222" s="103"/>
      <c r="AL222" s="103"/>
      <c r="AM222" s="146"/>
      <c r="AN222" s="1035"/>
      <c r="AO222" s="399"/>
      <c r="AP222" s="399"/>
      <c r="AQ222" s="399"/>
      <c r="AR222" s="399"/>
      <c r="AS222" s="399"/>
      <c r="AT222" s="399"/>
      <c r="AU222" s="399"/>
      <c r="AV222" s="103"/>
      <c r="AW222" s="103"/>
      <c r="AX222" s="103"/>
      <c r="AY222" s="146"/>
      <c r="AZ222" s="438"/>
      <c r="BA222" s="457" t="str">
        <f t="shared" si="55"/>
        <v>-</v>
      </c>
      <c r="BB222" s="103" t="str">
        <f t="shared" si="56"/>
        <v>-</v>
      </c>
      <c r="BC222" s="546">
        <f t="shared" si="51"/>
        <v>85683.333333332892</v>
      </c>
    </row>
    <row r="223" spans="1:55" ht="16">
      <c r="A223" s="93"/>
      <c r="B223" s="400" t="s">
        <v>313</v>
      </c>
      <c r="C223" s="99" t="s">
        <v>153</v>
      </c>
      <c r="D223" s="166"/>
      <c r="E223" s="164"/>
      <c r="F223" s="164"/>
      <c r="G223" s="164"/>
      <c r="H223" s="164"/>
      <c r="I223" s="164"/>
      <c r="J223" s="164"/>
      <c r="K223" s="164"/>
      <c r="L223" s="164"/>
      <c r="M223" s="164"/>
      <c r="N223" s="164"/>
      <c r="O223" s="167"/>
      <c r="P223" s="166"/>
      <c r="Q223" s="164"/>
      <c r="R223" s="164"/>
      <c r="S223" s="164"/>
      <c r="T223" s="164"/>
      <c r="U223" s="164"/>
      <c r="V223" s="164"/>
      <c r="W223" s="164"/>
      <c r="X223" s="164"/>
      <c r="Y223" s="164"/>
      <c r="Z223" s="164"/>
      <c r="AA223" s="167"/>
      <c r="AB223" s="397">
        <v>8933.3333333333776</v>
      </c>
      <c r="AC223" s="398">
        <v>4458.3333333333458</v>
      </c>
      <c r="AD223" s="399"/>
      <c r="AE223" s="399">
        <v>2950.0000000000141</v>
      </c>
      <c r="AF223" s="399">
        <v>14575.000000000122</v>
      </c>
      <c r="AG223" s="399">
        <v>3000.0000000000155</v>
      </c>
      <c r="AH223" s="399">
        <v>10583.333333333394</v>
      </c>
      <c r="AI223" s="399">
        <v>11742</v>
      </c>
      <c r="AJ223" s="103"/>
      <c r="AK223" s="103"/>
      <c r="AL223" s="103"/>
      <c r="AM223" s="146"/>
      <c r="AN223" s="1035"/>
      <c r="AO223" s="399"/>
      <c r="AP223" s="399"/>
      <c r="AQ223" s="399"/>
      <c r="AR223" s="399"/>
      <c r="AS223" s="399"/>
      <c r="AT223" s="399"/>
      <c r="AU223" s="399"/>
      <c r="AV223" s="103"/>
      <c r="AW223" s="103"/>
      <c r="AX223" s="103"/>
      <c r="AY223" s="146"/>
      <c r="AZ223" s="438"/>
      <c r="BA223" s="457" t="str">
        <f t="shared" si="55"/>
        <v>-</v>
      </c>
      <c r="BB223" s="103" t="str">
        <f t="shared" si="56"/>
        <v>-</v>
      </c>
      <c r="BC223" s="546">
        <f t="shared" si="51"/>
        <v>8034.5714285714666</v>
      </c>
    </row>
    <row r="224" spans="1:55" ht="16">
      <c r="A224" s="93"/>
      <c r="B224" s="400" t="s">
        <v>314</v>
      </c>
      <c r="C224" s="99" t="s">
        <v>153</v>
      </c>
      <c r="D224" s="166"/>
      <c r="E224" s="164"/>
      <c r="F224" s="164"/>
      <c r="G224" s="164"/>
      <c r="H224" s="164"/>
      <c r="I224" s="164"/>
      <c r="J224" s="164"/>
      <c r="K224" s="164"/>
      <c r="L224" s="164"/>
      <c r="M224" s="164"/>
      <c r="N224" s="164"/>
      <c r="O224" s="167"/>
      <c r="P224" s="166"/>
      <c r="Q224" s="164"/>
      <c r="R224" s="164"/>
      <c r="S224" s="164"/>
      <c r="T224" s="164"/>
      <c r="U224" s="164"/>
      <c r="V224" s="164"/>
      <c r="W224" s="164"/>
      <c r="X224" s="164"/>
      <c r="Y224" s="164"/>
      <c r="Z224" s="164"/>
      <c r="AA224" s="167"/>
      <c r="AB224" s="397">
        <v>37752.840909090941</v>
      </c>
      <c r="AC224" s="398">
        <v>40130.303030303163</v>
      </c>
      <c r="AD224" s="399">
        <v>31486.7424242425</v>
      </c>
      <c r="AE224" s="399">
        <v>28400.000000000065</v>
      </c>
      <c r="AF224" s="399">
        <v>39125.378787878872</v>
      </c>
      <c r="AG224" s="399">
        <v>22008.333333333532</v>
      </c>
      <c r="AH224" s="399">
        <v>42870.73863636412</v>
      </c>
      <c r="AI224" s="399">
        <v>18026</v>
      </c>
      <c r="AJ224" s="103"/>
      <c r="AK224" s="103"/>
      <c r="AL224" s="103"/>
      <c r="AM224" s="146"/>
      <c r="AN224" s="1035"/>
      <c r="AO224" s="399"/>
      <c r="AP224" s="399"/>
      <c r="AQ224" s="399"/>
      <c r="AR224" s="399"/>
      <c r="AS224" s="399"/>
      <c r="AT224" s="399"/>
      <c r="AU224" s="399"/>
      <c r="AV224" s="103"/>
      <c r="AW224" s="103"/>
      <c r="AX224" s="103"/>
      <c r="AY224" s="146"/>
      <c r="AZ224" s="438"/>
      <c r="BA224" s="457" t="str">
        <f t="shared" si="55"/>
        <v>-</v>
      </c>
      <c r="BB224" s="103" t="str">
        <f t="shared" si="56"/>
        <v>-</v>
      </c>
      <c r="BC224" s="546">
        <f t="shared" si="51"/>
        <v>32475.042140151651</v>
      </c>
    </row>
    <row r="225" spans="1:55" ht="16">
      <c r="A225" s="93"/>
      <c r="B225" s="400" t="s">
        <v>315</v>
      </c>
      <c r="C225" s="99" t="s">
        <v>153</v>
      </c>
      <c r="D225" s="166"/>
      <c r="E225" s="164"/>
      <c r="F225" s="164"/>
      <c r="G225" s="164"/>
      <c r="H225" s="164"/>
      <c r="I225" s="164"/>
      <c r="J225" s="164"/>
      <c r="K225" s="164"/>
      <c r="L225" s="164"/>
      <c r="M225" s="164"/>
      <c r="N225" s="164"/>
      <c r="O225" s="167"/>
      <c r="P225" s="166"/>
      <c r="Q225" s="164"/>
      <c r="R225" s="164"/>
      <c r="S225" s="164"/>
      <c r="T225" s="164"/>
      <c r="U225" s="164"/>
      <c r="V225" s="164"/>
      <c r="W225" s="164"/>
      <c r="X225" s="164"/>
      <c r="Y225" s="164"/>
      <c r="Z225" s="164"/>
      <c r="AA225" s="167"/>
      <c r="AB225" s="397">
        <v>23890.151515151665</v>
      </c>
      <c r="AC225" s="398">
        <v>29797.727272727727</v>
      </c>
      <c r="AD225" s="399">
        <v>17770.45454545481</v>
      </c>
      <c r="AE225" s="399">
        <v>18109.848484848771</v>
      </c>
      <c r="AF225" s="399">
        <v>25385.60606060682</v>
      </c>
      <c r="AG225" s="399">
        <v>13856.81818181818</v>
      </c>
      <c r="AH225" s="399">
        <v>36982.272727272983</v>
      </c>
      <c r="AI225" s="399">
        <v>21658</v>
      </c>
      <c r="AJ225" s="103"/>
      <c r="AK225" s="103"/>
      <c r="AL225" s="103"/>
      <c r="AM225" s="146"/>
      <c r="AN225" s="1035"/>
      <c r="AO225" s="399"/>
      <c r="AP225" s="399"/>
      <c r="AQ225" s="399"/>
      <c r="AR225" s="399"/>
      <c r="AS225" s="399"/>
      <c r="AT225" s="399"/>
      <c r="AU225" s="399"/>
      <c r="AV225" s="103"/>
      <c r="AW225" s="103"/>
      <c r="AX225" s="103"/>
      <c r="AY225" s="146"/>
      <c r="AZ225" s="438"/>
      <c r="BA225" s="457" t="str">
        <f t="shared" si="55"/>
        <v>-</v>
      </c>
      <c r="BB225" s="103" t="str">
        <f t="shared" si="56"/>
        <v>-</v>
      </c>
      <c r="BC225" s="546">
        <f t="shared" si="51"/>
        <v>23431.359848485117</v>
      </c>
    </row>
    <row r="226" spans="1:55" ht="16">
      <c r="A226" s="93"/>
      <c r="B226" s="523" t="s">
        <v>316</v>
      </c>
      <c r="C226" s="108" t="s">
        <v>153</v>
      </c>
      <c r="D226" s="327"/>
      <c r="E226" s="328"/>
      <c r="F226" s="328"/>
      <c r="G226" s="328"/>
      <c r="H226" s="328"/>
      <c r="I226" s="328"/>
      <c r="J226" s="328"/>
      <c r="K226" s="328"/>
      <c r="L226" s="328"/>
      <c r="M226" s="328"/>
      <c r="N226" s="328"/>
      <c r="O226" s="329"/>
      <c r="P226" s="327"/>
      <c r="Q226" s="328"/>
      <c r="R226" s="328"/>
      <c r="S226" s="328"/>
      <c r="T226" s="328"/>
      <c r="U226" s="328"/>
      <c r="V226" s="328"/>
      <c r="W226" s="328"/>
      <c r="X226" s="328"/>
      <c r="Y226" s="328"/>
      <c r="Z226" s="328"/>
      <c r="AA226" s="329"/>
      <c r="AB226" s="394">
        <v>29241.071428571428</v>
      </c>
      <c r="AC226" s="395">
        <v>16416.396103896106</v>
      </c>
      <c r="AD226" s="396">
        <v>21631.493506493509</v>
      </c>
      <c r="AE226" s="396">
        <v>34547.483766233767</v>
      </c>
      <c r="AF226" s="396">
        <v>38829.139610389611</v>
      </c>
      <c r="AG226" s="396">
        <v>25798.160173160177</v>
      </c>
      <c r="AH226" s="396">
        <v>40356.331168831224</v>
      </c>
      <c r="AI226" s="396">
        <v>56526</v>
      </c>
      <c r="AJ226" s="310"/>
      <c r="AK226" s="310"/>
      <c r="AL226" s="310"/>
      <c r="AM226" s="313"/>
      <c r="AN226" s="1036"/>
      <c r="AO226" s="396"/>
      <c r="AP226" s="396"/>
      <c r="AQ226" s="396"/>
      <c r="AR226" s="396"/>
      <c r="AS226" s="396"/>
      <c r="AT226" s="396"/>
      <c r="AU226" s="396"/>
      <c r="AV226" s="310"/>
      <c r="AW226" s="310"/>
      <c r="AX226" s="310"/>
      <c r="AY226" s="313"/>
      <c r="AZ226" s="438"/>
      <c r="BA226" s="458" t="str">
        <f t="shared" si="55"/>
        <v>-</v>
      </c>
      <c r="BB226" s="310" t="str">
        <f t="shared" si="56"/>
        <v>-</v>
      </c>
      <c r="BC226" s="547">
        <f t="shared" si="51"/>
        <v>32918.259469696975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4.9989318521683403E-2"/>
  </sheetPr>
  <dimension ref="A1:BAU63"/>
  <sheetViews>
    <sheetView showGridLines="0" tabSelected="1" zoomScale="92" zoomScaleNormal="130" workbookViewId="0">
      <pane xSplit="4" ySplit="3" topLeftCell="AVF15" activePane="bottomRight" state="frozen"/>
      <selection pane="topRight"/>
      <selection pane="bottomLeft" activeCell="A3" sqref="A3"/>
      <selection pane="bottomRight" activeCell="AVO15" sqref="AVO15:AVQ15"/>
    </sheetView>
  </sheetViews>
  <sheetFormatPr baseColWidth="10" defaultColWidth="11.5" defaultRowHeight="15" outlineLevelCol="1"/>
  <cols>
    <col min="1" max="1" width="3" customWidth="1"/>
    <col min="2" max="2" width="40.83203125" style="1" customWidth="1"/>
    <col min="3" max="3" width="7.5" style="1" customWidth="1"/>
    <col min="4" max="4" width="7.1640625" style="1" customWidth="1"/>
    <col min="5" max="5" width="6.5" style="3" bestFit="1" customWidth="1"/>
    <col min="6" max="7" width="5.33203125" hidden="1" customWidth="1" outlineLevel="1"/>
    <col min="8" max="8" width="6.1640625" hidden="1" customWidth="1" outlineLevel="1"/>
    <col min="9" max="14" width="5.33203125" hidden="1" customWidth="1" outlineLevel="1"/>
    <col min="15" max="17" width="6.1640625" hidden="1" customWidth="1" outlineLevel="1"/>
    <col min="18" max="184" width="5.33203125" hidden="1" customWidth="1" outlineLevel="1"/>
    <col min="185" max="185" width="6" hidden="1" customWidth="1" outlineLevel="1"/>
    <col min="186" max="275" width="5.33203125" hidden="1" customWidth="1" outlineLevel="1"/>
    <col min="276" max="276" width="5.33203125" hidden="1" customWidth="1" outlineLevel="1" collapsed="1"/>
    <col min="277" max="1010" width="5.33203125" hidden="1" customWidth="1" outlineLevel="1"/>
    <col min="1011" max="1011" width="5.5" hidden="1" customWidth="1" outlineLevel="1" collapsed="1"/>
    <col min="1012" max="1187" width="5.33203125" hidden="1" customWidth="1" outlineLevel="1"/>
    <col min="1188" max="1188" width="5.33203125" customWidth="1" collapsed="1"/>
    <col min="1189" max="1368" width="5.33203125" customWidth="1"/>
    <col min="1369" max="1369" width="5.5" customWidth="1"/>
    <col min="1370" max="1388" width="5.33203125" customWidth="1"/>
  </cols>
  <sheetData>
    <row r="1" spans="1:1388" ht="11.5" customHeight="1">
      <c r="EV1" s="46"/>
    </row>
    <row r="2" spans="1:1388" s="2" customFormat="1" ht="30.5" customHeight="1">
      <c r="B2" s="1417" t="s">
        <v>317</v>
      </c>
      <c r="C2" s="1417"/>
      <c r="D2" s="1417"/>
      <c r="E2" s="1418"/>
      <c r="F2" s="1328">
        <v>45688</v>
      </c>
      <c r="G2" s="1329"/>
      <c r="H2" s="1329"/>
      <c r="I2" s="1328">
        <v>45689</v>
      </c>
      <c r="J2" s="1328"/>
      <c r="K2" s="1328"/>
      <c r="L2" s="1328">
        <v>45690</v>
      </c>
      <c r="M2" s="1329"/>
      <c r="N2" s="1329"/>
      <c r="O2" s="1328">
        <v>45691</v>
      </c>
      <c r="P2" s="1329"/>
      <c r="Q2" s="1329"/>
      <c r="R2" s="1328">
        <v>45692</v>
      </c>
      <c r="S2" s="1329"/>
      <c r="T2" s="1329"/>
      <c r="U2" s="1328">
        <v>45693</v>
      </c>
      <c r="V2" s="1329"/>
      <c r="W2" s="1329"/>
      <c r="X2" s="1328">
        <v>45694</v>
      </c>
      <c r="Y2" s="1329"/>
      <c r="Z2" s="1329"/>
      <c r="AA2" s="1328">
        <v>45695</v>
      </c>
      <c r="AB2" s="1329"/>
      <c r="AC2" s="1329"/>
      <c r="AD2" s="1328">
        <v>45696</v>
      </c>
      <c r="AE2" s="1329"/>
      <c r="AF2" s="1329"/>
      <c r="AG2" s="1328">
        <v>45697</v>
      </c>
      <c r="AH2" s="1329"/>
      <c r="AI2" s="1329"/>
      <c r="AJ2" s="1328">
        <v>45698</v>
      </c>
      <c r="AK2" s="1329"/>
      <c r="AL2" s="1329"/>
      <c r="AM2" s="1328">
        <v>45699</v>
      </c>
      <c r="AN2" s="1329"/>
      <c r="AO2" s="1329"/>
      <c r="AP2" s="1328">
        <v>45700</v>
      </c>
      <c r="AQ2" s="1329"/>
      <c r="AR2" s="1329"/>
      <c r="AS2" s="1328">
        <v>45701</v>
      </c>
      <c r="AT2" s="1329"/>
      <c r="AU2" s="1329"/>
      <c r="AV2" s="1328">
        <v>45702</v>
      </c>
      <c r="AW2" s="1329"/>
      <c r="AX2" s="1329"/>
      <c r="AY2" s="1328">
        <v>45703</v>
      </c>
      <c r="AZ2" s="1329"/>
      <c r="BA2" s="1329"/>
      <c r="BB2" s="1328">
        <v>45704</v>
      </c>
      <c r="BC2" s="1329"/>
      <c r="BD2" s="1329"/>
      <c r="BE2" s="1328">
        <v>45705</v>
      </c>
      <c r="BF2" s="1329"/>
      <c r="BG2" s="1329"/>
      <c r="BH2" s="1328">
        <v>45706</v>
      </c>
      <c r="BI2" s="1329"/>
      <c r="BJ2" s="1329"/>
      <c r="BK2" s="1328">
        <v>45707</v>
      </c>
      <c r="BL2" s="1329"/>
      <c r="BM2" s="1329"/>
      <c r="BN2" s="1328">
        <v>45708</v>
      </c>
      <c r="BO2" s="1329"/>
      <c r="BP2" s="1329"/>
      <c r="BQ2" s="1328">
        <v>45709</v>
      </c>
      <c r="BR2" s="1329"/>
      <c r="BS2" s="1329"/>
      <c r="BT2" s="1328">
        <v>45710</v>
      </c>
      <c r="BU2" s="1329"/>
      <c r="BV2" s="1329"/>
      <c r="BW2" s="1328">
        <v>45711</v>
      </c>
      <c r="BX2" s="1329"/>
      <c r="BY2" s="1329"/>
      <c r="BZ2" s="1328">
        <v>45712</v>
      </c>
      <c r="CA2" s="1329"/>
      <c r="CB2" s="1329"/>
      <c r="CC2" s="1328">
        <v>45713</v>
      </c>
      <c r="CD2" s="1329"/>
      <c r="CE2" s="1329"/>
      <c r="CF2" s="1328">
        <v>45714</v>
      </c>
      <c r="CG2" s="1329"/>
      <c r="CH2" s="1329"/>
      <c r="CI2" s="1328">
        <v>45715</v>
      </c>
      <c r="CJ2" s="1329"/>
      <c r="CK2" s="1329"/>
      <c r="CL2" s="1328">
        <v>45716</v>
      </c>
      <c r="CM2" s="1329"/>
      <c r="CN2" s="1329"/>
      <c r="CO2" s="1328">
        <v>45717</v>
      </c>
      <c r="CP2" s="1328"/>
      <c r="CQ2" s="1328"/>
      <c r="CR2" s="1328">
        <v>45718</v>
      </c>
      <c r="CS2" s="1329"/>
      <c r="CT2" s="1329"/>
      <c r="CU2" s="1328">
        <v>45719</v>
      </c>
      <c r="CV2" s="1329"/>
      <c r="CW2" s="1329"/>
      <c r="CX2" s="1328">
        <v>45720</v>
      </c>
      <c r="CY2" s="1329"/>
      <c r="CZ2" s="1329"/>
      <c r="DA2" s="1328">
        <v>45721</v>
      </c>
      <c r="DB2" s="1329"/>
      <c r="DC2" s="1329"/>
      <c r="DD2" s="1328">
        <v>45722</v>
      </c>
      <c r="DE2" s="1329"/>
      <c r="DF2" s="1329"/>
      <c r="DG2" s="1328">
        <v>45723</v>
      </c>
      <c r="DH2" s="1329"/>
      <c r="DI2" s="1329"/>
      <c r="DJ2" s="1328">
        <v>45724</v>
      </c>
      <c r="DK2" s="1329"/>
      <c r="DL2" s="1329"/>
      <c r="DM2" s="1328">
        <v>45725</v>
      </c>
      <c r="DN2" s="1329"/>
      <c r="DO2" s="1329"/>
      <c r="DP2" s="1328">
        <v>45726</v>
      </c>
      <c r="DQ2" s="1329"/>
      <c r="DR2" s="1329"/>
      <c r="DS2" s="1328">
        <v>45727</v>
      </c>
      <c r="DT2" s="1329"/>
      <c r="DU2" s="1329"/>
      <c r="DV2" s="1328">
        <v>45728</v>
      </c>
      <c r="DW2" s="1329"/>
      <c r="DX2" s="1329"/>
      <c r="DY2" s="1328">
        <v>45729</v>
      </c>
      <c r="DZ2" s="1329"/>
      <c r="EA2" s="1329"/>
      <c r="EB2" s="1328">
        <v>45730</v>
      </c>
      <c r="EC2" s="1329"/>
      <c r="ED2" s="1329"/>
      <c r="EE2" s="1328">
        <v>45731</v>
      </c>
      <c r="EF2" s="1329"/>
      <c r="EG2" s="1329"/>
      <c r="EH2" s="1328">
        <v>45732</v>
      </c>
      <c r="EI2" s="1329"/>
      <c r="EJ2" s="1329"/>
      <c r="EK2" s="1328">
        <v>45733</v>
      </c>
      <c r="EL2" s="1329"/>
      <c r="EM2" s="1329"/>
      <c r="EN2" s="1328">
        <v>45734</v>
      </c>
      <c r="EO2" s="1329"/>
      <c r="EP2" s="1329"/>
      <c r="EQ2" s="1328">
        <v>45735</v>
      </c>
      <c r="ER2" s="1329"/>
      <c r="ES2" s="1329"/>
      <c r="ET2" s="1328">
        <v>45736</v>
      </c>
      <c r="EU2" s="1329"/>
      <c r="EV2" s="1329"/>
      <c r="EW2" s="1328">
        <v>45737</v>
      </c>
      <c r="EX2" s="1329"/>
      <c r="EY2" s="1329"/>
      <c r="EZ2" s="1328">
        <v>45738</v>
      </c>
      <c r="FA2" s="1329"/>
      <c r="FB2" s="1329"/>
      <c r="FC2" s="1328">
        <v>45739</v>
      </c>
      <c r="FD2" s="1329"/>
      <c r="FE2" s="1329"/>
      <c r="FF2" s="1328">
        <v>45740</v>
      </c>
      <c r="FG2" s="1329"/>
      <c r="FH2" s="1329"/>
      <c r="FI2" s="1328">
        <v>45741</v>
      </c>
      <c r="FJ2" s="1329"/>
      <c r="FK2" s="1329"/>
      <c r="FL2" s="1328">
        <v>45742</v>
      </c>
      <c r="FM2" s="1329"/>
      <c r="FN2" s="1329"/>
      <c r="FO2" s="1328">
        <v>45743</v>
      </c>
      <c r="FP2" s="1329"/>
      <c r="FQ2" s="1329"/>
      <c r="FR2" s="1328">
        <v>45744</v>
      </c>
      <c r="FS2" s="1329"/>
      <c r="FT2" s="1329"/>
      <c r="FU2" s="1328">
        <v>45745</v>
      </c>
      <c r="FV2" s="1329"/>
      <c r="FW2" s="1329"/>
      <c r="FX2" s="1328">
        <v>45746</v>
      </c>
      <c r="FY2" s="1329"/>
      <c r="FZ2" s="1329"/>
      <c r="GA2" s="1328">
        <v>45747</v>
      </c>
      <c r="GB2" s="1329"/>
      <c r="GC2" s="1329"/>
      <c r="GD2" s="1328">
        <v>45748</v>
      </c>
      <c r="GE2" s="1329"/>
      <c r="GF2" s="1329"/>
      <c r="GG2" s="1328">
        <v>45749</v>
      </c>
      <c r="GH2" s="1329"/>
      <c r="GI2" s="1329"/>
      <c r="GJ2" s="1328">
        <v>45750</v>
      </c>
      <c r="GK2" s="1329"/>
      <c r="GL2" s="1329"/>
      <c r="GM2" s="1328">
        <v>45751</v>
      </c>
      <c r="GN2" s="1329"/>
      <c r="GO2" s="1329"/>
      <c r="GP2" s="1328">
        <v>45752</v>
      </c>
      <c r="GQ2" s="1329"/>
      <c r="GR2" s="1329"/>
      <c r="GS2" s="1328">
        <v>45753</v>
      </c>
      <c r="GT2" s="1329"/>
      <c r="GU2" s="1329"/>
      <c r="GV2" s="1328">
        <v>45754</v>
      </c>
      <c r="GW2" s="1329"/>
      <c r="GX2" s="1329"/>
      <c r="GY2" s="1328">
        <v>45755</v>
      </c>
      <c r="GZ2" s="1329"/>
      <c r="HA2" s="1329"/>
      <c r="HB2" s="1328">
        <v>45756</v>
      </c>
      <c r="HC2" s="1329"/>
      <c r="HD2" s="1329"/>
      <c r="HE2" s="1328">
        <v>45757</v>
      </c>
      <c r="HF2" s="1329"/>
      <c r="HG2" s="1329"/>
      <c r="HH2" s="1328">
        <v>45758</v>
      </c>
      <c r="HI2" s="1329"/>
      <c r="HJ2" s="1329"/>
      <c r="HK2" s="1328">
        <v>45759</v>
      </c>
      <c r="HL2" s="1329"/>
      <c r="HM2" s="1329"/>
      <c r="HN2" s="1328">
        <v>45760</v>
      </c>
      <c r="HO2" s="1329"/>
      <c r="HP2" s="1329"/>
      <c r="HQ2" s="1328">
        <v>45761</v>
      </c>
      <c r="HR2" s="1329"/>
      <c r="HS2" s="1329"/>
      <c r="HT2" s="1328">
        <v>45762</v>
      </c>
      <c r="HU2" s="1329"/>
      <c r="HV2" s="1329"/>
      <c r="HW2" s="1328">
        <v>45763</v>
      </c>
      <c r="HX2" s="1329"/>
      <c r="HY2" s="1329"/>
      <c r="HZ2" s="1328">
        <v>45764</v>
      </c>
      <c r="IA2" s="1329"/>
      <c r="IB2" s="1329"/>
      <c r="IC2" s="1328">
        <v>45765</v>
      </c>
      <c r="ID2" s="1329"/>
      <c r="IE2" s="1329"/>
      <c r="IF2" s="1328">
        <v>45766</v>
      </c>
      <c r="IG2" s="1329"/>
      <c r="IH2" s="1329"/>
      <c r="II2" s="1328">
        <v>45767</v>
      </c>
      <c r="IJ2" s="1329"/>
      <c r="IK2" s="1329"/>
      <c r="IL2" s="1328">
        <v>45768</v>
      </c>
      <c r="IM2" s="1329"/>
      <c r="IN2" s="1329"/>
      <c r="IO2" s="1328">
        <v>45769</v>
      </c>
      <c r="IP2" s="1329"/>
      <c r="IQ2" s="1329"/>
      <c r="IR2" s="1328">
        <v>45770</v>
      </c>
      <c r="IS2" s="1329"/>
      <c r="IT2" s="1329"/>
      <c r="IU2" s="1328">
        <v>45771</v>
      </c>
      <c r="IV2" s="1329"/>
      <c r="IW2" s="1329"/>
      <c r="IX2" s="1328">
        <v>45772</v>
      </c>
      <c r="IY2" s="1329"/>
      <c r="IZ2" s="1329"/>
      <c r="JA2" s="1328">
        <v>45773</v>
      </c>
      <c r="JB2" s="1329"/>
      <c r="JC2" s="1329"/>
      <c r="JD2" s="1328">
        <v>45774</v>
      </c>
      <c r="JE2" s="1329"/>
      <c r="JF2" s="1329"/>
      <c r="JG2" s="1328">
        <v>45775</v>
      </c>
      <c r="JH2" s="1329"/>
      <c r="JI2" s="1329"/>
      <c r="JJ2" s="1328">
        <v>45776</v>
      </c>
      <c r="JK2" s="1329"/>
      <c r="JL2" s="1329"/>
      <c r="JM2" s="1328">
        <v>45777</v>
      </c>
      <c r="JN2" s="1329"/>
      <c r="JO2" s="1329"/>
      <c r="JP2" s="1328">
        <v>45778</v>
      </c>
      <c r="JQ2" s="1329"/>
      <c r="JR2" s="1329"/>
      <c r="JS2" s="1328">
        <v>45779</v>
      </c>
      <c r="JT2" s="1329"/>
      <c r="JU2" s="1329"/>
      <c r="JV2" s="1328">
        <f>+JS2+1</f>
        <v>45780</v>
      </c>
      <c r="JW2" s="1329"/>
      <c r="JX2" s="1329"/>
      <c r="JY2" s="1328">
        <f>+JV2+1</f>
        <v>45781</v>
      </c>
      <c r="JZ2" s="1329"/>
      <c r="KA2" s="1329"/>
      <c r="KB2" s="1328">
        <f>+JY2+1</f>
        <v>45782</v>
      </c>
      <c r="KC2" s="1329"/>
      <c r="KD2" s="1329"/>
      <c r="KE2" s="1328">
        <f>+KB2+1</f>
        <v>45783</v>
      </c>
      <c r="KF2" s="1329"/>
      <c r="KG2" s="1329"/>
      <c r="KH2" s="1328">
        <f>+KE2+1</f>
        <v>45784</v>
      </c>
      <c r="KI2" s="1329"/>
      <c r="KJ2" s="1329"/>
      <c r="KK2" s="1328">
        <f>+KH2+1</f>
        <v>45785</v>
      </c>
      <c r="KL2" s="1329"/>
      <c r="KM2" s="1329"/>
      <c r="KN2" s="1328">
        <f>+KK2+1</f>
        <v>45786</v>
      </c>
      <c r="KO2" s="1329"/>
      <c r="KP2" s="1329"/>
      <c r="KQ2" s="1328">
        <f>+KN2+1</f>
        <v>45787</v>
      </c>
      <c r="KR2" s="1329"/>
      <c r="KS2" s="1329"/>
      <c r="KT2" s="1328">
        <f>+KQ2+1</f>
        <v>45788</v>
      </c>
      <c r="KU2" s="1329"/>
      <c r="KV2" s="1329"/>
      <c r="KW2" s="1328">
        <f>+KT2+1</f>
        <v>45789</v>
      </c>
      <c r="KX2" s="1329"/>
      <c r="KY2" s="1329"/>
      <c r="KZ2" s="1328">
        <f t="shared" ref="KZ2" si="0">+KW2+1</f>
        <v>45790</v>
      </c>
      <c r="LA2" s="1329"/>
      <c r="LB2" s="1329"/>
      <c r="LC2" s="1328">
        <f t="shared" ref="LC2" si="1">+KZ2+1</f>
        <v>45791</v>
      </c>
      <c r="LD2" s="1329"/>
      <c r="LE2" s="1329"/>
      <c r="LF2" s="1328">
        <f t="shared" ref="LF2" si="2">+LC2+1</f>
        <v>45792</v>
      </c>
      <c r="LG2" s="1329"/>
      <c r="LH2" s="1329"/>
      <c r="LI2" s="1328">
        <f t="shared" ref="LI2" si="3">+LF2+1</f>
        <v>45793</v>
      </c>
      <c r="LJ2" s="1329"/>
      <c r="LK2" s="1329"/>
      <c r="LL2" s="1328">
        <f t="shared" ref="LL2" si="4">+LI2+1</f>
        <v>45794</v>
      </c>
      <c r="LM2" s="1329"/>
      <c r="LN2" s="1329"/>
      <c r="LO2" s="1328">
        <f t="shared" ref="LO2" si="5">+LL2+1</f>
        <v>45795</v>
      </c>
      <c r="LP2" s="1329"/>
      <c r="LQ2" s="1329"/>
      <c r="LR2" s="1328">
        <f>+LO2+1</f>
        <v>45796</v>
      </c>
      <c r="LS2" s="1329"/>
      <c r="LT2" s="1329"/>
      <c r="LU2" s="1328">
        <f t="shared" ref="LU2" si="6">+LR2+1</f>
        <v>45797</v>
      </c>
      <c r="LV2" s="1329"/>
      <c r="LW2" s="1329"/>
      <c r="LX2" s="1328">
        <f t="shared" ref="LX2" si="7">+LU2+1</f>
        <v>45798</v>
      </c>
      <c r="LY2" s="1329"/>
      <c r="LZ2" s="1329"/>
      <c r="MA2" s="1328">
        <f t="shared" ref="MA2" si="8">+LX2+1</f>
        <v>45799</v>
      </c>
      <c r="MB2" s="1329"/>
      <c r="MC2" s="1329"/>
      <c r="MD2" s="1328">
        <f t="shared" ref="MD2" si="9">+MA2+1</f>
        <v>45800</v>
      </c>
      <c r="ME2" s="1329"/>
      <c r="MF2" s="1329"/>
      <c r="MG2" s="1328">
        <f t="shared" ref="MG2" si="10">+MD2+1</f>
        <v>45801</v>
      </c>
      <c r="MH2" s="1329"/>
      <c r="MI2" s="1329"/>
      <c r="MJ2" s="1328">
        <f t="shared" ref="MJ2" si="11">+MG2+1</f>
        <v>45802</v>
      </c>
      <c r="MK2" s="1329"/>
      <c r="ML2" s="1329"/>
      <c r="MM2" s="1328">
        <f>+MJ2+1</f>
        <v>45803</v>
      </c>
      <c r="MN2" s="1329"/>
      <c r="MO2" s="1329"/>
      <c r="MP2" s="1328">
        <f t="shared" ref="MP2" si="12">+MM2+1</f>
        <v>45804</v>
      </c>
      <c r="MQ2" s="1329"/>
      <c r="MR2" s="1329"/>
      <c r="MS2" s="1328">
        <f t="shared" ref="MS2" si="13">+MP2+1</f>
        <v>45805</v>
      </c>
      <c r="MT2" s="1329"/>
      <c r="MU2" s="1329"/>
      <c r="MV2" s="1328">
        <f t="shared" ref="MV2" si="14">+MS2+1</f>
        <v>45806</v>
      </c>
      <c r="MW2" s="1329"/>
      <c r="MX2" s="1329"/>
      <c r="MY2" s="1328">
        <f t="shared" ref="MY2" si="15">+MV2+1</f>
        <v>45807</v>
      </c>
      <c r="MZ2" s="1329"/>
      <c r="NA2" s="1329"/>
      <c r="NB2" s="1328">
        <f t="shared" ref="NB2" si="16">+MY2+1</f>
        <v>45808</v>
      </c>
      <c r="NC2" s="1329"/>
      <c r="ND2" s="1329"/>
      <c r="NE2" s="1328">
        <f t="shared" ref="NE2" si="17">+NB2+1</f>
        <v>45809</v>
      </c>
      <c r="NF2" s="1329"/>
      <c r="NG2" s="1329"/>
      <c r="NH2" s="1328">
        <f>+NE2+1</f>
        <v>45810</v>
      </c>
      <c r="NI2" s="1329"/>
      <c r="NJ2" s="1329"/>
      <c r="NK2" s="1328">
        <f t="shared" ref="NK2" si="18">+NH2+1</f>
        <v>45811</v>
      </c>
      <c r="NL2" s="1329"/>
      <c r="NM2" s="1329"/>
      <c r="NN2" s="1328">
        <f t="shared" ref="NN2" si="19">+NK2+1</f>
        <v>45812</v>
      </c>
      <c r="NO2" s="1329"/>
      <c r="NP2" s="1329"/>
      <c r="NQ2" s="1328">
        <f t="shared" ref="NQ2" si="20">+NN2+1</f>
        <v>45813</v>
      </c>
      <c r="NR2" s="1329"/>
      <c r="NS2" s="1329"/>
      <c r="NT2" s="1328">
        <f t="shared" ref="NT2" si="21">+NQ2+1</f>
        <v>45814</v>
      </c>
      <c r="NU2" s="1329"/>
      <c r="NV2" s="1329"/>
      <c r="NW2" s="1328">
        <f t="shared" ref="NW2" si="22">+NT2+1</f>
        <v>45815</v>
      </c>
      <c r="NX2" s="1329"/>
      <c r="NY2" s="1329"/>
      <c r="NZ2" s="1328">
        <f t="shared" ref="NZ2" si="23">+NW2+1</f>
        <v>45816</v>
      </c>
      <c r="OA2" s="1329"/>
      <c r="OB2" s="1329"/>
      <c r="OC2" s="1328">
        <f t="shared" ref="OC2" si="24">+NZ2+1</f>
        <v>45817</v>
      </c>
      <c r="OD2" s="1329"/>
      <c r="OE2" s="1329"/>
      <c r="OF2" s="1328">
        <f t="shared" ref="OF2" si="25">+OC2+1</f>
        <v>45818</v>
      </c>
      <c r="OG2" s="1329"/>
      <c r="OH2" s="1329"/>
      <c r="OI2" s="1328">
        <f t="shared" ref="OI2" si="26">+OF2+1</f>
        <v>45819</v>
      </c>
      <c r="OJ2" s="1329"/>
      <c r="OK2" s="1329"/>
      <c r="OL2" s="1328">
        <f t="shared" ref="OL2" si="27">+OI2+1</f>
        <v>45820</v>
      </c>
      <c r="OM2" s="1329"/>
      <c r="ON2" s="1329"/>
      <c r="OO2" s="1328">
        <f t="shared" ref="OO2" si="28">+OL2+1</f>
        <v>45821</v>
      </c>
      <c r="OP2" s="1329"/>
      <c r="OQ2" s="1329"/>
      <c r="OR2" s="1328">
        <f t="shared" ref="OR2" si="29">+OO2+1</f>
        <v>45822</v>
      </c>
      <c r="OS2" s="1329"/>
      <c r="OT2" s="1329"/>
      <c r="OU2" s="1328">
        <f t="shared" ref="OU2" si="30">+OR2+1</f>
        <v>45823</v>
      </c>
      <c r="OV2" s="1329"/>
      <c r="OW2" s="1329"/>
      <c r="OX2" s="1328">
        <f t="shared" ref="OX2" si="31">+OU2+1</f>
        <v>45824</v>
      </c>
      <c r="OY2" s="1329"/>
      <c r="OZ2" s="1329"/>
      <c r="PA2" s="1328">
        <f t="shared" ref="PA2" si="32">+OX2+1</f>
        <v>45825</v>
      </c>
      <c r="PB2" s="1329"/>
      <c r="PC2" s="1329"/>
      <c r="PD2" s="1328">
        <f t="shared" ref="PD2" si="33">+PA2+1</f>
        <v>45826</v>
      </c>
      <c r="PE2" s="1329"/>
      <c r="PF2" s="1329"/>
      <c r="PG2" s="1328">
        <f t="shared" ref="PG2" si="34">+PD2+1</f>
        <v>45827</v>
      </c>
      <c r="PH2" s="1329"/>
      <c r="PI2" s="1329"/>
      <c r="PJ2" s="1328">
        <f t="shared" ref="PJ2" si="35">+PG2+1</f>
        <v>45828</v>
      </c>
      <c r="PK2" s="1329"/>
      <c r="PL2" s="1329"/>
      <c r="PM2" s="1328">
        <f t="shared" ref="PM2" si="36">+PJ2+1</f>
        <v>45829</v>
      </c>
      <c r="PN2" s="1329"/>
      <c r="PO2" s="1329"/>
      <c r="PP2" s="1328">
        <f t="shared" ref="PP2" si="37">+PM2+1</f>
        <v>45830</v>
      </c>
      <c r="PQ2" s="1329"/>
      <c r="PR2" s="1329"/>
      <c r="PS2" s="1328">
        <f t="shared" ref="PS2" si="38">+PP2+1</f>
        <v>45831</v>
      </c>
      <c r="PT2" s="1329"/>
      <c r="PU2" s="1329"/>
      <c r="PV2" s="1328">
        <f t="shared" ref="PV2" si="39">+PS2+1</f>
        <v>45832</v>
      </c>
      <c r="PW2" s="1329"/>
      <c r="PX2" s="1329"/>
      <c r="PY2" s="1328">
        <f t="shared" ref="PY2" si="40">+PV2+1</f>
        <v>45833</v>
      </c>
      <c r="PZ2" s="1329"/>
      <c r="QA2" s="1329"/>
      <c r="QB2" s="1328">
        <f t="shared" ref="QB2" si="41">+PY2+1</f>
        <v>45834</v>
      </c>
      <c r="QC2" s="1329"/>
      <c r="QD2" s="1329"/>
      <c r="QE2" s="1328">
        <f t="shared" ref="QE2" si="42">+QB2+1</f>
        <v>45835</v>
      </c>
      <c r="QF2" s="1329"/>
      <c r="QG2" s="1329"/>
      <c r="QH2" s="1328">
        <f t="shared" ref="QH2" si="43">+QE2+1</f>
        <v>45836</v>
      </c>
      <c r="QI2" s="1329"/>
      <c r="QJ2" s="1329"/>
      <c r="QK2" s="1328">
        <f t="shared" ref="QK2" si="44">+QH2+1</f>
        <v>45837</v>
      </c>
      <c r="QL2" s="1329"/>
      <c r="QM2" s="1329"/>
      <c r="QN2" s="1328">
        <f t="shared" ref="QN2" si="45">+QK2+1</f>
        <v>45838</v>
      </c>
      <c r="QO2" s="1329"/>
      <c r="QP2" s="1329"/>
      <c r="QQ2" s="1328">
        <f t="shared" ref="QQ2" si="46">+QN2+1</f>
        <v>45839</v>
      </c>
      <c r="QR2" s="1329"/>
      <c r="QS2" s="1329"/>
      <c r="QT2" s="1328">
        <f t="shared" ref="QT2" si="47">+QQ2+1</f>
        <v>45840</v>
      </c>
      <c r="QU2" s="1329"/>
      <c r="QV2" s="1329"/>
      <c r="QW2" s="1328">
        <f t="shared" ref="QW2" si="48">+QT2+1</f>
        <v>45841</v>
      </c>
      <c r="QX2" s="1329"/>
      <c r="QY2" s="1329"/>
      <c r="QZ2" s="1328">
        <f t="shared" ref="QZ2" si="49">+QW2+1</f>
        <v>45842</v>
      </c>
      <c r="RA2" s="1329"/>
      <c r="RB2" s="1329"/>
      <c r="RC2" s="1328">
        <f t="shared" ref="RC2" si="50">+QZ2+1</f>
        <v>45843</v>
      </c>
      <c r="RD2" s="1329"/>
      <c r="RE2" s="1329"/>
      <c r="RF2" s="1328">
        <f t="shared" ref="RF2" si="51">+RC2+1</f>
        <v>45844</v>
      </c>
      <c r="RG2" s="1329"/>
      <c r="RH2" s="1329"/>
      <c r="RI2" s="1328">
        <f t="shared" ref="RI2" si="52">+RF2+1</f>
        <v>45845</v>
      </c>
      <c r="RJ2" s="1329"/>
      <c r="RK2" s="1329"/>
      <c r="RL2" s="1328">
        <f t="shared" ref="RL2" si="53">+RI2+1</f>
        <v>45846</v>
      </c>
      <c r="RM2" s="1329"/>
      <c r="RN2" s="1329"/>
      <c r="RO2" s="1328">
        <f t="shared" ref="RO2" si="54">+RL2+1</f>
        <v>45847</v>
      </c>
      <c r="RP2" s="1329"/>
      <c r="RQ2" s="1329"/>
      <c r="RR2" s="1328">
        <f t="shared" ref="RR2" si="55">+RO2+1</f>
        <v>45848</v>
      </c>
      <c r="RS2" s="1329"/>
      <c r="RT2" s="1329"/>
      <c r="RU2" s="1328">
        <f t="shared" ref="RU2" si="56">+RR2+1</f>
        <v>45849</v>
      </c>
      <c r="RV2" s="1329"/>
      <c r="RW2" s="1329"/>
      <c r="RX2" s="1328">
        <f t="shared" ref="RX2" si="57">+RU2+1</f>
        <v>45850</v>
      </c>
      <c r="RY2" s="1329"/>
      <c r="RZ2" s="1329"/>
      <c r="SA2" s="1328">
        <f t="shared" ref="SA2" si="58">+RX2+1</f>
        <v>45851</v>
      </c>
      <c r="SB2" s="1329"/>
      <c r="SC2" s="1329"/>
      <c r="SD2" s="1328">
        <f t="shared" ref="SD2" si="59">+SA2+1</f>
        <v>45852</v>
      </c>
      <c r="SE2" s="1329"/>
      <c r="SF2" s="1329"/>
      <c r="SG2" s="1328">
        <f t="shared" ref="SG2" si="60">+SD2+1</f>
        <v>45853</v>
      </c>
      <c r="SH2" s="1329"/>
      <c r="SI2" s="1329"/>
      <c r="SJ2" s="1328">
        <f t="shared" ref="SJ2" si="61">+SG2+1</f>
        <v>45854</v>
      </c>
      <c r="SK2" s="1329"/>
      <c r="SL2" s="1329"/>
      <c r="SM2" s="1328">
        <f t="shared" ref="SM2" si="62">+SJ2+1</f>
        <v>45855</v>
      </c>
      <c r="SN2" s="1329"/>
      <c r="SO2" s="1329"/>
      <c r="SP2" s="1328">
        <f t="shared" ref="SP2" si="63">+SM2+1</f>
        <v>45856</v>
      </c>
      <c r="SQ2" s="1329"/>
      <c r="SR2" s="1329"/>
      <c r="SS2" s="1328">
        <f t="shared" ref="SS2" si="64">+SP2+1</f>
        <v>45857</v>
      </c>
      <c r="ST2" s="1329"/>
      <c r="SU2" s="1329"/>
      <c r="SV2" s="1328">
        <f t="shared" ref="SV2" si="65">+SS2+1</f>
        <v>45858</v>
      </c>
      <c r="SW2" s="1329"/>
      <c r="SX2" s="1329"/>
      <c r="SY2" s="1328">
        <f t="shared" ref="SY2" si="66">+SV2+1</f>
        <v>45859</v>
      </c>
      <c r="SZ2" s="1329"/>
      <c r="TA2" s="1329"/>
      <c r="TB2" s="1328">
        <f t="shared" ref="TB2" si="67">+SY2+1</f>
        <v>45860</v>
      </c>
      <c r="TC2" s="1329"/>
      <c r="TD2" s="1329"/>
      <c r="TE2" s="1328">
        <f t="shared" ref="TE2" si="68">+TB2+1</f>
        <v>45861</v>
      </c>
      <c r="TF2" s="1329"/>
      <c r="TG2" s="1329"/>
      <c r="TH2" s="1328">
        <f t="shared" ref="TH2" si="69">+TE2+1</f>
        <v>45862</v>
      </c>
      <c r="TI2" s="1329"/>
      <c r="TJ2" s="1329"/>
      <c r="TK2" s="1328">
        <f t="shared" ref="TK2" si="70">+TH2+1</f>
        <v>45863</v>
      </c>
      <c r="TL2" s="1329"/>
      <c r="TM2" s="1329"/>
      <c r="TN2" s="1328">
        <f t="shared" ref="TN2" si="71">+TK2+1</f>
        <v>45864</v>
      </c>
      <c r="TO2" s="1329"/>
      <c r="TP2" s="1329"/>
      <c r="TQ2" s="1328">
        <f t="shared" ref="TQ2" si="72">+TN2+1</f>
        <v>45865</v>
      </c>
      <c r="TR2" s="1329"/>
      <c r="TS2" s="1329"/>
      <c r="TT2" s="1328">
        <f t="shared" ref="TT2" si="73">+TQ2+1</f>
        <v>45866</v>
      </c>
      <c r="TU2" s="1329"/>
      <c r="TV2" s="1329"/>
      <c r="TW2" s="1328">
        <f t="shared" ref="TW2" si="74">+TT2+1</f>
        <v>45867</v>
      </c>
      <c r="TX2" s="1329"/>
      <c r="TY2" s="1329"/>
      <c r="TZ2" s="1328">
        <f t="shared" ref="TZ2" si="75">+TW2+1</f>
        <v>45868</v>
      </c>
      <c r="UA2" s="1329"/>
      <c r="UB2" s="1329"/>
      <c r="UC2" s="1328">
        <f t="shared" ref="UC2" si="76">+TZ2+1</f>
        <v>45869</v>
      </c>
      <c r="UD2" s="1329"/>
      <c r="UE2" s="1329"/>
      <c r="UF2" s="1328">
        <f t="shared" ref="UF2" si="77">+UC2+1</f>
        <v>45870</v>
      </c>
      <c r="UG2" s="1329"/>
      <c r="UH2" s="1329"/>
      <c r="UI2" s="1328">
        <f t="shared" ref="UI2" si="78">+UF2+1</f>
        <v>45871</v>
      </c>
      <c r="UJ2" s="1329"/>
      <c r="UK2" s="1329"/>
      <c r="UL2" s="1328">
        <f t="shared" ref="UL2" si="79">+UI2+1</f>
        <v>45872</v>
      </c>
      <c r="UM2" s="1329"/>
      <c r="UN2" s="1329"/>
      <c r="UO2" s="1328">
        <f t="shared" ref="UO2" si="80">+UL2+1</f>
        <v>45873</v>
      </c>
      <c r="UP2" s="1329"/>
      <c r="UQ2" s="1329"/>
      <c r="UR2" s="1328">
        <f t="shared" ref="UR2" si="81">+UO2+1</f>
        <v>45874</v>
      </c>
      <c r="US2" s="1329"/>
      <c r="UT2" s="1329"/>
      <c r="UU2" s="1328">
        <f t="shared" ref="UU2" si="82">+UR2+1</f>
        <v>45875</v>
      </c>
      <c r="UV2" s="1329"/>
      <c r="UW2" s="1329"/>
      <c r="UX2" s="1328">
        <f t="shared" ref="UX2" si="83">+UU2+1</f>
        <v>45876</v>
      </c>
      <c r="UY2" s="1329"/>
      <c r="UZ2" s="1329"/>
      <c r="VA2" s="1328">
        <f t="shared" ref="VA2" si="84">+UX2+1</f>
        <v>45877</v>
      </c>
      <c r="VB2" s="1329"/>
      <c r="VC2" s="1329"/>
      <c r="VD2" s="1328">
        <f t="shared" ref="VD2" si="85">+VA2+1</f>
        <v>45878</v>
      </c>
      <c r="VE2" s="1329"/>
      <c r="VF2" s="1329"/>
      <c r="VG2" s="1328">
        <f t="shared" ref="VG2" si="86">+VD2+1</f>
        <v>45879</v>
      </c>
      <c r="VH2" s="1329"/>
      <c r="VI2" s="1329"/>
      <c r="VJ2" s="1328">
        <f t="shared" ref="VJ2" si="87">+VG2+1</f>
        <v>45880</v>
      </c>
      <c r="VK2" s="1329"/>
      <c r="VL2" s="1329"/>
      <c r="VM2" s="1328">
        <f t="shared" ref="VM2" si="88">+VJ2+1</f>
        <v>45881</v>
      </c>
      <c r="VN2" s="1329"/>
      <c r="VO2" s="1329"/>
      <c r="VP2" s="1328">
        <f t="shared" ref="VP2" si="89">+VM2+1</f>
        <v>45882</v>
      </c>
      <c r="VQ2" s="1329"/>
      <c r="VR2" s="1329"/>
      <c r="VS2" s="1328">
        <f t="shared" ref="VS2" si="90">+VP2+1</f>
        <v>45883</v>
      </c>
      <c r="VT2" s="1329"/>
      <c r="VU2" s="1329"/>
      <c r="VV2" s="1328">
        <f t="shared" ref="VV2" si="91">+VS2+1</f>
        <v>45884</v>
      </c>
      <c r="VW2" s="1329"/>
      <c r="VX2" s="1329"/>
      <c r="VY2" s="1328">
        <f t="shared" ref="VY2" si="92">+VV2+1</f>
        <v>45885</v>
      </c>
      <c r="VZ2" s="1329"/>
      <c r="WA2" s="1329"/>
      <c r="WB2" s="1328">
        <f t="shared" ref="WB2" si="93">+VY2+1</f>
        <v>45886</v>
      </c>
      <c r="WC2" s="1329"/>
      <c r="WD2" s="1329"/>
      <c r="WE2" s="1328">
        <f t="shared" ref="WE2" si="94">+WB2+1</f>
        <v>45887</v>
      </c>
      <c r="WF2" s="1329"/>
      <c r="WG2" s="1329"/>
      <c r="WH2" s="1328">
        <f t="shared" ref="WH2" si="95">+WE2+1</f>
        <v>45888</v>
      </c>
      <c r="WI2" s="1329"/>
      <c r="WJ2" s="1329"/>
      <c r="WK2" s="1328">
        <f t="shared" ref="WK2" si="96">+WH2+1</f>
        <v>45889</v>
      </c>
      <c r="WL2" s="1329"/>
      <c r="WM2" s="1329"/>
      <c r="WN2" s="1328">
        <f t="shared" ref="WN2" si="97">+WK2+1</f>
        <v>45890</v>
      </c>
      <c r="WO2" s="1329"/>
      <c r="WP2" s="1329"/>
      <c r="WQ2" s="1328">
        <f t="shared" ref="WQ2" si="98">+WN2+1</f>
        <v>45891</v>
      </c>
      <c r="WR2" s="1329"/>
      <c r="WS2" s="1329"/>
      <c r="WT2" s="1328">
        <f t="shared" ref="WT2" si="99">+WQ2+1</f>
        <v>45892</v>
      </c>
      <c r="WU2" s="1329"/>
      <c r="WV2" s="1329"/>
      <c r="WW2" s="1328">
        <f t="shared" ref="WW2" si="100">+WT2+1</f>
        <v>45893</v>
      </c>
      <c r="WX2" s="1329"/>
      <c r="WY2" s="1329"/>
      <c r="WZ2" s="1328">
        <f t="shared" ref="WZ2" si="101">+WW2+1</f>
        <v>45894</v>
      </c>
      <c r="XA2" s="1329"/>
      <c r="XB2" s="1329"/>
      <c r="XC2" s="1328">
        <f t="shared" ref="XC2" si="102">+WZ2+1</f>
        <v>45895</v>
      </c>
      <c r="XD2" s="1329"/>
      <c r="XE2" s="1329"/>
      <c r="XF2" s="1328">
        <f t="shared" ref="XF2" si="103">+XC2+1</f>
        <v>45896</v>
      </c>
      <c r="XG2" s="1329"/>
      <c r="XH2" s="1329"/>
      <c r="XI2" s="1328">
        <f t="shared" ref="XI2" si="104">+XF2+1</f>
        <v>45897</v>
      </c>
      <c r="XJ2" s="1329"/>
      <c r="XK2" s="1329"/>
      <c r="XL2" s="1328">
        <f t="shared" ref="XL2" si="105">+XI2+1</f>
        <v>45898</v>
      </c>
      <c r="XM2" s="1329"/>
      <c r="XN2" s="1329"/>
      <c r="XO2" s="1328">
        <f t="shared" ref="XO2" si="106">+XL2+1</f>
        <v>45899</v>
      </c>
      <c r="XP2" s="1329"/>
      <c r="XQ2" s="1329"/>
      <c r="XR2" s="1328">
        <f t="shared" ref="XR2" si="107">+XO2+1</f>
        <v>45900</v>
      </c>
      <c r="XS2" s="1329"/>
      <c r="XT2" s="1329"/>
      <c r="XU2" s="1328">
        <f t="shared" ref="XU2" si="108">+XR2+1</f>
        <v>45901</v>
      </c>
      <c r="XV2" s="1329"/>
      <c r="XW2" s="1329"/>
      <c r="XX2" s="1328">
        <f t="shared" ref="XX2" si="109">+XU2+1</f>
        <v>45902</v>
      </c>
      <c r="XY2" s="1329"/>
      <c r="XZ2" s="1329"/>
      <c r="YA2" s="1328">
        <f t="shared" ref="YA2" si="110">+XX2+1</f>
        <v>45903</v>
      </c>
      <c r="YB2" s="1329"/>
      <c r="YC2" s="1329"/>
      <c r="YD2" s="1328">
        <f t="shared" ref="YD2" si="111">+YA2+1</f>
        <v>45904</v>
      </c>
      <c r="YE2" s="1329"/>
      <c r="YF2" s="1329"/>
      <c r="YG2" s="1328">
        <f t="shared" ref="YG2" si="112">+YD2+1</f>
        <v>45905</v>
      </c>
      <c r="YH2" s="1329"/>
      <c r="YI2" s="1329"/>
      <c r="YJ2" s="1328">
        <f t="shared" ref="YJ2" si="113">+YG2+1</f>
        <v>45906</v>
      </c>
      <c r="YK2" s="1329"/>
      <c r="YL2" s="1329"/>
      <c r="YM2" s="1328">
        <f t="shared" ref="YM2" si="114">+YJ2+1</f>
        <v>45907</v>
      </c>
      <c r="YN2" s="1329"/>
      <c r="YO2" s="1329"/>
      <c r="YP2" s="1328">
        <f t="shared" ref="YP2" si="115">+YM2+1</f>
        <v>45908</v>
      </c>
      <c r="YQ2" s="1329"/>
      <c r="YR2" s="1329"/>
      <c r="YS2" s="1328">
        <f t="shared" ref="YS2" si="116">+YP2+1</f>
        <v>45909</v>
      </c>
      <c r="YT2" s="1329"/>
      <c r="YU2" s="1329"/>
      <c r="YV2" s="1328">
        <f t="shared" ref="YV2" si="117">+YS2+1</f>
        <v>45910</v>
      </c>
      <c r="YW2" s="1329"/>
      <c r="YX2" s="1329"/>
      <c r="YY2" s="1328">
        <f t="shared" ref="YY2" si="118">+YV2+1</f>
        <v>45911</v>
      </c>
      <c r="YZ2" s="1329"/>
      <c r="ZA2" s="1329"/>
      <c r="ZB2" s="1328">
        <f t="shared" ref="ZB2" si="119">+YY2+1</f>
        <v>45912</v>
      </c>
      <c r="ZC2" s="1329"/>
      <c r="ZD2" s="1329"/>
      <c r="ZE2" s="1328">
        <f t="shared" ref="ZE2" si="120">+ZB2+1</f>
        <v>45913</v>
      </c>
      <c r="ZF2" s="1329"/>
      <c r="ZG2" s="1329"/>
      <c r="ZH2" s="1328">
        <f t="shared" ref="ZH2" si="121">+ZE2+1</f>
        <v>45914</v>
      </c>
      <c r="ZI2" s="1329"/>
      <c r="ZJ2" s="1329"/>
      <c r="ZK2" s="1328">
        <f t="shared" ref="ZK2" si="122">+ZH2+1</f>
        <v>45915</v>
      </c>
      <c r="ZL2" s="1329"/>
      <c r="ZM2" s="1329"/>
      <c r="ZN2" s="1328">
        <f t="shared" ref="ZN2" si="123">+ZK2+1</f>
        <v>45916</v>
      </c>
      <c r="ZO2" s="1329"/>
      <c r="ZP2" s="1329"/>
      <c r="ZQ2" s="1328">
        <f t="shared" ref="ZQ2" si="124">+ZN2+1</f>
        <v>45917</v>
      </c>
      <c r="ZR2" s="1329"/>
      <c r="ZS2" s="1329"/>
      <c r="ZT2" s="1328">
        <f t="shared" ref="ZT2" si="125">+ZQ2+1</f>
        <v>45918</v>
      </c>
      <c r="ZU2" s="1329"/>
      <c r="ZV2" s="1329"/>
      <c r="ZW2" s="1328">
        <f t="shared" ref="ZW2" si="126">+ZT2+1</f>
        <v>45919</v>
      </c>
      <c r="ZX2" s="1329"/>
      <c r="ZY2" s="1329"/>
      <c r="ZZ2" s="1328">
        <f t="shared" ref="ZZ2" si="127">+ZW2+1</f>
        <v>45920</v>
      </c>
      <c r="AAA2" s="1329"/>
      <c r="AAB2" s="1329"/>
      <c r="AAC2" s="1328">
        <f t="shared" ref="AAC2" si="128">+ZZ2+1</f>
        <v>45921</v>
      </c>
      <c r="AAD2" s="1329"/>
      <c r="AAE2" s="1329"/>
      <c r="AAF2" s="1328">
        <f t="shared" ref="AAF2" si="129">+AAC2+1</f>
        <v>45922</v>
      </c>
      <c r="AAG2" s="1329"/>
      <c r="AAH2" s="1329"/>
      <c r="AAI2" s="1328">
        <f t="shared" ref="AAI2" si="130">+AAF2+1</f>
        <v>45923</v>
      </c>
      <c r="AAJ2" s="1329"/>
      <c r="AAK2" s="1329"/>
      <c r="AAL2" s="1328">
        <f t="shared" ref="AAL2" si="131">+AAI2+1</f>
        <v>45924</v>
      </c>
      <c r="AAM2" s="1329"/>
      <c r="AAN2" s="1329"/>
      <c r="AAO2" s="1328">
        <f t="shared" ref="AAO2" si="132">+AAL2+1</f>
        <v>45925</v>
      </c>
      <c r="AAP2" s="1329"/>
      <c r="AAQ2" s="1329"/>
      <c r="AAR2" s="1328">
        <f t="shared" ref="AAR2" si="133">+AAO2+1</f>
        <v>45926</v>
      </c>
      <c r="AAS2" s="1329"/>
      <c r="AAT2" s="1329"/>
      <c r="AAU2" s="1328">
        <f t="shared" ref="AAU2" si="134">+AAR2+1</f>
        <v>45927</v>
      </c>
      <c r="AAV2" s="1329"/>
      <c r="AAW2" s="1329"/>
      <c r="AAX2" s="1328">
        <f t="shared" ref="AAX2" si="135">+AAU2+1</f>
        <v>45928</v>
      </c>
      <c r="AAY2" s="1329"/>
      <c r="AAZ2" s="1329"/>
      <c r="ABA2" s="1328">
        <f t="shared" ref="ABA2" si="136">+AAX2+1</f>
        <v>45929</v>
      </c>
      <c r="ABB2" s="1329"/>
      <c r="ABC2" s="1329"/>
      <c r="ABD2" s="1328">
        <f t="shared" ref="ABD2" si="137">+ABA2+1</f>
        <v>45930</v>
      </c>
      <c r="ABE2" s="1329"/>
      <c r="ABF2" s="1329"/>
      <c r="ABG2" s="1328">
        <f t="shared" ref="ABG2" si="138">+ABD2+1</f>
        <v>45931</v>
      </c>
      <c r="ABH2" s="1329"/>
      <c r="ABI2" s="1329"/>
      <c r="ABJ2" s="1328">
        <f t="shared" ref="ABJ2" si="139">+ABG2+1</f>
        <v>45932</v>
      </c>
      <c r="ABK2" s="1329"/>
      <c r="ABL2" s="1329"/>
      <c r="ABM2" s="1328">
        <f t="shared" ref="ABM2" si="140">+ABJ2+1</f>
        <v>45933</v>
      </c>
      <c r="ABN2" s="1329"/>
      <c r="ABO2" s="1329"/>
      <c r="ABP2" s="1328">
        <f t="shared" ref="ABP2" si="141">+ABM2+1</f>
        <v>45934</v>
      </c>
      <c r="ABQ2" s="1329"/>
      <c r="ABR2" s="1329"/>
      <c r="ABS2" s="1328">
        <f t="shared" ref="ABS2" si="142">+ABP2+1</f>
        <v>45935</v>
      </c>
      <c r="ABT2" s="1329"/>
      <c r="ABU2" s="1329"/>
      <c r="ABV2" s="1328">
        <f t="shared" ref="ABV2" si="143">+ABS2+1</f>
        <v>45936</v>
      </c>
      <c r="ABW2" s="1329"/>
      <c r="ABX2" s="1329"/>
      <c r="ABY2" s="1328">
        <f t="shared" ref="ABY2" si="144">+ABV2+1</f>
        <v>45937</v>
      </c>
      <c r="ABZ2" s="1329"/>
      <c r="ACA2" s="1329"/>
      <c r="ACB2" s="1328">
        <f t="shared" ref="ACB2" si="145">+ABY2+1</f>
        <v>45938</v>
      </c>
      <c r="ACC2" s="1329"/>
      <c r="ACD2" s="1329"/>
      <c r="ACE2" s="1328">
        <f t="shared" ref="ACE2" si="146">+ACB2+1</f>
        <v>45939</v>
      </c>
      <c r="ACF2" s="1329"/>
      <c r="ACG2" s="1329"/>
      <c r="ACH2" s="1328">
        <f t="shared" ref="ACH2" si="147">+ACE2+1</f>
        <v>45940</v>
      </c>
      <c r="ACI2" s="1329"/>
      <c r="ACJ2" s="1329"/>
      <c r="ACK2" s="1328">
        <f t="shared" ref="ACK2" si="148">+ACH2+1</f>
        <v>45941</v>
      </c>
      <c r="ACL2" s="1329"/>
      <c r="ACM2" s="1329"/>
      <c r="ACN2" s="1328">
        <f t="shared" ref="ACN2" si="149">+ACK2+1</f>
        <v>45942</v>
      </c>
      <c r="ACO2" s="1329"/>
      <c r="ACP2" s="1329"/>
      <c r="ACQ2" s="1328">
        <f t="shared" ref="ACQ2" si="150">+ACN2+1</f>
        <v>45943</v>
      </c>
      <c r="ACR2" s="1329"/>
      <c r="ACS2" s="1329"/>
      <c r="ACT2" s="1328">
        <f t="shared" ref="ACT2" si="151">+ACQ2+1</f>
        <v>45944</v>
      </c>
      <c r="ACU2" s="1329"/>
      <c r="ACV2" s="1329"/>
      <c r="ACW2" s="1328">
        <f t="shared" ref="ACW2" si="152">+ACT2+1</f>
        <v>45945</v>
      </c>
      <c r="ACX2" s="1329"/>
      <c r="ACY2" s="1329"/>
      <c r="ACZ2" s="1328">
        <f t="shared" ref="ACZ2" si="153">+ACW2+1</f>
        <v>45946</v>
      </c>
      <c r="ADA2" s="1329"/>
      <c r="ADB2" s="1329"/>
      <c r="ADC2" s="1328">
        <f t="shared" ref="ADC2" si="154">+ACZ2+1</f>
        <v>45947</v>
      </c>
      <c r="ADD2" s="1329"/>
      <c r="ADE2" s="1329"/>
      <c r="ADF2" s="1328">
        <f t="shared" ref="ADF2" si="155">+ADC2+1</f>
        <v>45948</v>
      </c>
      <c r="ADG2" s="1329"/>
      <c r="ADH2" s="1329"/>
      <c r="ADI2" s="1328">
        <f t="shared" ref="ADI2" si="156">+ADF2+1</f>
        <v>45949</v>
      </c>
      <c r="ADJ2" s="1329"/>
      <c r="ADK2" s="1329"/>
      <c r="ADL2" s="1328">
        <f t="shared" ref="ADL2" si="157">+ADI2+1</f>
        <v>45950</v>
      </c>
      <c r="ADM2" s="1329"/>
      <c r="ADN2" s="1329"/>
      <c r="ADO2" s="1328">
        <f t="shared" ref="ADO2" si="158">+ADL2+1</f>
        <v>45951</v>
      </c>
      <c r="ADP2" s="1329"/>
      <c r="ADQ2" s="1329"/>
      <c r="ADR2" s="1328">
        <f t="shared" ref="ADR2" si="159">+ADO2+1</f>
        <v>45952</v>
      </c>
      <c r="ADS2" s="1329"/>
      <c r="ADT2" s="1329"/>
      <c r="ADU2" s="1328">
        <f t="shared" ref="ADU2" si="160">+ADR2+1</f>
        <v>45953</v>
      </c>
      <c r="ADV2" s="1329"/>
      <c r="ADW2" s="1329"/>
      <c r="ADX2" s="1328">
        <f t="shared" ref="ADX2" si="161">+ADU2+1</f>
        <v>45954</v>
      </c>
      <c r="ADY2" s="1329"/>
      <c r="ADZ2" s="1329"/>
      <c r="AEA2" s="1328">
        <f t="shared" ref="AEA2" si="162">+ADX2+1</f>
        <v>45955</v>
      </c>
      <c r="AEB2" s="1329"/>
      <c r="AEC2" s="1329"/>
      <c r="AED2" s="1328">
        <f t="shared" ref="AED2" si="163">+AEA2+1</f>
        <v>45956</v>
      </c>
      <c r="AEE2" s="1329"/>
      <c r="AEF2" s="1329"/>
      <c r="AEG2" s="1328">
        <f t="shared" ref="AEG2" si="164">+AED2+1</f>
        <v>45957</v>
      </c>
      <c r="AEH2" s="1329"/>
      <c r="AEI2" s="1329"/>
      <c r="AEJ2" s="1328">
        <f t="shared" ref="AEJ2" si="165">+AEG2+1</f>
        <v>45958</v>
      </c>
      <c r="AEK2" s="1329"/>
      <c r="AEL2" s="1329"/>
      <c r="AEM2" s="1328">
        <f t="shared" ref="AEM2" si="166">+AEJ2+1</f>
        <v>45959</v>
      </c>
      <c r="AEN2" s="1329"/>
      <c r="AEO2" s="1329"/>
      <c r="AEP2" s="1328">
        <f t="shared" ref="AEP2" si="167">+AEM2+1</f>
        <v>45960</v>
      </c>
      <c r="AEQ2" s="1329"/>
      <c r="AER2" s="1329"/>
      <c r="AES2" s="1328">
        <f t="shared" ref="AES2" si="168">+AEP2+1</f>
        <v>45961</v>
      </c>
      <c r="AET2" s="1329"/>
      <c r="AEU2" s="1329"/>
      <c r="AEV2" s="1328">
        <f t="shared" ref="AEV2" si="169">+AES2+1</f>
        <v>45962</v>
      </c>
      <c r="AEW2" s="1329"/>
      <c r="AEX2" s="1329"/>
      <c r="AEY2" s="1328">
        <f t="shared" ref="AEY2" si="170">+AEV2+1</f>
        <v>45963</v>
      </c>
      <c r="AEZ2" s="1329"/>
      <c r="AFA2" s="1329"/>
      <c r="AFB2" s="1328">
        <f t="shared" ref="AFB2" si="171">+AEY2+1</f>
        <v>45964</v>
      </c>
      <c r="AFC2" s="1329"/>
      <c r="AFD2" s="1329"/>
      <c r="AFE2" s="1328">
        <f t="shared" ref="AFE2" si="172">+AFB2+1</f>
        <v>45965</v>
      </c>
      <c r="AFF2" s="1329"/>
      <c r="AFG2" s="1329"/>
      <c r="AFH2" s="1328">
        <f t="shared" ref="AFH2" si="173">+AFE2+1</f>
        <v>45966</v>
      </c>
      <c r="AFI2" s="1329"/>
      <c r="AFJ2" s="1329"/>
      <c r="AFK2" s="1328">
        <f t="shared" ref="AFK2" si="174">+AFH2+1</f>
        <v>45967</v>
      </c>
      <c r="AFL2" s="1329"/>
      <c r="AFM2" s="1329"/>
      <c r="AFN2" s="1328">
        <f t="shared" ref="AFN2" si="175">+AFK2+1</f>
        <v>45968</v>
      </c>
      <c r="AFO2" s="1329"/>
      <c r="AFP2" s="1329"/>
      <c r="AFQ2" s="1328">
        <f t="shared" ref="AFQ2" si="176">+AFN2+1</f>
        <v>45969</v>
      </c>
      <c r="AFR2" s="1329"/>
      <c r="AFS2" s="1329"/>
      <c r="AFT2" s="1328">
        <f t="shared" ref="AFT2" si="177">+AFQ2+1</f>
        <v>45970</v>
      </c>
      <c r="AFU2" s="1329"/>
      <c r="AFV2" s="1329"/>
      <c r="AFW2" s="1328">
        <f t="shared" ref="AFW2" si="178">+AFT2+1</f>
        <v>45971</v>
      </c>
      <c r="AFX2" s="1329"/>
      <c r="AFY2" s="1329"/>
      <c r="AFZ2" s="1328">
        <f t="shared" ref="AFZ2" si="179">+AFW2+1</f>
        <v>45972</v>
      </c>
      <c r="AGA2" s="1329"/>
      <c r="AGB2" s="1329"/>
      <c r="AGC2" s="1328">
        <f t="shared" ref="AGC2" si="180">+AFZ2+1</f>
        <v>45973</v>
      </c>
      <c r="AGD2" s="1329"/>
      <c r="AGE2" s="1329"/>
      <c r="AGF2" s="1328">
        <f t="shared" ref="AGF2" si="181">+AGC2+1</f>
        <v>45974</v>
      </c>
      <c r="AGG2" s="1329"/>
      <c r="AGH2" s="1329"/>
      <c r="AGI2" s="1328">
        <f t="shared" ref="AGI2" si="182">+AGF2+1</f>
        <v>45975</v>
      </c>
      <c r="AGJ2" s="1329"/>
      <c r="AGK2" s="1329"/>
      <c r="AGL2" s="1328">
        <f t="shared" ref="AGL2" si="183">+AGI2+1</f>
        <v>45976</v>
      </c>
      <c r="AGM2" s="1329"/>
      <c r="AGN2" s="1329"/>
      <c r="AGO2" s="1328">
        <f t="shared" ref="AGO2" si="184">+AGL2+1</f>
        <v>45977</v>
      </c>
      <c r="AGP2" s="1329"/>
      <c r="AGQ2" s="1329"/>
      <c r="AGR2" s="1328">
        <f t="shared" ref="AGR2" si="185">+AGO2+1</f>
        <v>45978</v>
      </c>
      <c r="AGS2" s="1329"/>
      <c r="AGT2" s="1329"/>
      <c r="AGU2" s="1328">
        <f t="shared" ref="AGU2" si="186">+AGR2+1</f>
        <v>45979</v>
      </c>
      <c r="AGV2" s="1329"/>
      <c r="AGW2" s="1329"/>
      <c r="AGX2" s="1328">
        <f t="shared" ref="AGX2" si="187">+AGU2+1</f>
        <v>45980</v>
      </c>
      <c r="AGY2" s="1329"/>
      <c r="AGZ2" s="1329"/>
      <c r="AHA2" s="1328">
        <f t="shared" ref="AHA2" si="188">+AGX2+1</f>
        <v>45981</v>
      </c>
      <c r="AHB2" s="1329"/>
      <c r="AHC2" s="1329"/>
      <c r="AHD2" s="1328">
        <f t="shared" ref="AHD2" si="189">+AHA2+1</f>
        <v>45982</v>
      </c>
      <c r="AHE2" s="1329"/>
      <c r="AHF2" s="1329"/>
      <c r="AHG2" s="1328">
        <f t="shared" ref="AHG2" si="190">+AHD2+1</f>
        <v>45983</v>
      </c>
      <c r="AHH2" s="1329"/>
      <c r="AHI2" s="1329"/>
      <c r="AHJ2" s="1328">
        <f t="shared" ref="AHJ2" si="191">+AHG2+1</f>
        <v>45984</v>
      </c>
      <c r="AHK2" s="1329"/>
      <c r="AHL2" s="1329"/>
      <c r="AHM2" s="1328">
        <f t="shared" ref="AHM2" si="192">+AHJ2+1</f>
        <v>45985</v>
      </c>
      <c r="AHN2" s="1329"/>
      <c r="AHO2" s="1329"/>
      <c r="AHP2" s="1328">
        <f t="shared" ref="AHP2" si="193">+AHM2+1</f>
        <v>45986</v>
      </c>
      <c r="AHQ2" s="1329"/>
      <c r="AHR2" s="1329"/>
      <c r="AHS2" s="1328">
        <f t="shared" ref="AHS2" si="194">+AHP2+1</f>
        <v>45987</v>
      </c>
      <c r="AHT2" s="1329"/>
      <c r="AHU2" s="1329"/>
      <c r="AHV2" s="1328">
        <f t="shared" ref="AHV2" si="195">+AHS2+1</f>
        <v>45988</v>
      </c>
      <c r="AHW2" s="1329"/>
      <c r="AHX2" s="1329"/>
      <c r="AHY2" s="1328">
        <f t="shared" ref="AHY2" si="196">+AHV2+1</f>
        <v>45989</v>
      </c>
      <c r="AHZ2" s="1329"/>
      <c r="AIA2" s="1329"/>
      <c r="AIB2" s="1328">
        <f t="shared" ref="AIB2" si="197">+AHY2+1</f>
        <v>45990</v>
      </c>
      <c r="AIC2" s="1329"/>
      <c r="AID2" s="1329"/>
      <c r="AIE2" s="1328">
        <f t="shared" ref="AIE2" si="198">+AIB2+1</f>
        <v>45991</v>
      </c>
      <c r="AIF2" s="1329"/>
      <c r="AIG2" s="1329"/>
      <c r="AIH2" s="1328">
        <f t="shared" ref="AIH2" si="199">+AIE2+1</f>
        <v>45992</v>
      </c>
      <c r="AII2" s="1329"/>
      <c r="AIJ2" s="1329"/>
      <c r="AIK2" s="1328">
        <f t="shared" ref="AIK2" si="200">+AIH2+1</f>
        <v>45993</v>
      </c>
      <c r="AIL2" s="1329"/>
      <c r="AIM2" s="1329"/>
      <c r="AIN2" s="1328">
        <f t="shared" ref="AIN2" si="201">+AIK2+1</f>
        <v>45994</v>
      </c>
      <c r="AIO2" s="1329"/>
      <c r="AIP2" s="1329"/>
      <c r="AIQ2" s="1328">
        <f t="shared" ref="AIQ2" si="202">+AIN2+1</f>
        <v>45995</v>
      </c>
      <c r="AIR2" s="1329"/>
      <c r="AIS2" s="1329"/>
      <c r="AIT2" s="1328">
        <f t="shared" ref="AIT2" si="203">+AIQ2+1</f>
        <v>45996</v>
      </c>
      <c r="AIU2" s="1329"/>
      <c r="AIV2" s="1329"/>
      <c r="AIW2" s="1328">
        <f t="shared" ref="AIW2" si="204">+AIT2+1</f>
        <v>45997</v>
      </c>
      <c r="AIX2" s="1329"/>
      <c r="AIY2" s="1329"/>
      <c r="AIZ2" s="1328">
        <f t="shared" ref="AIZ2" si="205">+AIW2+1</f>
        <v>45998</v>
      </c>
      <c r="AJA2" s="1329"/>
      <c r="AJB2" s="1329"/>
      <c r="AJC2" s="1328">
        <f t="shared" ref="AJC2" si="206">+AIZ2+1</f>
        <v>45999</v>
      </c>
      <c r="AJD2" s="1329"/>
      <c r="AJE2" s="1329"/>
      <c r="AJF2" s="1328">
        <f t="shared" ref="AJF2" si="207">+AJC2+1</f>
        <v>46000</v>
      </c>
      <c r="AJG2" s="1329"/>
      <c r="AJH2" s="1329"/>
      <c r="AJI2" s="1328">
        <f t="shared" ref="AJI2" si="208">+AJF2+1</f>
        <v>46001</v>
      </c>
      <c r="AJJ2" s="1329"/>
      <c r="AJK2" s="1329"/>
      <c r="AJL2" s="1328">
        <f t="shared" ref="AJL2" si="209">+AJI2+1</f>
        <v>46002</v>
      </c>
      <c r="AJM2" s="1329"/>
      <c r="AJN2" s="1329"/>
      <c r="AJO2" s="1328">
        <f t="shared" ref="AJO2" si="210">+AJL2+1</f>
        <v>46003</v>
      </c>
      <c r="AJP2" s="1329"/>
      <c r="AJQ2" s="1329"/>
      <c r="AJR2" s="1328">
        <f t="shared" ref="AJR2" si="211">+AJO2+1</f>
        <v>46004</v>
      </c>
      <c r="AJS2" s="1329"/>
      <c r="AJT2" s="1329"/>
      <c r="AJU2" s="1328">
        <f t="shared" ref="AJU2" si="212">+AJR2+1</f>
        <v>46005</v>
      </c>
      <c r="AJV2" s="1329"/>
      <c r="AJW2" s="1329"/>
      <c r="AJX2" s="1328">
        <f t="shared" ref="AJX2" si="213">+AJU2+1</f>
        <v>46006</v>
      </c>
      <c r="AJY2" s="1329"/>
      <c r="AJZ2" s="1329"/>
      <c r="AKA2" s="1328">
        <f t="shared" ref="AKA2" si="214">+AJX2+1</f>
        <v>46007</v>
      </c>
      <c r="AKB2" s="1329"/>
      <c r="AKC2" s="1329"/>
      <c r="AKD2" s="1328">
        <f t="shared" ref="AKD2" si="215">+AKA2+1</f>
        <v>46008</v>
      </c>
      <c r="AKE2" s="1329"/>
      <c r="AKF2" s="1329"/>
      <c r="AKG2" s="1328">
        <f t="shared" ref="AKG2" si="216">+AKD2+1</f>
        <v>46009</v>
      </c>
      <c r="AKH2" s="1329"/>
      <c r="AKI2" s="1329"/>
      <c r="AKJ2" s="1328">
        <f t="shared" ref="AKJ2" si="217">+AKG2+1</f>
        <v>46010</v>
      </c>
      <c r="AKK2" s="1329"/>
      <c r="AKL2" s="1329"/>
      <c r="AKM2" s="1328">
        <f t="shared" ref="AKM2" si="218">+AKJ2+1</f>
        <v>46011</v>
      </c>
      <c r="AKN2" s="1329"/>
      <c r="AKO2" s="1329"/>
      <c r="AKP2" s="1328">
        <f t="shared" ref="AKP2" si="219">+AKM2+1</f>
        <v>46012</v>
      </c>
      <c r="AKQ2" s="1329"/>
      <c r="AKR2" s="1329"/>
      <c r="AKS2" s="1328">
        <f t="shared" ref="AKS2" si="220">+AKP2+1</f>
        <v>46013</v>
      </c>
      <c r="AKT2" s="1329"/>
      <c r="AKU2" s="1329"/>
      <c r="AKV2" s="1328">
        <f t="shared" ref="AKV2" si="221">+AKS2+1</f>
        <v>46014</v>
      </c>
      <c r="AKW2" s="1329"/>
      <c r="AKX2" s="1329"/>
      <c r="AKY2" s="1328">
        <f t="shared" ref="AKY2" si="222">+AKV2+1</f>
        <v>46015</v>
      </c>
      <c r="AKZ2" s="1329"/>
      <c r="ALA2" s="1329"/>
      <c r="ALB2" s="1328">
        <f t="shared" ref="ALB2" si="223">+AKY2+1</f>
        <v>46016</v>
      </c>
      <c r="ALC2" s="1329"/>
      <c r="ALD2" s="1329"/>
      <c r="ALE2" s="1328">
        <f t="shared" ref="ALE2" si="224">+ALB2+1</f>
        <v>46017</v>
      </c>
      <c r="ALF2" s="1329"/>
      <c r="ALG2" s="1329"/>
      <c r="ALH2" s="1328">
        <f t="shared" ref="ALH2" si="225">+ALE2+1</f>
        <v>46018</v>
      </c>
      <c r="ALI2" s="1329"/>
      <c r="ALJ2" s="1329"/>
      <c r="ALK2" s="1328">
        <f t="shared" ref="ALK2" si="226">+ALH2+1</f>
        <v>46019</v>
      </c>
      <c r="ALL2" s="1329"/>
      <c r="ALM2" s="1329"/>
      <c r="ALN2" s="1328">
        <f t="shared" ref="ALN2" si="227">+ALK2+1</f>
        <v>46020</v>
      </c>
      <c r="ALO2" s="1329"/>
      <c r="ALP2" s="1329"/>
      <c r="ALQ2" s="1328">
        <f t="shared" ref="ALQ2" si="228">+ALN2+1</f>
        <v>46021</v>
      </c>
      <c r="ALR2" s="1329"/>
      <c r="ALS2" s="1329"/>
      <c r="ALT2" s="1328">
        <f t="shared" ref="ALT2" si="229">+ALQ2+1</f>
        <v>46022</v>
      </c>
      <c r="ALU2" s="1329"/>
      <c r="ALV2" s="1329"/>
      <c r="ALW2" s="1328">
        <f>+ALT2+1</f>
        <v>46023</v>
      </c>
      <c r="ALX2" s="1329"/>
      <c r="ALY2" s="1329"/>
      <c r="ALZ2" s="1328">
        <f t="shared" ref="ALZ2" si="230">+ALW2+1</f>
        <v>46024</v>
      </c>
      <c r="AMA2" s="1329"/>
      <c r="AMB2" s="1329"/>
      <c r="AMC2" s="1328">
        <f t="shared" ref="AMC2" si="231">+ALZ2+1</f>
        <v>46025</v>
      </c>
      <c r="AMD2" s="1329"/>
      <c r="AME2" s="1329"/>
      <c r="AMF2" s="1328">
        <f t="shared" ref="AMF2" si="232">+AMC2+1</f>
        <v>46026</v>
      </c>
      <c r="AMG2" s="1329"/>
      <c r="AMH2" s="1329"/>
      <c r="AMI2" s="1328">
        <f t="shared" ref="AMI2" si="233">+AMF2+1</f>
        <v>46027</v>
      </c>
      <c r="AMJ2" s="1329"/>
      <c r="AMK2" s="1329"/>
      <c r="AML2" s="1328">
        <f t="shared" ref="AML2" si="234">+AMI2+1</f>
        <v>46028</v>
      </c>
      <c r="AMM2" s="1329"/>
      <c r="AMN2" s="1329"/>
      <c r="AMO2" s="1328">
        <f t="shared" ref="AMO2" si="235">+AML2+1</f>
        <v>46029</v>
      </c>
      <c r="AMP2" s="1329"/>
      <c r="AMQ2" s="1329"/>
      <c r="AMR2" s="1328">
        <f t="shared" ref="AMR2" si="236">+AMO2+1</f>
        <v>46030</v>
      </c>
      <c r="AMS2" s="1329"/>
      <c r="AMT2" s="1329"/>
      <c r="AMU2" s="1328">
        <f t="shared" ref="AMU2" si="237">+AMR2+1</f>
        <v>46031</v>
      </c>
      <c r="AMV2" s="1329"/>
      <c r="AMW2" s="1329"/>
      <c r="AMX2" s="1328">
        <f>+AMU2+1</f>
        <v>46032</v>
      </c>
      <c r="AMY2" s="1329"/>
      <c r="AMZ2" s="1329"/>
      <c r="ANA2" s="1328">
        <f>+AMX2+1</f>
        <v>46033</v>
      </c>
      <c r="ANB2" s="1329"/>
      <c r="ANC2" s="1329"/>
      <c r="AND2" s="1328">
        <f>+ANA2+1</f>
        <v>46034</v>
      </c>
      <c r="ANE2" s="1329"/>
      <c r="ANF2" s="1329"/>
      <c r="ANG2" s="1328">
        <f>+AND2+1</f>
        <v>46035</v>
      </c>
      <c r="ANH2" s="1329"/>
      <c r="ANI2" s="1329"/>
      <c r="ANJ2" s="1328">
        <f>+ANG2+1</f>
        <v>46036</v>
      </c>
      <c r="ANK2" s="1329"/>
      <c r="ANL2" s="1329"/>
      <c r="ANM2" s="1328">
        <f>+ANJ2+1</f>
        <v>46037</v>
      </c>
      <c r="ANN2" s="1329"/>
      <c r="ANO2" s="1329"/>
      <c r="ANP2" s="1328">
        <f>+ANM2+1</f>
        <v>46038</v>
      </c>
      <c r="ANQ2" s="1329"/>
      <c r="ANR2" s="1329"/>
      <c r="ANS2" s="1328">
        <f>+ANP2+1</f>
        <v>46039</v>
      </c>
      <c r="ANT2" s="1329"/>
      <c r="ANU2" s="1329"/>
      <c r="ANV2" s="1328">
        <f>+ANS2+1</f>
        <v>46040</v>
      </c>
      <c r="ANW2" s="1329"/>
      <c r="ANX2" s="1329"/>
      <c r="ANY2" s="1328">
        <f>+ANV2+1</f>
        <v>46041</v>
      </c>
      <c r="ANZ2" s="1329"/>
      <c r="AOA2" s="1329"/>
      <c r="AOB2" s="1328">
        <f>+ANY2+1</f>
        <v>46042</v>
      </c>
      <c r="AOC2" s="1329"/>
      <c r="AOD2" s="1329"/>
      <c r="AOE2" s="1328">
        <f>+AOB2+1</f>
        <v>46043</v>
      </c>
      <c r="AOF2" s="1329"/>
      <c r="AOG2" s="1329"/>
      <c r="AOH2" s="1328">
        <f>+AOE2+1</f>
        <v>46044</v>
      </c>
      <c r="AOI2" s="1329"/>
      <c r="AOJ2" s="1329"/>
      <c r="AOK2" s="1328">
        <f>+AOH2+1</f>
        <v>46045</v>
      </c>
      <c r="AOL2" s="1329"/>
      <c r="AOM2" s="1329"/>
      <c r="AON2" s="1328">
        <f>+AOK2+1</f>
        <v>46046</v>
      </c>
      <c r="AOO2" s="1329"/>
      <c r="AOP2" s="1329"/>
      <c r="AOQ2" s="1328">
        <f>+AON2+1</f>
        <v>46047</v>
      </c>
      <c r="AOR2" s="1329"/>
      <c r="AOS2" s="1329"/>
      <c r="AOT2" s="1328">
        <f>+AOQ2+1</f>
        <v>46048</v>
      </c>
      <c r="AOU2" s="1329"/>
      <c r="AOV2" s="1329"/>
      <c r="AOW2" s="1328">
        <f>+AOT2+1</f>
        <v>46049</v>
      </c>
      <c r="AOX2" s="1329"/>
      <c r="AOY2" s="1329"/>
      <c r="AOZ2" s="1328">
        <f>+AOW2+1</f>
        <v>46050</v>
      </c>
      <c r="APA2" s="1329"/>
      <c r="APB2" s="1329"/>
      <c r="APC2" s="1328">
        <f>+AOZ2+1</f>
        <v>46051</v>
      </c>
      <c r="APD2" s="1329"/>
      <c r="APE2" s="1329"/>
      <c r="APF2" s="1328">
        <f>+APC2+1</f>
        <v>46052</v>
      </c>
      <c r="APG2" s="1329"/>
      <c r="APH2" s="1329"/>
      <c r="API2" s="1328">
        <f>+APF2+1</f>
        <v>46053</v>
      </c>
      <c r="APJ2" s="1329"/>
      <c r="APK2" s="1329"/>
      <c r="APL2" s="1328">
        <f>+API2+1</f>
        <v>46054</v>
      </c>
      <c r="APM2" s="1329"/>
      <c r="APN2" s="1329"/>
      <c r="APO2" s="1328">
        <f>+APL2+1</f>
        <v>46055</v>
      </c>
      <c r="APP2" s="1329"/>
      <c r="APQ2" s="1329"/>
      <c r="APR2" s="1328">
        <f>+APO2+1</f>
        <v>46056</v>
      </c>
      <c r="APS2" s="1329"/>
      <c r="APT2" s="1329"/>
      <c r="APU2" s="1328">
        <f>+APR2+1</f>
        <v>46057</v>
      </c>
      <c r="APV2" s="1329"/>
      <c r="APW2" s="1329"/>
      <c r="APX2" s="1328">
        <f>+APU2+1</f>
        <v>46058</v>
      </c>
      <c r="APY2" s="1329"/>
      <c r="APZ2" s="1329"/>
      <c r="AQA2" s="1328">
        <f>+APX2+1</f>
        <v>46059</v>
      </c>
      <c r="AQB2" s="1329"/>
      <c r="AQC2" s="1329"/>
      <c r="AQD2" s="1328">
        <f>+AQA2+1</f>
        <v>46060</v>
      </c>
      <c r="AQE2" s="1329"/>
      <c r="AQF2" s="1329"/>
      <c r="AQG2" s="1328">
        <f>+AQD2+1</f>
        <v>46061</v>
      </c>
      <c r="AQH2" s="1329"/>
      <c r="AQI2" s="1329"/>
      <c r="AQJ2" s="1328">
        <f>+AQG2+1</f>
        <v>46062</v>
      </c>
      <c r="AQK2" s="1329"/>
      <c r="AQL2" s="1329"/>
      <c r="AQM2" s="1328">
        <f>+AQJ2+1</f>
        <v>46063</v>
      </c>
      <c r="AQN2" s="1329"/>
      <c r="AQO2" s="1329"/>
      <c r="AQP2" s="1328">
        <f>+AQM2+1</f>
        <v>46064</v>
      </c>
      <c r="AQQ2" s="1329"/>
      <c r="AQR2" s="1329"/>
      <c r="AQS2" s="1328">
        <f>+AQP2+1</f>
        <v>46065</v>
      </c>
      <c r="AQT2" s="1329"/>
      <c r="AQU2" s="1329"/>
      <c r="AQV2" s="1328">
        <f>+AQS2+1</f>
        <v>46066</v>
      </c>
      <c r="AQW2" s="1329"/>
      <c r="AQX2" s="1329"/>
      <c r="AQY2" s="1328">
        <f>+AQV2+1</f>
        <v>46067</v>
      </c>
      <c r="AQZ2" s="1329"/>
      <c r="ARA2" s="1329"/>
      <c r="ARB2" s="1328">
        <f>+AQY2+1</f>
        <v>46068</v>
      </c>
      <c r="ARC2" s="1329"/>
      <c r="ARD2" s="1329"/>
      <c r="ARE2" s="1328">
        <f>+ARB2+1</f>
        <v>46069</v>
      </c>
      <c r="ARF2" s="1329"/>
      <c r="ARG2" s="1329"/>
      <c r="ARH2" s="1328">
        <f>+ARE2+1</f>
        <v>46070</v>
      </c>
      <c r="ARI2" s="1329"/>
      <c r="ARJ2" s="1329"/>
      <c r="ARK2" s="1328">
        <f>+ARH2+1</f>
        <v>46071</v>
      </c>
      <c r="ARL2" s="1329"/>
      <c r="ARM2" s="1329"/>
      <c r="ARN2" s="1328">
        <f>+ARK2+1</f>
        <v>46072</v>
      </c>
      <c r="ARO2" s="1329"/>
      <c r="ARP2" s="1329"/>
      <c r="ARQ2" s="1328">
        <f>+ARN2+1</f>
        <v>46073</v>
      </c>
      <c r="ARR2" s="1329"/>
      <c r="ARS2" s="1329"/>
      <c r="ART2" s="1328">
        <f>+ARQ2+1</f>
        <v>46074</v>
      </c>
      <c r="ARU2" s="1329"/>
      <c r="ARV2" s="1329"/>
      <c r="ARW2" s="1328">
        <f>+ART2+1</f>
        <v>46075</v>
      </c>
      <c r="ARX2" s="1329"/>
      <c r="ARY2" s="1329"/>
      <c r="ARZ2" s="1328">
        <f>+ARW2+1</f>
        <v>46076</v>
      </c>
      <c r="ASA2" s="1329"/>
      <c r="ASB2" s="1329"/>
      <c r="ASC2" s="1328">
        <f>+ARZ2+1</f>
        <v>46077</v>
      </c>
      <c r="ASD2" s="1329"/>
      <c r="ASE2" s="1329"/>
      <c r="ASF2" s="1328">
        <f>+ASC2+1</f>
        <v>46078</v>
      </c>
      <c r="ASG2" s="1329"/>
      <c r="ASH2" s="1329"/>
      <c r="ASI2" s="1328">
        <f>+ASF2+1</f>
        <v>46079</v>
      </c>
      <c r="ASJ2" s="1329"/>
      <c r="ASK2" s="1329"/>
      <c r="ASL2" s="1328">
        <f>+ASI2+1</f>
        <v>46080</v>
      </c>
      <c r="ASM2" s="1329"/>
      <c r="ASN2" s="1329"/>
      <c r="ASO2" s="1328">
        <f>+ASL2+1</f>
        <v>46081</v>
      </c>
      <c r="ASP2" s="1329"/>
      <c r="ASQ2" s="1329"/>
      <c r="ASR2" s="1328">
        <f>+ASO2+1</f>
        <v>46082</v>
      </c>
      <c r="ASS2" s="1329"/>
      <c r="AST2" s="1329"/>
      <c r="ASU2" s="1328">
        <f>+ASR2+1</f>
        <v>46083</v>
      </c>
      <c r="ASV2" s="1329"/>
      <c r="ASW2" s="1329"/>
      <c r="ASX2" s="1328">
        <f>+ASU2+1</f>
        <v>46084</v>
      </c>
      <c r="ASY2" s="1329"/>
      <c r="ASZ2" s="1329"/>
      <c r="ATA2" s="1328">
        <f>+ASX2+1</f>
        <v>46085</v>
      </c>
      <c r="ATB2" s="1329"/>
      <c r="ATC2" s="1329"/>
      <c r="ATD2" s="1328">
        <f>+ATA2+1</f>
        <v>46086</v>
      </c>
      <c r="ATE2" s="1329"/>
      <c r="ATF2" s="1329"/>
      <c r="ATG2" s="1328">
        <f>+ATD2+1</f>
        <v>46087</v>
      </c>
      <c r="ATH2" s="1329"/>
      <c r="ATI2" s="1329"/>
      <c r="ATJ2" s="1328">
        <f>+ATG2+1</f>
        <v>46088</v>
      </c>
      <c r="ATK2" s="1329"/>
      <c r="ATL2" s="1329"/>
      <c r="ATM2" s="1328">
        <f>+ATJ2+1</f>
        <v>46089</v>
      </c>
      <c r="ATN2" s="1329"/>
      <c r="ATO2" s="1329"/>
      <c r="ATP2" s="1328">
        <f>+ATM2+1</f>
        <v>46090</v>
      </c>
      <c r="ATQ2" s="1329"/>
      <c r="ATR2" s="1329"/>
      <c r="ATS2" s="1328">
        <f>+ATP2+1</f>
        <v>46091</v>
      </c>
      <c r="ATT2" s="1329"/>
      <c r="ATU2" s="1329"/>
      <c r="ATV2" s="1328">
        <f>+ATS2+1</f>
        <v>46092</v>
      </c>
      <c r="ATW2" s="1329"/>
      <c r="ATX2" s="1329"/>
      <c r="ATY2" s="1328">
        <f>+ATV2+1</f>
        <v>46093</v>
      </c>
      <c r="ATZ2" s="1329"/>
      <c r="AUA2" s="1329"/>
      <c r="AUB2" s="1328">
        <f>+ATY2+1</f>
        <v>46094</v>
      </c>
      <c r="AUC2" s="1329"/>
      <c r="AUD2" s="1329"/>
      <c r="AUE2" s="1328">
        <f>+AUB2+1</f>
        <v>46095</v>
      </c>
      <c r="AUF2" s="1329"/>
      <c r="AUG2" s="1329"/>
      <c r="AUH2" s="1328">
        <f>+AUE2+1</f>
        <v>46096</v>
      </c>
      <c r="AUI2" s="1329"/>
      <c r="AUJ2" s="1329"/>
      <c r="AUK2" s="1328">
        <f>+AUH2+1</f>
        <v>46097</v>
      </c>
      <c r="AUL2" s="1329"/>
      <c r="AUM2" s="1329"/>
      <c r="AUN2" s="1328">
        <f>+AUK2+1</f>
        <v>46098</v>
      </c>
      <c r="AUO2" s="1329"/>
      <c r="AUP2" s="1329"/>
      <c r="AUQ2" s="1328">
        <f>+AUN2+1</f>
        <v>46099</v>
      </c>
      <c r="AUR2" s="1329"/>
      <c r="AUS2" s="1329"/>
      <c r="AUT2" s="1328">
        <f>+AUQ2+1</f>
        <v>46100</v>
      </c>
      <c r="AUU2" s="1329"/>
      <c r="AUV2" s="1329"/>
      <c r="AUW2" s="1328">
        <f>+AUT2+1</f>
        <v>46101</v>
      </c>
      <c r="AUX2" s="1329"/>
      <c r="AUY2" s="1329"/>
      <c r="AUZ2" s="1328">
        <f>+AUW2+1</f>
        <v>46102</v>
      </c>
      <c r="AVA2" s="1329"/>
      <c r="AVB2" s="1329"/>
      <c r="AVC2" s="1328">
        <f>+AUZ2+1</f>
        <v>46103</v>
      </c>
      <c r="AVD2" s="1329"/>
      <c r="AVE2" s="1329"/>
      <c r="AVF2" s="1328">
        <f>+AVC2+1</f>
        <v>46104</v>
      </c>
      <c r="AVG2" s="1329"/>
      <c r="AVH2" s="1329"/>
      <c r="AVI2" s="1328">
        <f>+AVF2+1</f>
        <v>46105</v>
      </c>
      <c r="AVJ2" s="1329"/>
      <c r="AVK2" s="1329"/>
      <c r="AVL2" s="1328">
        <f>+AVI2+1</f>
        <v>46106</v>
      </c>
      <c r="AVM2" s="1329"/>
      <c r="AVN2" s="1329"/>
      <c r="AVO2" s="1328">
        <f>+AVL2+1</f>
        <v>46107</v>
      </c>
      <c r="AVP2" s="1329"/>
      <c r="AVQ2" s="1329"/>
      <c r="AVR2" s="1328">
        <f>+AVO2+1</f>
        <v>46108</v>
      </c>
      <c r="AVS2" s="1329"/>
      <c r="AVT2" s="1329"/>
      <c r="AVU2" s="1328">
        <f>+AVR2+1</f>
        <v>46109</v>
      </c>
      <c r="AVV2" s="1329"/>
      <c r="AVW2" s="1329"/>
      <c r="AVX2" s="1328">
        <f>+AVU2+1</f>
        <v>46110</v>
      </c>
      <c r="AVY2" s="1329"/>
      <c r="AVZ2" s="1329"/>
      <c r="AWA2" s="1328">
        <f>+AVX2+1</f>
        <v>46111</v>
      </c>
      <c r="AWB2" s="1329"/>
      <c r="AWC2" s="1329"/>
      <c r="AWD2" s="1328">
        <f>+AWA2+1</f>
        <v>46112</v>
      </c>
      <c r="AWE2" s="1329"/>
      <c r="AWF2" s="1329"/>
      <c r="AWG2" s="1328">
        <f>+AWD2+1</f>
        <v>46113</v>
      </c>
      <c r="AWH2" s="1329"/>
      <c r="AWI2" s="1329"/>
      <c r="AWJ2" s="1328">
        <f>+AWG2+1</f>
        <v>46114</v>
      </c>
      <c r="AWK2" s="1329"/>
      <c r="AWL2" s="1329"/>
      <c r="AWM2" s="1328">
        <f>+AWJ2+1</f>
        <v>46115</v>
      </c>
      <c r="AWN2" s="1329"/>
      <c r="AWO2" s="1329"/>
      <c r="AWP2" s="1328">
        <f>+AWM2+1</f>
        <v>46116</v>
      </c>
      <c r="AWQ2" s="1329"/>
      <c r="AWR2" s="1329"/>
      <c r="AWS2" s="1328">
        <f>+AWP2+1</f>
        <v>46117</v>
      </c>
      <c r="AWT2" s="1329"/>
      <c r="AWU2" s="1329"/>
      <c r="AWV2" s="1328">
        <f>+AWS2+1</f>
        <v>46118</v>
      </c>
      <c r="AWW2" s="1329"/>
      <c r="AWX2" s="1329"/>
      <c r="AWY2" s="1328">
        <f>+AWV2+1</f>
        <v>46119</v>
      </c>
      <c r="AWZ2" s="1329"/>
      <c r="AXA2" s="1329"/>
      <c r="AXB2" s="1328">
        <f>+AWY2+1</f>
        <v>46120</v>
      </c>
      <c r="AXC2" s="1329"/>
      <c r="AXD2" s="1329"/>
      <c r="AXE2" s="1328">
        <f>+AXB2+1</f>
        <v>46121</v>
      </c>
      <c r="AXF2" s="1329"/>
      <c r="AXG2" s="1329"/>
      <c r="AXH2" s="1328">
        <f>+AXE2+1</f>
        <v>46122</v>
      </c>
      <c r="AXI2" s="1329"/>
      <c r="AXJ2" s="1329"/>
      <c r="AXK2" s="1328">
        <f>+AXH2+1</f>
        <v>46123</v>
      </c>
      <c r="AXL2" s="1329"/>
      <c r="AXM2" s="1329"/>
      <c r="AXN2" s="1328">
        <f>+AXK2+1</f>
        <v>46124</v>
      </c>
      <c r="AXO2" s="1329"/>
      <c r="AXP2" s="1329"/>
      <c r="AXQ2" s="1328">
        <f>+AXN2+1</f>
        <v>46125</v>
      </c>
      <c r="AXR2" s="1329"/>
      <c r="AXS2" s="1329"/>
      <c r="AXT2" s="1328">
        <f>+AXQ2+1</f>
        <v>46126</v>
      </c>
      <c r="AXU2" s="1329"/>
      <c r="AXV2" s="1329"/>
      <c r="AXW2" s="1328">
        <f>+AXT2+1</f>
        <v>46127</v>
      </c>
      <c r="AXX2" s="1329"/>
      <c r="AXY2" s="1329"/>
      <c r="AXZ2" s="1328">
        <f>+AXW2+1</f>
        <v>46128</v>
      </c>
      <c r="AYA2" s="1329"/>
      <c r="AYB2" s="1329"/>
      <c r="AYC2" s="1328">
        <f>+AXZ2+1</f>
        <v>46129</v>
      </c>
      <c r="AYD2" s="1329"/>
      <c r="AYE2" s="1329"/>
      <c r="AYF2" s="1328">
        <f>+AYC2+1</f>
        <v>46130</v>
      </c>
      <c r="AYG2" s="1329"/>
      <c r="AYH2" s="1329"/>
      <c r="AYI2" s="1328">
        <f>+AYF2+1</f>
        <v>46131</v>
      </c>
      <c r="AYJ2" s="1329"/>
      <c r="AYK2" s="1329"/>
      <c r="AYL2" s="1328">
        <f>+AYI2+1</f>
        <v>46132</v>
      </c>
      <c r="AYM2" s="1329"/>
      <c r="AYN2" s="1329"/>
      <c r="AYO2" s="1328">
        <f>+AYL2+1</f>
        <v>46133</v>
      </c>
      <c r="AYP2" s="1329"/>
      <c r="AYQ2" s="1329"/>
      <c r="AYR2" s="1328">
        <f>+AYO2+1</f>
        <v>46134</v>
      </c>
      <c r="AYS2" s="1329"/>
      <c r="AYT2" s="1329"/>
      <c r="AYU2" s="1328">
        <f>+AYR2+1</f>
        <v>46135</v>
      </c>
      <c r="AYV2" s="1329"/>
      <c r="AYW2" s="1329"/>
      <c r="AYX2" s="1328">
        <f>+AYU2+1</f>
        <v>46136</v>
      </c>
      <c r="AYY2" s="1329"/>
      <c r="AYZ2" s="1329"/>
      <c r="AZA2" s="1328">
        <f>+AYX2+1</f>
        <v>46137</v>
      </c>
      <c r="AZB2" s="1329"/>
      <c r="AZC2" s="1329"/>
      <c r="AZD2" s="1328">
        <f>+AZA2+1</f>
        <v>46138</v>
      </c>
      <c r="AZE2" s="1329"/>
      <c r="AZF2" s="1329"/>
      <c r="AZG2" s="1328">
        <f>+AZD2+1</f>
        <v>46139</v>
      </c>
      <c r="AZH2" s="1329"/>
      <c r="AZI2" s="1329"/>
      <c r="AZJ2" s="1328">
        <f>+AZG2+1</f>
        <v>46140</v>
      </c>
      <c r="AZK2" s="1329"/>
      <c r="AZL2" s="1329"/>
      <c r="AZM2" s="1328">
        <f>+AZJ2+1</f>
        <v>46141</v>
      </c>
      <c r="AZN2" s="1329"/>
      <c r="AZO2" s="1329"/>
      <c r="AZP2" s="1328">
        <f>+AZM2+1</f>
        <v>46142</v>
      </c>
      <c r="AZQ2" s="1329"/>
      <c r="AZR2" s="1329"/>
      <c r="AZS2" s="1328">
        <f>+AZP2+1</f>
        <v>46143</v>
      </c>
      <c r="AZT2" s="1329"/>
      <c r="AZU2" s="1329"/>
      <c r="AZV2" s="1328">
        <f>+AZS2+1</f>
        <v>46144</v>
      </c>
      <c r="AZW2" s="1329"/>
      <c r="AZX2" s="1329"/>
      <c r="AZY2" s="1328">
        <f>+AZV2+1</f>
        <v>46145</v>
      </c>
      <c r="AZZ2" s="1329"/>
      <c r="BAA2" s="1329"/>
      <c r="BAB2" s="1328">
        <f>+AZY2+1</f>
        <v>46146</v>
      </c>
      <c r="BAC2" s="1329"/>
      <c r="BAD2" s="1329"/>
      <c r="BAE2" s="1328">
        <f>+BAB2+1</f>
        <v>46147</v>
      </c>
      <c r="BAF2" s="1329"/>
      <c r="BAG2" s="1329"/>
      <c r="BAH2" s="1328">
        <f>+BAE2+1</f>
        <v>46148</v>
      </c>
      <c r="BAI2" s="1329"/>
      <c r="BAJ2" s="1329"/>
    </row>
    <row r="3" spans="1:1388" s="2" customFormat="1" ht="18.5" customHeight="1">
      <c r="B3" s="1417"/>
      <c r="C3" s="1417"/>
      <c r="D3" s="1417"/>
      <c r="E3" s="1418"/>
      <c r="F3" s="1328" t="s">
        <v>318</v>
      </c>
      <c r="G3" s="1329"/>
      <c r="H3" s="1329"/>
      <c r="I3" s="1328" t="s">
        <v>319</v>
      </c>
      <c r="J3" s="1329"/>
      <c r="K3" s="1329"/>
      <c r="L3" s="1328" t="s">
        <v>320</v>
      </c>
      <c r="M3" s="1329"/>
      <c r="N3" s="1329"/>
      <c r="O3" s="1328" t="s">
        <v>321</v>
      </c>
      <c r="P3" s="1329"/>
      <c r="Q3" s="1329"/>
      <c r="R3" s="1328" t="s">
        <v>322</v>
      </c>
      <c r="S3" s="1329"/>
      <c r="T3" s="1329"/>
      <c r="U3" s="1328" t="s">
        <v>323</v>
      </c>
      <c r="V3" s="1329"/>
      <c r="W3" s="1329"/>
      <c r="X3" s="1328" t="s">
        <v>324</v>
      </c>
      <c r="Y3" s="1329"/>
      <c r="Z3" s="1329"/>
      <c r="AA3" s="1328" t="s">
        <v>318</v>
      </c>
      <c r="AB3" s="1329"/>
      <c r="AC3" s="1329"/>
      <c r="AD3" s="1328" t="s">
        <v>319</v>
      </c>
      <c r="AE3" s="1329"/>
      <c r="AF3" s="1329"/>
      <c r="AG3" s="1328" t="s">
        <v>320</v>
      </c>
      <c r="AH3" s="1329"/>
      <c r="AI3" s="1329"/>
      <c r="AJ3" s="1328" t="s">
        <v>321</v>
      </c>
      <c r="AK3" s="1329"/>
      <c r="AL3" s="1329"/>
      <c r="AM3" s="1328" t="s">
        <v>322</v>
      </c>
      <c r="AN3" s="1329"/>
      <c r="AO3" s="1329"/>
      <c r="AP3" s="1328" t="s">
        <v>323</v>
      </c>
      <c r="AQ3" s="1329"/>
      <c r="AR3" s="1329"/>
      <c r="AS3" s="1328" t="s">
        <v>324</v>
      </c>
      <c r="AT3" s="1329"/>
      <c r="AU3" s="1329"/>
      <c r="AV3" s="1328" t="s">
        <v>318</v>
      </c>
      <c r="AW3" s="1329"/>
      <c r="AX3" s="1329"/>
      <c r="AY3" s="1328" t="s">
        <v>319</v>
      </c>
      <c r="AZ3" s="1329"/>
      <c r="BA3" s="1329"/>
      <c r="BB3" s="1328" t="s">
        <v>320</v>
      </c>
      <c r="BC3" s="1329"/>
      <c r="BD3" s="1329"/>
      <c r="BE3" s="1328" t="s">
        <v>321</v>
      </c>
      <c r="BF3" s="1329"/>
      <c r="BG3" s="1329"/>
      <c r="BH3" s="1328" t="s">
        <v>322</v>
      </c>
      <c r="BI3" s="1329"/>
      <c r="BJ3" s="1329"/>
      <c r="BK3" s="1328" t="s">
        <v>323</v>
      </c>
      <c r="BL3" s="1329"/>
      <c r="BM3" s="1329"/>
      <c r="BN3" s="1328" t="s">
        <v>324</v>
      </c>
      <c r="BO3" s="1329"/>
      <c r="BP3" s="1329"/>
      <c r="BQ3" s="1328" t="s">
        <v>318</v>
      </c>
      <c r="BR3" s="1329"/>
      <c r="BS3" s="1329"/>
      <c r="BT3" s="1328" t="s">
        <v>319</v>
      </c>
      <c r="BU3" s="1329"/>
      <c r="BV3" s="1329"/>
      <c r="BW3" s="1328" t="s">
        <v>320</v>
      </c>
      <c r="BX3" s="1329"/>
      <c r="BY3" s="1329"/>
      <c r="BZ3" s="1328" t="s">
        <v>321</v>
      </c>
      <c r="CA3" s="1329"/>
      <c r="CB3" s="1329"/>
      <c r="CC3" s="1328" t="s">
        <v>322</v>
      </c>
      <c r="CD3" s="1329"/>
      <c r="CE3" s="1329"/>
      <c r="CF3" s="1328" t="s">
        <v>323</v>
      </c>
      <c r="CG3" s="1329"/>
      <c r="CH3" s="1329"/>
      <c r="CI3" s="1328" t="s">
        <v>324</v>
      </c>
      <c r="CJ3" s="1329"/>
      <c r="CK3" s="1329"/>
      <c r="CL3" s="1328" t="s">
        <v>318</v>
      </c>
      <c r="CM3" s="1329"/>
      <c r="CN3" s="1329"/>
      <c r="CO3" s="1328" t="s">
        <v>319</v>
      </c>
      <c r="CP3" s="1329"/>
      <c r="CQ3" s="1329"/>
      <c r="CR3" s="1328" t="s">
        <v>320</v>
      </c>
      <c r="CS3" s="1329"/>
      <c r="CT3" s="1329"/>
      <c r="CU3" s="1328" t="s">
        <v>321</v>
      </c>
      <c r="CV3" s="1329"/>
      <c r="CW3" s="1329"/>
      <c r="CX3" s="1328" t="s">
        <v>322</v>
      </c>
      <c r="CY3" s="1329"/>
      <c r="CZ3" s="1329"/>
      <c r="DA3" s="1328" t="s">
        <v>323</v>
      </c>
      <c r="DB3" s="1329"/>
      <c r="DC3" s="1329"/>
      <c r="DD3" s="1328" t="s">
        <v>324</v>
      </c>
      <c r="DE3" s="1329"/>
      <c r="DF3" s="1329"/>
      <c r="DG3" s="1328" t="s">
        <v>318</v>
      </c>
      <c r="DH3" s="1329"/>
      <c r="DI3" s="1329"/>
      <c r="DJ3" s="1328" t="s">
        <v>319</v>
      </c>
      <c r="DK3" s="1329"/>
      <c r="DL3" s="1329"/>
      <c r="DM3" s="1328" t="s">
        <v>320</v>
      </c>
      <c r="DN3" s="1329"/>
      <c r="DO3" s="1329"/>
      <c r="DP3" s="1328" t="s">
        <v>321</v>
      </c>
      <c r="DQ3" s="1329"/>
      <c r="DR3" s="1329"/>
      <c r="DS3" s="1328" t="s">
        <v>322</v>
      </c>
      <c r="DT3" s="1329"/>
      <c r="DU3" s="1329"/>
      <c r="DV3" s="1328" t="s">
        <v>323</v>
      </c>
      <c r="DW3" s="1329"/>
      <c r="DX3" s="1329"/>
      <c r="DY3" s="1328" t="s">
        <v>324</v>
      </c>
      <c r="DZ3" s="1329"/>
      <c r="EA3" s="1329"/>
      <c r="EB3" s="1328" t="s">
        <v>318</v>
      </c>
      <c r="EC3" s="1329"/>
      <c r="ED3" s="1329"/>
      <c r="EE3" s="1328" t="s">
        <v>319</v>
      </c>
      <c r="EF3" s="1329"/>
      <c r="EG3" s="1329"/>
      <c r="EH3" s="1328" t="s">
        <v>320</v>
      </c>
      <c r="EI3" s="1329"/>
      <c r="EJ3" s="1329"/>
      <c r="EK3" s="1328" t="s">
        <v>321</v>
      </c>
      <c r="EL3" s="1329"/>
      <c r="EM3" s="1329"/>
      <c r="EN3" s="1328" t="s">
        <v>322</v>
      </c>
      <c r="EO3" s="1329"/>
      <c r="EP3" s="1329"/>
      <c r="EQ3" s="1328" t="s">
        <v>323</v>
      </c>
      <c r="ER3" s="1329"/>
      <c r="ES3" s="1329"/>
      <c r="ET3" s="1328" t="s">
        <v>324</v>
      </c>
      <c r="EU3" s="1329"/>
      <c r="EV3" s="1329"/>
      <c r="EW3" s="1328" t="s">
        <v>318</v>
      </c>
      <c r="EX3" s="1329"/>
      <c r="EY3" s="1329"/>
      <c r="EZ3" s="1328" t="s">
        <v>319</v>
      </c>
      <c r="FA3" s="1329"/>
      <c r="FB3" s="1329"/>
      <c r="FC3" s="1328" t="s">
        <v>320</v>
      </c>
      <c r="FD3" s="1329"/>
      <c r="FE3" s="1329"/>
      <c r="FF3" s="1328" t="s">
        <v>321</v>
      </c>
      <c r="FG3" s="1329"/>
      <c r="FH3" s="1329"/>
      <c r="FI3" s="1328" t="s">
        <v>322</v>
      </c>
      <c r="FJ3" s="1329"/>
      <c r="FK3" s="1329"/>
      <c r="FL3" s="1328" t="s">
        <v>323</v>
      </c>
      <c r="FM3" s="1329"/>
      <c r="FN3" s="1329"/>
      <c r="FO3" s="1328" t="s">
        <v>324</v>
      </c>
      <c r="FP3" s="1329"/>
      <c r="FQ3" s="1329"/>
      <c r="FR3" s="1328" t="s">
        <v>318</v>
      </c>
      <c r="FS3" s="1329"/>
      <c r="FT3" s="1329"/>
      <c r="FU3" s="1328" t="s">
        <v>319</v>
      </c>
      <c r="FV3" s="1329"/>
      <c r="FW3" s="1329"/>
      <c r="FX3" s="1328" t="s">
        <v>320</v>
      </c>
      <c r="FY3" s="1329"/>
      <c r="FZ3" s="1329"/>
      <c r="GA3" s="1328" t="s">
        <v>321</v>
      </c>
      <c r="GB3" s="1329"/>
      <c r="GC3" s="1329"/>
      <c r="GD3" s="1328" t="s">
        <v>322</v>
      </c>
      <c r="GE3" s="1329"/>
      <c r="GF3" s="1329"/>
      <c r="GG3" s="1328" t="s">
        <v>323</v>
      </c>
      <c r="GH3" s="1329"/>
      <c r="GI3" s="1329"/>
      <c r="GJ3" s="1328" t="s">
        <v>324</v>
      </c>
      <c r="GK3" s="1329"/>
      <c r="GL3" s="1329"/>
      <c r="GM3" s="1328" t="s">
        <v>318</v>
      </c>
      <c r="GN3" s="1329"/>
      <c r="GO3" s="1329"/>
      <c r="GP3" s="1328" t="s">
        <v>319</v>
      </c>
      <c r="GQ3" s="1329"/>
      <c r="GR3" s="1329"/>
      <c r="GS3" s="1328" t="s">
        <v>320</v>
      </c>
      <c r="GT3" s="1329"/>
      <c r="GU3" s="1329"/>
      <c r="GV3" s="1328" t="s">
        <v>321</v>
      </c>
      <c r="GW3" s="1329"/>
      <c r="GX3" s="1329"/>
      <c r="GY3" s="1328" t="s">
        <v>322</v>
      </c>
      <c r="GZ3" s="1329"/>
      <c r="HA3" s="1329"/>
      <c r="HB3" s="1328" t="s">
        <v>323</v>
      </c>
      <c r="HC3" s="1329"/>
      <c r="HD3" s="1329"/>
      <c r="HE3" s="1328" t="s">
        <v>324</v>
      </c>
      <c r="HF3" s="1329"/>
      <c r="HG3" s="1329"/>
      <c r="HH3" s="1328" t="s">
        <v>318</v>
      </c>
      <c r="HI3" s="1329"/>
      <c r="HJ3" s="1329"/>
      <c r="HK3" s="1328" t="s">
        <v>319</v>
      </c>
      <c r="HL3" s="1329"/>
      <c r="HM3" s="1329"/>
      <c r="HN3" s="1328" t="s">
        <v>320</v>
      </c>
      <c r="HO3" s="1329"/>
      <c r="HP3" s="1329"/>
      <c r="HQ3" s="1328" t="s">
        <v>321</v>
      </c>
      <c r="HR3" s="1329"/>
      <c r="HS3" s="1329"/>
      <c r="HT3" s="1328" t="s">
        <v>322</v>
      </c>
      <c r="HU3" s="1329"/>
      <c r="HV3" s="1329"/>
      <c r="HW3" s="1328" t="s">
        <v>323</v>
      </c>
      <c r="HX3" s="1329"/>
      <c r="HY3" s="1329"/>
      <c r="HZ3" s="1328" t="s">
        <v>324</v>
      </c>
      <c r="IA3" s="1329"/>
      <c r="IB3" s="1329"/>
      <c r="IC3" s="1328" t="s">
        <v>318</v>
      </c>
      <c r="ID3" s="1329"/>
      <c r="IE3" s="1329"/>
      <c r="IF3" s="1328" t="s">
        <v>319</v>
      </c>
      <c r="IG3" s="1329"/>
      <c r="IH3" s="1329"/>
      <c r="II3" s="1328" t="s">
        <v>320</v>
      </c>
      <c r="IJ3" s="1329"/>
      <c r="IK3" s="1329"/>
      <c r="IL3" s="1328" t="s">
        <v>321</v>
      </c>
      <c r="IM3" s="1329"/>
      <c r="IN3" s="1329"/>
      <c r="IO3" s="1328" t="s">
        <v>322</v>
      </c>
      <c r="IP3" s="1329"/>
      <c r="IQ3" s="1329"/>
      <c r="IR3" s="1328" t="s">
        <v>323</v>
      </c>
      <c r="IS3" s="1329"/>
      <c r="IT3" s="1329"/>
      <c r="IU3" s="1328" t="s">
        <v>324</v>
      </c>
      <c r="IV3" s="1329"/>
      <c r="IW3" s="1329"/>
      <c r="IX3" s="1328" t="s">
        <v>318</v>
      </c>
      <c r="IY3" s="1329"/>
      <c r="IZ3" s="1329"/>
      <c r="JA3" s="1328" t="s">
        <v>319</v>
      </c>
      <c r="JB3" s="1329"/>
      <c r="JC3" s="1329"/>
      <c r="JD3" s="1328" t="s">
        <v>320</v>
      </c>
      <c r="JE3" s="1329"/>
      <c r="JF3" s="1329"/>
      <c r="JG3" s="1328" t="s">
        <v>321</v>
      </c>
      <c r="JH3" s="1329"/>
      <c r="JI3" s="1329"/>
      <c r="JJ3" s="1328" t="s">
        <v>322</v>
      </c>
      <c r="JK3" s="1329"/>
      <c r="JL3" s="1329"/>
      <c r="JM3" s="1328" t="s">
        <v>323</v>
      </c>
      <c r="JN3" s="1329"/>
      <c r="JO3" s="1329"/>
      <c r="JP3" s="1328" t="s">
        <v>324</v>
      </c>
      <c r="JQ3" s="1329"/>
      <c r="JR3" s="1329"/>
      <c r="JS3" s="1328" t="s">
        <v>318</v>
      </c>
      <c r="JT3" s="1329"/>
      <c r="JU3" s="1329"/>
      <c r="JV3" s="1328" t="s">
        <v>319</v>
      </c>
      <c r="JW3" s="1329"/>
      <c r="JX3" s="1329"/>
      <c r="JY3" s="1328" t="s">
        <v>320</v>
      </c>
      <c r="JZ3" s="1329"/>
      <c r="KA3" s="1329"/>
      <c r="KB3" s="1328" t="s">
        <v>321</v>
      </c>
      <c r="KC3" s="1329"/>
      <c r="KD3" s="1329"/>
      <c r="KE3" s="1328" t="s">
        <v>322</v>
      </c>
      <c r="KF3" s="1329"/>
      <c r="KG3" s="1329"/>
      <c r="KH3" s="1328" t="s">
        <v>323</v>
      </c>
      <c r="KI3" s="1329"/>
      <c r="KJ3" s="1329"/>
      <c r="KK3" s="1328" t="s">
        <v>324</v>
      </c>
      <c r="KL3" s="1329"/>
      <c r="KM3" s="1329"/>
      <c r="KN3" s="1328" t="s">
        <v>318</v>
      </c>
      <c r="KO3" s="1329"/>
      <c r="KP3" s="1329"/>
      <c r="KQ3" s="1328" t="s">
        <v>319</v>
      </c>
      <c r="KR3" s="1329"/>
      <c r="KS3" s="1329"/>
      <c r="KT3" s="1328" t="s">
        <v>320</v>
      </c>
      <c r="KU3" s="1329"/>
      <c r="KV3" s="1329"/>
      <c r="KW3" s="1328" t="s">
        <v>321</v>
      </c>
      <c r="KX3" s="1329"/>
      <c r="KY3" s="1329"/>
      <c r="KZ3" s="1328" t="s">
        <v>322</v>
      </c>
      <c r="LA3" s="1329"/>
      <c r="LB3" s="1329"/>
      <c r="LC3" s="1328" t="s">
        <v>323</v>
      </c>
      <c r="LD3" s="1329"/>
      <c r="LE3" s="1329"/>
      <c r="LF3" s="1328" t="s">
        <v>324</v>
      </c>
      <c r="LG3" s="1329"/>
      <c r="LH3" s="1329"/>
      <c r="LI3" s="1328" t="s">
        <v>318</v>
      </c>
      <c r="LJ3" s="1329"/>
      <c r="LK3" s="1329"/>
      <c r="LL3" s="1328" t="s">
        <v>319</v>
      </c>
      <c r="LM3" s="1329"/>
      <c r="LN3" s="1329"/>
      <c r="LO3" s="1328" t="s">
        <v>320</v>
      </c>
      <c r="LP3" s="1329"/>
      <c r="LQ3" s="1329"/>
      <c r="LR3" s="1328" t="s">
        <v>321</v>
      </c>
      <c r="LS3" s="1329"/>
      <c r="LT3" s="1329"/>
      <c r="LU3" s="1328" t="s">
        <v>322</v>
      </c>
      <c r="LV3" s="1329"/>
      <c r="LW3" s="1329"/>
      <c r="LX3" s="1328" t="s">
        <v>323</v>
      </c>
      <c r="LY3" s="1329"/>
      <c r="LZ3" s="1329"/>
      <c r="MA3" s="1328" t="s">
        <v>324</v>
      </c>
      <c r="MB3" s="1329"/>
      <c r="MC3" s="1329"/>
      <c r="MD3" s="1328" t="s">
        <v>318</v>
      </c>
      <c r="ME3" s="1329"/>
      <c r="MF3" s="1329"/>
      <c r="MG3" s="1328" t="s">
        <v>319</v>
      </c>
      <c r="MH3" s="1329"/>
      <c r="MI3" s="1329"/>
      <c r="MJ3" s="1328" t="s">
        <v>320</v>
      </c>
      <c r="MK3" s="1329"/>
      <c r="ML3" s="1329"/>
      <c r="MM3" s="1328" t="s">
        <v>321</v>
      </c>
      <c r="MN3" s="1329"/>
      <c r="MO3" s="1329"/>
      <c r="MP3" s="1328" t="s">
        <v>322</v>
      </c>
      <c r="MQ3" s="1329"/>
      <c r="MR3" s="1329"/>
      <c r="MS3" s="1328" t="s">
        <v>323</v>
      </c>
      <c r="MT3" s="1329"/>
      <c r="MU3" s="1329"/>
      <c r="MV3" s="1328" t="s">
        <v>324</v>
      </c>
      <c r="MW3" s="1329"/>
      <c r="MX3" s="1329"/>
      <c r="MY3" s="1328" t="s">
        <v>318</v>
      </c>
      <c r="MZ3" s="1329"/>
      <c r="NA3" s="1329"/>
      <c r="NB3" s="1328" t="s">
        <v>319</v>
      </c>
      <c r="NC3" s="1329"/>
      <c r="ND3" s="1329"/>
      <c r="NE3" s="1328" t="s">
        <v>320</v>
      </c>
      <c r="NF3" s="1329"/>
      <c r="NG3" s="1329"/>
      <c r="NH3" s="1328" t="s">
        <v>321</v>
      </c>
      <c r="NI3" s="1329"/>
      <c r="NJ3" s="1329"/>
      <c r="NK3" s="1328" t="s">
        <v>322</v>
      </c>
      <c r="NL3" s="1329"/>
      <c r="NM3" s="1329"/>
      <c r="NN3" s="1328" t="s">
        <v>323</v>
      </c>
      <c r="NO3" s="1329"/>
      <c r="NP3" s="1329"/>
      <c r="NQ3" s="1328" t="s">
        <v>324</v>
      </c>
      <c r="NR3" s="1329"/>
      <c r="NS3" s="1329"/>
      <c r="NT3" s="1328" t="s">
        <v>318</v>
      </c>
      <c r="NU3" s="1329"/>
      <c r="NV3" s="1329"/>
      <c r="NW3" s="1328" t="s">
        <v>319</v>
      </c>
      <c r="NX3" s="1329"/>
      <c r="NY3" s="1329"/>
      <c r="NZ3" s="1328" t="s">
        <v>320</v>
      </c>
      <c r="OA3" s="1329"/>
      <c r="OB3" s="1329"/>
      <c r="OC3" s="1328" t="s">
        <v>321</v>
      </c>
      <c r="OD3" s="1329"/>
      <c r="OE3" s="1329"/>
      <c r="OF3" s="1328" t="s">
        <v>322</v>
      </c>
      <c r="OG3" s="1329"/>
      <c r="OH3" s="1329"/>
      <c r="OI3" s="1328" t="s">
        <v>323</v>
      </c>
      <c r="OJ3" s="1329"/>
      <c r="OK3" s="1329"/>
      <c r="OL3" s="1328" t="s">
        <v>324</v>
      </c>
      <c r="OM3" s="1329"/>
      <c r="ON3" s="1329"/>
      <c r="OO3" s="1328" t="s">
        <v>318</v>
      </c>
      <c r="OP3" s="1329"/>
      <c r="OQ3" s="1329"/>
      <c r="OR3" s="1328" t="s">
        <v>319</v>
      </c>
      <c r="OS3" s="1329"/>
      <c r="OT3" s="1329"/>
      <c r="OU3" s="1328" t="s">
        <v>320</v>
      </c>
      <c r="OV3" s="1329"/>
      <c r="OW3" s="1329"/>
      <c r="OX3" s="1328" t="s">
        <v>321</v>
      </c>
      <c r="OY3" s="1329"/>
      <c r="OZ3" s="1329"/>
      <c r="PA3" s="1328" t="s">
        <v>322</v>
      </c>
      <c r="PB3" s="1329"/>
      <c r="PC3" s="1329"/>
      <c r="PD3" s="1328" t="s">
        <v>323</v>
      </c>
      <c r="PE3" s="1329"/>
      <c r="PF3" s="1329"/>
      <c r="PG3" s="1328" t="s">
        <v>324</v>
      </c>
      <c r="PH3" s="1329"/>
      <c r="PI3" s="1329"/>
      <c r="PJ3" s="1328" t="s">
        <v>318</v>
      </c>
      <c r="PK3" s="1329"/>
      <c r="PL3" s="1329"/>
      <c r="PM3" s="1328" t="s">
        <v>319</v>
      </c>
      <c r="PN3" s="1329"/>
      <c r="PO3" s="1329"/>
      <c r="PP3" s="1328" t="s">
        <v>320</v>
      </c>
      <c r="PQ3" s="1329"/>
      <c r="PR3" s="1329"/>
      <c r="PS3" s="1328" t="s">
        <v>321</v>
      </c>
      <c r="PT3" s="1329"/>
      <c r="PU3" s="1329"/>
      <c r="PV3" s="1328" t="s">
        <v>322</v>
      </c>
      <c r="PW3" s="1329"/>
      <c r="PX3" s="1329"/>
      <c r="PY3" s="1328" t="s">
        <v>323</v>
      </c>
      <c r="PZ3" s="1329"/>
      <c r="QA3" s="1329"/>
      <c r="QB3" s="1328" t="s">
        <v>324</v>
      </c>
      <c r="QC3" s="1329"/>
      <c r="QD3" s="1329"/>
      <c r="QE3" s="1328" t="s">
        <v>318</v>
      </c>
      <c r="QF3" s="1329"/>
      <c r="QG3" s="1329"/>
      <c r="QH3" s="1328" t="s">
        <v>319</v>
      </c>
      <c r="QI3" s="1329"/>
      <c r="QJ3" s="1329"/>
      <c r="QK3" s="1328" t="s">
        <v>320</v>
      </c>
      <c r="QL3" s="1329"/>
      <c r="QM3" s="1329"/>
      <c r="QN3" s="1328" t="s">
        <v>321</v>
      </c>
      <c r="QO3" s="1329"/>
      <c r="QP3" s="1329"/>
      <c r="QQ3" s="1328" t="s">
        <v>322</v>
      </c>
      <c r="QR3" s="1329"/>
      <c r="QS3" s="1329"/>
      <c r="QT3" s="1328" t="s">
        <v>323</v>
      </c>
      <c r="QU3" s="1329"/>
      <c r="QV3" s="1329"/>
      <c r="QW3" s="1328" t="s">
        <v>324</v>
      </c>
      <c r="QX3" s="1329"/>
      <c r="QY3" s="1329"/>
      <c r="QZ3" s="1328" t="s">
        <v>318</v>
      </c>
      <c r="RA3" s="1329"/>
      <c r="RB3" s="1329"/>
      <c r="RC3" s="1328" t="s">
        <v>319</v>
      </c>
      <c r="RD3" s="1329"/>
      <c r="RE3" s="1329"/>
      <c r="RF3" s="1328" t="s">
        <v>320</v>
      </c>
      <c r="RG3" s="1329"/>
      <c r="RH3" s="1329"/>
      <c r="RI3" s="1328" t="s">
        <v>321</v>
      </c>
      <c r="RJ3" s="1329"/>
      <c r="RK3" s="1329"/>
      <c r="RL3" s="1328" t="s">
        <v>322</v>
      </c>
      <c r="RM3" s="1329"/>
      <c r="RN3" s="1329"/>
      <c r="RO3" s="1328" t="s">
        <v>323</v>
      </c>
      <c r="RP3" s="1329"/>
      <c r="RQ3" s="1329"/>
      <c r="RR3" s="1328" t="s">
        <v>324</v>
      </c>
      <c r="RS3" s="1329"/>
      <c r="RT3" s="1329"/>
      <c r="RU3" s="1328" t="s">
        <v>318</v>
      </c>
      <c r="RV3" s="1329"/>
      <c r="RW3" s="1329"/>
      <c r="RX3" s="1328" t="s">
        <v>319</v>
      </c>
      <c r="RY3" s="1329"/>
      <c r="RZ3" s="1329"/>
      <c r="SA3" s="1328" t="s">
        <v>320</v>
      </c>
      <c r="SB3" s="1329"/>
      <c r="SC3" s="1329"/>
      <c r="SD3" s="1328" t="s">
        <v>321</v>
      </c>
      <c r="SE3" s="1329"/>
      <c r="SF3" s="1329"/>
      <c r="SG3" s="1328" t="s">
        <v>322</v>
      </c>
      <c r="SH3" s="1329"/>
      <c r="SI3" s="1329"/>
      <c r="SJ3" s="1328" t="s">
        <v>323</v>
      </c>
      <c r="SK3" s="1329"/>
      <c r="SL3" s="1329"/>
      <c r="SM3" s="1328" t="s">
        <v>324</v>
      </c>
      <c r="SN3" s="1329"/>
      <c r="SO3" s="1329"/>
      <c r="SP3" s="1328" t="s">
        <v>318</v>
      </c>
      <c r="SQ3" s="1329"/>
      <c r="SR3" s="1329"/>
      <c r="SS3" s="1328" t="s">
        <v>319</v>
      </c>
      <c r="ST3" s="1329"/>
      <c r="SU3" s="1329"/>
      <c r="SV3" s="1328" t="s">
        <v>320</v>
      </c>
      <c r="SW3" s="1329"/>
      <c r="SX3" s="1329"/>
      <c r="SY3" s="1328" t="s">
        <v>321</v>
      </c>
      <c r="SZ3" s="1329"/>
      <c r="TA3" s="1329"/>
      <c r="TB3" s="1328" t="s">
        <v>322</v>
      </c>
      <c r="TC3" s="1329"/>
      <c r="TD3" s="1329"/>
      <c r="TE3" s="1328" t="s">
        <v>323</v>
      </c>
      <c r="TF3" s="1329"/>
      <c r="TG3" s="1329"/>
      <c r="TH3" s="1328" t="s">
        <v>324</v>
      </c>
      <c r="TI3" s="1329"/>
      <c r="TJ3" s="1329"/>
      <c r="TK3" s="1328" t="s">
        <v>318</v>
      </c>
      <c r="TL3" s="1329"/>
      <c r="TM3" s="1329"/>
      <c r="TN3" s="1328" t="s">
        <v>319</v>
      </c>
      <c r="TO3" s="1329"/>
      <c r="TP3" s="1329"/>
      <c r="TQ3" s="1328" t="s">
        <v>320</v>
      </c>
      <c r="TR3" s="1329"/>
      <c r="TS3" s="1329"/>
      <c r="TT3" s="1328" t="s">
        <v>321</v>
      </c>
      <c r="TU3" s="1329"/>
      <c r="TV3" s="1329"/>
      <c r="TW3" s="1328" t="s">
        <v>322</v>
      </c>
      <c r="TX3" s="1329"/>
      <c r="TY3" s="1329"/>
      <c r="TZ3" s="1328" t="s">
        <v>323</v>
      </c>
      <c r="UA3" s="1329"/>
      <c r="UB3" s="1329"/>
      <c r="UC3" s="1328" t="s">
        <v>324</v>
      </c>
      <c r="UD3" s="1329"/>
      <c r="UE3" s="1329"/>
      <c r="UF3" s="1328" t="s">
        <v>318</v>
      </c>
      <c r="UG3" s="1329"/>
      <c r="UH3" s="1329"/>
      <c r="UI3" s="1328" t="s">
        <v>319</v>
      </c>
      <c r="UJ3" s="1329"/>
      <c r="UK3" s="1329"/>
      <c r="UL3" s="1328" t="s">
        <v>320</v>
      </c>
      <c r="UM3" s="1329"/>
      <c r="UN3" s="1329"/>
      <c r="UO3" s="1328" t="s">
        <v>321</v>
      </c>
      <c r="UP3" s="1329"/>
      <c r="UQ3" s="1329"/>
      <c r="UR3" s="1328" t="s">
        <v>322</v>
      </c>
      <c r="US3" s="1329"/>
      <c r="UT3" s="1329"/>
      <c r="UU3" s="1328" t="s">
        <v>323</v>
      </c>
      <c r="UV3" s="1329"/>
      <c r="UW3" s="1329"/>
      <c r="UX3" s="1328" t="s">
        <v>324</v>
      </c>
      <c r="UY3" s="1329"/>
      <c r="UZ3" s="1329"/>
      <c r="VA3" s="1328" t="s">
        <v>318</v>
      </c>
      <c r="VB3" s="1329"/>
      <c r="VC3" s="1329"/>
      <c r="VD3" s="1328" t="s">
        <v>319</v>
      </c>
      <c r="VE3" s="1329"/>
      <c r="VF3" s="1329"/>
      <c r="VG3" s="1328" t="s">
        <v>320</v>
      </c>
      <c r="VH3" s="1329"/>
      <c r="VI3" s="1329"/>
      <c r="VJ3" s="1328" t="s">
        <v>321</v>
      </c>
      <c r="VK3" s="1329"/>
      <c r="VL3" s="1329"/>
      <c r="VM3" s="1328" t="s">
        <v>322</v>
      </c>
      <c r="VN3" s="1329"/>
      <c r="VO3" s="1329"/>
      <c r="VP3" s="1328" t="s">
        <v>323</v>
      </c>
      <c r="VQ3" s="1329"/>
      <c r="VR3" s="1329"/>
      <c r="VS3" s="1328" t="s">
        <v>324</v>
      </c>
      <c r="VT3" s="1329"/>
      <c r="VU3" s="1329"/>
      <c r="VV3" s="1328" t="s">
        <v>318</v>
      </c>
      <c r="VW3" s="1329"/>
      <c r="VX3" s="1329"/>
      <c r="VY3" s="1328" t="s">
        <v>319</v>
      </c>
      <c r="VZ3" s="1329"/>
      <c r="WA3" s="1329"/>
      <c r="WB3" s="1328" t="s">
        <v>320</v>
      </c>
      <c r="WC3" s="1329"/>
      <c r="WD3" s="1329"/>
      <c r="WE3" s="1328" t="s">
        <v>321</v>
      </c>
      <c r="WF3" s="1329"/>
      <c r="WG3" s="1329"/>
      <c r="WH3" s="1328" t="s">
        <v>322</v>
      </c>
      <c r="WI3" s="1329"/>
      <c r="WJ3" s="1329"/>
      <c r="WK3" s="1328" t="s">
        <v>323</v>
      </c>
      <c r="WL3" s="1329"/>
      <c r="WM3" s="1329"/>
      <c r="WN3" s="1328" t="s">
        <v>324</v>
      </c>
      <c r="WO3" s="1329"/>
      <c r="WP3" s="1329"/>
      <c r="WQ3" s="1328" t="s">
        <v>318</v>
      </c>
      <c r="WR3" s="1329"/>
      <c r="WS3" s="1329"/>
      <c r="WT3" s="1328" t="s">
        <v>319</v>
      </c>
      <c r="WU3" s="1329"/>
      <c r="WV3" s="1329"/>
      <c r="WW3" s="1328" t="s">
        <v>320</v>
      </c>
      <c r="WX3" s="1329"/>
      <c r="WY3" s="1329"/>
      <c r="WZ3" s="1328" t="s">
        <v>321</v>
      </c>
      <c r="XA3" s="1329"/>
      <c r="XB3" s="1329"/>
      <c r="XC3" s="1328" t="s">
        <v>322</v>
      </c>
      <c r="XD3" s="1329"/>
      <c r="XE3" s="1329"/>
      <c r="XF3" s="1328" t="s">
        <v>323</v>
      </c>
      <c r="XG3" s="1329"/>
      <c r="XH3" s="1329"/>
      <c r="XI3" s="1328" t="s">
        <v>324</v>
      </c>
      <c r="XJ3" s="1329"/>
      <c r="XK3" s="1329"/>
      <c r="XL3" s="1328" t="s">
        <v>318</v>
      </c>
      <c r="XM3" s="1329"/>
      <c r="XN3" s="1329"/>
      <c r="XO3" s="1328" t="s">
        <v>319</v>
      </c>
      <c r="XP3" s="1329"/>
      <c r="XQ3" s="1329"/>
      <c r="XR3" s="1328" t="s">
        <v>320</v>
      </c>
      <c r="XS3" s="1329"/>
      <c r="XT3" s="1329"/>
      <c r="XU3" s="1328" t="s">
        <v>321</v>
      </c>
      <c r="XV3" s="1329"/>
      <c r="XW3" s="1329"/>
      <c r="XX3" s="1328" t="s">
        <v>322</v>
      </c>
      <c r="XY3" s="1329"/>
      <c r="XZ3" s="1329"/>
      <c r="YA3" s="1328" t="s">
        <v>323</v>
      </c>
      <c r="YB3" s="1329"/>
      <c r="YC3" s="1329"/>
      <c r="YD3" s="1328" t="s">
        <v>324</v>
      </c>
      <c r="YE3" s="1329"/>
      <c r="YF3" s="1329"/>
      <c r="YG3" s="1328" t="s">
        <v>318</v>
      </c>
      <c r="YH3" s="1329"/>
      <c r="YI3" s="1329"/>
      <c r="YJ3" s="1328" t="s">
        <v>319</v>
      </c>
      <c r="YK3" s="1329"/>
      <c r="YL3" s="1329"/>
      <c r="YM3" s="1328" t="s">
        <v>320</v>
      </c>
      <c r="YN3" s="1329"/>
      <c r="YO3" s="1329"/>
      <c r="YP3" s="1328" t="s">
        <v>321</v>
      </c>
      <c r="YQ3" s="1329"/>
      <c r="YR3" s="1329"/>
      <c r="YS3" s="1328" t="s">
        <v>322</v>
      </c>
      <c r="YT3" s="1329"/>
      <c r="YU3" s="1329"/>
      <c r="YV3" s="1328" t="s">
        <v>323</v>
      </c>
      <c r="YW3" s="1329"/>
      <c r="YX3" s="1329"/>
      <c r="YY3" s="1328" t="s">
        <v>324</v>
      </c>
      <c r="YZ3" s="1329"/>
      <c r="ZA3" s="1329"/>
      <c r="ZB3" s="1328" t="s">
        <v>318</v>
      </c>
      <c r="ZC3" s="1329"/>
      <c r="ZD3" s="1329"/>
      <c r="ZE3" s="1328" t="s">
        <v>319</v>
      </c>
      <c r="ZF3" s="1329"/>
      <c r="ZG3" s="1329"/>
      <c r="ZH3" s="1328" t="s">
        <v>320</v>
      </c>
      <c r="ZI3" s="1329"/>
      <c r="ZJ3" s="1329"/>
      <c r="ZK3" s="1328" t="s">
        <v>321</v>
      </c>
      <c r="ZL3" s="1329"/>
      <c r="ZM3" s="1329"/>
      <c r="ZN3" s="1328" t="s">
        <v>322</v>
      </c>
      <c r="ZO3" s="1329"/>
      <c r="ZP3" s="1329"/>
      <c r="ZQ3" s="1328" t="s">
        <v>323</v>
      </c>
      <c r="ZR3" s="1329"/>
      <c r="ZS3" s="1329"/>
      <c r="ZT3" s="1328" t="s">
        <v>324</v>
      </c>
      <c r="ZU3" s="1329"/>
      <c r="ZV3" s="1329"/>
      <c r="ZW3" s="1328" t="s">
        <v>318</v>
      </c>
      <c r="ZX3" s="1329"/>
      <c r="ZY3" s="1329"/>
      <c r="ZZ3" s="1328" t="s">
        <v>319</v>
      </c>
      <c r="AAA3" s="1329"/>
      <c r="AAB3" s="1329"/>
      <c r="AAC3" s="1328" t="s">
        <v>320</v>
      </c>
      <c r="AAD3" s="1329"/>
      <c r="AAE3" s="1329"/>
      <c r="AAF3" s="1328" t="s">
        <v>321</v>
      </c>
      <c r="AAG3" s="1329"/>
      <c r="AAH3" s="1329"/>
      <c r="AAI3" s="1328" t="s">
        <v>322</v>
      </c>
      <c r="AAJ3" s="1329"/>
      <c r="AAK3" s="1329"/>
      <c r="AAL3" s="1328" t="s">
        <v>323</v>
      </c>
      <c r="AAM3" s="1329"/>
      <c r="AAN3" s="1329"/>
      <c r="AAO3" s="1328" t="s">
        <v>324</v>
      </c>
      <c r="AAP3" s="1329"/>
      <c r="AAQ3" s="1329"/>
      <c r="AAR3" s="1328" t="s">
        <v>318</v>
      </c>
      <c r="AAS3" s="1329"/>
      <c r="AAT3" s="1329"/>
      <c r="AAU3" s="1328" t="s">
        <v>319</v>
      </c>
      <c r="AAV3" s="1329"/>
      <c r="AAW3" s="1329"/>
      <c r="AAX3" s="1328" t="s">
        <v>320</v>
      </c>
      <c r="AAY3" s="1329"/>
      <c r="AAZ3" s="1329"/>
      <c r="ABA3" s="1328" t="s">
        <v>321</v>
      </c>
      <c r="ABB3" s="1329"/>
      <c r="ABC3" s="1329"/>
      <c r="ABD3" s="1328" t="s">
        <v>322</v>
      </c>
      <c r="ABE3" s="1329"/>
      <c r="ABF3" s="1329"/>
      <c r="ABG3" s="1328" t="s">
        <v>323</v>
      </c>
      <c r="ABH3" s="1329"/>
      <c r="ABI3" s="1329"/>
      <c r="ABJ3" s="1328" t="s">
        <v>324</v>
      </c>
      <c r="ABK3" s="1329"/>
      <c r="ABL3" s="1329"/>
      <c r="ABM3" s="1328" t="s">
        <v>318</v>
      </c>
      <c r="ABN3" s="1329"/>
      <c r="ABO3" s="1329"/>
      <c r="ABP3" s="1328" t="s">
        <v>319</v>
      </c>
      <c r="ABQ3" s="1329"/>
      <c r="ABR3" s="1329"/>
      <c r="ABS3" s="1328" t="s">
        <v>320</v>
      </c>
      <c r="ABT3" s="1329"/>
      <c r="ABU3" s="1329"/>
      <c r="ABV3" s="1328" t="s">
        <v>321</v>
      </c>
      <c r="ABW3" s="1329"/>
      <c r="ABX3" s="1329"/>
      <c r="ABY3" s="1328" t="s">
        <v>322</v>
      </c>
      <c r="ABZ3" s="1329"/>
      <c r="ACA3" s="1329"/>
      <c r="ACB3" s="1328" t="s">
        <v>323</v>
      </c>
      <c r="ACC3" s="1329"/>
      <c r="ACD3" s="1329"/>
      <c r="ACE3" s="1328" t="s">
        <v>324</v>
      </c>
      <c r="ACF3" s="1329"/>
      <c r="ACG3" s="1329"/>
      <c r="ACH3" s="1328" t="s">
        <v>318</v>
      </c>
      <c r="ACI3" s="1329"/>
      <c r="ACJ3" s="1329"/>
      <c r="ACK3" s="1328" t="s">
        <v>319</v>
      </c>
      <c r="ACL3" s="1329"/>
      <c r="ACM3" s="1329"/>
      <c r="ACN3" s="1328" t="s">
        <v>320</v>
      </c>
      <c r="ACO3" s="1329"/>
      <c r="ACP3" s="1329"/>
      <c r="ACQ3" s="1328" t="s">
        <v>321</v>
      </c>
      <c r="ACR3" s="1329"/>
      <c r="ACS3" s="1329"/>
      <c r="ACT3" s="1328" t="s">
        <v>322</v>
      </c>
      <c r="ACU3" s="1329"/>
      <c r="ACV3" s="1329"/>
      <c r="ACW3" s="1328" t="s">
        <v>323</v>
      </c>
      <c r="ACX3" s="1329"/>
      <c r="ACY3" s="1329"/>
      <c r="ACZ3" s="1328" t="s">
        <v>324</v>
      </c>
      <c r="ADA3" s="1329"/>
      <c r="ADB3" s="1329"/>
      <c r="ADC3" s="1328" t="s">
        <v>318</v>
      </c>
      <c r="ADD3" s="1329"/>
      <c r="ADE3" s="1329"/>
      <c r="ADF3" s="1328" t="s">
        <v>319</v>
      </c>
      <c r="ADG3" s="1329"/>
      <c r="ADH3" s="1329"/>
      <c r="ADI3" s="1328" t="s">
        <v>320</v>
      </c>
      <c r="ADJ3" s="1329"/>
      <c r="ADK3" s="1329"/>
      <c r="ADL3" s="1328" t="s">
        <v>321</v>
      </c>
      <c r="ADM3" s="1329"/>
      <c r="ADN3" s="1329"/>
      <c r="ADO3" s="1328" t="s">
        <v>322</v>
      </c>
      <c r="ADP3" s="1329"/>
      <c r="ADQ3" s="1329"/>
      <c r="ADR3" s="1328" t="s">
        <v>323</v>
      </c>
      <c r="ADS3" s="1329"/>
      <c r="ADT3" s="1329"/>
      <c r="ADU3" s="1328" t="s">
        <v>324</v>
      </c>
      <c r="ADV3" s="1329"/>
      <c r="ADW3" s="1329"/>
      <c r="ADX3" s="1328" t="s">
        <v>318</v>
      </c>
      <c r="ADY3" s="1329"/>
      <c r="ADZ3" s="1329"/>
      <c r="AEA3" s="1328" t="s">
        <v>319</v>
      </c>
      <c r="AEB3" s="1329"/>
      <c r="AEC3" s="1329"/>
      <c r="AED3" s="1328" t="s">
        <v>320</v>
      </c>
      <c r="AEE3" s="1329"/>
      <c r="AEF3" s="1329"/>
      <c r="AEG3" s="1328" t="s">
        <v>321</v>
      </c>
      <c r="AEH3" s="1329"/>
      <c r="AEI3" s="1329"/>
      <c r="AEJ3" s="1328" t="s">
        <v>322</v>
      </c>
      <c r="AEK3" s="1329"/>
      <c r="AEL3" s="1329"/>
      <c r="AEM3" s="1328" t="s">
        <v>323</v>
      </c>
      <c r="AEN3" s="1329"/>
      <c r="AEO3" s="1329"/>
      <c r="AEP3" s="1328" t="s">
        <v>324</v>
      </c>
      <c r="AEQ3" s="1329"/>
      <c r="AER3" s="1329"/>
      <c r="AES3" s="1328" t="s">
        <v>318</v>
      </c>
      <c r="AET3" s="1329"/>
      <c r="AEU3" s="1329"/>
      <c r="AEV3" s="1328" t="s">
        <v>319</v>
      </c>
      <c r="AEW3" s="1329"/>
      <c r="AEX3" s="1329"/>
      <c r="AEY3" s="1328" t="s">
        <v>320</v>
      </c>
      <c r="AEZ3" s="1329"/>
      <c r="AFA3" s="1329"/>
      <c r="AFB3" s="1328" t="s">
        <v>321</v>
      </c>
      <c r="AFC3" s="1329"/>
      <c r="AFD3" s="1329"/>
      <c r="AFE3" s="1328" t="s">
        <v>322</v>
      </c>
      <c r="AFF3" s="1329"/>
      <c r="AFG3" s="1329"/>
      <c r="AFH3" s="1328" t="s">
        <v>323</v>
      </c>
      <c r="AFI3" s="1329"/>
      <c r="AFJ3" s="1329"/>
      <c r="AFK3" s="1328" t="s">
        <v>324</v>
      </c>
      <c r="AFL3" s="1329"/>
      <c r="AFM3" s="1329"/>
      <c r="AFN3" s="1328" t="s">
        <v>318</v>
      </c>
      <c r="AFO3" s="1329"/>
      <c r="AFP3" s="1329"/>
      <c r="AFQ3" s="1328" t="s">
        <v>319</v>
      </c>
      <c r="AFR3" s="1329"/>
      <c r="AFS3" s="1329"/>
      <c r="AFT3" s="1328" t="s">
        <v>320</v>
      </c>
      <c r="AFU3" s="1329"/>
      <c r="AFV3" s="1329"/>
      <c r="AFW3" s="1328" t="s">
        <v>321</v>
      </c>
      <c r="AFX3" s="1329"/>
      <c r="AFY3" s="1329"/>
      <c r="AFZ3" s="1328" t="s">
        <v>322</v>
      </c>
      <c r="AGA3" s="1329"/>
      <c r="AGB3" s="1329"/>
      <c r="AGC3" s="1328" t="s">
        <v>323</v>
      </c>
      <c r="AGD3" s="1329"/>
      <c r="AGE3" s="1329"/>
      <c r="AGF3" s="1328" t="s">
        <v>324</v>
      </c>
      <c r="AGG3" s="1329"/>
      <c r="AGH3" s="1329"/>
      <c r="AGI3" s="1328" t="s">
        <v>318</v>
      </c>
      <c r="AGJ3" s="1329"/>
      <c r="AGK3" s="1329"/>
      <c r="AGL3" s="1328" t="s">
        <v>319</v>
      </c>
      <c r="AGM3" s="1329"/>
      <c r="AGN3" s="1329"/>
      <c r="AGO3" s="1328" t="s">
        <v>320</v>
      </c>
      <c r="AGP3" s="1329"/>
      <c r="AGQ3" s="1329"/>
      <c r="AGR3" s="1328" t="s">
        <v>321</v>
      </c>
      <c r="AGS3" s="1329"/>
      <c r="AGT3" s="1329"/>
      <c r="AGU3" s="1328" t="s">
        <v>322</v>
      </c>
      <c r="AGV3" s="1329"/>
      <c r="AGW3" s="1329"/>
      <c r="AGX3" s="1328" t="s">
        <v>323</v>
      </c>
      <c r="AGY3" s="1329"/>
      <c r="AGZ3" s="1329"/>
      <c r="AHA3" s="1328" t="s">
        <v>324</v>
      </c>
      <c r="AHB3" s="1329"/>
      <c r="AHC3" s="1329"/>
      <c r="AHD3" s="1328" t="s">
        <v>318</v>
      </c>
      <c r="AHE3" s="1329"/>
      <c r="AHF3" s="1329"/>
      <c r="AHG3" s="1328" t="s">
        <v>319</v>
      </c>
      <c r="AHH3" s="1329"/>
      <c r="AHI3" s="1329"/>
      <c r="AHJ3" s="1328" t="s">
        <v>320</v>
      </c>
      <c r="AHK3" s="1329"/>
      <c r="AHL3" s="1329"/>
      <c r="AHM3" s="1328" t="s">
        <v>321</v>
      </c>
      <c r="AHN3" s="1329"/>
      <c r="AHO3" s="1329"/>
      <c r="AHP3" s="1328" t="s">
        <v>322</v>
      </c>
      <c r="AHQ3" s="1329"/>
      <c r="AHR3" s="1329"/>
      <c r="AHS3" s="1328" t="s">
        <v>323</v>
      </c>
      <c r="AHT3" s="1329"/>
      <c r="AHU3" s="1329"/>
      <c r="AHV3" s="1328" t="s">
        <v>324</v>
      </c>
      <c r="AHW3" s="1329"/>
      <c r="AHX3" s="1329"/>
      <c r="AHY3" s="1328" t="s">
        <v>318</v>
      </c>
      <c r="AHZ3" s="1329"/>
      <c r="AIA3" s="1329"/>
      <c r="AIB3" s="1328" t="s">
        <v>319</v>
      </c>
      <c r="AIC3" s="1329"/>
      <c r="AID3" s="1329"/>
      <c r="AIE3" s="1328" t="s">
        <v>320</v>
      </c>
      <c r="AIF3" s="1329"/>
      <c r="AIG3" s="1329"/>
      <c r="AIH3" s="1328" t="s">
        <v>321</v>
      </c>
      <c r="AII3" s="1329"/>
      <c r="AIJ3" s="1329"/>
      <c r="AIK3" s="1328" t="s">
        <v>322</v>
      </c>
      <c r="AIL3" s="1329"/>
      <c r="AIM3" s="1329"/>
      <c r="AIN3" s="1328" t="s">
        <v>323</v>
      </c>
      <c r="AIO3" s="1329"/>
      <c r="AIP3" s="1329"/>
      <c r="AIQ3" s="1328" t="s">
        <v>324</v>
      </c>
      <c r="AIR3" s="1329"/>
      <c r="AIS3" s="1329"/>
      <c r="AIT3" s="1328" t="s">
        <v>318</v>
      </c>
      <c r="AIU3" s="1329"/>
      <c r="AIV3" s="1329"/>
      <c r="AIW3" s="1328" t="s">
        <v>319</v>
      </c>
      <c r="AIX3" s="1329"/>
      <c r="AIY3" s="1329"/>
      <c r="AIZ3" s="1328" t="s">
        <v>320</v>
      </c>
      <c r="AJA3" s="1329"/>
      <c r="AJB3" s="1329"/>
      <c r="AJC3" s="1328" t="s">
        <v>321</v>
      </c>
      <c r="AJD3" s="1329"/>
      <c r="AJE3" s="1329"/>
      <c r="AJF3" s="1328" t="s">
        <v>322</v>
      </c>
      <c r="AJG3" s="1329"/>
      <c r="AJH3" s="1329"/>
      <c r="AJI3" s="1328" t="s">
        <v>323</v>
      </c>
      <c r="AJJ3" s="1329"/>
      <c r="AJK3" s="1329"/>
      <c r="AJL3" s="1328" t="s">
        <v>324</v>
      </c>
      <c r="AJM3" s="1329"/>
      <c r="AJN3" s="1329"/>
      <c r="AJO3" s="1328" t="s">
        <v>318</v>
      </c>
      <c r="AJP3" s="1329"/>
      <c r="AJQ3" s="1329"/>
      <c r="AJR3" s="1328" t="s">
        <v>319</v>
      </c>
      <c r="AJS3" s="1329"/>
      <c r="AJT3" s="1329"/>
      <c r="AJU3" s="1328" t="s">
        <v>320</v>
      </c>
      <c r="AJV3" s="1329"/>
      <c r="AJW3" s="1329"/>
      <c r="AJX3" s="1328" t="s">
        <v>321</v>
      </c>
      <c r="AJY3" s="1329"/>
      <c r="AJZ3" s="1329"/>
      <c r="AKA3" s="1328" t="s">
        <v>322</v>
      </c>
      <c r="AKB3" s="1329"/>
      <c r="AKC3" s="1329"/>
      <c r="AKD3" s="1328" t="s">
        <v>323</v>
      </c>
      <c r="AKE3" s="1329"/>
      <c r="AKF3" s="1329"/>
      <c r="AKG3" s="1328" t="s">
        <v>324</v>
      </c>
      <c r="AKH3" s="1329"/>
      <c r="AKI3" s="1329"/>
      <c r="AKJ3" s="1328" t="s">
        <v>318</v>
      </c>
      <c r="AKK3" s="1329"/>
      <c r="AKL3" s="1329"/>
      <c r="AKM3" s="1328" t="s">
        <v>319</v>
      </c>
      <c r="AKN3" s="1329"/>
      <c r="AKO3" s="1329"/>
      <c r="AKP3" s="1328" t="s">
        <v>320</v>
      </c>
      <c r="AKQ3" s="1329"/>
      <c r="AKR3" s="1329"/>
      <c r="AKS3" s="1328" t="s">
        <v>321</v>
      </c>
      <c r="AKT3" s="1329"/>
      <c r="AKU3" s="1329"/>
      <c r="AKV3" s="1328" t="s">
        <v>322</v>
      </c>
      <c r="AKW3" s="1329"/>
      <c r="AKX3" s="1329"/>
      <c r="AKY3" s="1328" t="s">
        <v>323</v>
      </c>
      <c r="AKZ3" s="1329"/>
      <c r="ALA3" s="1329"/>
      <c r="ALB3" s="1328" t="s">
        <v>324</v>
      </c>
      <c r="ALC3" s="1329"/>
      <c r="ALD3" s="1329"/>
      <c r="ALE3" s="1328" t="s">
        <v>318</v>
      </c>
      <c r="ALF3" s="1329"/>
      <c r="ALG3" s="1329"/>
      <c r="ALH3" s="1328" t="s">
        <v>319</v>
      </c>
      <c r="ALI3" s="1329"/>
      <c r="ALJ3" s="1329"/>
      <c r="ALK3" s="1328" t="s">
        <v>320</v>
      </c>
      <c r="ALL3" s="1329"/>
      <c r="ALM3" s="1329"/>
      <c r="ALN3" s="1328" t="s">
        <v>321</v>
      </c>
      <c r="ALO3" s="1329"/>
      <c r="ALP3" s="1329"/>
      <c r="ALQ3" s="1328" t="s">
        <v>322</v>
      </c>
      <c r="ALR3" s="1329"/>
      <c r="ALS3" s="1329"/>
      <c r="ALT3" s="1328" t="s">
        <v>323</v>
      </c>
      <c r="ALU3" s="1329"/>
      <c r="ALV3" s="1329"/>
      <c r="ALW3" s="1328" t="s">
        <v>324</v>
      </c>
      <c r="ALX3" s="1329"/>
      <c r="ALY3" s="1329"/>
      <c r="ALZ3" s="1328" t="s">
        <v>318</v>
      </c>
      <c r="AMA3" s="1329"/>
      <c r="AMB3" s="1329"/>
      <c r="AMC3" s="1328" t="s">
        <v>319</v>
      </c>
      <c r="AMD3" s="1329"/>
      <c r="AME3" s="1329"/>
      <c r="AMF3" s="1328" t="s">
        <v>320</v>
      </c>
      <c r="AMG3" s="1329"/>
      <c r="AMH3" s="1329"/>
      <c r="AMI3" s="1328" t="s">
        <v>321</v>
      </c>
      <c r="AMJ3" s="1329"/>
      <c r="AMK3" s="1329"/>
      <c r="AML3" s="1328" t="s">
        <v>322</v>
      </c>
      <c r="AMM3" s="1329"/>
      <c r="AMN3" s="1329"/>
      <c r="AMO3" s="1328" t="s">
        <v>323</v>
      </c>
      <c r="AMP3" s="1329"/>
      <c r="AMQ3" s="1329"/>
      <c r="AMR3" s="1328" t="s">
        <v>324</v>
      </c>
      <c r="AMS3" s="1329"/>
      <c r="AMT3" s="1329"/>
      <c r="AMU3" s="1328" t="s">
        <v>318</v>
      </c>
      <c r="AMV3" s="1329"/>
      <c r="AMW3" s="1329"/>
      <c r="AMX3" s="1328" t="s">
        <v>319</v>
      </c>
      <c r="AMY3" s="1329"/>
      <c r="AMZ3" s="1329"/>
      <c r="ANA3" s="1328" t="s">
        <v>320</v>
      </c>
      <c r="ANB3" s="1329"/>
      <c r="ANC3" s="1329"/>
      <c r="AND3" s="1328" t="s">
        <v>321</v>
      </c>
      <c r="ANE3" s="1329"/>
      <c r="ANF3" s="1329"/>
      <c r="ANG3" s="1328" t="s">
        <v>322</v>
      </c>
      <c r="ANH3" s="1329"/>
      <c r="ANI3" s="1329"/>
      <c r="ANJ3" s="1328" t="s">
        <v>323</v>
      </c>
      <c r="ANK3" s="1329"/>
      <c r="ANL3" s="1329"/>
      <c r="ANM3" s="1328" t="s">
        <v>324</v>
      </c>
      <c r="ANN3" s="1329"/>
      <c r="ANO3" s="1329"/>
      <c r="ANP3" s="1328" t="s">
        <v>318</v>
      </c>
      <c r="ANQ3" s="1329"/>
      <c r="ANR3" s="1329"/>
      <c r="ANS3" s="1328" t="s">
        <v>319</v>
      </c>
      <c r="ANT3" s="1329"/>
      <c r="ANU3" s="1329"/>
      <c r="ANV3" s="1328" t="s">
        <v>320</v>
      </c>
      <c r="ANW3" s="1329"/>
      <c r="ANX3" s="1329"/>
      <c r="ANY3" s="1328" t="s">
        <v>321</v>
      </c>
      <c r="ANZ3" s="1329"/>
      <c r="AOA3" s="1329"/>
      <c r="AOB3" s="1328" t="s">
        <v>322</v>
      </c>
      <c r="AOC3" s="1329"/>
      <c r="AOD3" s="1329"/>
      <c r="AOE3" s="1328" t="s">
        <v>323</v>
      </c>
      <c r="AOF3" s="1329"/>
      <c r="AOG3" s="1329"/>
      <c r="AOH3" s="1328" t="s">
        <v>324</v>
      </c>
      <c r="AOI3" s="1329"/>
      <c r="AOJ3" s="1329"/>
      <c r="AOK3" s="1328" t="s">
        <v>318</v>
      </c>
      <c r="AOL3" s="1329"/>
      <c r="AOM3" s="1329"/>
      <c r="AON3" s="1328" t="s">
        <v>319</v>
      </c>
      <c r="AOO3" s="1329"/>
      <c r="AOP3" s="1329"/>
      <c r="AOQ3" s="1328" t="s">
        <v>320</v>
      </c>
      <c r="AOR3" s="1329"/>
      <c r="AOS3" s="1329"/>
      <c r="AOT3" s="1328" t="s">
        <v>321</v>
      </c>
      <c r="AOU3" s="1329"/>
      <c r="AOV3" s="1329"/>
      <c r="AOW3" s="1328" t="s">
        <v>322</v>
      </c>
      <c r="AOX3" s="1329"/>
      <c r="AOY3" s="1329"/>
      <c r="AOZ3" s="1328" t="s">
        <v>323</v>
      </c>
      <c r="APA3" s="1329"/>
      <c r="APB3" s="1329"/>
      <c r="APC3" s="1328" t="s">
        <v>324</v>
      </c>
      <c r="APD3" s="1329"/>
      <c r="APE3" s="1329"/>
      <c r="APF3" s="1328" t="s">
        <v>318</v>
      </c>
      <c r="APG3" s="1329"/>
      <c r="APH3" s="1329"/>
      <c r="API3" s="1328" t="s">
        <v>319</v>
      </c>
      <c r="APJ3" s="1329"/>
      <c r="APK3" s="1329"/>
      <c r="APL3" s="1328" t="s">
        <v>320</v>
      </c>
      <c r="APM3" s="1329"/>
      <c r="APN3" s="1329"/>
      <c r="APO3" s="1328" t="s">
        <v>321</v>
      </c>
      <c r="APP3" s="1329"/>
      <c r="APQ3" s="1329"/>
      <c r="APR3" s="1328" t="s">
        <v>322</v>
      </c>
      <c r="APS3" s="1329"/>
      <c r="APT3" s="1329"/>
      <c r="APU3" s="1328" t="s">
        <v>323</v>
      </c>
      <c r="APV3" s="1329"/>
      <c r="APW3" s="1329"/>
      <c r="APX3" s="1328" t="s">
        <v>324</v>
      </c>
      <c r="APY3" s="1329"/>
      <c r="APZ3" s="1329"/>
      <c r="AQA3" s="1328" t="s">
        <v>318</v>
      </c>
      <c r="AQB3" s="1329"/>
      <c r="AQC3" s="1329"/>
      <c r="AQD3" s="1328" t="s">
        <v>319</v>
      </c>
      <c r="AQE3" s="1329"/>
      <c r="AQF3" s="1329"/>
      <c r="AQG3" s="1328" t="s">
        <v>320</v>
      </c>
      <c r="AQH3" s="1329"/>
      <c r="AQI3" s="1329"/>
      <c r="AQJ3" s="1328" t="s">
        <v>321</v>
      </c>
      <c r="AQK3" s="1329"/>
      <c r="AQL3" s="1329"/>
      <c r="AQM3" s="1328" t="s">
        <v>322</v>
      </c>
      <c r="AQN3" s="1329"/>
      <c r="AQO3" s="1329"/>
      <c r="AQP3" s="1328" t="s">
        <v>323</v>
      </c>
      <c r="AQQ3" s="1329"/>
      <c r="AQR3" s="1329"/>
      <c r="AQS3" s="1328" t="s">
        <v>324</v>
      </c>
      <c r="AQT3" s="1329"/>
      <c r="AQU3" s="1329"/>
      <c r="AQV3" s="1328" t="s">
        <v>318</v>
      </c>
      <c r="AQW3" s="1329"/>
      <c r="AQX3" s="1329"/>
      <c r="AQY3" s="1328" t="s">
        <v>319</v>
      </c>
      <c r="AQZ3" s="1329"/>
      <c r="ARA3" s="1329"/>
      <c r="ARB3" s="1328" t="s">
        <v>320</v>
      </c>
      <c r="ARC3" s="1329"/>
      <c r="ARD3" s="1329"/>
      <c r="ARE3" s="1328" t="s">
        <v>321</v>
      </c>
      <c r="ARF3" s="1329"/>
      <c r="ARG3" s="1329"/>
      <c r="ARH3" s="1328" t="s">
        <v>322</v>
      </c>
      <c r="ARI3" s="1329"/>
      <c r="ARJ3" s="1329"/>
      <c r="ARK3" s="1328" t="s">
        <v>323</v>
      </c>
      <c r="ARL3" s="1329"/>
      <c r="ARM3" s="1329"/>
      <c r="ARN3" s="1328" t="s">
        <v>324</v>
      </c>
      <c r="ARO3" s="1329"/>
      <c r="ARP3" s="1329"/>
      <c r="ARQ3" s="1328" t="s">
        <v>318</v>
      </c>
      <c r="ARR3" s="1329"/>
      <c r="ARS3" s="1329"/>
      <c r="ART3" s="1328" t="s">
        <v>319</v>
      </c>
      <c r="ARU3" s="1329"/>
      <c r="ARV3" s="1329"/>
      <c r="ARW3" s="1328" t="s">
        <v>320</v>
      </c>
      <c r="ARX3" s="1329"/>
      <c r="ARY3" s="1329"/>
      <c r="ARZ3" s="1328" t="s">
        <v>321</v>
      </c>
      <c r="ASA3" s="1329"/>
      <c r="ASB3" s="1329"/>
      <c r="ASC3" s="1328" t="s">
        <v>322</v>
      </c>
      <c r="ASD3" s="1329"/>
      <c r="ASE3" s="1329"/>
      <c r="ASF3" s="1328" t="s">
        <v>323</v>
      </c>
      <c r="ASG3" s="1329"/>
      <c r="ASH3" s="1329"/>
      <c r="ASI3" s="1328" t="s">
        <v>324</v>
      </c>
      <c r="ASJ3" s="1329"/>
      <c r="ASK3" s="1329"/>
      <c r="ASL3" s="1328" t="s">
        <v>318</v>
      </c>
      <c r="ASM3" s="1329"/>
      <c r="ASN3" s="1329"/>
      <c r="ASO3" s="1328" t="s">
        <v>319</v>
      </c>
      <c r="ASP3" s="1329"/>
      <c r="ASQ3" s="1329"/>
      <c r="ASR3" s="1328" t="s">
        <v>320</v>
      </c>
      <c r="ASS3" s="1329"/>
      <c r="AST3" s="1329"/>
      <c r="ASU3" s="1328" t="s">
        <v>321</v>
      </c>
      <c r="ASV3" s="1329"/>
      <c r="ASW3" s="1329"/>
      <c r="ASX3" s="1328" t="s">
        <v>322</v>
      </c>
      <c r="ASY3" s="1329"/>
      <c r="ASZ3" s="1329"/>
      <c r="ATA3" s="1328" t="s">
        <v>323</v>
      </c>
      <c r="ATB3" s="1329"/>
      <c r="ATC3" s="1329"/>
      <c r="ATD3" s="1328" t="s">
        <v>324</v>
      </c>
      <c r="ATE3" s="1329"/>
      <c r="ATF3" s="1329"/>
      <c r="ATG3" s="1328" t="s">
        <v>318</v>
      </c>
      <c r="ATH3" s="1329"/>
      <c r="ATI3" s="1329"/>
      <c r="ATJ3" s="1328" t="s">
        <v>319</v>
      </c>
      <c r="ATK3" s="1329"/>
      <c r="ATL3" s="1329"/>
      <c r="ATM3" s="1328" t="s">
        <v>320</v>
      </c>
      <c r="ATN3" s="1329"/>
      <c r="ATO3" s="1329"/>
      <c r="ATP3" s="1328" t="s">
        <v>321</v>
      </c>
      <c r="ATQ3" s="1329"/>
      <c r="ATR3" s="1329"/>
      <c r="ATS3" s="1328" t="s">
        <v>322</v>
      </c>
      <c r="ATT3" s="1329"/>
      <c r="ATU3" s="1329"/>
      <c r="ATV3" s="1328" t="s">
        <v>323</v>
      </c>
      <c r="ATW3" s="1329"/>
      <c r="ATX3" s="1329"/>
      <c r="ATY3" s="1328" t="s">
        <v>324</v>
      </c>
      <c r="ATZ3" s="1329"/>
      <c r="AUA3" s="1329"/>
      <c r="AUB3" s="1328" t="s">
        <v>318</v>
      </c>
      <c r="AUC3" s="1329"/>
      <c r="AUD3" s="1329"/>
      <c r="AUE3" s="1328" t="s">
        <v>319</v>
      </c>
      <c r="AUF3" s="1329"/>
      <c r="AUG3" s="1329"/>
      <c r="AUH3" s="1328" t="s">
        <v>320</v>
      </c>
      <c r="AUI3" s="1329"/>
      <c r="AUJ3" s="1329"/>
      <c r="AUK3" s="1328" t="s">
        <v>321</v>
      </c>
      <c r="AUL3" s="1329"/>
      <c r="AUM3" s="1329"/>
      <c r="AUN3" s="1328" t="s">
        <v>322</v>
      </c>
      <c r="AUO3" s="1329"/>
      <c r="AUP3" s="1329"/>
      <c r="AUQ3" s="1328" t="s">
        <v>323</v>
      </c>
      <c r="AUR3" s="1329"/>
      <c r="AUS3" s="1329"/>
      <c r="AUT3" s="1328" t="s">
        <v>324</v>
      </c>
      <c r="AUU3" s="1329"/>
      <c r="AUV3" s="1329"/>
      <c r="AUW3" s="1328" t="s">
        <v>318</v>
      </c>
      <c r="AUX3" s="1329"/>
      <c r="AUY3" s="1329"/>
      <c r="AUZ3" s="1328" t="s">
        <v>319</v>
      </c>
      <c r="AVA3" s="1329"/>
      <c r="AVB3" s="1329"/>
      <c r="AVC3" s="1328" t="s">
        <v>320</v>
      </c>
      <c r="AVD3" s="1329"/>
      <c r="AVE3" s="1329"/>
      <c r="AVF3" s="1328" t="s">
        <v>321</v>
      </c>
      <c r="AVG3" s="1329"/>
      <c r="AVH3" s="1329"/>
      <c r="AVI3" s="1328" t="s">
        <v>322</v>
      </c>
      <c r="AVJ3" s="1329"/>
      <c r="AVK3" s="1329"/>
      <c r="AVL3" s="1328" t="s">
        <v>323</v>
      </c>
      <c r="AVM3" s="1329"/>
      <c r="AVN3" s="1329"/>
      <c r="AVO3" s="1328" t="s">
        <v>324</v>
      </c>
      <c r="AVP3" s="1329"/>
      <c r="AVQ3" s="1329"/>
      <c r="AVR3" s="1328" t="s">
        <v>318</v>
      </c>
      <c r="AVS3" s="1329"/>
      <c r="AVT3" s="1329"/>
      <c r="AVU3" s="1328" t="s">
        <v>319</v>
      </c>
      <c r="AVV3" s="1329"/>
      <c r="AVW3" s="1329"/>
      <c r="AVX3" s="1328" t="s">
        <v>320</v>
      </c>
      <c r="AVY3" s="1329"/>
      <c r="AVZ3" s="1329"/>
      <c r="AWA3" s="1328" t="s">
        <v>321</v>
      </c>
      <c r="AWB3" s="1329"/>
      <c r="AWC3" s="1329"/>
      <c r="AWD3" s="1328" t="s">
        <v>322</v>
      </c>
      <c r="AWE3" s="1329"/>
      <c r="AWF3" s="1329"/>
      <c r="AWG3" s="1328" t="s">
        <v>323</v>
      </c>
      <c r="AWH3" s="1329"/>
      <c r="AWI3" s="1329"/>
      <c r="AWJ3" s="1328" t="s">
        <v>324</v>
      </c>
      <c r="AWK3" s="1329"/>
      <c r="AWL3" s="1329"/>
      <c r="AWM3" s="1328" t="s">
        <v>318</v>
      </c>
      <c r="AWN3" s="1329"/>
      <c r="AWO3" s="1329"/>
      <c r="AWP3" s="1328" t="s">
        <v>319</v>
      </c>
      <c r="AWQ3" s="1329"/>
      <c r="AWR3" s="1329"/>
      <c r="AWS3" s="1328" t="s">
        <v>320</v>
      </c>
      <c r="AWT3" s="1329"/>
      <c r="AWU3" s="1329"/>
      <c r="AWV3" s="1328" t="s">
        <v>321</v>
      </c>
      <c r="AWW3" s="1329"/>
      <c r="AWX3" s="1329"/>
      <c r="AWY3" s="1328" t="s">
        <v>322</v>
      </c>
      <c r="AWZ3" s="1329"/>
      <c r="AXA3" s="1329"/>
      <c r="AXB3" s="1328" t="s">
        <v>323</v>
      </c>
      <c r="AXC3" s="1329"/>
      <c r="AXD3" s="1329"/>
      <c r="AXE3" s="1328" t="s">
        <v>324</v>
      </c>
      <c r="AXF3" s="1329"/>
      <c r="AXG3" s="1329"/>
      <c r="AXH3" s="1328" t="s">
        <v>318</v>
      </c>
      <c r="AXI3" s="1329"/>
      <c r="AXJ3" s="1329"/>
      <c r="AXK3" s="1328" t="s">
        <v>319</v>
      </c>
      <c r="AXL3" s="1329"/>
      <c r="AXM3" s="1329"/>
      <c r="AXN3" s="1328" t="s">
        <v>320</v>
      </c>
      <c r="AXO3" s="1329"/>
      <c r="AXP3" s="1329"/>
      <c r="AXQ3" s="1328" t="s">
        <v>321</v>
      </c>
      <c r="AXR3" s="1329"/>
      <c r="AXS3" s="1329"/>
      <c r="AXT3" s="1328" t="s">
        <v>322</v>
      </c>
      <c r="AXU3" s="1329"/>
      <c r="AXV3" s="1329"/>
      <c r="AXW3" s="1328" t="s">
        <v>323</v>
      </c>
      <c r="AXX3" s="1329"/>
      <c r="AXY3" s="1329"/>
      <c r="AXZ3" s="1328" t="s">
        <v>324</v>
      </c>
      <c r="AYA3" s="1329"/>
      <c r="AYB3" s="1329"/>
      <c r="AYC3" s="1328" t="s">
        <v>318</v>
      </c>
      <c r="AYD3" s="1329"/>
      <c r="AYE3" s="1329"/>
      <c r="AYF3" s="1328" t="s">
        <v>319</v>
      </c>
      <c r="AYG3" s="1329"/>
      <c r="AYH3" s="1329"/>
      <c r="AYI3" s="1328" t="s">
        <v>320</v>
      </c>
      <c r="AYJ3" s="1329"/>
      <c r="AYK3" s="1329"/>
      <c r="AYL3" s="1328" t="s">
        <v>321</v>
      </c>
      <c r="AYM3" s="1329"/>
      <c r="AYN3" s="1329"/>
      <c r="AYO3" s="1328" t="s">
        <v>322</v>
      </c>
      <c r="AYP3" s="1329"/>
      <c r="AYQ3" s="1329"/>
      <c r="AYR3" s="1328" t="s">
        <v>323</v>
      </c>
      <c r="AYS3" s="1329"/>
      <c r="AYT3" s="1329"/>
      <c r="AYU3" s="1328" t="s">
        <v>324</v>
      </c>
      <c r="AYV3" s="1329"/>
      <c r="AYW3" s="1329"/>
      <c r="AYX3" s="1328" t="s">
        <v>318</v>
      </c>
      <c r="AYY3" s="1329"/>
      <c r="AYZ3" s="1329"/>
      <c r="AZA3" s="1328" t="s">
        <v>319</v>
      </c>
      <c r="AZB3" s="1329"/>
      <c r="AZC3" s="1329"/>
      <c r="AZD3" s="1328" t="s">
        <v>320</v>
      </c>
      <c r="AZE3" s="1329"/>
      <c r="AZF3" s="1329"/>
      <c r="AZG3" s="1328" t="s">
        <v>321</v>
      </c>
      <c r="AZH3" s="1329"/>
      <c r="AZI3" s="1329"/>
      <c r="AZJ3" s="1328" t="s">
        <v>322</v>
      </c>
      <c r="AZK3" s="1329"/>
      <c r="AZL3" s="1329"/>
      <c r="AZM3" s="1328" t="s">
        <v>323</v>
      </c>
      <c r="AZN3" s="1329"/>
      <c r="AZO3" s="1329"/>
      <c r="AZP3" s="1328" t="s">
        <v>324</v>
      </c>
      <c r="AZQ3" s="1329"/>
      <c r="AZR3" s="1329"/>
      <c r="AZS3" s="1328" t="s">
        <v>318</v>
      </c>
      <c r="AZT3" s="1329"/>
      <c r="AZU3" s="1329"/>
      <c r="AZV3" s="1328" t="s">
        <v>319</v>
      </c>
      <c r="AZW3" s="1329"/>
      <c r="AZX3" s="1329"/>
      <c r="AZY3" s="1328" t="s">
        <v>320</v>
      </c>
      <c r="AZZ3" s="1329"/>
      <c r="BAA3" s="1329"/>
      <c r="BAB3" s="1328" t="s">
        <v>321</v>
      </c>
      <c r="BAC3" s="1329"/>
      <c r="BAD3" s="1329"/>
      <c r="BAE3" s="1328" t="s">
        <v>322</v>
      </c>
      <c r="BAF3" s="1329"/>
      <c r="BAG3" s="1329"/>
      <c r="BAH3" s="1328" t="s">
        <v>323</v>
      </c>
      <c r="BAI3" s="1329"/>
      <c r="BAJ3" s="1329"/>
    </row>
    <row r="4" spans="1:1388" ht="12" customHeight="1">
      <c r="I4" s="356" t="str">
        <f>IF(OR(J4="SDF",K4="FERIADO"),"SDF","LV")</f>
        <v>SDF</v>
      </c>
      <c r="J4" s="356" t="str">
        <f t="shared" ref="J4" si="238">IF(OR(WEEKDAY(I2,2)&gt;=6),"SDF","LV")</f>
        <v>SDF</v>
      </c>
      <c r="K4" s="356">
        <f>IFERROR(VLOOKUP(I2,CALENDARIO!$B$50:$C$66,2,FALSE),0)</f>
        <v>0</v>
      </c>
      <c r="L4" s="356" t="str">
        <f t="shared" ref="L4" si="239">IF(OR(M4="SDF",N4="FERIADO"),"SDF","LV")</f>
        <v>SDF</v>
      </c>
      <c r="M4" s="356" t="str">
        <f>IF(OR(WEEKDAY(L2,2)&gt;=6),"SDF","LV")</f>
        <v>SDF</v>
      </c>
      <c r="N4" s="356">
        <f>IFERROR(VLOOKUP(L2,CALENDARIO!$B$50:$C$66,2,FALSE),0)</f>
        <v>0</v>
      </c>
      <c r="O4" s="356" t="str">
        <f t="shared" ref="O4" si="240">IF(OR(P4="SDF",Q4="FERIADO"),"SDF","LV")</f>
        <v>LV</v>
      </c>
      <c r="P4" s="356" t="str">
        <f t="shared" ref="P4" si="241">IF(OR(WEEKDAY(O2,2)&gt;=6),"SDF","LV")</f>
        <v>LV</v>
      </c>
      <c r="Q4" s="356">
        <f>IFERROR(VLOOKUP(O2,CALENDARIO!$B$50:$C$66,2,FALSE),0)</f>
        <v>0</v>
      </c>
      <c r="R4" s="356" t="str">
        <f t="shared" ref="R4" si="242">IF(OR(S4="SDF",T4="FERIADO"),"SDF","LV")</f>
        <v>LV</v>
      </c>
      <c r="S4" s="356" t="str">
        <f t="shared" ref="S4" si="243">IF(OR(WEEKDAY(R2,2)&gt;=6),"SDF","LV")</f>
        <v>LV</v>
      </c>
      <c r="T4" s="356">
        <f>IFERROR(VLOOKUP(R2,CALENDARIO!$B$50:$C$66,2,FALSE),0)</f>
        <v>0</v>
      </c>
      <c r="U4" s="356" t="str">
        <f t="shared" ref="U4" si="244">IF(OR(V4="SDF",W4="FERIADO"),"SDF","LV")</f>
        <v>LV</v>
      </c>
      <c r="V4" s="356" t="str">
        <f t="shared" ref="V4" si="245">IF(OR(WEEKDAY(U2,2)&gt;=6),"SDF","LV")</f>
        <v>LV</v>
      </c>
      <c r="W4" s="356">
        <f>IFERROR(VLOOKUP(U2,CALENDARIO!$B$50:$C$66,2,FALSE),0)</f>
        <v>0</v>
      </c>
      <c r="X4" s="356" t="str">
        <f t="shared" ref="X4" si="246">IF(OR(Y4="SDF",Z4="FERIADO"),"SDF","LV")</f>
        <v>LV</v>
      </c>
      <c r="Y4" s="356" t="str">
        <f t="shared" ref="Y4" si="247">IF(OR(WEEKDAY(X2,2)&gt;=6),"SDF","LV")</f>
        <v>LV</v>
      </c>
      <c r="Z4" s="356">
        <f>IFERROR(VLOOKUP(X2,CALENDARIO!$B$50:$C$66,2,FALSE),0)</f>
        <v>0</v>
      </c>
      <c r="AA4" s="356" t="str">
        <f t="shared" ref="AA4" si="248">IF(OR(AB4="SDF",AC4="FERIADO"),"SDF","LV")</f>
        <v>LV</v>
      </c>
      <c r="AB4" s="356" t="str">
        <f t="shared" ref="AB4" si="249">IF(OR(WEEKDAY(AA2,2)&gt;=6),"SDF","LV")</f>
        <v>LV</v>
      </c>
      <c r="AC4" s="356">
        <f>IFERROR(VLOOKUP(AA2,CALENDARIO!$B$50:$C$66,2,FALSE),0)</f>
        <v>0</v>
      </c>
      <c r="AD4" s="356" t="str">
        <f t="shared" ref="AD4" si="250">IF(OR(AE4="SDF",AF4="FERIADO"),"SDF","LV")</f>
        <v>SDF</v>
      </c>
      <c r="AE4" s="356" t="str">
        <f t="shared" ref="AE4" si="251">IF(OR(WEEKDAY(AD2,2)&gt;=6),"SDF","LV")</f>
        <v>SDF</v>
      </c>
      <c r="AF4" s="356">
        <f>IFERROR(VLOOKUP(AD2,CALENDARIO!$B$50:$C$66,2,FALSE),0)</f>
        <v>0</v>
      </c>
      <c r="AG4" s="356" t="str">
        <f t="shared" ref="AG4" si="252">IF(OR(AH4="SDF",AI4="FERIADO"),"SDF","LV")</f>
        <v>SDF</v>
      </c>
      <c r="AH4" s="356" t="str">
        <f t="shared" ref="AH4" si="253">IF(OR(WEEKDAY(AG2,2)&gt;=6),"SDF","LV")</f>
        <v>SDF</v>
      </c>
      <c r="AI4" s="356">
        <f>IFERROR(VLOOKUP(AG2,CALENDARIO!$B$50:$C$66,2,FALSE),0)</f>
        <v>0</v>
      </c>
      <c r="AJ4" s="356" t="str">
        <f t="shared" ref="AJ4" si="254">IF(OR(AK4="SDF",AL4="FERIADO"),"SDF","LV")</f>
        <v>LV</v>
      </c>
      <c r="AK4" s="356" t="str">
        <f t="shared" ref="AK4" si="255">IF(OR(WEEKDAY(AJ2,2)&gt;=6),"SDF","LV")</f>
        <v>LV</v>
      </c>
      <c r="AL4" s="356">
        <f>IFERROR(VLOOKUP(AJ2,CALENDARIO!$B$50:$C$66,2,FALSE),0)</f>
        <v>0</v>
      </c>
      <c r="AM4" s="356" t="str">
        <f t="shared" ref="AM4" si="256">IF(OR(AN4="SDF",AO4="FERIADO"),"SDF","LV")</f>
        <v>LV</v>
      </c>
      <c r="AN4" s="356" t="str">
        <f t="shared" ref="AN4" si="257">IF(OR(WEEKDAY(AM2,2)&gt;=6),"SDF","LV")</f>
        <v>LV</v>
      </c>
      <c r="AO4" s="356">
        <f>IFERROR(VLOOKUP(AM2,CALENDARIO!$B$50:$C$66,2,FALSE),0)</f>
        <v>0</v>
      </c>
      <c r="AP4" s="356" t="str">
        <f t="shared" ref="AP4" si="258">IF(OR(AQ4="SDF",AR4="FERIADO"),"SDF","LV")</f>
        <v>LV</v>
      </c>
      <c r="AQ4" s="356" t="str">
        <f t="shared" ref="AQ4" si="259">IF(OR(WEEKDAY(AP2,2)&gt;=6),"SDF","LV")</f>
        <v>LV</v>
      </c>
      <c r="AR4" s="356">
        <f>IFERROR(VLOOKUP(AP2,CALENDARIO!$B$50:$C$66,2,FALSE),0)</f>
        <v>0</v>
      </c>
      <c r="AS4" s="356" t="str">
        <f t="shared" ref="AS4" si="260">IF(OR(AT4="SDF",AU4="FERIADO"),"SDF","LV")</f>
        <v>LV</v>
      </c>
      <c r="AT4" s="356" t="str">
        <f t="shared" ref="AT4" si="261">IF(OR(WEEKDAY(AS2,2)&gt;=6),"SDF","LV")</f>
        <v>LV</v>
      </c>
      <c r="AU4" s="356">
        <f>IFERROR(VLOOKUP(AS2,CALENDARIO!$B$50:$C$66,2,FALSE),0)</f>
        <v>0</v>
      </c>
      <c r="AV4" s="356" t="str">
        <f t="shared" ref="AV4" si="262">IF(OR(AW4="SDF",AX4="FERIADO"),"SDF","LV")</f>
        <v>LV</v>
      </c>
      <c r="AW4" s="356" t="str">
        <f t="shared" ref="AW4" si="263">IF(OR(WEEKDAY(AV2,2)&gt;=6),"SDF","LV")</f>
        <v>LV</v>
      </c>
      <c r="AX4" s="356">
        <f>IFERROR(VLOOKUP(AV2,CALENDARIO!$B$50:$C$66,2,FALSE),0)</f>
        <v>0</v>
      </c>
      <c r="AY4" s="356" t="str">
        <f t="shared" ref="AY4" si="264">IF(OR(AZ4="SDF",BA4="FERIADO"),"SDF","LV")</f>
        <v>SDF</v>
      </c>
      <c r="AZ4" s="356" t="str">
        <f t="shared" ref="AZ4" si="265">IF(OR(WEEKDAY(AY2,2)&gt;=6),"SDF","LV")</f>
        <v>SDF</v>
      </c>
      <c r="BA4" s="356">
        <f>IFERROR(VLOOKUP(AY2,CALENDARIO!$B$50:$C$66,2,FALSE),0)</f>
        <v>0</v>
      </c>
      <c r="BB4" s="356" t="str">
        <f t="shared" ref="BB4" si="266">IF(OR(BC4="SDF",BD4="FERIADO"),"SDF","LV")</f>
        <v>SDF</v>
      </c>
      <c r="BC4" s="356" t="str">
        <f t="shared" ref="BC4" si="267">IF(OR(WEEKDAY(BB2,2)&gt;=6),"SDF","LV")</f>
        <v>SDF</v>
      </c>
      <c r="BD4" s="356">
        <f>IFERROR(VLOOKUP(BB2,CALENDARIO!$B$50:$C$66,2,FALSE),0)</f>
        <v>0</v>
      </c>
      <c r="BE4" s="356" t="str">
        <f t="shared" ref="BE4" si="268">IF(OR(BF4="SDF",BG4="FERIADO"),"SDF","LV")</f>
        <v>LV</v>
      </c>
      <c r="BF4" s="356" t="str">
        <f t="shared" ref="BF4" si="269">IF(OR(WEEKDAY(BE2,2)&gt;=6),"SDF","LV")</f>
        <v>LV</v>
      </c>
      <c r="BG4" s="356">
        <f>IFERROR(VLOOKUP(BE2,CALENDARIO!$B$50:$C$66,2,FALSE),0)</f>
        <v>0</v>
      </c>
      <c r="BH4" s="356" t="str">
        <f t="shared" ref="BH4" si="270">IF(OR(BI4="SDF",BJ4="FERIADO"),"SDF","LV")</f>
        <v>LV</v>
      </c>
      <c r="BI4" s="356" t="str">
        <f t="shared" ref="BI4" si="271">IF(OR(WEEKDAY(BH2,2)&gt;=6),"SDF","LV")</f>
        <v>LV</v>
      </c>
      <c r="BJ4" s="356">
        <f>IFERROR(VLOOKUP(BH2,CALENDARIO!$B$50:$C$66,2,FALSE),0)</f>
        <v>0</v>
      </c>
      <c r="BK4" s="356" t="str">
        <f t="shared" ref="BK4" si="272">IF(OR(BL4="SDF",BM4="FERIADO"),"SDF","LV")</f>
        <v>LV</v>
      </c>
      <c r="BL4" s="356" t="str">
        <f t="shared" ref="BL4" si="273">IF(OR(WEEKDAY(BK2,2)&gt;=6),"SDF","LV")</f>
        <v>LV</v>
      </c>
      <c r="BM4" s="356">
        <f>IFERROR(VLOOKUP(BK2,CALENDARIO!$B$50:$C$66,2,FALSE),0)</f>
        <v>0</v>
      </c>
      <c r="BN4" s="356" t="str">
        <f t="shared" ref="BN4" si="274">IF(OR(BO4="SDF",BP4="FERIADO"),"SDF","LV")</f>
        <v>LV</v>
      </c>
      <c r="BO4" s="356" t="str">
        <f t="shared" ref="BO4" si="275">IF(OR(WEEKDAY(BN2,2)&gt;=6),"SDF","LV")</f>
        <v>LV</v>
      </c>
      <c r="BP4" s="356">
        <f>IFERROR(VLOOKUP(BN2,CALENDARIO!$B$50:$C$66,2,FALSE),0)</f>
        <v>0</v>
      </c>
      <c r="BQ4" s="356" t="str">
        <f t="shared" ref="BQ4" si="276">IF(OR(BR4="SDF",BS4="FERIADO"),"SDF","LV")</f>
        <v>LV</v>
      </c>
      <c r="BR4" s="356" t="str">
        <f t="shared" ref="BR4" si="277">IF(OR(WEEKDAY(BQ2,2)&gt;=6),"SDF","LV")</f>
        <v>LV</v>
      </c>
      <c r="BS4" s="356">
        <f>IFERROR(VLOOKUP(BQ2,CALENDARIO!$B$50:$C$66,2,FALSE),0)</f>
        <v>0</v>
      </c>
      <c r="BT4" s="356" t="str">
        <f t="shared" ref="BT4" si="278">IF(OR(BU4="SDF",BV4="FERIADO"),"SDF","LV")</f>
        <v>SDF</v>
      </c>
      <c r="BU4" s="356" t="str">
        <f t="shared" ref="BU4" si="279">IF(OR(WEEKDAY(BT2,2)&gt;=6),"SDF","LV")</f>
        <v>SDF</v>
      </c>
      <c r="BV4" s="356">
        <f>IFERROR(VLOOKUP(BT2,CALENDARIO!$B$50:$C$66,2,FALSE),0)</f>
        <v>0</v>
      </c>
      <c r="BW4" s="356" t="str">
        <f t="shared" ref="BW4" si="280">IF(OR(BX4="SDF",BY4="FERIADO"),"SDF","LV")</f>
        <v>SDF</v>
      </c>
      <c r="BX4" s="356" t="str">
        <f t="shared" ref="BX4" si="281">IF(OR(WEEKDAY(BW2,2)&gt;=6),"SDF","LV")</f>
        <v>SDF</v>
      </c>
      <c r="BY4" s="356">
        <f>IFERROR(VLOOKUP(BW2,CALENDARIO!$B$50:$C$66,2,FALSE),0)</f>
        <v>0</v>
      </c>
      <c r="BZ4" s="356" t="str">
        <f t="shared" ref="BZ4" si="282">IF(OR(CA4="SDF",CB4="FERIADO"),"SDF","LV")</f>
        <v>LV</v>
      </c>
      <c r="CA4" s="356" t="str">
        <f t="shared" ref="CA4" si="283">IF(OR(WEEKDAY(BZ2,2)&gt;=6),"SDF","LV")</f>
        <v>LV</v>
      </c>
      <c r="CB4" s="356">
        <f>IFERROR(VLOOKUP(BZ2,CALENDARIO!$B$50:$C$66,2,FALSE),0)</f>
        <v>0</v>
      </c>
      <c r="CC4" s="356" t="str">
        <f t="shared" ref="CC4" si="284">IF(OR(CD4="SDF",CE4="FERIADO"),"SDF","LV")</f>
        <v>LV</v>
      </c>
      <c r="CD4" s="356" t="str">
        <f t="shared" ref="CD4" si="285">IF(OR(WEEKDAY(CC2,2)&gt;=6),"SDF","LV")</f>
        <v>LV</v>
      </c>
      <c r="CE4" s="356">
        <f>IFERROR(VLOOKUP(CC2,CALENDARIO!$B$50:$C$66,2,FALSE),0)</f>
        <v>0</v>
      </c>
      <c r="CF4" s="356" t="str">
        <f t="shared" ref="CF4" si="286">IF(OR(CG4="SDF",CH4="FERIADO"),"SDF","LV")</f>
        <v>LV</v>
      </c>
      <c r="CG4" s="356" t="str">
        <f t="shared" ref="CG4" si="287">IF(OR(WEEKDAY(CF2,2)&gt;=6),"SDF","LV")</f>
        <v>LV</v>
      </c>
      <c r="CH4" s="356">
        <f>IFERROR(VLOOKUP(CF2,CALENDARIO!$B$50:$C$66,2,FALSE),0)</f>
        <v>0</v>
      </c>
      <c r="CI4" s="356" t="str">
        <f t="shared" ref="CI4" si="288">IF(OR(CJ4="SDF",CK4="FERIADO"),"SDF","LV")</f>
        <v>LV</v>
      </c>
      <c r="CJ4" s="356" t="str">
        <f t="shared" ref="CJ4" si="289">IF(OR(WEEKDAY(CI2,2)&gt;=6),"SDF","LV")</f>
        <v>LV</v>
      </c>
      <c r="CK4" s="356">
        <f>IFERROR(VLOOKUP(CI2,CALENDARIO!$B$50:$C$66,2,FALSE),0)</f>
        <v>0</v>
      </c>
      <c r="CL4" s="356" t="str">
        <f t="shared" ref="CL4" si="290">IF(OR(CM4="SDF",CN4="FERIADO"),"SDF","LV")</f>
        <v>LV</v>
      </c>
      <c r="CM4" s="356" t="str">
        <f t="shared" ref="CM4" si="291">IF(OR(WEEKDAY(CL2,2)&gt;=6),"SDF","LV")</f>
        <v>LV</v>
      </c>
      <c r="CN4" s="356">
        <f>IFERROR(VLOOKUP(CL2,CALENDARIO!$B$50:$C$66,2,FALSE),0)</f>
        <v>0</v>
      </c>
      <c r="CO4" s="356" t="str">
        <f t="shared" ref="CO4" si="292">IF(OR(CP4="SDF",CQ4="FERIADO"),"SDF","LV")</f>
        <v>SDF</v>
      </c>
      <c r="CP4" s="356" t="str">
        <f t="shared" ref="CP4" si="293">IF(OR(WEEKDAY(CO2,2)&gt;=6),"SDF","LV")</f>
        <v>SDF</v>
      </c>
      <c r="CQ4" s="356">
        <f>IFERROR(VLOOKUP(CO2,CALENDARIO!$B$50:$C$66,2,FALSE),0)</f>
        <v>0</v>
      </c>
      <c r="CR4" s="356" t="str">
        <f t="shared" ref="CR4" si="294">IF(OR(CS4="SDF",CT4="FERIADO"),"SDF","LV")</f>
        <v>SDF</v>
      </c>
      <c r="CS4" s="356" t="str">
        <f t="shared" ref="CS4" si="295">IF(OR(WEEKDAY(CR2,2)&gt;=6),"SDF","LV")</f>
        <v>SDF</v>
      </c>
      <c r="CT4" s="356">
        <f>IFERROR(VLOOKUP(CR2,CALENDARIO!$B$50:$C$66,2,FALSE),0)</f>
        <v>0</v>
      </c>
      <c r="CU4" s="356" t="str">
        <f t="shared" ref="CU4" si="296">IF(OR(CV4="SDF",CW4="FERIADO"),"SDF","LV")</f>
        <v>LV</v>
      </c>
      <c r="CV4" s="356" t="str">
        <f t="shared" ref="CV4" si="297">IF(OR(WEEKDAY(CU2,2)&gt;=6),"SDF","LV")</f>
        <v>LV</v>
      </c>
      <c r="CW4" s="356">
        <f>IFERROR(VLOOKUP(CU2,CALENDARIO!$B$50:$C$66,2,FALSE),0)</f>
        <v>0</v>
      </c>
      <c r="CX4" s="356" t="str">
        <f t="shared" ref="CX4" si="298">IF(OR(CY4="SDF",CZ4="FERIADO"),"SDF","LV")</f>
        <v>LV</v>
      </c>
      <c r="CY4" s="356" t="str">
        <f t="shared" ref="CY4" si="299">IF(OR(WEEKDAY(CX2,2)&gt;=6),"SDF","LV")</f>
        <v>LV</v>
      </c>
      <c r="CZ4" s="356">
        <f>IFERROR(VLOOKUP(CX2,CALENDARIO!$B$50:$C$66,2,FALSE),0)</f>
        <v>0</v>
      </c>
      <c r="DA4" s="356" t="str">
        <f t="shared" ref="DA4" si="300">IF(OR(DB4="SDF",DC4="FERIADO"),"SDF","LV")</f>
        <v>LV</v>
      </c>
      <c r="DB4" s="356" t="str">
        <f t="shared" ref="DB4" si="301">IF(OR(WEEKDAY(DA2,2)&gt;=6),"SDF","LV")</f>
        <v>LV</v>
      </c>
      <c r="DC4" s="356">
        <f>IFERROR(VLOOKUP(DA2,CALENDARIO!$B$50:$C$66,2,FALSE),0)</f>
        <v>0</v>
      </c>
      <c r="DD4" s="356" t="str">
        <f t="shared" ref="DD4" si="302">IF(OR(DE4="SDF",DF4="FERIADO"),"SDF","LV")</f>
        <v>LV</v>
      </c>
      <c r="DE4" s="356" t="str">
        <f t="shared" ref="DE4" si="303">IF(OR(WEEKDAY(DD2,2)&gt;=6),"SDF","LV")</f>
        <v>LV</v>
      </c>
      <c r="DF4" s="356">
        <f>IFERROR(VLOOKUP(DD2,CALENDARIO!$B$50:$C$66,2,FALSE),0)</f>
        <v>0</v>
      </c>
      <c r="DG4" s="356" t="str">
        <f t="shared" ref="DG4" si="304">IF(OR(DH4="SDF",DI4="FERIADO"),"SDF","LV")</f>
        <v>LV</v>
      </c>
      <c r="DH4" s="356" t="str">
        <f t="shared" ref="DH4" si="305">IF(OR(WEEKDAY(DG2,2)&gt;=6),"SDF","LV")</f>
        <v>LV</v>
      </c>
      <c r="DI4" s="356">
        <f>IFERROR(VLOOKUP(DG2,CALENDARIO!$B$50:$C$66,2,FALSE),0)</f>
        <v>0</v>
      </c>
      <c r="DJ4" s="356" t="str">
        <f t="shared" ref="DJ4" si="306">IF(OR(DK4="SDF",DL4="FERIADO"),"SDF","LV")</f>
        <v>SDF</v>
      </c>
      <c r="DK4" s="356" t="str">
        <f t="shared" ref="DK4" si="307">IF(OR(WEEKDAY(DJ2,2)&gt;=6),"SDF","LV")</f>
        <v>SDF</v>
      </c>
      <c r="DL4" s="356">
        <f>IFERROR(VLOOKUP(DJ2,CALENDARIO!$B$50:$C$66,2,FALSE),0)</f>
        <v>0</v>
      </c>
      <c r="DM4" s="356" t="str">
        <f t="shared" ref="DM4" si="308">IF(OR(DN4="SDF",DO4="FERIADO"),"SDF","LV")</f>
        <v>SDF</v>
      </c>
      <c r="DN4" s="356" t="str">
        <f t="shared" ref="DN4" si="309">IF(OR(WEEKDAY(DM2,2)&gt;=6),"SDF","LV")</f>
        <v>SDF</v>
      </c>
      <c r="DO4" s="356">
        <f>IFERROR(VLOOKUP(DM2,CALENDARIO!$B$50:$C$66,2,FALSE),0)</f>
        <v>0</v>
      </c>
      <c r="DP4" s="356" t="str">
        <f t="shared" ref="DP4" si="310">IF(OR(DQ4="SDF",DR4="FERIADO"),"SDF","LV")</f>
        <v>LV</v>
      </c>
      <c r="DQ4" s="356" t="str">
        <f t="shared" ref="DQ4" si="311">IF(OR(WEEKDAY(DP2,2)&gt;=6),"SDF","LV")</f>
        <v>LV</v>
      </c>
      <c r="DR4" s="356">
        <f>IFERROR(VLOOKUP(DP2,CALENDARIO!$B$50:$C$66,2,FALSE),0)</f>
        <v>0</v>
      </c>
      <c r="DS4" s="356" t="str">
        <f t="shared" ref="DS4" si="312">IF(OR(DT4="SDF",DU4="FERIADO"),"SDF","LV")</f>
        <v>LV</v>
      </c>
      <c r="DT4" s="356" t="str">
        <f t="shared" ref="DT4" si="313">IF(OR(WEEKDAY(DS2,2)&gt;=6),"SDF","LV")</f>
        <v>LV</v>
      </c>
      <c r="DU4" s="356">
        <f>IFERROR(VLOOKUP(DS2,CALENDARIO!$B$50:$C$66,2,FALSE),0)</f>
        <v>0</v>
      </c>
      <c r="DV4" s="356" t="str">
        <f t="shared" ref="DV4" si="314">IF(OR(DW4="SDF",DX4="FERIADO"),"SDF","LV")</f>
        <v>LV</v>
      </c>
      <c r="DW4" s="356" t="str">
        <f t="shared" ref="DW4" si="315">IF(OR(WEEKDAY(DV2,2)&gt;=6),"SDF","LV")</f>
        <v>LV</v>
      </c>
      <c r="DX4" s="356">
        <f>IFERROR(VLOOKUP(DV2,CALENDARIO!$B$50:$C$66,2,FALSE),0)</f>
        <v>0</v>
      </c>
      <c r="DY4" s="356" t="str">
        <f t="shared" ref="DY4" si="316">IF(OR(DZ4="SDF",EA4="FERIADO"),"SDF","LV")</f>
        <v>LV</v>
      </c>
      <c r="DZ4" s="356" t="str">
        <f t="shared" ref="DZ4" si="317">IF(OR(WEEKDAY(DY2,2)&gt;=6),"SDF","LV")</f>
        <v>LV</v>
      </c>
      <c r="EA4" s="356">
        <f>IFERROR(VLOOKUP(DY2,CALENDARIO!$B$50:$C$66,2,FALSE),0)</f>
        <v>0</v>
      </c>
      <c r="EB4" s="356" t="str">
        <f t="shared" ref="EB4" si="318">IF(OR(EC4="SDF",ED4="FERIADO"),"SDF","LV")</f>
        <v>LV</v>
      </c>
      <c r="EC4" s="356" t="str">
        <f t="shared" ref="EC4" si="319">IF(OR(WEEKDAY(EB2,2)&gt;=6),"SDF","LV")</f>
        <v>LV</v>
      </c>
      <c r="ED4" s="356">
        <f>IFERROR(VLOOKUP(EB2,CALENDARIO!$B$50:$C$66,2,FALSE),0)</f>
        <v>0</v>
      </c>
      <c r="EE4" s="356" t="str">
        <f t="shared" ref="EE4" si="320">IF(OR(EF4="SDF",EG4="FERIADO"),"SDF","LV")</f>
        <v>SDF</v>
      </c>
      <c r="EF4" s="356" t="str">
        <f t="shared" ref="EF4" si="321">IF(OR(WEEKDAY(EE2,2)&gt;=6),"SDF","LV")</f>
        <v>SDF</v>
      </c>
      <c r="EG4" s="356">
        <f>IFERROR(VLOOKUP(EE2,CALENDARIO!$B$50:$C$66,2,FALSE),0)</f>
        <v>0</v>
      </c>
      <c r="EH4" s="356" t="str">
        <f t="shared" ref="EH4" si="322">IF(OR(EI4="SDF",EJ4="FERIADO"),"SDF","LV")</f>
        <v>SDF</v>
      </c>
      <c r="EI4" s="356" t="str">
        <f t="shared" ref="EI4" si="323">IF(OR(WEEKDAY(EH2,2)&gt;=6),"SDF","LV")</f>
        <v>SDF</v>
      </c>
      <c r="EJ4" s="356">
        <f>IFERROR(VLOOKUP(EH2,CALENDARIO!$B$50:$C$66,2,FALSE),0)</f>
        <v>0</v>
      </c>
      <c r="EK4" s="356" t="str">
        <f t="shared" ref="EK4" si="324">IF(OR(EL4="SDF",EM4="FERIADO"),"SDF","LV")</f>
        <v>LV</v>
      </c>
      <c r="EL4" s="356" t="str">
        <f t="shared" ref="EL4" si="325">IF(OR(WEEKDAY(EK2,2)&gt;=6),"SDF","LV")</f>
        <v>LV</v>
      </c>
      <c r="EM4" s="356">
        <f>IFERROR(VLOOKUP(EK2,CALENDARIO!$B$50:$C$66,2,FALSE),0)</f>
        <v>0</v>
      </c>
      <c r="EN4" s="356" t="str">
        <f t="shared" ref="EN4" si="326">IF(OR(EO4="SDF",EP4="FERIADO"),"SDF","LV")</f>
        <v>LV</v>
      </c>
      <c r="EO4" s="356" t="str">
        <f t="shared" ref="EO4" si="327">IF(OR(WEEKDAY(EN2,2)&gt;=6),"SDF","LV")</f>
        <v>LV</v>
      </c>
      <c r="EP4" s="356">
        <f>IFERROR(VLOOKUP(EN2,CALENDARIO!$B$50:$C$66,2,FALSE),0)</f>
        <v>0</v>
      </c>
      <c r="EQ4" s="356" t="str">
        <f t="shared" ref="EQ4" si="328">IF(OR(ER4="SDF",ES4="FERIADO"),"SDF","LV")</f>
        <v>LV</v>
      </c>
      <c r="ER4" s="356" t="str">
        <f t="shared" ref="ER4" si="329">IF(OR(WEEKDAY(EQ2,2)&gt;=6),"SDF","LV")</f>
        <v>LV</v>
      </c>
      <c r="ES4" s="356">
        <f>IFERROR(VLOOKUP(EQ2,CALENDARIO!$B$50:$C$66,2,FALSE),0)</f>
        <v>0</v>
      </c>
      <c r="ET4" s="356" t="str">
        <f t="shared" ref="ET4" si="330">IF(OR(EU4="SDF",EV4="FERIADO"),"SDF","LV")</f>
        <v>LV</v>
      </c>
      <c r="EU4" s="356" t="str">
        <f t="shared" ref="EU4" si="331">IF(OR(WEEKDAY(ET2,2)&gt;=6),"SDF","LV")</f>
        <v>LV</v>
      </c>
      <c r="EV4" s="356">
        <f>IFERROR(VLOOKUP(ET2,CALENDARIO!$B$50:$C$66,2,FALSE),0)</f>
        <v>0</v>
      </c>
      <c r="EW4" s="356" t="str">
        <f t="shared" ref="EW4" si="332">IF(OR(EX4="SDF",EY4="FERIADO"),"SDF","LV")</f>
        <v>LV</v>
      </c>
      <c r="EX4" s="356" t="str">
        <f t="shared" ref="EX4" si="333">IF(OR(WEEKDAY(EW2,2)&gt;=6),"SDF","LV")</f>
        <v>LV</v>
      </c>
      <c r="EY4" s="356">
        <f>IFERROR(VLOOKUP(EW2,CALENDARIO!$B$50:$C$66,2,FALSE),0)</f>
        <v>0</v>
      </c>
      <c r="EZ4" s="356" t="str">
        <f t="shared" ref="EZ4" si="334">IF(OR(FA4="SDF",FB4="FERIADO"),"SDF","LV")</f>
        <v>SDF</v>
      </c>
      <c r="FA4" s="356" t="str">
        <f t="shared" ref="FA4" si="335">IF(OR(WEEKDAY(EZ2,2)&gt;=6),"SDF","LV")</f>
        <v>SDF</v>
      </c>
      <c r="FB4" s="356">
        <f>IFERROR(VLOOKUP(EZ2,CALENDARIO!$B$50:$C$66,2,FALSE),0)</f>
        <v>0</v>
      </c>
      <c r="FC4" s="356" t="str">
        <f t="shared" ref="FC4" si="336">IF(OR(FD4="SDF",FE4="FERIADO"),"SDF","LV")</f>
        <v>SDF</v>
      </c>
      <c r="FD4" s="356" t="str">
        <f t="shared" ref="FD4" si="337">IF(OR(WEEKDAY(FC2,2)&gt;=6),"SDF","LV")</f>
        <v>SDF</v>
      </c>
      <c r="FE4" s="356">
        <f>IFERROR(VLOOKUP(FC2,CALENDARIO!$B$50:$C$66,2,FALSE),0)</f>
        <v>0</v>
      </c>
      <c r="FF4" s="356" t="str">
        <f t="shared" ref="FF4" si="338">IF(OR(FG4="SDF",FH4="FERIADO"),"SDF","LV")</f>
        <v>LV</v>
      </c>
      <c r="FG4" s="356" t="str">
        <f t="shared" ref="FG4" si="339">IF(OR(WEEKDAY(FF2,2)&gt;=6),"SDF","LV")</f>
        <v>LV</v>
      </c>
      <c r="FH4" s="356">
        <f>IFERROR(VLOOKUP(FF2,CALENDARIO!$B$50:$C$66,2,FALSE),0)</f>
        <v>0</v>
      </c>
      <c r="FI4" s="356" t="str">
        <f t="shared" ref="FI4" si="340">IF(OR(FJ4="SDF",FK4="FERIADO"),"SDF","LV")</f>
        <v>LV</v>
      </c>
      <c r="FJ4" s="356" t="str">
        <f t="shared" ref="FJ4" si="341">IF(OR(WEEKDAY(FI2,2)&gt;=6),"SDF","LV")</f>
        <v>LV</v>
      </c>
      <c r="FK4" s="356">
        <f>IFERROR(VLOOKUP(FI2,CALENDARIO!$B$50:$C$66,2,FALSE),0)</f>
        <v>0</v>
      </c>
      <c r="FL4" s="356" t="str">
        <f t="shared" ref="FL4" si="342">IF(OR(FM4="SDF",FN4="FERIADO"),"SDF","LV")</f>
        <v>LV</v>
      </c>
      <c r="FM4" s="356" t="str">
        <f t="shared" ref="FM4" si="343">IF(OR(WEEKDAY(FL2,2)&gt;=6),"SDF","LV")</f>
        <v>LV</v>
      </c>
      <c r="FN4" s="356">
        <f>IFERROR(VLOOKUP(FL2,CALENDARIO!$B$50:$C$66,2,FALSE),0)</f>
        <v>0</v>
      </c>
      <c r="FO4" s="356" t="str">
        <f t="shared" ref="FO4" si="344">IF(OR(FP4="SDF",FQ4="FERIADO"),"SDF","LV")</f>
        <v>LV</v>
      </c>
      <c r="FP4" s="356" t="str">
        <f t="shared" ref="FP4" si="345">IF(OR(WEEKDAY(FO2,2)&gt;=6),"SDF","LV")</f>
        <v>LV</v>
      </c>
      <c r="FQ4" s="356">
        <f>IFERROR(VLOOKUP(FO2,CALENDARIO!$B$50:$C$66,2,FALSE),0)</f>
        <v>0</v>
      </c>
      <c r="FR4" s="356" t="str">
        <f t="shared" ref="FR4" si="346">IF(OR(FS4="SDF",FT4="FERIADO"),"SDF","LV")</f>
        <v>LV</v>
      </c>
      <c r="FS4" s="356" t="str">
        <f t="shared" ref="FS4" si="347">IF(OR(WEEKDAY(FR2,2)&gt;=6),"SDF","LV")</f>
        <v>LV</v>
      </c>
      <c r="FT4" s="356">
        <f>IFERROR(VLOOKUP(FR2,CALENDARIO!$B$50:$C$66,2,FALSE),0)</f>
        <v>0</v>
      </c>
      <c r="FU4" s="356" t="str">
        <f t="shared" ref="FU4" si="348">IF(OR(FV4="SDF",FW4="FERIADO"),"SDF","LV")</f>
        <v>SDF</v>
      </c>
      <c r="FV4" s="356" t="str">
        <f t="shared" ref="FV4" si="349">IF(OR(WEEKDAY(FU2,2)&gt;=6),"SDF","LV")</f>
        <v>SDF</v>
      </c>
      <c r="FW4" s="356">
        <f>IFERROR(VLOOKUP(FU2,CALENDARIO!$B$50:$C$66,2,FALSE),0)</f>
        <v>0</v>
      </c>
      <c r="FX4" s="356" t="str">
        <f t="shared" ref="FX4" si="350">IF(OR(FY4="SDF",FZ4="FERIADO"),"SDF","LV")</f>
        <v>SDF</v>
      </c>
      <c r="FY4" s="356" t="str">
        <f t="shared" ref="FY4" si="351">IF(OR(WEEKDAY(FX2,2)&gt;=6),"SDF","LV")</f>
        <v>SDF</v>
      </c>
      <c r="FZ4" s="356">
        <f>IFERROR(VLOOKUP(FX2,CALENDARIO!$B$50:$C$66,2,FALSE),0)</f>
        <v>0</v>
      </c>
      <c r="GA4" s="356" t="str">
        <f t="shared" ref="GA4" si="352">IF(OR(GB4="SDF",GC4="FERIADO"),"SDF","LV")</f>
        <v>LV</v>
      </c>
      <c r="GB4" s="356" t="str">
        <f t="shared" ref="GB4" si="353">IF(OR(WEEKDAY(GA2,2)&gt;=6),"SDF","LV")</f>
        <v>LV</v>
      </c>
      <c r="GC4" s="356">
        <f>IFERROR(VLOOKUP(GA2,CALENDARIO!$B$50:$C$66,2,FALSE),0)</f>
        <v>0</v>
      </c>
      <c r="GD4" s="356" t="str">
        <f t="shared" ref="GD4" si="354">IF(OR(GE4="SDF",GF4="FERIADO"),"SDF","LV")</f>
        <v>LV</v>
      </c>
      <c r="GE4" s="356" t="str">
        <f t="shared" ref="GE4" si="355">IF(OR(WEEKDAY(GD2,2)&gt;=6),"SDF","LV")</f>
        <v>LV</v>
      </c>
      <c r="GF4" s="356">
        <f>IFERROR(VLOOKUP(GD2,CALENDARIO!$B$50:$C$66,2,FALSE),0)</f>
        <v>0</v>
      </c>
      <c r="GG4" s="356" t="str">
        <f t="shared" ref="GG4" si="356">IF(OR(GH4="SDF",GI4="FERIADO"),"SDF","LV")</f>
        <v>LV</v>
      </c>
      <c r="GH4" s="356" t="str">
        <f t="shared" ref="GH4" si="357">IF(OR(WEEKDAY(GG2,2)&gt;=6),"SDF","LV")</f>
        <v>LV</v>
      </c>
      <c r="GI4" s="356">
        <f>IFERROR(VLOOKUP(GG2,CALENDARIO!$B$50:$C$66,2,FALSE),0)</f>
        <v>0</v>
      </c>
      <c r="GJ4" s="356" t="str">
        <f t="shared" ref="GJ4" si="358">IF(OR(GK4="SDF",GL4="FERIADO"),"SDF","LV")</f>
        <v>LV</v>
      </c>
      <c r="GK4" s="356" t="str">
        <f t="shared" ref="GK4" si="359">IF(OR(WEEKDAY(GJ2,2)&gt;=6),"SDF","LV")</f>
        <v>LV</v>
      </c>
      <c r="GL4" s="356">
        <f>IFERROR(VLOOKUP(GJ2,CALENDARIO!$B$50:$C$66,2,FALSE),0)</f>
        <v>0</v>
      </c>
      <c r="GM4" s="356" t="str">
        <f t="shared" ref="GM4" si="360">IF(OR(GN4="SDF",GO4="FERIADO"),"SDF","LV")</f>
        <v>LV</v>
      </c>
      <c r="GN4" s="356" t="str">
        <f t="shared" ref="GN4" si="361">IF(OR(WEEKDAY(GM2,2)&gt;=6),"SDF","LV")</f>
        <v>LV</v>
      </c>
      <c r="GO4" s="356">
        <f>IFERROR(VLOOKUP(GM2,CALENDARIO!$B$50:$C$66,2,FALSE),0)</f>
        <v>0</v>
      </c>
      <c r="GP4" s="356" t="str">
        <f t="shared" ref="GP4" si="362">IF(OR(GQ4="SDF",GR4="FERIADO"),"SDF","LV")</f>
        <v>SDF</v>
      </c>
      <c r="GQ4" s="356" t="str">
        <f t="shared" ref="GQ4" si="363">IF(OR(WEEKDAY(GP2,2)&gt;=6),"SDF","LV")</f>
        <v>SDF</v>
      </c>
      <c r="GR4" s="356">
        <f>IFERROR(VLOOKUP(GP2,CALENDARIO!$B$50:$C$66,2,FALSE),0)</f>
        <v>0</v>
      </c>
      <c r="GS4" s="356" t="str">
        <f t="shared" ref="GS4" si="364">IF(OR(GT4="SDF",GU4="FERIADO"),"SDF","LV")</f>
        <v>SDF</v>
      </c>
      <c r="GT4" s="356" t="str">
        <f t="shared" ref="GT4" si="365">IF(OR(WEEKDAY(GS2,2)&gt;=6),"SDF","LV")</f>
        <v>SDF</v>
      </c>
      <c r="GU4" s="356">
        <f>IFERROR(VLOOKUP(GS2,CALENDARIO!$B$50:$C$66,2,FALSE),0)</f>
        <v>0</v>
      </c>
      <c r="GV4" s="356" t="str">
        <f t="shared" ref="GV4" si="366">IF(OR(GW4="SDF",GX4="FERIADO"),"SDF","LV")</f>
        <v>LV</v>
      </c>
      <c r="GW4" s="356" t="str">
        <f t="shared" ref="GW4" si="367">IF(OR(WEEKDAY(GV2,2)&gt;=6),"SDF","LV")</f>
        <v>LV</v>
      </c>
      <c r="GX4" s="356">
        <f>IFERROR(VLOOKUP(GV2,CALENDARIO!$B$50:$C$66,2,FALSE),0)</f>
        <v>0</v>
      </c>
      <c r="GY4" s="356" t="str">
        <f t="shared" ref="GY4" si="368">IF(OR(GZ4="SDF",HA4="FERIADO"),"SDF","LV")</f>
        <v>LV</v>
      </c>
      <c r="GZ4" s="356" t="str">
        <f t="shared" ref="GZ4" si="369">IF(OR(WEEKDAY(GY2,2)&gt;=6),"SDF","LV")</f>
        <v>LV</v>
      </c>
      <c r="HA4" s="356">
        <f>IFERROR(VLOOKUP(GY2,CALENDARIO!$B$50:$C$66,2,FALSE),0)</f>
        <v>0</v>
      </c>
      <c r="HB4" s="356" t="str">
        <f t="shared" ref="HB4" si="370">IF(OR(HC4="SDF",HD4="FERIADO"),"SDF","LV")</f>
        <v>LV</v>
      </c>
      <c r="HC4" s="356" t="str">
        <f t="shared" ref="HC4" si="371">IF(OR(WEEKDAY(HB2,2)&gt;=6),"SDF","LV")</f>
        <v>LV</v>
      </c>
      <c r="HD4" s="356">
        <f>IFERROR(VLOOKUP(HB2,CALENDARIO!$B$50:$C$66,2,FALSE),0)</f>
        <v>0</v>
      </c>
      <c r="HE4" s="356" t="str">
        <f t="shared" ref="HE4" si="372">IF(OR(HF4="SDF",HG4="FERIADO"),"SDF","LV")</f>
        <v>LV</v>
      </c>
      <c r="HF4" s="356" t="str">
        <f t="shared" ref="HF4" si="373">IF(OR(WEEKDAY(HE2,2)&gt;=6),"SDF","LV")</f>
        <v>LV</v>
      </c>
      <c r="HG4" s="356">
        <f>IFERROR(VLOOKUP(HE2,CALENDARIO!$B$50:$C$66,2,FALSE),0)</f>
        <v>0</v>
      </c>
      <c r="HH4" s="356" t="str">
        <f t="shared" ref="HH4" si="374">IF(OR(HI4="SDF",HJ4="FERIADO"),"SDF","LV")</f>
        <v>LV</v>
      </c>
      <c r="HI4" s="356" t="str">
        <f t="shared" ref="HI4" si="375">IF(OR(WEEKDAY(HH2,2)&gt;=6),"SDF","LV")</f>
        <v>LV</v>
      </c>
      <c r="HJ4" s="356">
        <f>IFERROR(VLOOKUP(HH2,CALENDARIO!$B$50:$C$66,2,FALSE),0)</f>
        <v>0</v>
      </c>
      <c r="HK4" s="356" t="str">
        <f t="shared" ref="HK4" si="376">IF(OR(HL4="SDF",HM4="FERIADO"),"SDF","LV")</f>
        <v>SDF</v>
      </c>
      <c r="HL4" s="356" t="str">
        <f t="shared" ref="HL4" si="377">IF(OR(WEEKDAY(HK2,2)&gt;=6),"SDF","LV")</f>
        <v>SDF</v>
      </c>
      <c r="HM4" s="356">
        <f>IFERROR(VLOOKUP(HK2,CALENDARIO!$B$50:$C$66,2,FALSE),0)</f>
        <v>0</v>
      </c>
      <c r="HN4" s="356" t="str">
        <f t="shared" ref="HN4" si="378">IF(OR(HO4="SDF",HP4="FERIADO"),"SDF","LV")</f>
        <v>SDF</v>
      </c>
      <c r="HO4" s="356" t="str">
        <f t="shared" ref="HO4" si="379">IF(OR(WEEKDAY(HN2,2)&gt;=6),"SDF","LV")</f>
        <v>SDF</v>
      </c>
      <c r="HP4" s="356">
        <f>IFERROR(VLOOKUP(HN2,CALENDARIO!$B$50:$C$66,2,FALSE),0)</f>
        <v>0</v>
      </c>
      <c r="HQ4" s="356" t="str">
        <f t="shared" ref="HQ4" si="380">IF(OR(HR4="SDF",HS4="FERIADO"),"SDF","LV")</f>
        <v>LV</v>
      </c>
      <c r="HR4" s="356" t="str">
        <f t="shared" ref="HR4" si="381">IF(OR(WEEKDAY(HQ2,2)&gt;=6),"SDF","LV")</f>
        <v>LV</v>
      </c>
      <c r="HS4" s="356">
        <f>IFERROR(VLOOKUP(HQ2,CALENDARIO!$B$50:$C$66,2,FALSE),0)</f>
        <v>0</v>
      </c>
      <c r="HT4" s="356" t="str">
        <f t="shared" ref="HT4" si="382">IF(OR(HU4="SDF",HV4="FERIADO"),"SDF","LV")</f>
        <v>LV</v>
      </c>
      <c r="HU4" s="356" t="str">
        <f t="shared" ref="HU4" si="383">IF(OR(WEEKDAY(HT2,2)&gt;=6),"SDF","LV")</f>
        <v>LV</v>
      </c>
      <c r="HV4" s="356">
        <f>IFERROR(VLOOKUP(HT2,CALENDARIO!$B$50:$C$66,2,FALSE),0)</f>
        <v>0</v>
      </c>
      <c r="HW4" s="356" t="str">
        <f t="shared" ref="HW4" si="384">IF(OR(HX4="SDF",HY4="FERIADO"),"SDF","LV")</f>
        <v>LV</v>
      </c>
      <c r="HX4" s="356" t="str">
        <f t="shared" ref="HX4" si="385">IF(OR(WEEKDAY(HW2,2)&gt;=6),"SDF","LV")</f>
        <v>LV</v>
      </c>
      <c r="HY4" s="356">
        <f>IFERROR(VLOOKUP(HW2,CALENDARIO!$B$50:$C$66,2,FALSE),0)</f>
        <v>0</v>
      </c>
      <c r="HZ4" s="356" t="str">
        <f t="shared" ref="HZ4" si="386">IF(OR(IA4="SDF",IB4="FERIADO"),"SDF","LV")</f>
        <v>LV</v>
      </c>
      <c r="IA4" s="356" t="str">
        <f t="shared" ref="IA4" si="387">IF(OR(WEEKDAY(HZ2,2)&gt;=6),"SDF","LV")</f>
        <v>LV</v>
      </c>
      <c r="IB4" s="356">
        <f>IFERROR(VLOOKUP(HZ2,CALENDARIO!$B$50:$C$66,2,FALSE),0)</f>
        <v>0</v>
      </c>
      <c r="IC4" s="356" t="str">
        <f t="shared" ref="IC4" si="388">IF(OR(ID4="SDF",IE4="FERIADO"),"SDF","LV")</f>
        <v>LV</v>
      </c>
      <c r="ID4" s="356" t="str">
        <f t="shared" ref="ID4" si="389">IF(OR(WEEKDAY(IC2,2)&gt;=6),"SDF","LV")</f>
        <v>LV</v>
      </c>
      <c r="IE4" s="356">
        <f>IFERROR(VLOOKUP(IC2,CALENDARIO!$B$50:$C$66,2,FALSE),0)</f>
        <v>0</v>
      </c>
      <c r="IF4" s="356" t="str">
        <f t="shared" ref="IF4" si="390">IF(OR(IG4="SDF",IH4="FERIADO"),"SDF","LV")</f>
        <v>SDF</v>
      </c>
      <c r="IG4" s="356" t="str">
        <f t="shared" ref="IG4" si="391">IF(OR(WEEKDAY(IF2,2)&gt;=6),"SDF","LV")</f>
        <v>SDF</v>
      </c>
      <c r="IH4" s="356">
        <f>IFERROR(VLOOKUP(IF2,CALENDARIO!$B$50:$C$66,2,FALSE),0)</f>
        <v>0</v>
      </c>
      <c r="II4" s="356" t="str">
        <f t="shared" ref="II4" si="392">IF(OR(IJ4="SDF",IK4="FERIADO"),"SDF","LV")</f>
        <v>SDF</v>
      </c>
      <c r="IJ4" s="356" t="str">
        <f t="shared" ref="IJ4" si="393">IF(OR(WEEKDAY(II2,2)&gt;=6),"SDF","LV")</f>
        <v>SDF</v>
      </c>
      <c r="IK4" s="356">
        <f>IFERROR(VLOOKUP(II2,CALENDARIO!$B$50:$C$66,2,FALSE),0)</f>
        <v>0</v>
      </c>
      <c r="IL4" s="356" t="str">
        <f t="shared" ref="IL4" si="394">IF(OR(IM4="SDF",IN4="FERIADO"),"SDF","LV")</f>
        <v>LV</v>
      </c>
      <c r="IM4" s="356" t="str">
        <f t="shared" ref="IM4" si="395">IF(OR(WEEKDAY(IL2,2)&gt;=6),"SDF","LV")</f>
        <v>LV</v>
      </c>
      <c r="IN4" s="356">
        <f>IFERROR(VLOOKUP(IL2,CALENDARIO!$B$50:$C$66,2,FALSE),0)</f>
        <v>0</v>
      </c>
      <c r="IO4" s="356" t="str">
        <f t="shared" ref="IO4" si="396">IF(OR(IP4="SDF",IQ4="FERIADO"),"SDF","LV")</f>
        <v>LV</v>
      </c>
      <c r="IP4" s="356" t="str">
        <f t="shared" ref="IP4" si="397">IF(OR(WEEKDAY(IO2,2)&gt;=6),"SDF","LV")</f>
        <v>LV</v>
      </c>
      <c r="IQ4" s="356">
        <f>IFERROR(VLOOKUP(IO2,CALENDARIO!$B$50:$C$66,2,FALSE),0)</f>
        <v>0</v>
      </c>
      <c r="IR4" s="356" t="str">
        <f t="shared" ref="IR4" si="398">IF(OR(IS4="SDF",IT4="FERIADO"),"SDF","LV")</f>
        <v>LV</v>
      </c>
      <c r="IS4" s="356" t="str">
        <f t="shared" ref="IS4" si="399">IF(OR(WEEKDAY(IR2,2)&gt;=6),"SDF","LV")</f>
        <v>LV</v>
      </c>
      <c r="IT4" s="356">
        <f>IFERROR(VLOOKUP(IR2,CALENDARIO!$B$50:$C$66,2,FALSE),0)</f>
        <v>0</v>
      </c>
      <c r="IU4" s="356" t="str">
        <f t="shared" ref="IU4" si="400">IF(OR(IV4="SDF",IW4="FERIADO"),"SDF","LV")</f>
        <v>LV</v>
      </c>
      <c r="IV4" s="356" t="str">
        <f t="shared" ref="IV4" si="401">IF(OR(WEEKDAY(IU2,2)&gt;=6),"SDF","LV")</f>
        <v>LV</v>
      </c>
      <c r="IW4" s="356">
        <f>IFERROR(VLOOKUP(IU2,CALENDARIO!$B$50:$C$66,2,FALSE),0)</f>
        <v>0</v>
      </c>
      <c r="IX4" s="356" t="str">
        <f t="shared" ref="IX4" si="402">IF(OR(IY4="SDF",IZ4="FERIADO"),"SDF","LV")</f>
        <v>LV</v>
      </c>
      <c r="IY4" s="356" t="str">
        <f t="shared" ref="IY4" si="403">IF(OR(WEEKDAY(IX2,2)&gt;=6),"SDF","LV")</f>
        <v>LV</v>
      </c>
      <c r="IZ4" s="356">
        <f>IFERROR(VLOOKUP(IX2,CALENDARIO!$B$50:$C$66,2,FALSE),0)</f>
        <v>0</v>
      </c>
      <c r="JA4" s="356" t="str">
        <f t="shared" ref="JA4" si="404">IF(OR(JB4="SDF",JC4="FERIADO"),"SDF","LV")</f>
        <v>SDF</v>
      </c>
      <c r="JB4" s="356" t="str">
        <f t="shared" ref="JB4" si="405">IF(OR(WEEKDAY(JA2,2)&gt;=6),"SDF","LV")</f>
        <v>SDF</v>
      </c>
      <c r="JC4" s="356">
        <f>IFERROR(VLOOKUP(JA2,CALENDARIO!$B$50:$C$66,2,FALSE),0)</f>
        <v>0</v>
      </c>
      <c r="JD4" s="356" t="str">
        <f t="shared" ref="JD4" si="406">IF(OR(JE4="SDF",JF4="FERIADO"),"SDF","LV")</f>
        <v>SDF</v>
      </c>
      <c r="JE4" s="356" t="str">
        <f t="shared" ref="JE4" si="407">IF(OR(WEEKDAY(JD2,2)&gt;=6),"SDF","LV")</f>
        <v>SDF</v>
      </c>
      <c r="JF4" s="356">
        <f>IFERROR(VLOOKUP(JD2,CALENDARIO!$B$50:$C$66,2,FALSE),0)</f>
        <v>0</v>
      </c>
      <c r="JG4" s="356" t="str">
        <f t="shared" ref="JG4" si="408">IF(OR(JH4="SDF",JI4="FERIADO"),"SDF","LV")</f>
        <v>LV</v>
      </c>
      <c r="JH4" s="356" t="str">
        <f t="shared" ref="JH4" si="409">IF(OR(WEEKDAY(JG2,2)&gt;=6),"SDF","LV")</f>
        <v>LV</v>
      </c>
      <c r="JI4" s="356">
        <f>IFERROR(VLOOKUP(JG2,CALENDARIO!$B$50:$C$66,2,FALSE),0)</f>
        <v>0</v>
      </c>
      <c r="JJ4" s="356" t="str">
        <f t="shared" ref="JJ4" si="410">IF(OR(JK4="SDF",JL4="FERIADO"),"SDF","LV")</f>
        <v>LV</v>
      </c>
      <c r="JK4" s="356" t="str">
        <f t="shared" ref="JK4" si="411">IF(OR(WEEKDAY(JJ2,2)&gt;=6),"SDF","LV")</f>
        <v>LV</v>
      </c>
      <c r="JL4" s="356">
        <f>IFERROR(VLOOKUP(JJ2,CALENDARIO!$B$50:$C$66,2,FALSE),0)</f>
        <v>0</v>
      </c>
      <c r="JM4" s="356" t="str">
        <f>IF(OR(JN4="SDF",JO4="FERIADO"),"SDF","LV")</f>
        <v>LV</v>
      </c>
      <c r="JN4" s="356" t="str">
        <f>IF(OR(WEEKDAY(JM2,2)&gt;=6),"SDF","LV")</f>
        <v>LV</v>
      </c>
      <c r="JO4" s="356">
        <f>IFERROR(VLOOKUP(JM2,CALENDARIO!$B$50:$C$66,2,FALSE),0)</f>
        <v>0</v>
      </c>
      <c r="JP4" s="356" t="str">
        <f t="shared" ref="JP4" si="412">IF(OR(JQ4="SDF",JR4="FERIADO"),"SDF","LV")</f>
        <v>SDF</v>
      </c>
      <c r="JQ4" s="356" t="str">
        <f t="shared" ref="JQ4" si="413">IF(OR(WEEKDAY(JP2,2)&gt;=6),"SDF","LV")</f>
        <v>LV</v>
      </c>
      <c r="JR4" s="356" t="str">
        <f>IFERROR(VLOOKUP(JP2,CALENDARIO!$B$50:$C$66,2,FALSE),0)</f>
        <v>FERIADO</v>
      </c>
      <c r="JS4" s="356" t="str">
        <f t="shared" ref="JS4" si="414">IF(OR(JT4="SDF",JU4="FERIADO"),"SDF","LV")</f>
        <v>LV</v>
      </c>
      <c r="JT4" s="356" t="str">
        <f t="shared" ref="JT4" si="415">IF(OR(WEEKDAY(JS2,2)&gt;=6),"SDF","LV")</f>
        <v>LV</v>
      </c>
      <c r="JU4" s="356">
        <f>IFERROR(VLOOKUP(JS2,CALENDARIO!$B$50:$C$66,2,FALSE),0)</f>
        <v>0</v>
      </c>
      <c r="JV4" s="356" t="str">
        <f t="shared" ref="JV4" si="416">IF(OR(JW4="SDF",JX4="FERIADO"),"SDF","LV")</f>
        <v>SDF</v>
      </c>
      <c r="JW4" s="356" t="str">
        <f t="shared" ref="JW4" si="417">IF(OR(WEEKDAY(JV2,2)&gt;=6),"SDF","LV")</f>
        <v>SDF</v>
      </c>
      <c r="JX4" s="356">
        <f>IFERROR(VLOOKUP(JV2,CALENDARIO!$B$50:$C$66,2,FALSE),0)</f>
        <v>0</v>
      </c>
      <c r="JY4" s="356" t="str">
        <f t="shared" ref="JY4" si="418">IF(OR(JZ4="SDF",KA4="FERIADO"),"SDF","LV")</f>
        <v>SDF</v>
      </c>
      <c r="JZ4" s="356" t="str">
        <f t="shared" ref="JZ4" si="419">IF(OR(WEEKDAY(JY2,2)&gt;=6),"SDF","LV")</f>
        <v>SDF</v>
      </c>
      <c r="KA4" s="356">
        <f>IFERROR(VLOOKUP(JY2,CALENDARIO!$B$50:$C$66,2,FALSE),0)</f>
        <v>0</v>
      </c>
      <c r="KB4" s="356" t="str">
        <f t="shared" ref="KB4" si="420">IF(OR(KC4="SDF",KD4="FERIADO"),"SDF","LV")</f>
        <v>LV</v>
      </c>
      <c r="KC4" s="356" t="str">
        <f t="shared" ref="KC4" si="421">IF(OR(WEEKDAY(KB2,2)&gt;=6),"SDF","LV")</f>
        <v>LV</v>
      </c>
      <c r="KD4" s="356">
        <f>IFERROR(VLOOKUP(KB2,CALENDARIO!$B$50:$C$66,2,FALSE),0)</f>
        <v>0</v>
      </c>
      <c r="KE4" s="356" t="str">
        <f t="shared" ref="KE4" si="422">IF(OR(KF4="SDF",KG4="FERIADO"),"SDF","LV")</f>
        <v>LV</v>
      </c>
      <c r="KF4" s="356" t="str">
        <f t="shared" ref="KF4" si="423">IF(OR(WEEKDAY(KE2,2)&gt;=6),"SDF","LV")</f>
        <v>LV</v>
      </c>
      <c r="KG4" s="356">
        <f>IFERROR(VLOOKUP(KE2,CALENDARIO!$B$50:$C$66,2,FALSE),0)</f>
        <v>0</v>
      </c>
      <c r="KH4" s="356" t="str">
        <f t="shared" ref="KH4" si="424">IF(OR(KI4="SDF",KJ4="FERIADO"),"SDF","LV")</f>
        <v>LV</v>
      </c>
      <c r="KI4" s="356" t="str">
        <f t="shared" ref="KI4" si="425">IF(OR(WEEKDAY(KH2,2)&gt;=6),"SDF","LV")</f>
        <v>LV</v>
      </c>
      <c r="KJ4" s="356">
        <f>IFERROR(VLOOKUP(KH2,CALENDARIO!$B$50:$C$66,2,FALSE),0)</f>
        <v>0</v>
      </c>
      <c r="KK4" s="356" t="str">
        <f t="shared" ref="KK4" si="426">IF(OR(KL4="SDF",KM4="FERIADO"),"SDF","LV")</f>
        <v>LV</v>
      </c>
      <c r="KL4" s="356" t="str">
        <f t="shared" ref="KL4" si="427">IF(OR(WEEKDAY(KK2,2)&gt;=6),"SDF","LV")</f>
        <v>LV</v>
      </c>
      <c r="KM4" s="356">
        <f>IFERROR(VLOOKUP(KK2,CALENDARIO!$B$50:$C$66,2,FALSE),0)</f>
        <v>0</v>
      </c>
      <c r="KN4" s="356" t="str">
        <f t="shared" ref="KN4" si="428">IF(OR(KO4="SDF",KP4="FERIADO"),"SDF","LV")</f>
        <v>LV</v>
      </c>
      <c r="KO4" s="356" t="str">
        <f t="shared" ref="KO4" si="429">IF(OR(WEEKDAY(KN2,2)&gt;=6),"SDF","LV")</f>
        <v>LV</v>
      </c>
      <c r="KP4" s="356">
        <f>IFERROR(VLOOKUP(KN2,CALENDARIO!$B$50:$C$66,2,FALSE),0)</f>
        <v>0</v>
      </c>
      <c r="KQ4" s="356" t="str">
        <f t="shared" ref="KQ4" si="430">IF(OR(KR4="SDF",KS4="FERIADO"),"SDF","LV")</f>
        <v>SDF</v>
      </c>
      <c r="KR4" s="356" t="str">
        <f t="shared" ref="KR4" si="431">IF(OR(WEEKDAY(KQ2,2)&gt;=6),"SDF","LV")</f>
        <v>SDF</v>
      </c>
      <c r="KS4" s="356">
        <f>IFERROR(VLOOKUP(KQ2,CALENDARIO!$B$50:$C$66,2,FALSE),0)</f>
        <v>0</v>
      </c>
      <c r="KT4" s="356" t="str">
        <f t="shared" ref="KT4" si="432">IF(OR(KU4="SDF",KV4="FERIADO"),"SDF","LV")</f>
        <v>SDF</v>
      </c>
      <c r="KU4" s="356" t="str">
        <f t="shared" ref="KU4" si="433">IF(OR(WEEKDAY(KT2,2)&gt;=6),"SDF","LV")</f>
        <v>SDF</v>
      </c>
      <c r="KV4" s="356">
        <f>IFERROR(VLOOKUP(KT2,CALENDARIO!$B$50:$C$66,2,FALSE),0)</f>
        <v>0</v>
      </c>
      <c r="KW4" s="356" t="str">
        <f t="shared" ref="KW4" si="434">IF(OR(KX4="SDF",KY4="FERIADO"),"SDF","LV")</f>
        <v>LV</v>
      </c>
      <c r="KX4" s="356" t="str">
        <f t="shared" ref="KX4" si="435">IF(OR(WEEKDAY(KW2,2)&gt;=6),"SDF","LV")</f>
        <v>LV</v>
      </c>
      <c r="KY4" s="356">
        <f>IFERROR(VLOOKUP(KW2,CALENDARIO!$B$50:$C$66,2,FALSE),0)</f>
        <v>0</v>
      </c>
      <c r="KZ4" s="356" t="str">
        <f t="shared" ref="KZ4" si="436">IF(OR(LA4="SDF",LB4="FERIADO"),"SDF","LV")</f>
        <v>LV</v>
      </c>
      <c r="LA4" s="356" t="str">
        <f t="shared" ref="LA4" si="437">IF(OR(WEEKDAY(KZ2,2)&gt;=6),"SDF","LV")</f>
        <v>LV</v>
      </c>
      <c r="LB4" s="356">
        <f>IFERROR(VLOOKUP(KZ2,CALENDARIO!$B$50:$C$66,2,FALSE),0)</f>
        <v>0</v>
      </c>
      <c r="LC4" s="356" t="str">
        <f t="shared" ref="LC4" si="438">IF(OR(LD4="SDF",LE4="FERIADO"),"SDF","LV")</f>
        <v>LV</v>
      </c>
      <c r="LD4" s="356" t="str">
        <f t="shared" ref="LD4" si="439">IF(OR(WEEKDAY(LC2,2)&gt;=6),"SDF","LV")</f>
        <v>LV</v>
      </c>
      <c r="LE4" s="356">
        <f>IFERROR(VLOOKUP(LC2,CALENDARIO!$B$50:$C$66,2,FALSE),0)</f>
        <v>0</v>
      </c>
      <c r="LF4" s="356" t="str">
        <f t="shared" ref="LF4" si="440">IF(OR(LG4="SDF",LH4="FERIADO"),"SDF","LV")</f>
        <v>LV</v>
      </c>
      <c r="LG4" s="356" t="str">
        <f t="shared" ref="LG4" si="441">IF(OR(WEEKDAY(LF2,2)&gt;=6),"SDF","LV")</f>
        <v>LV</v>
      </c>
      <c r="LH4" s="356">
        <f>IFERROR(VLOOKUP(LF2,CALENDARIO!$B$50:$C$66,2,FALSE),0)</f>
        <v>0</v>
      </c>
      <c r="LI4" s="356" t="str">
        <f t="shared" ref="LI4" si="442">IF(OR(LJ4="SDF",LK4="FERIADO"),"SDF","LV")</f>
        <v>LV</v>
      </c>
      <c r="LJ4" s="356" t="str">
        <f t="shared" ref="LJ4" si="443">IF(OR(WEEKDAY(LI2,2)&gt;=6),"SDF","LV")</f>
        <v>LV</v>
      </c>
      <c r="LK4" s="356">
        <f>IFERROR(VLOOKUP(LI2,CALENDARIO!$B$50:$C$66,2,FALSE),0)</f>
        <v>0</v>
      </c>
      <c r="LL4" s="356" t="str">
        <f t="shared" ref="LL4" si="444">IF(OR(LM4="SDF",LN4="FERIADO"),"SDF","LV")</f>
        <v>SDF</v>
      </c>
      <c r="LM4" s="356" t="str">
        <f t="shared" ref="LM4" si="445">IF(OR(WEEKDAY(LL2,2)&gt;=6),"SDF","LV")</f>
        <v>SDF</v>
      </c>
      <c r="LN4" s="356">
        <f>IFERROR(VLOOKUP(LL2,CALENDARIO!$B$50:$C$66,2,FALSE),0)</f>
        <v>0</v>
      </c>
      <c r="LO4" s="356" t="str">
        <f t="shared" ref="LO4" si="446">IF(OR(LP4="SDF",LQ4="FERIADO"),"SDF","LV")</f>
        <v>SDF</v>
      </c>
      <c r="LP4" s="356" t="str">
        <f t="shared" ref="LP4" si="447">IF(OR(WEEKDAY(LO2,2)&gt;=6),"SDF","LV")</f>
        <v>SDF</v>
      </c>
      <c r="LQ4" s="356">
        <f>IFERROR(VLOOKUP(LO2,CALENDARIO!$B$50:$C$66,2,FALSE),0)</f>
        <v>0</v>
      </c>
      <c r="LR4" s="356" t="str">
        <f t="shared" ref="LR4" si="448">IF(OR(LS4="SDF",LT4="FERIADO"),"SDF","LV")</f>
        <v>LV</v>
      </c>
      <c r="LS4" s="356" t="str">
        <f t="shared" ref="LS4" si="449">IF(OR(WEEKDAY(LR2,2)&gt;=6),"SDF","LV")</f>
        <v>LV</v>
      </c>
      <c r="LT4" s="356">
        <f>IFERROR(VLOOKUP(LR2,CALENDARIO!$B$50:$C$66,2,FALSE),0)</f>
        <v>0</v>
      </c>
      <c r="LU4" s="356" t="str">
        <f t="shared" ref="LU4" si="450">IF(OR(LV4="SDF",LW4="FERIADO"),"SDF","LV")</f>
        <v>LV</v>
      </c>
      <c r="LV4" s="356" t="str">
        <f t="shared" ref="LV4" si="451">IF(OR(WEEKDAY(LU2,2)&gt;=6),"SDF","LV")</f>
        <v>LV</v>
      </c>
      <c r="LW4" s="356">
        <f>IFERROR(VLOOKUP(LU2,CALENDARIO!$B$50:$C$66,2,FALSE),0)</f>
        <v>0</v>
      </c>
      <c r="LX4" s="356" t="str">
        <f t="shared" ref="LX4" si="452">IF(OR(LY4="SDF",LZ4="FERIADO"),"SDF","LV")</f>
        <v>LV</v>
      </c>
      <c r="LY4" s="356" t="str">
        <f t="shared" ref="LY4" si="453">IF(OR(WEEKDAY(LX2,2)&gt;=6),"SDF","LV")</f>
        <v>LV</v>
      </c>
      <c r="LZ4" s="356">
        <f>IFERROR(VLOOKUP(LX2,CALENDARIO!$B$50:$C$66,2,FALSE),0)</f>
        <v>0</v>
      </c>
      <c r="MA4" s="356" t="str">
        <f t="shared" ref="MA4" si="454">IF(OR(MB4="SDF",MC4="FERIADO"),"SDF","LV")</f>
        <v>LV</v>
      </c>
      <c r="MB4" s="356" t="str">
        <f t="shared" ref="MB4" si="455">IF(OR(WEEKDAY(MA2,2)&gt;=6),"SDF","LV")</f>
        <v>LV</v>
      </c>
      <c r="MC4" s="356">
        <f>IFERROR(VLOOKUP(MA2,CALENDARIO!$B$50:$C$66,2,FALSE),0)</f>
        <v>0</v>
      </c>
      <c r="MD4" s="356" t="str">
        <f t="shared" ref="MD4" si="456">IF(OR(ME4="SDF",MF4="FERIADO"),"SDF","LV")</f>
        <v>LV</v>
      </c>
      <c r="ME4" s="356" t="str">
        <f t="shared" ref="ME4" si="457">IF(OR(WEEKDAY(MD2,2)&gt;=6),"SDF","LV")</f>
        <v>LV</v>
      </c>
      <c r="MF4" s="356">
        <f>IFERROR(VLOOKUP(MD2,CALENDARIO!$B$50:$C$66,2,FALSE),0)</f>
        <v>0</v>
      </c>
      <c r="MG4" s="356" t="str">
        <f t="shared" ref="MG4" si="458">IF(OR(MH4="SDF",MI4="FERIADO"),"SDF","LV")</f>
        <v>SDF</v>
      </c>
      <c r="MH4" s="356" t="str">
        <f t="shared" ref="MH4" si="459">IF(OR(WEEKDAY(MG2,2)&gt;=6),"SDF","LV")</f>
        <v>SDF</v>
      </c>
      <c r="MI4" s="356">
        <f>IFERROR(VLOOKUP(MG2,CALENDARIO!$B$50:$C$66,2,FALSE),0)</f>
        <v>0</v>
      </c>
      <c r="MJ4" s="356" t="str">
        <f t="shared" ref="MJ4" si="460">IF(OR(MK4="SDF",ML4="FERIADO"),"SDF","LV")</f>
        <v>SDF</v>
      </c>
      <c r="MK4" s="356" t="str">
        <f t="shared" ref="MK4" si="461">IF(OR(WEEKDAY(MJ2,2)&gt;=6),"SDF","LV")</f>
        <v>SDF</v>
      </c>
      <c r="ML4" s="356" t="str">
        <f>IFERROR(VLOOKUP(MJ2,CALENDARIO!$B$50:$C$66,2,FALSE),0)</f>
        <v>FERIADO</v>
      </c>
      <c r="MM4" s="356" t="str">
        <f t="shared" ref="MM4" si="462">IF(OR(MN4="SDF",MO4="FERIADO"),"SDF","LV")</f>
        <v>LV</v>
      </c>
      <c r="MN4" s="356" t="str">
        <f t="shared" ref="MN4" si="463">IF(OR(WEEKDAY(MM2,2)&gt;=6),"SDF","LV")</f>
        <v>LV</v>
      </c>
      <c r="MO4" s="356">
        <f>IFERROR(VLOOKUP(MM2,CALENDARIO!$B$50:$C$66,2,FALSE),0)</f>
        <v>0</v>
      </c>
      <c r="MP4" s="356" t="str">
        <f t="shared" ref="MP4" si="464">IF(OR(MQ4="SDF",MR4="FERIADO"),"SDF","LV")</f>
        <v>LV</v>
      </c>
      <c r="MQ4" s="356" t="str">
        <f t="shared" ref="MQ4" si="465">IF(OR(WEEKDAY(MP2,2)&gt;=6),"SDF","LV")</f>
        <v>LV</v>
      </c>
      <c r="MR4" s="356">
        <f>IFERROR(VLOOKUP(MP2,CALENDARIO!$B$50:$C$66,2,FALSE),0)</f>
        <v>0</v>
      </c>
      <c r="MS4" s="356" t="str">
        <f t="shared" ref="MS4" si="466">IF(OR(MT4="SDF",MU4="FERIADO"),"SDF","LV")</f>
        <v>LV</v>
      </c>
      <c r="MT4" s="356" t="str">
        <f t="shared" ref="MT4" si="467">IF(OR(WEEKDAY(MS2,2)&gt;=6),"SDF","LV")</f>
        <v>LV</v>
      </c>
      <c r="MU4" s="356">
        <f>IFERROR(VLOOKUP(MS2,CALENDARIO!$B$50:$C$66,2,FALSE),0)</f>
        <v>0</v>
      </c>
      <c r="MV4" s="356" t="str">
        <f t="shared" ref="MV4" si="468">IF(OR(MW4="SDF",MX4="FERIADO"),"SDF","LV")</f>
        <v>LV</v>
      </c>
      <c r="MW4" s="356" t="str">
        <f t="shared" ref="MW4" si="469">IF(OR(WEEKDAY(MV2,2)&gt;=6),"SDF","LV")</f>
        <v>LV</v>
      </c>
      <c r="MX4" s="356">
        <f>IFERROR(VLOOKUP(MV2,CALENDARIO!$B$50:$C$66,2,FALSE),0)</f>
        <v>0</v>
      </c>
      <c r="MY4" s="356" t="str">
        <f t="shared" ref="MY4" si="470">IF(OR(MZ4="SDF",NA4="FERIADO"),"SDF","LV")</f>
        <v>LV</v>
      </c>
      <c r="MZ4" s="356" t="str">
        <f t="shared" ref="MZ4" si="471">IF(OR(WEEKDAY(MY2,2)&gt;=6),"SDF","LV")</f>
        <v>LV</v>
      </c>
      <c r="NA4" s="356">
        <f>IFERROR(VLOOKUP(MY2,CALENDARIO!$B$50:$C$66,2,FALSE),0)</f>
        <v>0</v>
      </c>
      <c r="NB4" s="356" t="str">
        <f t="shared" ref="NB4" si="472">IF(OR(NC4="SDF",ND4="FERIADO"),"SDF","LV")</f>
        <v>SDF</v>
      </c>
      <c r="NC4" s="356" t="str">
        <f t="shared" ref="NC4" si="473">IF(OR(WEEKDAY(NB2,2)&gt;=6),"SDF","LV")</f>
        <v>SDF</v>
      </c>
      <c r="ND4" s="356">
        <f>IFERROR(VLOOKUP(NB2,CALENDARIO!$B$50:$C$66,2,FALSE),0)</f>
        <v>0</v>
      </c>
      <c r="NE4" s="356" t="str">
        <f t="shared" ref="NE4" si="474">IF(OR(NF4="SDF",NG4="FERIADO"),"SDF","LV")</f>
        <v>SDF</v>
      </c>
      <c r="NF4" s="356" t="str">
        <f t="shared" ref="NF4" si="475">IF(OR(WEEKDAY(NE2,2)&gt;=6),"SDF","LV")</f>
        <v>SDF</v>
      </c>
      <c r="NG4" s="356">
        <f>IFERROR(VLOOKUP(NE2,CALENDARIO!$B$50:$C$66,2,FALSE),0)</f>
        <v>0</v>
      </c>
      <c r="NH4" s="356" t="str">
        <f t="shared" ref="NH4" si="476">IF(OR(NI4="SDF",NJ4="FERIADO"),"SDF","LV")</f>
        <v>LV</v>
      </c>
      <c r="NI4" s="356" t="str">
        <f t="shared" ref="NI4" si="477">IF(OR(WEEKDAY(NH2,2)&gt;=6),"SDF","LV")</f>
        <v>LV</v>
      </c>
      <c r="NJ4" s="356">
        <f>IFERROR(VLOOKUP(NH2,CALENDARIO!$B$50:$C$66,2,FALSE),0)</f>
        <v>0</v>
      </c>
      <c r="NK4" s="356" t="str">
        <f t="shared" ref="NK4" si="478">IF(OR(NL4="SDF",NM4="FERIADO"),"SDF","LV")</f>
        <v>LV</v>
      </c>
      <c r="NL4" s="356" t="str">
        <f t="shared" ref="NL4" si="479">IF(OR(WEEKDAY(NK2,2)&gt;=6),"SDF","LV")</f>
        <v>LV</v>
      </c>
      <c r="NM4" s="356">
        <f>IFERROR(VLOOKUP(NK2,CALENDARIO!$B$50:$C$66,2,FALSE),0)</f>
        <v>0</v>
      </c>
      <c r="NN4" s="356" t="str">
        <f t="shared" ref="NN4" si="480">IF(OR(NO4="SDF",NP4="FERIADO"),"SDF","LV")</f>
        <v>LV</v>
      </c>
      <c r="NO4" s="356" t="str">
        <f t="shared" ref="NO4" si="481">IF(OR(WEEKDAY(NN2,2)&gt;=6),"SDF","LV")</f>
        <v>LV</v>
      </c>
      <c r="NP4" s="356">
        <f>IFERROR(VLOOKUP(NN2,CALENDARIO!$B$50:$C$66,2,FALSE),0)</f>
        <v>0</v>
      </c>
      <c r="NQ4" s="356" t="str">
        <f t="shared" ref="NQ4" si="482">IF(OR(NR4="SDF",NS4="FERIADO"),"SDF","LV")</f>
        <v>LV</v>
      </c>
      <c r="NR4" s="356" t="str">
        <f t="shared" ref="NR4" si="483">IF(OR(WEEKDAY(NQ2,2)&gt;=6),"SDF","LV")</f>
        <v>LV</v>
      </c>
      <c r="NS4" s="356">
        <f>IFERROR(VLOOKUP(NQ2,CALENDARIO!$B$50:$C$66,2,FALSE),0)</f>
        <v>0</v>
      </c>
      <c r="NT4" s="356" t="str">
        <f t="shared" ref="NT4" si="484">IF(OR(NU4="SDF",NV4="FERIADO"),"SDF","LV")</f>
        <v>LV</v>
      </c>
      <c r="NU4" s="356" t="str">
        <f t="shared" ref="NU4" si="485">IF(OR(WEEKDAY(NT2,2)&gt;=6),"SDF","LV")</f>
        <v>LV</v>
      </c>
      <c r="NV4" s="356">
        <f>IFERROR(VLOOKUP(NT2,CALENDARIO!$B$50:$C$66,2,FALSE),0)</f>
        <v>0</v>
      </c>
      <c r="NW4" s="356" t="str">
        <f t="shared" ref="NW4" si="486">IF(OR(NX4="SDF",NY4="FERIADO"),"SDF","LV")</f>
        <v>SDF</v>
      </c>
      <c r="NX4" s="356" t="str">
        <f t="shared" ref="NX4" si="487">IF(OR(WEEKDAY(NW2,2)&gt;=6),"SDF","LV")</f>
        <v>SDF</v>
      </c>
      <c r="NY4" s="356">
        <f>IFERROR(VLOOKUP(NW2,CALENDARIO!$B$50:$C$66,2,FALSE),0)</f>
        <v>0</v>
      </c>
      <c r="NZ4" s="356" t="str">
        <f t="shared" ref="NZ4" si="488">IF(OR(OA4="SDF",OB4="FERIADO"),"SDF","LV")</f>
        <v>SDF</v>
      </c>
      <c r="OA4" s="356" t="str">
        <f t="shared" ref="OA4" si="489">IF(OR(WEEKDAY(NZ2,2)&gt;=6),"SDF","LV")</f>
        <v>SDF</v>
      </c>
      <c r="OB4" s="356">
        <f>IFERROR(VLOOKUP(NZ2,CALENDARIO!$B$50:$C$66,2,FALSE),0)</f>
        <v>0</v>
      </c>
      <c r="OC4" s="356" t="str">
        <f t="shared" ref="OC4" si="490">IF(OR(OD4="SDF",OE4="FERIADO"),"SDF","LV")</f>
        <v>SDF</v>
      </c>
      <c r="OD4" s="356" t="str">
        <f t="shared" ref="OD4" si="491">IF(OR(WEEKDAY(OC2,2)&gt;=6),"SDF","LV")</f>
        <v>LV</v>
      </c>
      <c r="OE4" s="356" t="str">
        <f>IFERROR(VLOOKUP(OC2,CALENDARIO!$B$50:$C$66,2,FALSE),0)</f>
        <v>FERIADO</v>
      </c>
      <c r="OF4" s="356" t="str">
        <f t="shared" ref="OF4" si="492">IF(OR(OG4="SDF",OH4="FERIADO"),"SDF","LV")</f>
        <v>LV</v>
      </c>
      <c r="OG4" s="356" t="str">
        <f t="shared" ref="OG4" si="493">IF(OR(WEEKDAY(OF2,2)&gt;=6),"SDF","LV")</f>
        <v>LV</v>
      </c>
      <c r="OH4" s="356">
        <f>IFERROR(VLOOKUP(OF2,CALENDARIO!$B$50:$C$66,2,FALSE),0)</f>
        <v>0</v>
      </c>
      <c r="OI4" s="356" t="str">
        <f t="shared" ref="OI4" si="494">IF(OR(OJ4="SDF",OK4="FERIADO"),"SDF","LV")</f>
        <v>LV</v>
      </c>
      <c r="OJ4" s="356" t="str">
        <f t="shared" ref="OJ4" si="495">IF(OR(WEEKDAY(OI2,2)&gt;=6),"SDF","LV")</f>
        <v>LV</v>
      </c>
      <c r="OK4" s="356">
        <f>IFERROR(VLOOKUP(OI2,CALENDARIO!$B$50:$C$66,2,FALSE),0)</f>
        <v>0</v>
      </c>
      <c r="OL4" s="356" t="str">
        <f t="shared" ref="OL4" si="496">IF(OR(OM4="SDF",ON4="FERIADO"),"SDF","LV")</f>
        <v>LV</v>
      </c>
      <c r="OM4" s="356" t="str">
        <f t="shared" ref="OM4" si="497">IF(OR(WEEKDAY(OL2,2)&gt;=6),"SDF","LV")</f>
        <v>LV</v>
      </c>
      <c r="ON4" s="356">
        <f>IFERROR(VLOOKUP(OL2,CALENDARIO!$B$50:$C$66,2,FALSE),0)</f>
        <v>0</v>
      </c>
      <c r="OO4" s="356" t="str">
        <f t="shared" ref="OO4" si="498">IF(OR(OP4="SDF",OQ4="FERIADO"),"SDF","LV")</f>
        <v>LV</v>
      </c>
      <c r="OP4" s="356" t="str">
        <f t="shared" ref="OP4" si="499">IF(OR(WEEKDAY(OO2,2)&gt;=6),"SDF","LV")</f>
        <v>LV</v>
      </c>
      <c r="OQ4" s="356">
        <f>IFERROR(VLOOKUP(OO2,CALENDARIO!$B$50:$C$66,2,FALSE),0)</f>
        <v>0</v>
      </c>
      <c r="OR4" s="356" t="str">
        <f t="shared" ref="OR4" si="500">IF(OR(OS4="SDF",OT4="FERIADO"),"SDF","LV")</f>
        <v>SDF</v>
      </c>
      <c r="OS4" s="356" t="str">
        <f t="shared" ref="OS4" si="501">IF(OR(WEEKDAY(OR2,2)&gt;=6),"SDF","LV")</f>
        <v>SDF</v>
      </c>
      <c r="OT4" s="356">
        <f>IFERROR(VLOOKUP(OR2,CALENDARIO!$B$50:$C$66,2,FALSE),0)</f>
        <v>0</v>
      </c>
      <c r="OU4" s="356" t="str">
        <f t="shared" ref="OU4" si="502">IF(OR(OV4="SDF",OW4="FERIADO"),"SDF","LV")</f>
        <v>SDF</v>
      </c>
      <c r="OV4" s="356" t="str">
        <f t="shared" ref="OV4" si="503">IF(OR(WEEKDAY(OU2,2)&gt;=6),"SDF","LV")</f>
        <v>SDF</v>
      </c>
      <c r="OW4" s="356">
        <f>IFERROR(VLOOKUP(OU2,CALENDARIO!$B$50:$C$66,2,FALSE),0)</f>
        <v>0</v>
      </c>
      <c r="OX4" s="356" t="str">
        <f t="shared" ref="OX4" si="504">IF(OR(OY4="SDF",OZ4="FERIADO"),"SDF","LV")</f>
        <v>SDF</v>
      </c>
      <c r="OY4" s="356" t="str">
        <f t="shared" ref="OY4" si="505">IF(OR(WEEKDAY(OX2,2)&gt;=6),"SDF","LV")</f>
        <v>LV</v>
      </c>
      <c r="OZ4" s="356" t="str">
        <f>IFERROR(VLOOKUP(OX2,CALENDARIO!$B$50:$C$66,2,FALSE),0)</f>
        <v>FERIADO</v>
      </c>
      <c r="PA4" s="356" t="str">
        <f t="shared" ref="PA4" si="506">IF(OR(PB4="SDF",PC4="FERIADO"),"SDF","LV")</f>
        <v>LV</v>
      </c>
      <c r="PB4" s="356" t="str">
        <f t="shared" ref="PB4" si="507">IF(OR(WEEKDAY(PA2,2)&gt;=6),"SDF","LV")</f>
        <v>LV</v>
      </c>
      <c r="PC4" s="356">
        <f>IFERROR(VLOOKUP(PA2,CALENDARIO!$B$50:$C$66,2,FALSE),0)</f>
        <v>0</v>
      </c>
      <c r="PD4" s="356" t="str">
        <f t="shared" ref="PD4" si="508">IF(OR(PE4="SDF",PF4="FERIADO"),"SDF","LV")</f>
        <v>LV</v>
      </c>
      <c r="PE4" s="356" t="str">
        <f t="shared" ref="PE4" si="509">IF(OR(WEEKDAY(PD2,2)&gt;=6),"SDF","LV")</f>
        <v>LV</v>
      </c>
      <c r="PF4" s="356">
        <f>IFERROR(VLOOKUP(PD2,CALENDARIO!$B$50:$C$66,2,FALSE),0)</f>
        <v>0</v>
      </c>
      <c r="PG4" s="356" t="str">
        <f t="shared" ref="PG4" si="510">IF(OR(PH4="SDF",PI4="FERIADO"),"SDF","LV")</f>
        <v>LV</v>
      </c>
      <c r="PH4" s="356" t="str">
        <f t="shared" ref="PH4" si="511">IF(OR(WEEKDAY(PG2,2)&gt;=6),"SDF","LV")</f>
        <v>LV</v>
      </c>
      <c r="PI4" s="356">
        <f>IFERROR(VLOOKUP(PG2,CALENDARIO!$B$50:$C$66,2,FALSE),0)</f>
        <v>0</v>
      </c>
      <c r="PJ4" s="356" t="str">
        <f t="shared" ref="PJ4" si="512">IF(OR(PK4="SDF",PL4="FERIADO"),"SDF","LV")</f>
        <v>SDF</v>
      </c>
      <c r="PK4" s="356" t="str">
        <f t="shared" ref="PK4" si="513">IF(OR(WEEKDAY(PJ2,2)&gt;=6),"SDF","LV")</f>
        <v>LV</v>
      </c>
      <c r="PL4" s="356" t="str">
        <f>IFERROR(VLOOKUP(PJ2,CALENDARIO!$B$50:$C$66,2,FALSE),0)</f>
        <v>FERIADO</v>
      </c>
      <c r="PM4" s="356" t="str">
        <f t="shared" ref="PM4" si="514">IF(OR(PN4="SDF",PO4="FERIADO"),"SDF","LV")</f>
        <v>SDF</v>
      </c>
      <c r="PN4" s="356" t="str">
        <f t="shared" ref="PN4" si="515">IF(OR(WEEKDAY(PM2,2)&gt;=6),"SDF","LV")</f>
        <v>SDF</v>
      </c>
      <c r="PO4" s="356">
        <f>IFERROR(VLOOKUP(PM2,CALENDARIO!$B$50:$C$66,2,FALSE),0)</f>
        <v>0</v>
      </c>
      <c r="PP4" s="356" t="str">
        <f t="shared" ref="PP4" si="516">IF(OR(PQ4="SDF",PR4="FERIADO"),"SDF","LV")</f>
        <v>SDF</v>
      </c>
      <c r="PQ4" s="356" t="str">
        <f t="shared" ref="PQ4" si="517">IF(OR(WEEKDAY(PP2,2)&gt;=6),"SDF","LV")</f>
        <v>SDF</v>
      </c>
      <c r="PR4" s="356">
        <f>IFERROR(VLOOKUP(PP2,CALENDARIO!$B$50:$C$66,2,FALSE),0)</f>
        <v>0</v>
      </c>
      <c r="PS4" s="356" t="str">
        <f t="shared" ref="PS4" si="518">IF(OR(PT4="SDF",PU4="FERIADO"),"SDF","LV")</f>
        <v>LV</v>
      </c>
      <c r="PT4" s="356" t="str">
        <f t="shared" ref="PT4" si="519">IF(OR(WEEKDAY(PS2,2)&gt;=6),"SDF","LV")</f>
        <v>LV</v>
      </c>
      <c r="PU4" s="356">
        <f>IFERROR(VLOOKUP(PS2,CALENDARIO!$B$50:$C$66,2,FALSE),0)</f>
        <v>0</v>
      </c>
      <c r="PV4" s="356" t="str">
        <f t="shared" ref="PV4" si="520">IF(OR(PW4="SDF",PX4="FERIADO"),"SDF","LV")</f>
        <v>LV</v>
      </c>
      <c r="PW4" s="356" t="str">
        <f t="shared" ref="PW4" si="521">IF(OR(WEEKDAY(PV2,2)&gt;=6),"SDF","LV")</f>
        <v>LV</v>
      </c>
      <c r="PX4" s="356">
        <f>IFERROR(VLOOKUP(PV2,CALENDARIO!$B$50:$C$66,2,FALSE),0)</f>
        <v>0</v>
      </c>
      <c r="PY4" s="356" t="str">
        <f t="shared" ref="PY4" si="522">IF(OR(PZ4="SDF",QA4="FERIADO"),"SDF","LV")</f>
        <v>LV</v>
      </c>
      <c r="PZ4" s="356" t="str">
        <f t="shared" ref="PZ4" si="523">IF(OR(WEEKDAY(PY2,2)&gt;=6),"SDF","LV")</f>
        <v>LV</v>
      </c>
      <c r="QA4" s="356">
        <f>IFERROR(VLOOKUP(PY2,CALENDARIO!$B$50:$C$66,2,FALSE),0)</f>
        <v>0</v>
      </c>
      <c r="QB4" s="356" t="str">
        <f t="shared" ref="QB4" si="524">IF(OR(QC4="SDF",QD4="FERIADO"),"SDF","LV")</f>
        <v>LV</v>
      </c>
      <c r="QC4" s="356" t="str">
        <f t="shared" ref="QC4" si="525">IF(OR(WEEKDAY(QB2,2)&gt;=6),"SDF","LV")</f>
        <v>LV</v>
      </c>
      <c r="QD4" s="356">
        <f>IFERROR(VLOOKUP(QB2,CALENDARIO!$B$50:$C$66,2,FALSE),0)</f>
        <v>0</v>
      </c>
      <c r="QE4" s="356" t="str">
        <f t="shared" ref="QE4" si="526">IF(OR(QF4="SDF",QG4="FERIADO"),"SDF","LV")</f>
        <v>LV</v>
      </c>
      <c r="QF4" s="356" t="str">
        <f t="shared" ref="QF4" si="527">IF(OR(WEEKDAY(QE2,2)&gt;=6),"SDF","LV")</f>
        <v>LV</v>
      </c>
      <c r="QG4" s="356">
        <f>IFERROR(VLOOKUP(QE2,CALENDARIO!$B$50:$C$66,2,FALSE),0)</f>
        <v>0</v>
      </c>
      <c r="QH4" s="356" t="str">
        <f t="shared" ref="QH4" si="528">IF(OR(QI4="SDF",QJ4="FERIADO"),"SDF","LV")</f>
        <v>SDF</v>
      </c>
      <c r="QI4" s="356" t="str">
        <f t="shared" ref="QI4" si="529">IF(OR(WEEKDAY(QH2,2)&gt;=6),"SDF","LV")</f>
        <v>SDF</v>
      </c>
      <c r="QJ4" s="356">
        <f>IFERROR(VLOOKUP(QH2,CALENDARIO!$B$50:$C$66,2,FALSE),0)</f>
        <v>0</v>
      </c>
      <c r="QK4" s="356" t="str">
        <f t="shared" ref="QK4" si="530">IF(OR(QL4="SDF",QM4="FERIADO"),"SDF","LV")</f>
        <v>SDF</v>
      </c>
      <c r="QL4" s="356" t="str">
        <f t="shared" ref="QL4" si="531">IF(OR(WEEKDAY(QK2,2)&gt;=6),"SDF","LV")</f>
        <v>SDF</v>
      </c>
      <c r="QM4" s="356">
        <f>IFERROR(VLOOKUP(QK2,CALENDARIO!$B$50:$C$66,2,FALSE),0)</f>
        <v>0</v>
      </c>
      <c r="QN4" s="356" t="str">
        <f t="shared" ref="QN4" si="532">IF(OR(QO4="SDF",QP4="FERIADO"),"SDF","LV")</f>
        <v>LV</v>
      </c>
      <c r="QO4" s="356" t="str">
        <f t="shared" ref="QO4" si="533">IF(OR(WEEKDAY(QN2,2)&gt;=6),"SDF","LV")</f>
        <v>LV</v>
      </c>
      <c r="QP4" s="356">
        <f>IFERROR(VLOOKUP(QN2,CALENDARIO!$B$50:$C$66,2,FALSE),0)</f>
        <v>0</v>
      </c>
      <c r="QQ4" s="356" t="str">
        <f t="shared" ref="QQ4" si="534">IF(OR(QR4="SDF",QS4="FERIADO"),"SDF","LV")</f>
        <v>LV</v>
      </c>
      <c r="QR4" s="356" t="str">
        <f t="shared" ref="QR4" si="535">IF(OR(WEEKDAY(QQ2,2)&gt;=6),"SDF","LV")</f>
        <v>LV</v>
      </c>
      <c r="QS4" s="356">
        <f>IFERROR(VLOOKUP(QQ2,CALENDARIO!$B$50:$C$66,2,FALSE),0)</f>
        <v>0</v>
      </c>
      <c r="QT4" s="356" t="str">
        <f t="shared" ref="QT4" si="536">IF(OR(QU4="SDF",QV4="FERIADO"),"SDF","LV")</f>
        <v>LV</v>
      </c>
      <c r="QU4" s="356" t="str">
        <f t="shared" ref="QU4" si="537">IF(OR(WEEKDAY(QT2,2)&gt;=6),"SDF","LV")</f>
        <v>LV</v>
      </c>
      <c r="QV4" s="356">
        <f>IFERROR(VLOOKUP(QT2,CALENDARIO!$B$50:$C$66,2,FALSE),0)</f>
        <v>0</v>
      </c>
      <c r="QW4" s="356" t="str">
        <f t="shared" ref="QW4" si="538">IF(OR(QX4="SDF",QY4="FERIADO"),"SDF","LV")</f>
        <v>LV</v>
      </c>
      <c r="QX4" s="356" t="str">
        <f t="shared" ref="QX4" si="539">IF(OR(WEEKDAY(QW2,2)&gt;=6),"SDF","LV")</f>
        <v>LV</v>
      </c>
      <c r="QY4" s="356">
        <f>IFERROR(VLOOKUP(QW2,CALENDARIO!$B$50:$C$66,2,FALSE),0)</f>
        <v>0</v>
      </c>
      <c r="QZ4" s="356" t="str">
        <f t="shared" ref="QZ4" si="540">IF(OR(RA4="SDF",RB4="FERIADO"),"SDF","LV")</f>
        <v>LV</v>
      </c>
      <c r="RA4" s="356" t="str">
        <f t="shared" ref="RA4" si="541">IF(OR(WEEKDAY(QZ2,2)&gt;=6),"SDF","LV")</f>
        <v>LV</v>
      </c>
      <c r="RB4" s="356">
        <f>IFERROR(VLOOKUP(QZ2,CALENDARIO!$B$50:$C$66,2,FALSE),0)</f>
        <v>0</v>
      </c>
      <c r="RC4" s="356" t="str">
        <f t="shared" ref="RC4" si="542">IF(OR(RD4="SDF",RE4="FERIADO"),"SDF","LV")</f>
        <v>SDF</v>
      </c>
      <c r="RD4" s="356" t="str">
        <f t="shared" ref="RD4" si="543">IF(OR(WEEKDAY(RC2,2)&gt;=6),"SDF","LV")</f>
        <v>SDF</v>
      </c>
      <c r="RE4" s="356">
        <f>IFERROR(VLOOKUP(RC2,CALENDARIO!$B$50:$C$66,2,FALSE),0)</f>
        <v>0</v>
      </c>
      <c r="RF4" s="356" t="str">
        <f t="shared" ref="RF4" si="544">IF(OR(RG4="SDF",RH4="FERIADO"),"SDF","LV")</f>
        <v>SDF</v>
      </c>
      <c r="RG4" s="356" t="str">
        <f t="shared" ref="RG4" si="545">IF(OR(WEEKDAY(RF2,2)&gt;=6),"SDF","LV")</f>
        <v>SDF</v>
      </c>
      <c r="RH4" s="356">
        <f>IFERROR(VLOOKUP(RF2,CALENDARIO!$B$50:$C$66,2,FALSE),0)</f>
        <v>0</v>
      </c>
      <c r="RI4" s="356" t="str">
        <f t="shared" ref="RI4" si="546">IF(OR(RJ4="SDF",RK4="FERIADO"),"SDF","LV")</f>
        <v>LV</v>
      </c>
      <c r="RJ4" s="356" t="str">
        <f t="shared" ref="RJ4" si="547">IF(OR(WEEKDAY(RI2,2)&gt;=6),"SDF","LV")</f>
        <v>LV</v>
      </c>
      <c r="RK4" s="356">
        <f>IFERROR(VLOOKUP(RI2,CALENDARIO!$B$50:$C$66,2,FALSE),0)</f>
        <v>0</v>
      </c>
      <c r="RL4" s="356" t="str">
        <f t="shared" ref="RL4" si="548">IF(OR(RM4="SDF",RN4="FERIADO"),"SDF","LV")</f>
        <v>LV</v>
      </c>
      <c r="RM4" s="356" t="str">
        <f t="shared" ref="RM4" si="549">IF(OR(WEEKDAY(RL2,2)&gt;=6),"SDF","LV")</f>
        <v>LV</v>
      </c>
      <c r="RN4" s="356">
        <f>IFERROR(VLOOKUP(RL2,CALENDARIO!$B$50:$C$66,2,FALSE),0)</f>
        <v>0</v>
      </c>
      <c r="RO4" s="356" t="str">
        <f t="shared" ref="RO4" si="550">IF(OR(RP4="SDF",RQ4="FERIADO"),"SDF","LV")</f>
        <v>LV</v>
      </c>
      <c r="RP4" s="356" t="str">
        <f t="shared" ref="RP4" si="551">IF(OR(WEEKDAY(RO2,2)&gt;=6),"SDF","LV")</f>
        <v>LV</v>
      </c>
      <c r="RQ4" s="356">
        <f>IFERROR(VLOOKUP(RO2,CALENDARIO!$B$50:$C$66,2,FALSE),0)</f>
        <v>0</v>
      </c>
      <c r="RR4" s="356" t="str">
        <f t="shared" ref="RR4" si="552">IF(OR(RS4="SDF",RT4="FERIADO"),"SDF","LV")</f>
        <v>LV</v>
      </c>
      <c r="RS4" s="356" t="str">
        <f t="shared" ref="RS4" si="553">IF(OR(WEEKDAY(RR2,2)&gt;=6),"SDF","LV")</f>
        <v>LV</v>
      </c>
      <c r="RT4" s="356">
        <f>IFERROR(VLOOKUP(RR2,CALENDARIO!$B$50:$C$66,2,FALSE),0)</f>
        <v>0</v>
      </c>
      <c r="RU4" s="356" t="str">
        <f t="shared" ref="RU4" si="554">IF(OR(RV4="SDF",RW4="FERIADO"),"SDF","LV")</f>
        <v>LV</v>
      </c>
      <c r="RV4" s="356" t="str">
        <f t="shared" ref="RV4" si="555">IF(OR(WEEKDAY(RU2,2)&gt;=6),"SDF","LV")</f>
        <v>LV</v>
      </c>
      <c r="RW4" s="356">
        <f>IFERROR(VLOOKUP(RU2,CALENDARIO!$B$50:$C$66,2,FALSE),0)</f>
        <v>0</v>
      </c>
      <c r="RX4" s="356" t="str">
        <f t="shared" ref="RX4" si="556">IF(OR(RY4="SDF",RZ4="FERIADO"),"SDF","LV")</f>
        <v>SDF</v>
      </c>
      <c r="RY4" s="356" t="str">
        <f t="shared" ref="RY4" si="557">IF(OR(WEEKDAY(RX2,2)&gt;=6),"SDF","LV")</f>
        <v>SDF</v>
      </c>
      <c r="RZ4" s="356">
        <f>IFERROR(VLOOKUP(RX2,CALENDARIO!$B$50:$C$66,2,FALSE),0)</f>
        <v>0</v>
      </c>
      <c r="SA4" s="356" t="str">
        <f t="shared" ref="SA4" si="558">IF(OR(SB4="SDF",SC4="FERIADO"),"SDF","LV")</f>
        <v>SDF</v>
      </c>
      <c r="SB4" s="356" t="str">
        <f t="shared" ref="SB4" si="559">IF(OR(WEEKDAY(SA2,2)&gt;=6),"SDF","LV")</f>
        <v>SDF</v>
      </c>
      <c r="SC4" s="356">
        <f>IFERROR(VLOOKUP(SA2,CALENDARIO!$B$50:$C$66,2,FALSE),0)</f>
        <v>0</v>
      </c>
      <c r="SD4" s="356" t="str">
        <f t="shared" ref="SD4" si="560">IF(OR(SE4="SDF",SF4="FERIADO"),"SDF","LV")</f>
        <v>SDF</v>
      </c>
      <c r="SE4" s="356" t="str">
        <f t="shared" ref="SE4" si="561">IF(OR(WEEKDAY(SD2,2)&gt;=6),"SDF","LV")</f>
        <v>LV</v>
      </c>
      <c r="SF4" s="356" t="str">
        <f>IFERROR(VLOOKUP(SD2,CALENDARIO!$B$50:$C$66,2,FALSE),0)</f>
        <v>FERIADO</v>
      </c>
      <c r="SG4" s="356" t="str">
        <f t="shared" ref="SG4" si="562">IF(OR(SH4="SDF",SI4="FERIADO"),"SDF","LV")</f>
        <v>LV</v>
      </c>
      <c r="SH4" s="356" t="str">
        <f t="shared" ref="SH4" si="563">IF(OR(WEEKDAY(SG2,2)&gt;=6),"SDF","LV")</f>
        <v>LV</v>
      </c>
      <c r="SI4" s="356">
        <f>IFERROR(VLOOKUP(SG2,CALENDARIO!$B$50:$C$66,2,FALSE),0)</f>
        <v>0</v>
      </c>
      <c r="SJ4" s="356" t="str">
        <f t="shared" ref="SJ4" si="564">IF(OR(SK4="SDF",SL4="FERIADO"),"SDF","LV")</f>
        <v>LV</v>
      </c>
      <c r="SK4" s="356" t="str">
        <f t="shared" ref="SK4" si="565">IF(OR(WEEKDAY(SJ2,2)&gt;=6),"SDF","LV")</f>
        <v>LV</v>
      </c>
      <c r="SL4" s="356">
        <f>IFERROR(VLOOKUP(SJ2,CALENDARIO!$B$50:$C$66,2,FALSE),0)</f>
        <v>0</v>
      </c>
      <c r="SM4" s="356" t="str">
        <f t="shared" ref="SM4" si="566">IF(OR(SN4="SDF",SO4="FERIADO"),"SDF","LV")</f>
        <v>LV</v>
      </c>
      <c r="SN4" s="356" t="str">
        <f t="shared" ref="SN4" si="567">IF(OR(WEEKDAY(SM2,2)&gt;=6),"SDF","LV")</f>
        <v>LV</v>
      </c>
      <c r="SO4" s="356">
        <f>IFERROR(VLOOKUP(SM2,CALENDARIO!$B$50:$C$66,2,FALSE),0)</f>
        <v>0</v>
      </c>
      <c r="SP4" s="356" t="str">
        <f t="shared" ref="SP4" si="568">IF(OR(SQ4="SDF",SR4="FERIADO"),"SDF","LV")</f>
        <v>LV</v>
      </c>
      <c r="SQ4" s="356" t="str">
        <f t="shared" ref="SQ4" si="569">IF(OR(WEEKDAY(SP2,2)&gt;=6),"SDF","LV")</f>
        <v>LV</v>
      </c>
      <c r="SR4" s="356">
        <f>IFERROR(VLOOKUP(SP2,CALENDARIO!$B$50:$C$66,2,FALSE),0)</f>
        <v>0</v>
      </c>
      <c r="SS4" s="356" t="str">
        <f t="shared" ref="SS4" si="570">IF(OR(ST4="SDF",SU4="FERIADO"),"SDF","LV")</f>
        <v>SDF</v>
      </c>
      <c r="ST4" s="356" t="str">
        <f t="shared" ref="ST4" si="571">IF(OR(WEEKDAY(SS2,2)&gt;=6),"SDF","LV")</f>
        <v>SDF</v>
      </c>
      <c r="SU4" s="356">
        <f>IFERROR(VLOOKUP(SS2,CALENDARIO!$B$50:$C$66,2,FALSE),0)</f>
        <v>0</v>
      </c>
      <c r="SV4" s="356" t="str">
        <f t="shared" ref="SV4" si="572">IF(OR(SW4="SDF",SX4="FERIADO"),"SDF","LV")</f>
        <v>SDF</v>
      </c>
      <c r="SW4" s="356" t="str">
        <f t="shared" ref="SW4" si="573">IF(OR(WEEKDAY(SV2,2)&gt;=6),"SDF","LV")</f>
        <v>SDF</v>
      </c>
      <c r="SX4" s="356">
        <f>IFERROR(VLOOKUP(SV2,CALENDARIO!$B$50:$C$66,2,FALSE),0)</f>
        <v>0</v>
      </c>
      <c r="SY4" s="356" t="str">
        <f t="shared" ref="SY4" si="574">IF(OR(SZ4="SDF",TA4="FERIADO"),"SDF","LV")</f>
        <v>LV</v>
      </c>
      <c r="SZ4" s="356" t="str">
        <f t="shared" ref="SZ4" si="575">IF(OR(WEEKDAY(SY2,2)&gt;=6),"SDF","LV")</f>
        <v>LV</v>
      </c>
      <c r="TA4" s="356">
        <f>IFERROR(VLOOKUP(SY2,CALENDARIO!$B$50:$C$66,2,FALSE),0)</f>
        <v>0</v>
      </c>
      <c r="TB4" s="356" t="str">
        <f t="shared" ref="TB4" si="576">IF(OR(TC4="SDF",TD4="FERIADO"),"SDF","LV")</f>
        <v>LV</v>
      </c>
      <c r="TC4" s="356" t="str">
        <f t="shared" ref="TC4" si="577">IF(OR(WEEKDAY(TB2,2)&gt;=6),"SDF","LV")</f>
        <v>LV</v>
      </c>
      <c r="TD4" s="356">
        <f>IFERROR(VLOOKUP(TB2,CALENDARIO!$B$50:$C$66,2,FALSE),0)</f>
        <v>0</v>
      </c>
      <c r="TE4" s="356" t="str">
        <f t="shared" ref="TE4" si="578">IF(OR(TF4="SDF",TG4="FERIADO"),"SDF","LV")</f>
        <v>LV</v>
      </c>
      <c r="TF4" s="356" t="str">
        <f t="shared" ref="TF4" si="579">IF(OR(WEEKDAY(TE2,2)&gt;=6),"SDF","LV")</f>
        <v>LV</v>
      </c>
      <c r="TG4" s="356">
        <f>IFERROR(VLOOKUP(TE2,CALENDARIO!$B$50:$C$66,2,FALSE),0)</f>
        <v>0</v>
      </c>
      <c r="TH4" s="356" t="str">
        <f t="shared" ref="TH4" si="580">IF(OR(TI4="SDF",TJ4="FERIADO"),"SDF","LV")</f>
        <v>LV</v>
      </c>
      <c r="TI4" s="356" t="str">
        <f t="shared" ref="TI4" si="581">IF(OR(WEEKDAY(TH2,2)&gt;=6),"SDF","LV")</f>
        <v>LV</v>
      </c>
      <c r="TJ4" s="356">
        <f>IFERROR(VLOOKUP(TH2,CALENDARIO!$B$50:$C$66,2,FALSE),0)</f>
        <v>0</v>
      </c>
      <c r="TK4" s="356" t="str">
        <f t="shared" ref="TK4" si="582">IF(OR(TL4="SDF",TM4="FERIADO"),"SDF","LV")</f>
        <v>LV</v>
      </c>
      <c r="TL4" s="356" t="str">
        <f t="shared" ref="TL4" si="583">IF(OR(WEEKDAY(TK2,2)&gt;=6),"SDF","LV")</f>
        <v>LV</v>
      </c>
      <c r="TM4" s="356">
        <f>IFERROR(VLOOKUP(TK2,CALENDARIO!$B$50:$C$66,2,FALSE),0)</f>
        <v>0</v>
      </c>
      <c r="TN4" s="356" t="str">
        <f t="shared" ref="TN4" si="584">IF(OR(TO4="SDF",TP4="FERIADO"),"SDF","LV")</f>
        <v>SDF</v>
      </c>
      <c r="TO4" s="356" t="str">
        <f t="shared" ref="TO4" si="585">IF(OR(WEEKDAY(TN2,2)&gt;=6),"SDF","LV")</f>
        <v>SDF</v>
      </c>
      <c r="TP4" s="356">
        <f>IFERROR(VLOOKUP(TN2,CALENDARIO!$B$50:$C$66,2,FALSE),0)</f>
        <v>0</v>
      </c>
      <c r="TQ4" s="356" t="str">
        <f t="shared" ref="TQ4" si="586">IF(OR(TR4="SDF",TS4="FERIADO"),"SDF","LV")</f>
        <v>SDF</v>
      </c>
      <c r="TR4" s="356" t="str">
        <f t="shared" ref="TR4" si="587">IF(OR(WEEKDAY(TQ2,2)&gt;=6),"SDF","LV")</f>
        <v>SDF</v>
      </c>
      <c r="TS4" s="356">
        <f>IFERROR(VLOOKUP(TQ2,CALENDARIO!$B$50:$C$66,2,FALSE),0)</f>
        <v>0</v>
      </c>
      <c r="TT4" s="356" t="str">
        <f t="shared" ref="TT4" si="588">IF(OR(TU4="SDF",TV4="FERIADO"),"SDF","LV")</f>
        <v>LV</v>
      </c>
      <c r="TU4" s="356" t="str">
        <f t="shared" ref="TU4" si="589">IF(OR(WEEKDAY(TT2,2)&gt;=6),"SDF","LV")</f>
        <v>LV</v>
      </c>
      <c r="TV4" s="356">
        <f>IFERROR(VLOOKUP(TT2,CALENDARIO!$B$50:$C$66,2,FALSE),0)</f>
        <v>0</v>
      </c>
      <c r="TW4" s="356" t="str">
        <f t="shared" ref="TW4" si="590">IF(OR(TX4="SDF",TY4="FERIADO"),"SDF","LV")</f>
        <v>LV</v>
      </c>
      <c r="TX4" s="356" t="str">
        <f t="shared" ref="TX4" si="591">IF(OR(WEEKDAY(TW2,2)&gt;=6),"SDF","LV")</f>
        <v>LV</v>
      </c>
      <c r="TY4" s="356">
        <f>IFERROR(VLOOKUP(TW2,CALENDARIO!$B$50:$C$66,2,FALSE),0)</f>
        <v>0</v>
      </c>
      <c r="TZ4" s="356" t="str">
        <f t="shared" ref="TZ4" si="592">IF(OR(UA4="SDF",UB4="FERIADO"),"SDF","LV")</f>
        <v>LV</v>
      </c>
      <c r="UA4" s="356" t="str">
        <f t="shared" ref="UA4" si="593">IF(OR(WEEKDAY(TZ2,2)&gt;=6),"SDF","LV")</f>
        <v>LV</v>
      </c>
      <c r="UB4" s="356">
        <f>IFERROR(VLOOKUP(TZ2,CALENDARIO!$B$50:$C$66,2,FALSE),0)</f>
        <v>0</v>
      </c>
      <c r="UC4" s="356" t="str">
        <f t="shared" ref="UC4" si="594">IF(OR(UD4="SDF",UE4="FERIADO"),"SDF","LV")</f>
        <v>LV</v>
      </c>
      <c r="UD4" s="356" t="str">
        <f t="shared" ref="UD4" si="595">IF(OR(WEEKDAY(UC2,2)&gt;=6),"SDF","LV")</f>
        <v>LV</v>
      </c>
      <c r="UE4" s="356">
        <f>IFERROR(VLOOKUP(UC2,CALENDARIO!$B$50:$C$66,2,FALSE),0)</f>
        <v>0</v>
      </c>
      <c r="UF4" s="356" t="str">
        <f t="shared" ref="UF4" si="596">IF(OR(UG4="SDF",UH4="FERIADO"),"SDF","LV")</f>
        <v>LV</v>
      </c>
      <c r="UG4" s="356" t="str">
        <f t="shared" ref="UG4" si="597">IF(OR(WEEKDAY(UF2,2)&gt;=6),"SDF","LV")</f>
        <v>LV</v>
      </c>
      <c r="UH4" s="356">
        <f>IFERROR(VLOOKUP(UF2,CALENDARIO!$B$50:$C$66,2,FALSE),0)</f>
        <v>0</v>
      </c>
      <c r="UI4" s="356" t="str">
        <f t="shared" ref="UI4" si="598">IF(OR(UJ4="SDF",UK4="FERIADO"),"SDF","LV")</f>
        <v>SDF</v>
      </c>
      <c r="UJ4" s="356" t="str">
        <f t="shared" ref="UJ4" si="599">IF(OR(WEEKDAY(UI2,2)&gt;=6),"SDF","LV")</f>
        <v>SDF</v>
      </c>
      <c r="UK4" s="356">
        <f>IFERROR(VLOOKUP(UI2,CALENDARIO!$B$50:$C$66,2,FALSE),0)</f>
        <v>0</v>
      </c>
      <c r="UL4" s="356" t="str">
        <f t="shared" ref="UL4" si="600">IF(OR(UM4="SDF",UN4="FERIADO"),"SDF","LV")</f>
        <v>SDF</v>
      </c>
      <c r="UM4" s="356" t="str">
        <f t="shared" ref="UM4" si="601">IF(OR(WEEKDAY(UL2,2)&gt;=6),"SDF","LV")</f>
        <v>SDF</v>
      </c>
      <c r="UN4" s="356">
        <f>IFERROR(VLOOKUP(UL2,CALENDARIO!$B$50:$C$66,2,FALSE),0)</f>
        <v>0</v>
      </c>
      <c r="UO4" s="356" t="str">
        <f t="shared" ref="UO4" si="602">IF(OR(UP4="SDF",UQ4="FERIADO"),"SDF","LV")</f>
        <v>LV</v>
      </c>
      <c r="UP4" s="356" t="str">
        <f t="shared" ref="UP4" si="603">IF(OR(WEEKDAY(UO2,2)&gt;=6),"SDF","LV")</f>
        <v>LV</v>
      </c>
      <c r="UQ4" s="356">
        <f>IFERROR(VLOOKUP(UO2,CALENDARIO!$B$50:$C$66,2,FALSE),0)</f>
        <v>0</v>
      </c>
      <c r="UR4" s="356" t="str">
        <f t="shared" ref="UR4" si="604">IF(OR(US4="SDF",UT4="FERIADO"),"SDF","LV")</f>
        <v>LV</v>
      </c>
      <c r="US4" s="356" t="str">
        <f t="shared" ref="US4" si="605">IF(OR(WEEKDAY(UR2,2)&gt;=6),"SDF","LV")</f>
        <v>LV</v>
      </c>
      <c r="UT4" s="356">
        <f>IFERROR(VLOOKUP(UR2,CALENDARIO!$B$50:$C$66,2,FALSE),0)</f>
        <v>0</v>
      </c>
      <c r="UU4" s="356" t="str">
        <f t="shared" ref="UU4" si="606">IF(OR(UV4="SDF",UW4="FERIADO"),"SDF","LV")</f>
        <v>LV</v>
      </c>
      <c r="UV4" s="356" t="str">
        <f t="shared" ref="UV4" si="607">IF(OR(WEEKDAY(UU2,2)&gt;=6),"SDF","LV")</f>
        <v>LV</v>
      </c>
      <c r="UW4" s="356">
        <f>IFERROR(VLOOKUP(UU2,CALENDARIO!$B$50:$C$66,2,FALSE),0)</f>
        <v>0</v>
      </c>
      <c r="UX4" s="356" t="str">
        <f t="shared" ref="UX4" si="608">IF(OR(UY4="SDF",UZ4="FERIADO"),"SDF","LV")</f>
        <v>LV</v>
      </c>
      <c r="UY4" s="356" t="str">
        <f t="shared" ref="UY4" si="609">IF(OR(WEEKDAY(UX2,2)&gt;=6),"SDF","LV")</f>
        <v>LV</v>
      </c>
      <c r="UZ4" s="356">
        <f>IFERROR(VLOOKUP(UX2,CALENDARIO!$B$50:$C$66,2,FALSE),0)</f>
        <v>0</v>
      </c>
      <c r="VA4" s="356" t="str">
        <f t="shared" ref="VA4" si="610">IF(OR(VB4="SDF",VC4="FERIADO"),"SDF","LV")</f>
        <v>LV</v>
      </c>
      <c r="VB4" s="356" t="str">
        <f t="shared" ref="VB4" si="611">IF(OR(WEEKDAY(VA2,2)&gt;=6),"SDF","LV")</f>
        <v>LV</v>
      </c>
      <c r="VC4" s="356">
        <f>IFERROR(VLOOKUP(VA2,CALENDARIO!$B$50:$C$66,2,FALSE),0)</f>
        <v>0</v>
      </c>
      <c r="VD4" s="356" t="str">
        <f t="shared" ref="VD4" si="612">IF(OR(VE4="SDF",VF4="FERIADO"),"SDF","LV")</f>
        <v>SDF</v>
      </c>
      <c r="VE4" s="356" t="str">
        <f t="shared" ref="VE4" si="613">IF(OR(WEEKDAY(VD2,2)&gt;=6),"SDF","LV")</f>
        <v>SDF</v>
      </c>
      <c r="VF4" s="356">
        <f>IFERROR(VLOOKUP(VD2,CALENDARIO!$B$50:$C$66,2,FALSE),0)</f>
        <v>0</v>
      </c>
      <c r="VG4" s="356" t="str">
        <f t="shared" ref="VG4" si="614">IF(OR(VH4="SDF",VI4="FERIADO"),"SDF","LV")</f>
        <v>SDF</v>
      </c>
      <c r="VH4" s="356" t="str">
        <f t="shared" ref="VH4" si="615">IF(OR(WEEKDAY(VG2,2)&gt;=6),"SDF","LV")</f>
        <v>SDF</v>
      </c>
      <c r="VI4" s="356">
        <f>IFERROR(VLOOKUP(VG2,CALENDARIO!$B$50:$C$66,2,FALSE),0)</f>
        <v>0</v>
      </c>
      <c r="VJ4" s="356" t="str">
        <f t="shared" ref="VJ4" si="616">IF(OR(VK4="SDF",VL4="FERIADO"),"SDF","LV")</f>
        <v>LV</v>
      </c>
      <c r="VK4" s="356" t="str">
        <f t="shared" ref="VK4" si="617">IF(OR(WEEKDAY(VJ2,2)&gt;=6),"SDF","LV")</f>
        <v>LV</v>
      </c>
      <c r="VL4" s="356">
        <f>IFERROR(VLOOKUP(VJ2,CALENDARIO!$B$50:$C$66,2,FALSE),0)</f>
        <v>0</v>
      </c>
      <c r="VM4" s="356" t="str">
        <f t="shared" ref="VM4" si="618">IF(OR(VN4="SDF",VO4="FERIADO"),"SDF","LV")</f>
        <v>LV</v>
      </c>
      <c r="VN4" s="356" t="str">
        <f t="shared" ref="VN4" si="619">IF(OR(WEEKDAY(VM2,2)&gt;=6),"SDF","LV")</f>
        <v>LV</v>
      </c>
      <c r="VO4" s="356">
        <f>IFERROR(VLOOKUP(VM2,CALENDARIO!$B$50:$C$66,2,FALSE),0)</f>
        <v>0</v>
      </c>
      <c r="VP4" s="356" t="str">
        <f t="shared" ref="VP4" si="620">IF(OR(VQ4="SDF",VR4="FERIADO"),"SDF","LV")</f>
        <v>LV</v>
      </c>
      <c r="VQ4" s="356" t="str">
        <f t="shared" ref="VQ4" si="621">IF(OR(WEEKDAY(VP2,2)&gt;=6),"SDF","LV")</f>
        <v>LV</v>
      </c>
      <c r="VR4" s="356">
        <f>IFERROR(VLOOKUP(VP2,CALENDARIO!$B$50:$C$66,2,FALSE),0)</f>
        <v>0</v>
      </c>
      <c r="VS4" s="356" t="str">
        <f t="shared" ref="VS4" si="622">IF(OR(VT4="SDF",VU4="FERIADO"),"SDF","LV")</f>
        <v>LV</v>
      </c>
      <c r="VT4" s="356" t="str">
        <f t="shared" ref="VT4" si="623">IF(OR(WEEKDAY(VS2,2)&gt;=6),"SDF","LV")</f>
        <v>LV</v>
      </c>
      <c r="VU4" s="356">
        <f>IFERROR(VLOOKUP(VS2,CALENDARIO!$B$50:$C$66,2,FALSE),0)</f>
        <v>0</v>
      </c>
      <c r="VV4" s="356" t="str">
        <f t="shared" ref="VV4" si="624">IF(OR(VW4="SDF",VX4="FERIADO"),"SDF","LV")</f>
        <v>LV</v>
      </c>
      <c r="VW4" s="356" t="str">
        <f t="shared" ref="VW4" si="625">IF(OR(WEEKDAY(VV2,2)&gt;=6),"SDF","LV")</f>
        <v>LV</v>
      </c>
      <c r="VX4" s="356">
        <f>IFERROR(VLOOKUP(VV2,CALENDARIO!$B$50:$C$66,2,FALSE),0)</f>
        <v>0</v>
      </c>
      <c r="VY4" s="356" t="str">
        <f t="shared" ref="VY4" si="626">IF(OR(VZ4="SDF",WA4="FERIADO"),"SDF","LV")</f>
        <v>SDF</v>
      </c>
      <c r="VZ4" s="356" t="str">
        <f t="shared" ref="VZ4" si="627">IF(OR(WEEKDAY(VY2,2)&gt;=6),"SDF","LV")</f>
        <v>SDF</v>
      </c>
      <c r="WA4" s="356">
        <f>IFERROR(VLOOKUP(VY2,CALENDARIO!$B$50:$C$66,2,FALSE),0)</f>
        <v>0</v>
      </c>
      <c r="WB4" s="356" t="str">
        <f t="shared" ref="WB4" si="628">IF(OR(WC4="SDF",WD4="FERIADO"),"SDF","LV")</f>
        <v>SDF</v>
      </c>
      <c r="WC4" s="356" t="str">
        <f t="shared" ref="WC4" si="629">IF(OR(WEEKDAY(WB2,2)&gt;=6),"SDF","LV")</f>
        <v>SDF</v>
      </c>
      <c r="WD4" s="356">
        <f>IFERROR(VLOOKUP(WB2,CALENDARIO!$B$50:$C$66,2,FALSE),0)</f>
        <v>0</v>
      </c>
      <c r="WE4" s="356" t="str">
        <f t="shared" ref="WE4" si="630">IF(OR(WF4="SDF",WG4="FERIADO"),"SDF","LV")</f>
        <v>LV</v>
      </c>
      <c r="WF4" s="356" t="str">
        <f t="shared" ref="WF4" si="631">IF(OR(WEEKDAY(WE2,2)&gt;=6),"SDF","LV")</f>
        <v>LV</v>
      </c>
      <c r="WG4" s="356">
        <f>IFERROR(VLOOKUP(WE2,CALENDARIO!$B$50:$C$66,2,FALSE),0)</f>
        <v>0</v>
      </c>
      <c r="WH4" s="356" t="str">
        <f t="shared" ref="WH4" si="632">IF(OR(WI4="SDF",WJ4="FERIADO"),"SDF","LV")</f>
        <v>LV</v>
      </c>
      <c r="WI4" s="356" t="str">
        <f t="shared" ref="WI4" si="633">IF(OR(WEEKDAY(WH2,2)&gt;=6),"SDF","LV")</f>
        <v>LV</v>
      </c>
      <c r="WJ4" s="356">
        <f>IFERROR(VLOOKUP(WH2,CALENDARIO!$B$50:$C$66,2,FALSE),0)</f>
        <v>0</v>
      </c>
      <c r="WK4" s="356" t="str">
        <f t="shared" ref="WK4" si="634">IF(OR(WL4="SDF",WM4="FERIADO"),"SDF","LV")</f>
        <v>LV</v>
      </c>
      <c r="WL4" s="356" t="str">
        <f t="shared" ref="WL4" si="635">IF(OR(WEEKDAY(WK2,2)&gt;=6),"SDF","LV")</f>
        <v>LV</v>
      </c>
      <c r="WM4" s="356">
        <f>IFERROR(VLOOKUP(WK2,CALENDARIO!$B$50:$C$66,2,FALSE),0)</f>
        <v>0</v>
      </c>
      <c r="WN4" s="356" t="str">
        <f t="shared" ref="WN4" si="636">IF(OR(WO4="SDF",WP4="FERIADO"),"SDF","LV")</f>
        <v>LV</v>
      </c>
      <c r="WO4" s="356" t="str">
        <f t="shared" ref="WO4" si="637">IF(OR(WEEKDAY(WN2,2)&gt;=6),"SDF","LV")</f>
        <v>LV</v>
      </c>
      <c r="WP4" s="356">
        <f>IFERROR(VLOOKUP(WN2,CALENDARIO!$B$50:$C$66,2,FALSE),0)</f>
        <v>0</v>
      </c>
      <c r="WQ4" s="356" t="str">
        <f t="shared" ref="WQ4" si="638">IF(OR(WR4="SDF",WS4="FERIADO"),"SDF","LV")</f>
        <v>LV</v>
      </c>
      <c r="WR4" s="356" t="str">
        <f t="shared" ref="WR4" si="639">IF(OR(WEEKDAY(WQ2,2)&gt;=6),"SDF","LV")</f>
        <v>LV</v>
      </c>
      <c r="WS4" s="356">
        <f>IFERROR(VLOOKUP(WQ2,CALENDARIO!$B$50:$C$66,2,FALSE),0)</f>
        <v>0</v>
      </c>
      <c r="WT4" s="356" t="str">
        <f t="shared" ref="WT4" si="640">IF(OR(WU4="SDF",WV4="FERIADO"),"SDF","LV")</f>
        <v>SDF</v>
      </c>
      <c r="WU4" s="356" t="str">
        <f t="shared" ref="WU4" si="641">IF(OR(WEEKDAY(WT2,2)&gt;=6),"SDF","LV")</f>
        <v>SDF</v>
      </c>
      <c r="WV4" s="356">
        <f>IFERROR(VLOOKUP(WT2,CALENDARIO!$B$50:$C$66,2,FALSE),0)</f>
        <v>0</v>
      </c>
      <c r="WW4" s="356" t="str">
        <f t="shared" ref="WW4" si="642">IF(OR(WX4="SDF",WY4="FERIADO"),"SDF","LV")</f>
        <v>SDF</v>
      </c>
      <c r="WX4" s="356" t="str">
        <f t="shared" ref="WX4" si="643">IF(OR(WEEKDAY(WW2,2)&gt;=6),"SDF","LV")</f>
        <v>SDF</v>
      </c>
      <c r="WY4" s="356">
        <f>IFERROR(VLOOKUP(WW2,CALENDARIO!$B$50:$C$66,2,FALSE),0)</f>
        <v>0</v>
      </c>
      <c r="WZ4" s="356" t="str">
        <f t="shared" ref="WZ4" si="644">IF(OR(XA4="SDF",XB4="FERIADO"),"SDF","LV")</f>
        <v>LV</v>
      </c>
      <c r="XA4" s="356" t="str">
        <f t="shared" ref="XA4" si="645">IF(OR(WEEKDAY(WZ2,2)&gt;=6),"SDF","LV")</f>
        <v>LV</v>
      </c>
      <c r="XB4" s="356">
        <f>IFERROR(VLOOKUP(WZ2,CALENDARIO!$B$50:$C$66,2,FALSE),0)</f>
        <v>0</v>
      </c>
      <c r="XC4" s="356" t="str">
        <f t="shared" ref="XC4" si="646">IF(OR(XD4="SDF",XE4="FERIADO"),"SDF","LV")</f>
        <v>LV</v>
      </c>
      <c r="XD4" s="356" t="str">
        <f t="shared" ref="XD4" si="647">IF(OR(WEEKDAY(XC2,2)&gt;=6),"SDF","LV")</f>
        <v>LV</v>
      </c>
      <c r="XE4" s="356">
        <f>IFERROR(VLOOKUP(XC2,CALENDARIO!$B$50:$C$66,2,FALSE),0)</f>
        <v>0</v>
      </c>
      <c r="XF4" s="356" t="str">
        <f t="shared" ref="XF4" si="648">IF(OR(XG4="SDF",XH4="FERIADO"),"SDF","LV")</f>
        <v>LV</v>
      </c>
      <c r="XG4" s="356" t="str">
        <f t="shared" ref="XG4" si="649">IF(OR(WEEKDAY(XF2,2)&gt;=6),"SDF","LV")</f>
        <v>LV</v>
      </c>
      <c r="XH4" s="356">
        <f>IFERROR(VLOOKUP(XF2,CALENDARIO!$B$50:$C$66,2,FALSE),0)</f>
        <v>0</v>
      </c>
      <c r="XI4" s="356" t="str">
        <f t="shared" ref="XI4" si="650">IF(OR(XJ4="SDF",XK4="FERIADO"),"SDF","LV")</f>
        <v>LV</v>
      </c>
      <c r="XJ4" s="356" t="str">
        <f t="shared" ref="XJ4" si="651">IF(OR(WEEKDAY(XI2,2)&gt;=6),"SDF","LV")</f>
        <v>LV</v>
      </c>
      <c r="XK4" s="356">
        <f>IFERROR(VLOOKUP(XI2,CALENDARIO!$B$50:$C$66,2,FALSE),0)</f>
        <v>0</v>
      </c>
      <c r="XL4" s="356" t="str">
        <f t="shared" ref="XL4" si="652">IF(OR(XM4="SDF",XN4="FERIADO"),"SDF","LV")</f>
        <v>LV</v>
      </c>
      <c r="XM4" s="356" t="str">
        <f t="shared" ref="XM4" si="653">IF(OR(WEEKDAY(XL2,2)&gt;=6),"SDF","LV")</f>
        <v>LV</v>
      </c>
      <c r="XN4" s="356">
        <f>IFERROR(VLOOKUP(XL2,CALENDARIO!$B$50:$C$66,2,FALSE),0)</f>
        <v>0</v>
      </c>
      <c r="XO4" s="356" t="str">
        <f t="shared" ref="XO4" si="654">IF(OR(XP4="SDF",XQ4="FERIADO"),"SDF","LV")</f>
        <v>SDF</v>
      </c>
      <c r="XP4" s="356" t="str">
        <f t="shared" ref="XP4" si="655">IF(OR(WEEKDAY(XO2,2)&gt;=6),"SDF","LV")</f>
        <v>SDF</v>
      </c>
      <c r="XQ4" s="356">
        <f>IFERROR(VLOOKUP(XO2,CALENDARIO!$B$50:$C$66,2,FALSE),0)</f>
        <v>0</v>
      </c>
      <c r="XR4" s="356" t="str">
        <f t="shared" ref="XR4" si="656">IF(OR(XS4="SDF",XT4="FERIADO"),"SDF","LV")</f>
        <v>SDF</v>
      </c>
      <c r="XS4" s="356" t="str">
        <f t="shared" ref="XS4" si="657">IF(OR(WEEKDAY(XR2,2)&gt;=6),"SDF","LV")</f>
        <v>SDF</v>
      </c>
      <c r="XT4" s="356">
        <f>IFERROR(VLOOKUP(XR2,CALENDARIO!$B$50:$C$66,2,FALSE),0)</f>
        <v>0</v>
      </c>
      <c r="XU4" s="356" t="str">
        <f t="shared" ref="XU4" si="658">IF(OR(XV4="SDF",XW4="FERIADO"),"SDF","LV")</f>
        <v>LV</v>
      </c>
      <c r="XV4" s="356" t="str">
        <f t="shared" ref="XV4" si="659">IF(OR(WEEKDAY(XU2,2)&gt;=6),"SDF","LV")</f>
        <v>LV</v>
      </c>
      <c r="XW4" s="356">
        <f>IFERROR(VLOOKUP(XU2,CALENDARIO!$B$50:$C$66,2,FALSE),0)</f>
        <v>0</v>
      </c>
      <c r="XX4" s="356" t="s">
        <v>325</v>
      </c>
      <c r="XY4" s="356" t="str">
        <f t="shared" ref="XY4" si="660">IF(OR(WEEKDAY(XX2,2)&gt;=6),"SDF","LV")</f>
        <v>LV</v>
      </c>
      <c r="XZ4" s="356">
        <f>IFERROR(VLOOKUP(XX2,CALENDARIO!$B$50:$C$66,2,FALSE),0)</f>
        <v>0</v>
      </c>
      <c r="YA4" s="356" t="str">
        <f t="shared" ref="YA4" si="661">IF(OR(YB4="SDF",YC4="FERIADO"),"SDF","LV")</f>
        <v>LV</v>
      </c>
      <c r="YB4" s="356" t="str">
        <f t="shared" ref="YB4" si="662">IF(OR(WEEKDAY(YA2,2)&gt;=6),"SDF","LV")</f>
        <v>LV</v>
      </c>
      <c r="YC4" s="356">
        <f>IFERROR(VLOOKUP(YA2,CALENDARIO!$B$50:$C$66,2,FALSE),0)</f>
        <v>0</v>
      </c>
      <c r="YD4" s="356" t="str">
        <f t="shared" ref="YD4" si="663">IF(OR(YE4="SDF",YF4="FERIADO"),"SDF","LV")</f>
        <v>LV</v>
      </c>
      <c r="YE4" s="356" t="str">
        <f t="shared" ref="YE4" si="664">IF(OR(WEEKDAY(YD2,2)&gt;=6),"SDF","LV")</f>
        <v>LV</v>
      </c>
      <c r="YF4" s="356">
        <f>IFERROR(VLOOKUP(YD2,CALENDARIO!$B$50:$C$66,2,FALSE),0)</f>
        <v>0</v>
      </c>
      <c r="YG4" s="356" t="str">
        <f t="shared" ref="YG4" si="665">IF(OR(YH4="SDF",YI4="FERIADO"),"SDF","LV")</f>
        <v>LV</v>
      </c>
      <c r="YH4" s="356" t="str">
        <f t="shared" ref="YH4" si="666">IF(OR(WEEKDAY(YG2,2)&gt;=6),"SDF","LV")</f>
        <v>LV</v>
      </c>
      <c r="YI4" s="356">
        <f>IFERROR(VLOOKUP(YG2,CALENDARIO!$B$50:$C$66,2,FALSE),0)</f>
        <v>0</v>
      </c>
      <c r="YJ4" s="356" t="str">
        <f t="shared" ref="YJ4" si="667">IF(OR(YK4="SDF",YL4="FERIADO"),"SDF","LV")</f>
        <v>SDF</v>
      </c>
      <c r="YK4" s="356" t="str">
        <f t="shared" ref="YK4" si="668">IF(OR(WEEKDAY(YJ2,2)&gt;=6),"SDF","LV")</f>
        <v>SDF</v>
      </c>
      <c r="YL4" s="356">
        <f>IFERROR(VLOOKUP(YJ2,CALENDARIO!$B$50:$C$66,2,FALSE),0)</f>
        <v>0</v>
      </c>
      <c r="YM4" s="356" t="str">
        <f t="shared" ref="YM4" si="669">IF(OR(YN4="SDF",YO4="FERIADO"),"SDF","LV")</f>
        <v>SDF</v>
      </c>
      <c r="YN4" s="356" t="str">
        <f t="shared" ref="YN4" si="670">IF(OR(WEEKDAY(YM2,2)&gt;=6),"SDF","LV")</f>
        <v>SDF</v>
      </c>
      <c r="YO4" s="356">
        <f>IFERROR(VLOOKUP(YM2,CALENDARIO!$B$50:$C$66,2,FALSE),0)</f>
        <v>0</v>
      </c>
      <c r="YP4" s="356" t="str">
        <f t="shared" ref="YP4" si="671">IF(OR(YQ4="SDF",YR4="FERIADO"),"SDF","LV")</f>
        <v>LV</v>
      </c>
      <c r="YQ4" s="356" t="str">
        <f t="shared" ref="YQ4" si="672">IF(OR(WEEKDAY(YP2,2)&gt;=6),"SDF","LV")</f>
        <v>LV</v>
      </c>
      <c r="YR4" s="356">
        <f>IFERROR(VLOOKUP(YP2,CALENDARIO!$B$50:$C$66,2,FALSE),0)</f>
        <v>0</v>
      </c>
      <c r="YS4" s="356" t="str">
        <f t="shared" ref="YS4" si="673">IF(OR(YT4="SDF",YU4="FERIADO"),"SDF","LV")</f>
        <v>LV</v>
      </c>
      <c r="YT4" s="356" t="str">
        <f t="shared" ref="YT4" si="674">IF(OR(WEEKDAY(YS2,2)&gt;=6),"SDF","LV")</f>
        <v>LV</v>
      </c>
      <c r="YU4" s="356">
        <f>IFERROR(VLOOKUP(YS2,CALENDARIO!$B$50:$C$66,2,FALSE),0)</f>
        <v>0</v>
      </c>
      <c r="YV4" s="356" t="str">
        <f t="shared" ref="YV4" si="675">IF(OR(YW4="SDF",YX4="FERIADO"),"SDF","LV")</f>
        <v>LV</v>
      </c>
      <c r="YW4" s="356" t="str">
        <f t="shared" ref="YW4" si="676">IF(OR(WEEKDAY(YV2,2)&gt;=6),"SDF","LV")</f>
        <v>LV</v>
      </c>
      <c r="YX4" s="356">
        <f>IFERROR(VLOOKUP(YV2,CALENDARIO!$B$50:$C$66,2,FALSE),0)</f>
        <v>0</v>
      </c>
      <c r="YY4" s="356" t="str">
        <f t="shared" ref="YY4" si="677">IF(OR(YZ4="SDF",ZA4="FERIADO"),"SDF","LV")</f>
        <v>LV</v>
      </c>
      <c r="YZ4" s="356" t="str">
        <f t="shared" ref="YZ4" si="678">IF(OR(WEEKDAY(YY2,2)&gt;=6),"SDF","LV")</f>
        <v>LV</v>
      </c>
      <c r="ZA4" s="356">
        <f>IFERROR(VLOOKUP(YY2,CALENDARIO!$B$50:$C$66,2,FALSE),0)</f>
        <v>0</v>
      </c>
      <c r="ZB4" s="356" t="str">
        <f t="shared" ref="ZB4" si="679">IF(OR(ZC4="SDF",ZD4="FERIADO"),"SDF","LV")</f>
        <v>LV</v>
      </c>
      <c r="ZC4" s="356" t="str">
        <f t="shared" ref="ZC4" si="680">IF(OR(WEEKDAY(ZB2,2)&gt;=6),"SDF","LV")</f>
        <v>LV</v>
      </c>
      <c r="ZD4" s="356">
        <f>IFERROR(VLOOKUP(ZB2,CALENDARIO!$B$50:$C$66,2,FALSE),0)</f>
        <v>0</v>
      </c>
      <c r="ZE4" s="356" t="str">
        <f t="shared" ref="ZE4" si="681">IF(OR(ZF4="SDF",ZG4="FERIADO"),"SDF","LV")</f>
        <v>SDF</v>
      </c>
      <c r="ZF4" s="356" t="str">
        <f t="shared" ref="ZF4" si="682">IF(OR(WEEKDAY(ZE2,2)&gt;=6),"SDF","LV")</f>
        <v>SDF</v>
      </c>
      <c r="ZG4" s="356">
        <f>IFERROR(VLOOKUP(ZE2,CALENDARIO!$B$50:$C$66,2,FALSE),0)</f>
        <v>0</v>
      </c>
      <c r="ZH4" s="356" t="str">
        <f t="shared" ref="ZH4" si="683">IF(OR(ZI4="SDF",ZJ4="FERIADO"),"SDF","LV")</f>
        <v>SDF</v>
      </c>
      <c r="ZI4" s="356" t="str">
        <f t="shared" ref="ZI4" si="684">IF(OR(WEEKDAY(ZH2,2)&gt;=6),"SDF","LV")</f>
        <v>SDF</v>
      </c>
      <c r="ZJ4" s="356">
        <f>IFERROR(VLOOKUP(ZH2,CALENDARIO!$B$50:$C$66,2,FALSE),0)</f>
        <v>0</v>
      </c>
      <c r="ZK4" s="356" t="str">
        <f t="shared" ref="ZK4" si="685">IF(OR(ZL4="SDF",ZM4="FERIADO"),"SDF","LV")</f>
        <v>LV</v>
      </c>
      <c r="ZL4" s="356" t="str">
        <f t="shared" ref="ZL4" si="686">IF(OR(WEEKDAY(ZK2,2)&gt;=6),"SDF","LV")</f>
        <v>LV</v>
      </c>
      <c r="ZM4" s="356">
        <f>IFERROR(VLOOKUP(ZK2,CALENDARIO!$B$50:$C$66,2,FALSE),0)</f>
        <v>0</v>
      </c>
      <c r="ZN4" s="356" t="str">
        <f t="shared" ref="ZN4" si="687">IF(OR(ZO4="SDF",ZP4="FERIADO"),"SDF","LV")</f>
        <v>LV</v>
      </c>
      <c r="ZO4" s="356" t="str">
        <f t="shared" ref="ZO4" si="688">IF(OR(WEEKDAY(ZN2,2)&gt;=6),"SDF","LV")</f>
        <v>LV</v>
      </c>
      <c r="ZP4" s="356">
        <f>IFERROR(VLOOKUP(ZN2,CALENDARIO!$B$50:$C$66,2,FALSE),0)</f>
        <v>0</v>
      </c>
      <c r="ZQ4" s="356" t="str">
        <f t="shared" ref="ZQ4" si="689">IF(OR(ZR4="SDF",ZS4="FERIADO"),"SDF","LV")</f>
        <v>LV</v>
      </c>
      <c r="ZR4" s="356" t="str">
        <f t="shared" ref="ZR4" si="690">IF(OR(WEEKDAY(ZQ2,2)&gt;=6),"SDF","LV")</f>
        <v>LV</v>
      </c>
      <c r="ZS4" s="356">
        <f>IFERROR(VLOOKUP(ZQ2,CALENDARIO!$B$50:$C$66,2,FALSE),0)</f>
        <v>0</v>
      </c>
      <c r="ZT4" s="356" t="str">
        <f t="shared" ref="ZT4" si="691">IF(OR(ZU4="SDF",ZV4="FERIADO"),"SDF","LV")</f>
        <v>LV</v>
      </c>
      <c r="ZU4" s="356" t="str">
        <f t="shared" ref="ZU4" si="692">IF(OR(WEEKDAY(ZT2,2)&gt;=6),"SDF","LV")</f>
        <v>LV</v>
      </c>
      <c r="ZV4" s="356">
        <f>IFERROR(VLOOKUP(ZT2,CALENDARIO!$B$50:$C$66,2,FALSE),0)</f>
        <v>0</v>
      </c>
      <c r="ZW4" s="356" t="str">
        <f t="shared" ref="ZW4" si="693">IF(OR(ZX4="SDF",ZY4="FERIADO"),"SDF","LV")</f>
        <v>LV</v>
      </c>
      <c r="ZX4" s="356" t="str">
        <f t="shared" ref="ZX4" si="694">IF(OR(WEEKDAY(ZW2,2)&gt;=6),"SDF","LV")</f>
        <v>LV</v>
      </c>
      <c r="ZY4" s="356">
        <f>IFERROR(VLOOKUP(ZW2,CALENDARIO!$B$50:$C$66,2,FALSE),0)</f>
        <v>0</v>
      </c>
      <c r="ZZ4" s="356" t="str">
        <f t="shared" ref="ZZ4" si="695">IF(OR(AAA4="SDF",AAB4="FERIADO"),"SDF","LV")</f>
        <v>SDF</v>
      </c>
      <c r="AAA4" s="356" t="str">
        <f t="shared" ref="AAA4" si="696">IF(OR(WEEKDAY(ZZ2,2)&gt;=6),"SDF","LV")</f>
        <v>SDF</v>
      </c>
      <c r="AAB4" s="356">
        <f>IFERROR(VLOOKUP(ZZ2,CALENDARIO!$B$50:$C$66,2,FALSE),0)</f>
        <v>0</v>
      </c>
      <c r="AAC4" s="356" t="str">
        <f t="shared" ref="AAC4" si="697">IF(OR(AAD4="SDF",AAE4="FERIADO"),"SDF","LV")</f>
        <v>SDF</v>
      </c>
      <c r="AAD4" s="356" t="str">
        <f t="shared" ref="AAD4" si="698">IF(OR(WEEKDAY(AAC2,2)&gt;=6),"SDF","LV")</f>
        <v>SDF</v>
      </c>
      <c r="AAE4" s="356">
        <f>IFERROR(VLOOKUP(AAC2,CALENDARIO!$B$50:$C$66,2,FALSE),0)</f>
        <v>0</v>
      </c>
      <c r="AAF4" s="356" t="str">
        <f t="shared" ref="AAF4" si="699">IF(OR(AAG4="SDF",AAH4="FERIADO"),"SDF","LV")</f>
        <v>LV</v>
      </c>
      <c r="AAG4" s="356" t="str">
        <f t="shared" ref="AAG4" si="700">IF(OR(WEEKDAY(AAF2,2)&gt;=6),"SDF","LV")</f>
        <v>LV</v>
      </c>
      <c r="AAH4" s="356">
        <f>IFERROR(VLOOKUP(AAF2,CALENDARIO!$B$50:$C$66,2,FALSE),0)</f>
        <v>0</v>
      </c>
      <c r="AAI4" s="356" t="str">
        <f t="shared" ref="AAI4" si="701">IF(OR(AAJ4="SDF",AAK4="FERIADO"),"SDF","LV")</f>
        <v>LV</v>
      </c>
      <c r="AAJ4" s="356" t="str">
        <f t="shared" ref="AAJ4" si="702">IF(OR(WEEKDAY(AAI2,2)&gt;=6),"SDF","LV")</f>
        <v>LV</v>
      </c>
      <c r="AAK4" s="356">
        <f>IFERROR(VLOOKUP(AAI2,CALENDARIO!$B$50:$C$66,2,FALSE),0)</f>
        <v>0</v>
      </c>
      <c r="AAL4" s="356" t="str">
        <f t="shared" ref="AAL4" si="703">IF(OR(AAM4="SDF",AAN4="FERIADO"),"SDF","LV")</f>
        <v>LV</v>
      </c>
      <c r="AAM4" s="356" t="str">
        <f t="shared" ref="AAM4" si="704">IF(OR(WEEKDAY(AAL2,2)&gt;=6),"SDF","LV")</f>
        <v>LV</v>
      </c>
      <c r="AAN4" s="356">
        <f>IFERROR(VLOOKUP(AAL2,CALENDARIO!$B$50:$C$66,2,FALSE),0)</f>
        <v>0</v>
      </c>
      <c r="AAO4" s="356" t="str">
        <f t="shared" ref="AAO4" si="705">IF(OR(AAP4="SDF",AAQ4="FERIADO"),"SDF","LV")</f>
        <v>LV</v>
      </c>
      <c r="AAP4" s="356" t="str">
        <f t="shared" ref="AAP4" si="706">IF(OR(WEEKDAY(AAO2,2)&gt;=6),"SDF","LV")</f>
        <v>LV</v>
      </c>
      <c r="AAQ4" s="356">
        <f>IFERROR(VLOOKUP(AAO2,CALENDARIO!$B$50:$C$66,2,FALSE),0)</f>
        <v>0</v>
      </c>
      <c r="AAR4" s="356" t="str">
        <f t="shared" ref="AAR4" si="707">IF(OR(AAS4="SDF",AAT4="FERIADO"),"SDF","LV")</f>
        <v>LV</v>
      </c>
      <c r="AAS4" s="356" t="str">
        <f t="shared" ref="AAS4" si="708">IF(OR(WEEKDAY(AAR2,2)&gt;=6),"SDF","LV")</f>
        <v>LV</v>
      </c>
      <c r="AAT4" s="356">
        <f>IFERROR(VLOOKUP(AAR2,CALENDARIO!$B$50:$C$66,2,FALSE),0)</f>
        <v>0</v>
      </c>
      <c r="AAU4" s="356" t="str">
        <f t="shared" ref="AAU4" si="709">IF(OR(AAV4="SDF",AAW4="FERIADO"),"SDF","LV")</f>
        <v>SDF</v>
      </c>
      <c r="AAV4" s="356" t="str">
        <f t="shared" ref="AAV4" si="710">IF(OR(WEEKDAY(AAU2,2)&gt;=6),"SDF","LV")</f>
        <v>SDF</v>
      </c>
      <c r="AAW4" s="356">
        <f>IFERROR(VLOOKUP(AAU2,CALENDARIO!$B$50:$C$66,2,FALSE),0)</f>
        <v>0</v>
      </c>
      <c r="AAX4" s="356" t="str">
        <f t="shared" ref="AAX4" si="711">IF(OR(AAY4="SDF",AAZ4="FERIADO"),"SDF","LV")</f>
        <v>SDF</v>
      </c>
      <c r="AAY4" s="356" t="str">
        <f t="shared" ref="AAY4" si="712">IF(OR(WEEKDAY(AAX2,2)&gt;=6),"SDF","LV")</f>
        <v>SDF</v>
      </c>
      <c r="AAZ4" s="356">
        <f>IFERROR(VLOOKUP(AAX2,CALENDARIO!$B$50:$C$66,2,FALSE),0)</f>
        <v>0</v>
      </c>
      <c r="ABA4" s="356" t="str">
        <f t="shared" ref="ABA4" si="713">IF(OR(ABB4="SDF",ABC4="FERIADO"),"SDF","LV")</f>
        <v>LV</v>
      </c>
      <c r="ABB4" s="356" t="str">
        <f t="shared" ref="ABB4" si="714">IF(OR(WEEKDAY(ABA2,2)&gt;=6),"SDF","LV")</f>
        <v>LV</v>
      </c>
      <c r="ABC4" s="356">
        <f>IFERROR(VLOOKUP(ABA2,CALENDARIO!$B$50:$C$66,2,FALSE),0)</f>
        <v>0</v>
      </c>
      <c r="ABD4" s="356" t="str">
        <f t="shared" ref="ABD4" si="715">IF(OR(ABE4="SDF",ABF4="FERIADO"),"SDF","LV")</f>
        <v>LV</v>
      </c>
      <c r="ABE4" s="356" t="str">
        <f t="shared" ref="ABE4" si="716">IF(OR(WEEKDAY(ABD2,2)&gt;=6),"SDF","LV")</f>
        <v>LV</v>
      </c>
      <c r="ABF4" s="356">
        <f>IFERROR(VLOOKUP(ABD2,CALENDARIO!$B$50:$C$66,2,FALSE),0)</f>
        <v>0</v>
      </c>
      <c r="ABG4" s="356" t="str">
        <f t="shared" ref="ABG4" si="717">IF(OR(ABH4="SDF",ABI4="FERIADO"),"SDF","LV")</f>
        <v>LV</v>
      </c>
      <c r="ABH4" s="356" t="str">
        <f t="shared" ref="ABH4" si="718">IF(OR(WEEKDAY(ABG2,2)&gt;=6),"SDF","LV")</f>
        <v>LV</v>
      </c>
      <c r="ABI4" s="356">
        <f>IFERROR(VLOOKUP(ABG2,CALENDARIO!$B$50:$C$66,2,FALSE),0)</f>
        <v>0</v>
      </c>
      <c r="ABJ4" s="356" t="str">
        <f t="shared" ref="ABJ4" si="719">IF(OR(ABK4="SDF",ABL4="FERIADO"),"SDF","LV")</f>
        <v>LV</v>
      </c>
      <c r="ABK4" s="356" t="str">
        <f t="shared" ref="ABK4" si="720">IF(OR(WEEKDAY(ABJ2,2)&gt;=6),"SDF","LV")</f>
        <v>LV</v>
      </c>
      <c r="ABL4" s="356">
        <f>IFERROR(VLOOKUP(ABJ2,CALENDARIO!$B$50:$C$66,2,FALSE),0)</f>
        <v>0</v>
      </c>
      <c r="ABM4" s="356" t="str">
        <f t="shared" ref="ABM4" si="721">IF(OR(ABN4="SDF",ABO4="FERIADO"),"SDF","LV")</f>
        <v>LV</v>
      </c>
      <c r="ABN4" s="356" t="str">
        <f t="shared" ref="ABN4" si="722">IF(OR(WEEKDAY(ABM2,2)&gt;=6),"SDF","LV")</f>
        <v>LV</v>
      </c>
      <c r="ABO4" s="356">
        <f>IFERROR(VLOOKUP(ABM2,CALENDARIO!$B$50:$C$66,2,FALSE),0)</f>
        <v>0</v>
      </c>
      <c r="ABP4" s="356" t="str">
        <f t="shared" ref="ABP4" si="723">IF(OR(ABQ4="SDF",ABR4="FERIADO"),"SDF","LV")</f>
        <v>SDF</v>
      </c>
      <c r="ABQ4" s="356" t="str">
        <f t="shared" ref="ABQ4" si="724">IF(OR(WEEKDAY(ABP2,2)&gt;=6),"SDF","LV")</f>
        <v>SDF</v>
      </c>
      <c r="ABR4" s="356">
        <f>IFERROR(VLOOKUP(ABP2,CALENDARIO!$B$50:$C$66,2,FALSE),0)</f>
        <v>0</v>
      </c>
      <c r="ABS4" s="356" t="str">
        <f t="shared" ref="ABS4" si="725">IF(OR(ABT4="SDF",ABU4="FERIADO"),"SDF","LV")</f>
        <v>SDF</v>
      </c>
      <c r="ABT4" s="356" t="str">
        <f t="shared" ref="ABT4" si="726">IF(OR(WEEKDAY(ABS2,2)&gt;=6),"SDF","LV")</f>
        <v>SDF</v>
      </c>
      <c r="ABU4" s="356">
        <f>IFERROR(VLOOKUP(ABS2,CALENDARIO!$B$50:$C$66,2,FALSE),0)</f>
        <v>0</v>
      </c>
      <c r="ABV4" s="356" t="str">
        <f t="shared" ref="ABV4" si="727">IF(OR(ABW4="SDF",ABX4="FERIADO"),"SDF","LV")</f>
        <v>LV</v>
      </c>
      <c r="ABW4" s="356" t="str">
        <f t="shared" ref="ABW4" si="728">IF(OR(WEEKDAY(ABV2,2)&gt;=6),"SDF","LV")</f>
        <v>LV</v>
      </c>
      <c r="ABX4" s="356">
        <f>IFERROR(VLOOKUP(ABV2,CALENDARIO!$B$50:$C$66,2,FALSE),0)</f>
        <v>0</v>
      </c>
      <c r="ABY4" s="356" t="str">
        <f t="shared" ref="ABY4" si="729">IF(OR(ABZ4="SDF",ACA4="FERIADO"),"SDF","LV")</f>
        <v>LV</v>
      </c>
      <c r="ABZ4" s="356" t="str">
        <f t="shared" ref="ABZ4" si="730">IF(OR(WEEKDAY(ABY2,2)&gt;=6),"SDF","LV")</f>
        <v>LV</v>
      </c>
      <c r="ACA4" s="356">
        <f>IFERROR(VLOOKUP(ABY2,CALENDARIO!$B$50:$C$66,2,FALSE),0)</f>
        <v>0</v>
      </c>
      <c r="ACB4" s="356" t="str">
        <f t="shared" ref="ACB4" si="731">IF(OR(ACC4="SDF",ACD4="FERIADO"),"SDF","LV")</f>
        <v>LV</v>
      </c>
      <c r="ACC4" s="356" t="str">
        <f t="shared" ref="ACC4" si="732">IF(OR(WEEKDAY(ACB2,2)&gt;=6),"SDF","LV")</f>
        <v>LV</v>
      </c>
      <c r="ACD4" s="356">
        <f>IFERROR(VLOOKUP(ACB2,CALENDARIO!$B$50:$C$66,2,FALSE),0)</f>
        <v>0</v>
      </c>
      <c r="ACE4" s="356" t="str">
        <f t="shared" ref="ACE4" si="733">IF(OR(ACF4="SDF",ACG4="FERIADO"),"SDF","LV")</f>
        <v>LV</v>
      </c>
      <c r="ACF4" s="356" t="str">
        <f t="shared" ref="ACF4" si="734">IF(OR(WEEKDAY(ACE2,2)&gt;=6),"SDF","LV")</f>
        <v>LV</v>
      </c>
      <c r="ACG4" s="356">
        <f>IFERROR(VLOOKUP(ACE2,CALENDARIO!$B$50:$C$66,2,FALSE),0)</f>
        <v>0</v>
      </c>
      <c r="ACH4" s="356" t="str">
        <f t="shared" ref="ACH4" si="735">IF(OR(ACI4="SDF",ACJ4="FERIADO"),"SDF","LV")</f>
        <v>SDF</v>
      </c>
      <c r="ACI4" s="356" t="str">
        <f t="shared" ref="ACI4" si="736">IF(OR(WEEKDAY(ACH2,2)&gt;=6),"SDF","LV")</f>
        <v>LV</v>
      </c>
      <c r="ACJ4" s="356" t="str">
        <f>IFERROR(VLOOKUP(ACH2,CALENDARIO!$B$50:$C$66,2,FALSE),0)</f>
        <v>FERIADO</v>
      </c>
      <c r="ACK4" s="356" t="str">
        <f t="shared" ref="ACK4" si="737">IF(OR(ACL4="SDF",ACM4="FERIADO"),"SDF","LV")</f>
        <v>SDF</v>
      </c>
      <c r="ACL4" s="356" t="str">
        <f t="shared" ref="ACL4" si="738">IF(OR(WEEKDAY(ACK2,2)&gt;=6),"SDF","LV")</f>
        <v>SDF</v>
      </c>
      <c r="ACM4" s="356">
        <f>IFERROR(VLOOKUP(ACK2,CALENDARIO!$B$50:$C$66,2,FALSE),0)</f>
        <v>0</v>
      </c>
      <c r="ACN4" s="356" t="str">
        <f t="shared" ref="ACN4" si="739">IF(OR(ACO4="SDF",ACP4="FERIADO"),"SDF","LV")</f>
        <v>SDF</v>
      </c>
      <c r="ACO4" s="356" t="str">
        <f t="shared" ref="ACO4" si="740">IF(OR(WEEKDAY(ACN2,2)&gt;=6),"SDF","LV")</f>
        <v>SDF</v>
      </c>
      <c r="ACP4" s="356">
        <f>IFERROR(VLOOKUP(ACN2,CALENDARIO!$B$50:$C$66,2,FALSE),0)</f>
        <v>0</v>
      </c>
      <c r="ACQ4" s="356" t="str">
        <f t="shared" ref="ACQ4" si="741">IF(OR(ACR4="SDF",ACS4="FERIADO"),"SDF","LV")</f>
        <v>LV</v>
      </c>
      <c r="ACR4" s="356" t="str">
        <f t="shared" ref="ACR4" si="742">IF(OR(WEEKDAY(ACQ2,2)&gt;=6),"SDF","LV")</f>
        <v>LV</v>
      </c>
      <c r="ACS4" s="356">
        <f>IFERROR(VLOOKUP(ACQ2,CALENDARIO!$B$50:$C$66,2,FALSE),0)</f>
        <v>0</v>
      </c>
      <c r="ACT4" s="356" t="str">
        <f t="shared" ref="ACT4" si="743">IF(OR(ACU4="SDF",ACV4="FERIADO"),"SDF","LV")</f>
        <v>LV</v>
      </c>
      <c r="ACU4" s="356" t="str">
        <f t="shared" ref="ACU4" si="744">IF(OR(WEEKDAY(ACT2,2)&gt;=6),"SDF","LV")</f>
        <v>LV</v>
      </c>
      <c r="ACV4" s="356">
        <f>IFERROR(VLOOKUP(ACT2,CALENDARIO!$B$50:$C$66,2,FALSE),0)</f>
        <v>0</v>
      </c>
      <c r="ACW4" s="356" t="str">
        <f t="shared" ref="ACW4" si="745">IF(OR(ACX4="SDF",ACY4="FERIADO"),"SDF","LV")</f>
        <v>LV</v>
      </c>
      <c r="ACX4" s="356" t="str">
        <f t="shared" ref="ACX4" si="746">IF(OR(WEEKDAY(ACW2,2)&gt;=6),"SDF","LV")</f>
        <v>LV</v>
      </c>
      <c r="ACY4" s="356">
        <f>IFERROR(VLOOKUP(ACW2,CALENDARIO!$B$50:$C$66,2,FALSE),0)</f>
        <v>0</v>
      </c>
      <c r="ACZ4" s="356" t="str">
        <f t="shared" ref="ACZ4" si="747">IF(OR(ADA4="SDF",ADB4="FERIADO"),"SDF","LV")</f>
        <v>LV</v>
      </c>
      <c r="ADA4" s="356" t="str">
        <f t="shared" ref="ADA4" si="748">IF(OR(WEEKDAY(ACZ2,2)&gt;=6),"SDF","LV")</f>
        <v>LV</v>
      </c>
      <c r="ADB4" s="356">
        <f>IFERROR(VLOOKUP(ACZ2,CALENDARIO!$B$50:$C$66,2,FALSE),0)</f>
        <v>0</v>
      </c>
      <c r="ADC4" s="356" t="str">
        <f t="shared" ref="ADC4" si="749">IF(OR(ADD4="SDF",ADE4="FERIADO"),"SDF","LV")</f>
        <v>LV</v>
      </c>
      <c r="ADD4" s="356" t="str">
        <f t="shared" ref="ADD4" si="750">IF(OR(WEEKDAY(ADC2,2)&gt;=6),"SDF","LV")</f>
        <v>LV</v>
      </c>
      <c r="ADE4" s="356">
        <f>IFERROR(VLOOKUP(ADC2,CALENDARIO!$B$50:$C$66,2,FALSE),0)</f>
        <v>0</v>
      </c>
      <c r="ADF4" s="356" t="str">
        <f t="shared" ref="ADF4" si="751">IF(OR(ADG4="SDF",ADH4="FERIADO"),"SDF","LV")</f>
        <v>SDF</v>
      </c>
      <c r="ADG4" s="356" t="str">
        <f t="shared" ref="ADG4" si="752">IF(OR(WEEKDAY(ADF2,2)&gt;=6),"SDF","LV")</f>
        <v>SDF</v>
      </c>
      <c r="ADH4" s="356">
        <f>IFERROR(VLOOKUP(ADF2,CALENDARIO!$B$50:$C$66,2,FALSE),0)</f>
        <v>0</v>
      </c>
      <c r="ADI4" s="356" t="str">
        <f t="shared" ref="ADI4" si="753">IF(OR(ADJ4="SDF",ADK4="FERIADO"),"SDF","LV")</f>
        <v>SDF</v>
      </c>
      <c r="ADJ4" s="356" t="str">
        <f t="shared" ref="ADJ4" si="754">IF(OR(WEEKDAY(ADI2,2)&gt;=6),"SDF","LV")</f>
        <v>SDF</v>
      </c>
      <c r="ADK4" s="356">
        <f>IFERROR(VLOOKUP(ADI2,CALENDARIO!$B$50:$C$66,2,FALSE),0)</f>
        <v>0</v>
      </c>
      <c r="ADL4" s="356" t="str">
        <f t="shared" ref="ADL4" si="755">IF(OR(ADM4="SDF",ADN4="FERIADO"),"SDF","LV")</f>
        <v>LV</v>
      </c>
      <c r="ADM4" s="356" t="str">
        <f t="shared" ref="ADM4" si="756">IF(OR(WEEKDAY(ADL2,2)&gt;=6),"SDF","LV")</f>
        <v>LV</v>
      </c>
      <c r="ADN4" s="356">
        <f>IFERROR(VLOOKUP(ADL2,CALENDARIO!$B$50:$C$66,2,FALSE),0)</f>
        <v>0</v>
      </c>
      <c r="ADO4" s="356" t="str">
        <f t="shared" ref="ADO4" si="757">IF(OR(ADP4="SDF",ADQ4="FERIADO"),"SDF","LV")</f>
        <v>LV</v>
      </c>
      <c r="ADP4" s="356" t="str">
        <f t="shared" ref="ADP4" si="758">IF(OR(WEEKDAY(ADO2,2)&gt;=6),"SDF","LV")</f>
        <v>LV</v>
      </c>
      <c r="ADQ4" s="356">
        <f>IFERROR(VLOOKUP(ADO2,CALENDARIO!$B$50:$C$66,2,FALSE),0)</f>
        <v>0</v>
      </c>
      <c r="ADR4" s="356" t="str">
        <f t="shared" ref="ADR4" si="759">IF(OR(ADS4="SDF",ADT4="FERIADO"),"SDF","LV")</f>
        <v>LV</v>
      </c>
      <c r="ADS4" s="356" t="str">
        <f t="shared" ref="ADS4" si="760">IF(OR(WEEKDAY(ADR2,2)&gt;=6),"SDF","LV")</f>
        <v>LV</v>
      </c>
      <c r="ADT4" s="356">
        <f>IFERROR(VLOOKUP(ADR2,CALENDARIO!$B$50:$C$66,2,FALSE),0)</f>
        <v>0</v>
      </c>
      <c r="ADU4" s="356" t="str">
        <f t="shared" ref="ADU4" si="761">IF(OR(ADV4="SDF",ADW4="FERIADO"),"SDF","LV")</f>
        <v>LV</v>
      </c>
      <c r="ADV4" s="356" t="str">
        <f t="shared" ref="ADV4" si="762">IF(OR(WEEKDAY(ADU2,2)&gt;=6),"SDF","LV")</f>
        <v>LV</v>
      </c>
      <c r="ADW4" s="356">
        <f>IFERROR(VLOOKUP(ADU2,CALENDARIO!$B$50:$C$66,2,FALSE),0)</f>
        <v>0</v>
      </c>
      <c r="ADX4" s="356" t="str">
        <f t="shared" ref="ADX4" si="763">IF(OR(ADY4="SDF",ADZ4="FERIADO"),"SDF","LV")</f>
        <v>LV</v>
      </c>
      <c r="ADY4" s="356" t="str">
        <f t="shared" ref="ADY4" si="764">IF(OR(WEEKDAY(ADX2,2)&gt;=6),"SDF","LV")</f>
        <v>LV</v>
      </c>
      <c r="ADZ4" s="356">
        <f>IFERROR(VLOOKUP(ADX2,CALENDARIO!$B$50:$C$66,2,FALSE),0)</f>
        <v>0</v>
      </c>
      <c r="AEA4" s="356" t="str">
        <f t="shared" ref="AEA4" si="765">IF(OR(AEB4="SDF",AEC4="FERIADO"),"SDF","LV")</f>
        <v>SDF</v>
      </c>
      <c r="AEB4" s="356" t="str">
        <f t="shared" ref="AEB4" si="766">IF(OR(WEEKDAY(AEA2,2)&gt;=6),"SDF","LV")</f>
        <v>SDF</v>
      </c>
      <c r="AEC4" s="356">
        <f>IFERROR(VLOOKUP(AEA2,CALENDARIO!$B$50:$C$66,2,FALSE),0)</f>
        <v>0</v>
      </c>
      <c r="AED4" s="356" t="str">
        <f t="shared" ref="AED4" si="767">IF(OR(AEE4="SDF",AEF4="FERIADO"),"SDF","LV")</f>
        <v>SDF</v>
      </c>
      <c r="AEE4" s="356" t="str">
        <f t="shared" ref="AEE4" si="768">IF(OR(WEEKDAY(AED2,2)&gt;=6),"SDF","LV")</f>
        <v>SDF</v>
      </c>
      <c r="AEF4" s="356">
        <f>IFERROR(VLOOKUP(AED2,CALENDARIO!$B$50:$C$66,2,FALSE),0)</f>
        <v>0</v>
      </c>
      <c r="AEG4" s="356" t="str">
        <f t="shared" ref="AEG4" si="769">IF(OR(AEH4="SDF",AEI4="FERIADO"),"SDF","LV")</f>
        <v>LV</v>
      </c>
      <c r="AEH4" s="356" t="str">
        <f t="shared" ref="AEH4" si="770">IF(OR(WEEKDAY(AEG2,2)&gt;=6),"SDF","LV")</f>
        <v>LV</v>
      </c>
      <c r="AEI4" s="356">
        <f>IFERROR(VLOOKUP(AEG2,CALENDARIO!$B$50:$C$66,2,FALSE),0)</f>
        <v>0</v>
      </c>
      <c r="AEJ4" s="356" t="str">
        <f t="shared" ref="AEJ4" si="771">IF(OR(AEK4="SDF",AEL4="FERIADO"),"SDF","LV")</f>
        <v>LV</v>
      </c>
      <c r="AEK4" s="356" t="str">
        <f t="shared" ref="AEK4" si="772">IF(OR(WEEKDAY(AEJ2,2)&gt;=6),"SDF","LV")</f>
        <v>LV</v>
      </c>
      <c r="AEL4" s="356">
        <f>IFERROR(VLOOKUP(AEJ2,CALENDARIO!$B$50:$C$66,2,FALSE),0)</f>
        <v>0</v>
      </c>
      <c r="AEM4" s="356" t="str">
        <f t="shared" ref="AEM4" si="773">IF(OR(AEN4="SDF",AEO4="FERIADO"),"SDF","LV")</f>
        <v>LV</v>
      </c>
      <c r="AEN4" s="356" t="str">
        <f t="shared" ref="AEN4" si="774">IF(OR(WEEKDAY(AEM2,2)&gt;=6),"SDF","LV")</f>
        <v>LV</v>
      </c>
      <c r="AEO4" s="356">
        <f>IFERROR(VLOOKUP(AEM2,CALENDARIO!$B$50:$C$66,2,FALSE),0)</f>
        <v>0</v>
      </c>
      <c r="AEP4" s="356" t="str">
        <f t="shared" ref="AEP4" si="775">IF(OR(AEQ4="SDF",AER4="FERIADO"),"SDF","LV")</f>
        <v>LV</v>
      </c>
      <c r="AEQ4" s="356" t="str">
        <f t="shared" ref="AEQ4" si="776">IF(OR(WEEKDAY(AEP2,2)&gt;=6),"SDF","LV")</f>
        <v>LV</v>
      </c>
      <c r="AER4" s="356">
        <f>IFERROR(VLOOKUP(AEP2,CALENDARIO!$B$50:$C$66,2,FALSE),0)</f>
        <v>0</v>
      </c>
      <c r="AES4" s="356" t="str">
        <f t="shared" ref="AES4" si="777">IF(OR(AET4="SDF",AEU4="FERIADO"),"SDF","LV")</f>
        <v>LV</v>
      </c>
      <c r="AET4" s="356" t="str">
        <f t="shared" ref="AET4" si="778">IF(OR(WEEKDAY(AES2,2)&gt;=6),"SDF","LV")</f>
        <v>LV</v>
      </c>
      <c r="AEU4" s="356">
        <f>IFERROR(VLOOKUP(AES2,CALENDARIO!$B$50:$C$66,2,FALSE),0)</f>
        <v>0</v>
      </c>
      <c r="AEV4" s="356" t="str">
        <f t="shared" ref="AEV4" si="779">IF(OR(AEW4="SDF",AEX4="FERIADO"),"SDF","LV")</f>
        <v>SDF</v>
      </c>
      <c r="AEW4" s="356" t="str">
        <f t="shared" ref="AEW4" si="780">IF(OR(WEEKDAY(AEV2,2)&gt;=6),"SDF","LV")</f>
        <v>SDF</v>
      </c>
      <c r="AEX4" s="356">
        <f>IFERROR(VLOOKUP(AEV2,CALENDARIO!$B$50:$C$66,2,FALSE),0)</f>
        <v>0</v>
      </c>
      <c r="AEY4" s="356" t="str">
        <f t="shared" ref="AEY4" si="781">IF(OR(AEZ4="SDF",AFA4="FERIADO"),"SDF","LV")</f>
        <v>SDF</v>
      </c>
      <c r="AEZ4" s="356" t="str">
        <f t="shared" ref="AEZ4" si="782">IF(OR(WEEKDAY(AEY2,2)&gt;=6),"SDF","LV")</f>
        <v>SDF</v>
      </c>
      <c r="AFA4" s="356">
        <f>IFERROR(VLOOKUP(AEY2,CALENDARIO!$B$50:$C$66,2,FALSE),0)</f>
        <v>0</v>
      </c>
      <c r="AFB4" s="356" t="str">
        <f t="shared" ref="AFB4" si="783">IF(OR(AFC4="SDF",AFD4="FERIADO"),"SDF","LV")</f>
        <v>LV</v>
      </c>
      <c r="AFC4" s="356" t="str">
        <f t="shared" ref="AFC4" si="784">IF(OR(WEEKDAY(AFB2,2)&gt;=6),"SDF","LV")</f>
        <v>LV</v>
      </c>
      <c r="AFD4" s="356">
        <f>IFERROR(VLOOKUP(AFB2,CALENDARIO!$B$50:$C$66,2,FALSE),0)</f>
        <v>0</v>
      </c>
      <c r="AFE4" s="356" t="str">
        <f t="shared" ref="AFE4" si="785">IF(OR(AFF4="SDF",AFG4="FERIADO"),"SDF","LV")</f>
        <v>LV</v>
      </c>
      <c r="AFF4" s="356" t="str">
        <f t="shared" ref="AFF4" si="786">IF(OR(WEEKDAY(AFE2,2)&gt;=6),"SDF","LV")</f>
        <v>LV</v>
      </c>
      <c r="AFG4" s="356">
        <f>IFERROR(VLOOKUP(AFE2,CALENDARIO!$B$50:$C$66,2,FALSE),0)</f>
        <v>0</v>
      </c>
      <c r="AFH4" s="356" t="str">
        <f t="shared" ref="AFH4" si="787">IF(OR(AFI4="SDF",AFJ4="FERIADO"),"SDF","LV")</f>
        <v>LV</v>
      </c>
      <c r="AFI4" s="356" t="str">
        <f t="shared" ref="AFI4" si="788">IF(OR(WEEKDAY(AFH2,2)&gt;=6),"SDF","LV")</f>
        <v>LV</v>
      </c>
      <c r="AFJ4" s="356">
        <f>IFERROR(VLOOKUP(AFH2,CALENDARIO!$B$50:$C$66,2,FALSE),0)</f>
        <v>0</v>
      </c>
      <c r="AFK4" s="356" t="str">
        <f t="shared" ref="AFK4" si="789">IF(OR(AFL4="SDF",AFM4="FERIADO"),"SDF","LV")</f>
        <v>LV</v>
      </c>
      <c r="AFL4" s="356" t="str">
        <f t="shared" ref="AFL4" si="790">IF(OR(WEEKDAY(AFK2,2)&gt;=6),"SDF","LV")</f>
        <v>LV</v>
      </c>
      <c r="AFM4" s="356">
        <f>IFERROR(VLOOKUP(AFK2,CALENDARIO!$B$50:$C$66,2,FALSE),0)</f>
        <v>0</v>
      </c>
      <c r="AFN4" s="356" t="str">
        <f t="shared" ref="AFN4" si="791">IF(OR(AFO4="SDF",AFP4="FERIADO"),"SDF","LV")</f>
        <v>LV</v>
      </c>
      <c r="AFO4" s="356" t="str">
        <f t="shared" ref="AFO4" si="792">IF(OR(WEEKDAY(AFN2,2)&gt;=6),"SDF","LV")</f>
        <v>LV</v>
      </c>
      <c r="AFP4" s="356">
        <f>IFERROR(VLOOKUP(AFN2,CALENDARIO!$B$50:$C$66,2,FALSE),0)</f>
        <v>0</v>
      </c>
      <c r="AFQ4" s="356" t="str">
        <f t="shared" ref="AFQ4" si="793">IF(OR(AFR4="SDF",AFS4="FERIADO"),"SDF","LV")</f>
        <v>SDF</v>
      </c>
      <c r="AFR4" s="356" t="str">
        <f t="shared" ref="AFR4" si="794">IF(OR(WEEKDAY(AFQ2,2)&gt;=6),"SDF","LV")</f>
        <v>SDF</v>
      </c>
      <c r="AFS4" s="356">
        <f>IFERROR(VLOOKUP(AFQ2,CALENDARIO!$B$50:$C$66,2,FALSE),0)</f>
        <v>0</v>
      </c>
      <c r="AFT4" s="356" t="str">
        <f t="shared" ref="AFT4" si="795">IF(OR(AFU4="SDF",AFV4="FERIADO"),"SDF","LV")</f>
        <v>SDF</v>
      </c>
      <c r="AFU4" s="356" t="str">
        <f t="shared" ref="AFU4" si="796">IF(OR(WEEKDAY(AFT2,2)&gt;=6),"SDF","LV")</f>
        <v>SDF</v>
      </c>
      <c r="AFV4" s="356">
        <f>IFERROR(VLOOKUP(AFT2,CALENDARIO!$B$50:$C$66,2,FALSE),0)</f>
        <v>0</v>
      </c>
      <c r="AFW4" s="356" t="str">
        <f t="shared" ref="AFW4" si="797">IF(OR(AFX4="SDF",AFY4="FERIADO"),"SDF","LV")</f>
        <v>LV</v>
      </c>
      <c r="AFX4" s="356" t="str">
        <f t="shared" ref="AFX4" si="798">IF(OR(WEEKDAY(AFW2,2)&gt;=6),"SDF","LV")</f>
        <v>LV</v>
      </c>
      <c r="AFY4" s="356">
        <f>IFERROR(VLOOKUP(AFW2,CALENDARIO!$B$50:$C$66,2,FALSE),0)</f>
        <v>0</v>
      </c>
      <c r="AFZ4" s="356" t="str">
        <f t="shared" ref="AFZ4" si="799">IF(OR(AGA4="SDF",AGB4="FERIADO"),"SDF","LV")</f>
        <v>LV</v>
      </c>
      <c r="AGA4" s="356" t="str">
        <f t="shared" ref="AGA4" si="800">IF(OR(WEEKDAY(AFZ2,2)&gt;=6),"SDF","LV")</f>
        <v>LV</v>
      </c>
      <c r="AGB4" s="356">
        <f>IFERROR(VLOOKUP(AFZ2,CALENDARIO!$B$50:$C$66,2,FALSE),0)</f>
        <v>0</v>
      </c>
      <c r="AGC4" s="356" t="str">
        <f t="shared" ref="AGC4" si="801">IF(OR(AGD4="SDF",AGE4="FERIADO"),"SDF","LV")</f>
        <v>LV</v>
      </c>
      <c r="AGD4" s="356" t="str">
        <f t="shared" ref="AGD4" si="802">IF(OR(WEEKDAY(AGC2,2)&gt;=6),"SDF","LV")</f>
        <v>LV</v>
      </c>
      <c r="AGE4" s="356">
        <f>IFERROR(VLOOKUP(AGC2,CALENDARIO!$B$50:$C$66,2,FALSE),0)</f>
        <v>0</v>
      </c>
      <c r="AGF4" s="356" t="str">
        <f t="shared" ref="AGF4" si="803">IF(OR(AGG4="SDF",AGH4="FERIADO"),"SDF","LV")</f>
        <v>LV</v>
      </c>
      <c r="AGG4" s="356" t="str">
        <f t="shared" ref="AGG4" si="804">IF(OR(WEEKDAY(AGF2,2)&gt;=6),"SDF","LV")</f>
        <v>LV</v>
      </c>
      <c r="AGH4" s="356">
        <f>IFERROR(VLOOKUP(AGF2,CALENDARIO!$B$50:$C$66,2,FALSE),0)</f>
        <v>0</v>
      </c>
      <c r="AGI4" s="356" t="str">
        <f t="shared" ref="AGI4" si="805">IF(OR(AGJ4="SDF",AGK4="FERIADO"),"SDF","LV")</f>
        <v>LV</v>
      </c>
      <c r="AGJ4" s="356" t="str">
        <f t="shared" ref="AGJ4" si="806">IF(OR(WEEKDAY(AGI2,2)&gt;=6),"SDF","LV")</f>
        <v>LV</v>
      </c>
      <c r="AGK4" s="356">
        <f>IFERROR(VLOOKUP(AGI2,CALENDARIO!$B$50:$C$66,2,FALSE),0)</f>
        <v>0</v>
      </c>
      <c r="AGL4" s="356" t="str">
        <f t="shared" ref="AGL4" si="807">IF(OR(AGM4="SDF",AGN4="FERIADO"),"SDF","LV")</f>
        <v>SDF</v>
      </c>
      <c r="AGM4" s="356" t="str">
        <f t="shared" ref="AGM4" si="808">IF(OR(WEEKDAY(AGL2,2)&gt;=6),"SDF","LV")</f>
        <v>SDF</v>
      </c>
      <c r="AGN4" s="356">
        <f>IFERROR(VLOOKUP(AGL2,CALENDARIO!$B$50:$C$66,2,FALSE),0)</f>
        <v>0</v>
      </c>
      <c r="AGO4" s="356" t="str">
        <f t="shared" ref="AGO4" si="809">IF(OR(AGP4="SDF",AGQ4="FERIADO"),"SDF","LV")</f>
        <v>SDF</v>
      </c>
      <c r="AGP4" s="356" t="str">
        <f t="shared" ref="AGP4" si="810">IF(OR(WEEKDAY(AGO2,2)&gt;=6),"SDF","LV")</f>
        <v>SDF</v>
      </c>
      <c r="AGQ4" s="356">
        <f>IFERROR(VLOOKUP(AGO2,CALENDARIO!$B$50:$C$66,2,FALSE),0)</f>
        <v>0</v>
      </c>
      <c r="AGR4" s="356" t="str">
        <f t="shared" ref="AGR4" si="811">IF(OR(AGS4="SDF",AGT4="FERIADO"),"SDF","LV")</f>
        <v>LV</v>
      </c>
      <c r="AGS4" s="356" t="str">
        <f t="shared" ref="AGS4" si="812">IF(OR(WEEKDAY(AGR2,2)&gt;=6),"SDF","LV")</f>
        <v>LV</v>
      </c>
      <c r="AGT4" s="356">
        <f>IFERROR(VLOOKUP(AGR2,CALENDARIO!$B$50:$C$66,2,FALSE),0)</f>
        <v>0</v>
      </c>
      <c r="AGU4" s="356" t="str">
        <f t="shared" ref="AGU4" si="813">IF(OR(AGV4="SDF",AGW4="FERIADO"),"SDF","LV")</f>
        <v>LV</v>
      </c>
      <c r="AGV4" s="356" t="str">
        <f t="shared" ref="AGV4" si="814">IF(OR(WEEKDAY(AGU2,2)&gt;=6),"SDF","LV")</f>
        <v>LV</v>
      </c>
      <c r="AGW4" s="356">
        <f>IFERROR(VLOOKUP(AGU2,CALENDARIO!$B$50:$C$66,2,FALSE),0)</f>
        <v>0</v>
      </c>
      <c r="AGX4" s="356" t="str">
        <f t="shared" ref="AGX4" si="815">IF(OR(AGY4="SDF",AGZ4="FERIADO"),"SDF","LV")</f>
        <v>LV</v>
      </c>
      <c r="AGY4" s="356" t="str">
        <f t="shared" ref="AGY4" si="816">IF(OR(WEEKDAY(AGX2,2)&gt;=6),"SDF","LV")</f>
        <v>LV</v>
      </c>
      <c r="AGZ4" s="356">
        <f>IFERROR(VLOOKUP(AGX2,CALENDARIO!$B$50:$C$66,2,FALSE),0)</f>
        <v>0</v>
      </c>
      <c r="AHA4" s="356" t="str">
        <f t="shared" ref="AHA4" si="817">IF(OR(AHB4="SDF",AHC4="FERIADO"),"SDF","LV")</f>
        <v>LV</v>
      </c>
      <c r="AHB4" s="356" t="str">
        <f t="shared" ref="AHB4" si="818">IF(OR(WEEKDAY(AHA2,2)&gt;=6),"SDF","LV")</f>
        <v>LV</v>
      </c>
      <c r="AHC4" s="356">
        <f>IFERROR(VLOOKUP(AHA2,CALENDARIO!$B$50:$C$66,2,FALSE),0)</f>
        <v>0</v>
      </c>
      <c r="AHD4" s="356" t="str">
        <f t="shared" ref="AHD4" si="819">IF(OR(AHE4="SDF",AHF4="FERIADO"),"SDF","LV")</f>
        <v>LV</v>
      </c>
      <c r="AHE4" s="356" t="str">
        <f t="shared" ref="AHE4" si="820">IF(OR(WEEKDAY(AHD2,2)&gt;=6),"SDF","LV")</f>
        <v>LV</v>
      </c>
      <c r="AHF4" s="356">
        <f>IFERROR(VLOOKUP(AHD2,CALENDARIO!$B$50:$C$66,2,FALSE),0)</f>
        <v>0</v>
      </c>
      <c r="AHG4" s="356" t="str">
        <f t="shared" ref="AHG4" si="821">IF(OR(AHH4="SDF",AHI4="FERIADO"),"SDF","LV")</f>
        <v>SDF</v>
      </c>
      <c r="AHH4" s="356" t="str">
        <f t="shared" ref="AHH4" si="822">IF(OR(WEEKDAY(AHG2,2)&gt;=6),"SDF","LV")</f>
        <v>SDF</v>
      </c>
      <c r="AHI4" s="356">
        <f>IFERROR(VLOOKUP(AHG2,CALENDARIO!$B$50:$C$66,2,FALSE),0)</f>
        <v>0</v>
      </c>
      <c r="AHJ4" s="356" t="str">
        <f t="shared" ref="AHJ4" si="823">IF(OR(AHK4="SDF",AHL4="FERIADO"),"SDF","LV")</f>
        <v>SDF</v>
      </c>
      <c r="AHK4" s="356" t="str">
        <f t="shared" ref="AHK4" si="824">IF(OR(WEEKDAY(AHJ2,2)&gt;=6),"SDF","LV")</f>
        <v>SDF</v>
      </c>
      <c r="AHL4" s="356">
        <f>IFERROR(VLOOKUP(AHJ2,CALENDARIO!$B$50:$C$66,2,FALSE),0)</f>
        <v>0</v>
      </c>
      <c r="AHM4" s="356" t="str">
        <f t="shared" ref="AHM4" si="825">IF(OR(AHN4="SDF",AHO4="FERIADO"),"SDF","LV")</f>
        <v>SDF</v>
      </c>
      <c r="AHN4" s="356" t="str">
        <f t="shared" ref="AHN4" si="826">IF(OR(WEEKDAY(AHM2,2)&gt;=6),"SDF","LV")</f>
        <v>LV</v>
      </c>
      <c r="AHO4" s="356" t="str">
        <f>IFERROR(VLOOKUP(AHM2,CALENDARIO!$B$50:$C$66,2,FALSE),0)</f>
        <v>FERIADO</v>
      </c>
      <c r="AHP4" s="356" t="str">
        <f t="shared" ref="AHP4" si="827">IF(OR(AHQ4="SDF",AHR4="FERIADO"),"SDF","LV")</f>
        <v>LV</v>
      </c>
      <c r="AHQ4" s="356" t="str">
        <f t="shared" ref="AHQ4" si="828">IF(OR(WEEKDAY(AHP2,2)&gt;=6),"SDF","LV")</f>
        <v>LV</v>
      </c>
      <c r="AHR4" s="356">
        <f>IFERROR(VLOOKUP(AHP2,CALENDARIO!$B$50:$C$66,2,FALSE),0)</f>
        <v>0</v>
      </c>
      <c r="AHS4" s="356" t="str">
        <f t="shared" ref="AHS4" si="829">IF(OR(AHT4="SDF",AHU4="FERIADO"),"SDF","LV")</f>
        <v>LV</v>
      </c>
      <c r="AHT4" s="356" t="str">
        <f t="shared" ref="AHT4" si="830">IF(OR(WEEKDAY(AHS2,2)&gt;=6),"SDF","LV")</f>
        <v>LV</v>
      </c>
      <c r="AHU4" s="356">
        <f>IFERROR(VLOOKUP(AHS2,CALENDARIO!$B$50:$C$66,2,FALSE),0)</f>
        <v>0</v>
      </c>
      <c r="AHV4" s="356" t="str">
        <f t="shared" ref="AHV4" si="831">IF(OR(AHW4="SDF",AHX4="FERIADO"),"SDF","LV")</f>
        <v>LV</v>
      </c>
      <c r="AHW4" s="356" t="str">
        <f t="shared" ref="AHW4" si="832">IF(OR(WEEKDAY(AHV2,2)&gt;=6),"SDF","LV")</f>
        <v>LV</v>
      </c>
      <c r="AHX4" s="356">
        <f>IFERROR(VLOOKUP(AHV2,CALENDARIO!$B$50:$C$66,2,FALSE),0)</f>
        <v>0</v>
      </c>
      <c r="AHY4" s="356" t="str">
        <f t="shared" ref="AHY4" si="833">IF(OR(AHZ4="SDF",AIA4="FERIADO"),"SDF","LV")</f>
        <v>LV</v>
      </c>
      <c r="AHZ4" s="356" t="str">
        <f t="shared" ref="AHZ4" si="834">IF(OR(WEEKDAY(AHY2,2)&gt;=6),"SDF","LV")</f>
        <v>LV</v>
      </c>
      <c r="AIA4" s="356">
        <f>IFERROR(VLOOKUP(AHY2,CALENDARIO!$B$50:$C$66,2,FALSE),0)</f>
        <v>0</v>
      </c>
      <c r="AIB4" s="356" t="str">
        <f t="shared" ref="AIB4" si="835">IF(OR(AIC4="SDF",AID4="FERIADO"),"SDF","LV")</f>
        <v>SDF</v>
      </c>
      <c r="AIC4" s="356" t="str">
        <f t="shared" ref="AIC4" si="836">IF(OR(WEEKDAY(AIB2,2)&gt;=6),"SDF","LV")</f>
        <v>SDF</v>
      </c>
      <c r="AID4" s="356">
        <f>IFERROR(VLOOKUP(AIB2,CALENDARIO!$B$50:$C$66,2,FALSE),0)</f>
        <v>0</v>
      </c>
      <c r="AIE4" s="356" t="str">
        <f t="shared" ref="AIE4" si="837">IF(OR(AIF4="SDF",AIG4="FERIADO"),"SDF","LV")</f>
        <v>SDF</v>
      </c>
      <c r="AIF4" s="356" t="str">
        <f t="shared" ref="AIF4" si="838">IF(OR(WEEKDAY(AIE2,2)&gt;=6),"SDF","LV")</f>
        <v>SDF</v>
      </c>
      <c r="AIG4" s="356">
        <f>IFERROR(VLOOKUP(AIE2,CALENDARIO!$B$50:$C$66,2,FALSE),0)</f>
        <v>0</v>
      </c>
      <c r="AIH4" s="356" t="str">
        <f t="shared" ref="AIH4" si="839">IF(OR(AII4="SDF",AIJ4="FERIADO"),"SDF","LV")</f>
        <v>LV</v>
      </c>
      <c r="AII4" s="356" t="str">
        <f t="shared" ref="AII4" si="840">IF(OR(WEEKDAY(AIH2,2)&gt;=6),"SDF","LV")</f>
        <v>LV</v>
      </c>
      <c r="AIJ4" s="356">
        <f>IFERROR(VLOOKUP(AIH2,CALENDARIO!$B$50:$C$66,2,FALSE),0)</f>
        <v>0</v>
      </c>
      <c r="AIK4" s="356" t="str">
        <f t="shared" ref="AIK4" si="841">IF(OR(AIL4="SDF",AIM4="FERIADO"),"SDF","LV")</f>
        <v>LV</v>
      </c>
      <c r="AIL4" s="356" t="str">
        <f t="shared" ref="AIL4" si="842">IF(OR(WEEKDAY(AIK2,2)&gt;=6),"SDF","LV")</f>
        <v>LV</v>
      </c>
      <c r="AIM4" s="356">
        <f>IFERROR(VLOOKUP(AIK2,CALENDARIO!$B$50:$C$66,2,FALSE),0)</f>
        <v>0</v>
      </c>
      <c r="AIN4" s="356" t="str">
        <f t="shared" ref="AIN4" si="843">IF(OR(AIO4="SDF",AIP4="FERIADO"),"SDF","LV")</f>
        <v>LV</v>
      </c>
      <c r="AIO4" s="356" t="str">
        <f t="shared" ref="AIO4" si="844">IF(OR(WEEKDAY(AIN2,2)&gt;=6),"SDF","LV")</f>
        <v>LV</v>
      </c>
      <c r="AIP4" s="356">
        <f>IFERROR(VLOOKUP(AIN2,CALENDARIO!$B$50:$C$66,2,FALSE),0)</f>
        <v>0</v>
      </c>
      <c r="AIQ4" s="356" t="str">
        <f t="shared" ref="AIQ4" si="845">IF(OR(AIR4="SDF",AIS4="FERIADO"),"SDF","LV")</f>
        <v>LV</v>
      </c>
      <c r="AIR4" s="356" t="str">
        <f t="shared" ref="AIR4" si="846">IF(OR(WEEKDAY(AIQ2,2)&gt;=6),"SDF","LV")</f>
        <v>LV</v>
      </c>
      <c r="AIS4" s="356">
        <f>IFERROR(VLOOKUP(AIQ2,CALENDARIO!$B$50:$C$66,2,FALSE),0)</f>
        <v>0</v>
      </c>
      <c r="AIT4" s="356" t="str">
        <f t="shared" ref="AIT4" si="847">IF(OR(AIU4="SDF",AIV4="FERIADO"),"SDF","LV")</f>
        <v>LV</v>
      </c>
      <c r="AIU4" s="356" t="str">
        <f t="shared" ref="AIU4" si="848">IF(OR(WEEKDAY(AIT2,2)&gt;=6),"SDF","LV")</f>
        <v>LV</v>
      </c>
      <c r="AIV4" s="356">
        <f>IFERROR(VLOOKUP(AIT2,CALENDARIO!$B$50:$C$66,2,FALSE),0)</f>
        <v>0</v>
      </c>
      <c r="AIW4" s="356" t="str">
        <f t="shared" ref="AIW4" si="849">IF(OR(AIX4="SDF",AIY4="FERIADO"),"SDF","LV")</f>
        <v>SDF</v>
      </c>
      <c r="AIX4" s="356" t="str">
        <f t="shared" ref="AIX4" si="850">IF(OR(WEEKDAY(AIW2,2)&gt;=6),"SDF","LV")</f>
        <v>SDF</v>
      </c>
      <c r="AIY4" s="356">
        <f>IFERROR(VLOOKUP(AIW2,CALENDARIO!$B$50:$C$66,2,FALSE),0)</f>
        <v>0</v>
      </c>
      <c r="AIZ4" s="356" t="str">
        <f t="shared" ref="AIZ4" si="851">IF(OR(AJA4="SDF",AJB4="FERIADO"),"SDF","LV")</f>
        <v>SDF</v>
      </c>
      <c r="AJA4" s="356" t="str">
        <f t="shared" ref="AJA4" si="852">IF(OR(WEEKDAY(AIZ2,2)&gt;=6),"SDF","LV")</f>
        <v>SDF</v>
      </c>
      <c r="AJB4" s="356">
        <f>IFERROR(VLOOKUP(AIZ2,CALENDARIO!$B$50:$C$66,2,FALSE),0)</f>
        <v>0</v>
      </c>
      <c r="AJC4" s="356" t="str">
        <f t="shared" ref="AJC4" si="853">IF(OR(AJD4="SDF",AJE4="FERIADO"),"SDF","LV")</f>
        <v>SDF</v>
      </c>
      <c r="AJD4" s="356" t="str">
        <f t="shared" ref="AJD4" si="854">IF(OR(WEEKDAY(AJC2,2)&gt;=6),"SDF","LV")</f>
        <v>LV</v>
      </c>
      <c r="AJE4" s="356" t="str">
        <f>IFERROR(VLOOKUP(AJC2,CALENDARIO!$B$50:$C$66,2,FALSE),0)</f>
        <v>FERIADO</v>
      </c>
      <c r="AJF4" s="356" t="str">
        <f t="shared" ref="AJF4" si="855">IF(OR(AJG4="SDF",AJH4="FERIADO"),"SDF","LV")</f>
        <v>LV</v>
      </c>
      <c r="AJG4" s="356" t="str">
        <f t="shared" ref="AJG4" si="856">IF(OR(WEEKDAY(AJF2,2)&gt;=6),"SDF","LV")</f>
        <v>LV</v>
      </c>
      <c r="AJH4" s="356">
        <f>IFERROR(VLOOKUP(AJF2,CALENDARIO!$B$50:$C$66,2,FALSE),0)</f>
        <v>0</v>
      </c>
      <c r="AJI4" s="356" t="str">
        <f t="shared" ref="AJI4" si="857">IF(OR(AJJ4="SDF",AJK4="FERIADO"),"SDF","LV")</f>
        <v>LV</v>
      </c>
      <c r="AJJ4" s="356" t="str">
        <f t="shared" ref="AJJ4" si="858">IF(OR(WEEKDAY(AJI2,2)&gt;=6),"SDF","LV")</f>
        <v>LV</v>
      </c>
      <c r="AJK4" s="356">
        <f>IFERROR(VLOOKUP(AJI2,CALENDARIO!$B$50:$C$66,2,FALSE),0)</f>
        <v>0</v>
      </c>
      <c r="AJL4" s="356" t="str">
        <f t="shared" ref="AJL4" si="859">IF(OR(AJM4="SDF",AJN4="FERIADO"),"SDF","LV")</f>
        <v>LV</v>
      </c>
      <c r="AJM4" s="356" t="str">
        <f t="shared" ref="AJM4" si="860">IF(OR(WEEKDAY(AJL2,2)&gt;=6),"SDF","LV")</f>
        <v>LV</v>
      </c>
      <c r="AJN4" s="356">
        <f>IFERROR(VLOOKUP(AJL2,CALENDARIO!$B$50:$C$66,2,FALSE),0)</f>
        <v>0</v>
      </c>
      <c r="AJO4" s="356" t="str">
        <f t="shared" ref="AJO4" si="861">IF(OR(AJP4="SDF",AJQ4="FERIADO"),"SDF","LV")</f>
        <v>LV</v>
      </c>
      <c r="AJP4" s="356" t="str">
        <f t="shared" ref="AJP4" si="862">IF(OR(WEEKDAY(AJO2,2)&gt;=6),"SDF","LV")</f>
        <v>LV</v>
      </c>
      <c r="AJQ4" s="356">
        <f>IFERROR(VLOOKUP(AJO2,CALENDARIO!$B$50:$C$66,2,FALSE),0)</f>
        <v>0</v>
      </c>
      <c r="AJR4" s="356" t="str">
        <f t="shared" ref="AJR4" si="863">IF(OR(AJS4="SDF",AJT4="FERIADO"),"SDF","LV")</f>
        <v>SDF</v>
      </c>
      <c r="AJS4" s="356" t="str">
        <f t="shared" ref="AJS4" si="864">IF(OR(WEEKDAY(AJR2,2)&gt;=6),"SDF","LV")</f>
        <v>SDF</v>
      </c>
      <c r="AJT4" s="356">
        <f>IFERROR(VLOOKUP(AJR2,CALENDARIO!$B$50:$C$66,2,FALSE),0)</f>
        <v>0</v>
      </c>
      <c r="AJU4" s="356" t="str">
        <f t="shared" ref="AJU4" si="865">IF(OR(AJV4="SDF",AJW4="FERIADO"),"SDF","LV")</f>
        <v>SDF</v>
      </c>
      <c r="AJV4" s="356" t="str">
        <f t="shared" ref="AJV4" si="866">IF(OR(WEEKDAY(AJU2,2)&gt;=6),"SDF","LV")</f>
        <v>SDF</v>
      </c>
      <c r="AJW4" s="356">
        <f>IFERROR(VLOOKUP(AJU2,CALENDARIO!$B$50:$C$66,2,FALSE),0)</f>
        <v>0</v>
      </c>
      <c r="AJX4" s="356" t="str">
        <f t="shared" ref="AJX4" si="867">IF(OR(AJY4="SDF",AJZ4="FERIADO"),"SDF","LV")</f>
        <v>LV</v>
      </c>
      <c r="AJY4" s="356" t="str">
        <f t="shared" ref="AJY4" si="868">IF(OR(WEEKDAY(AJX2,2)&gt;=6),"SDF","LV")</f>
        <v>LV</v>
      </c>
      <c r="AJZ4" s="356">
        <f>IFERROR(VLOOKUP(AJX2,CALENDARIO!$B$50:$C$66,2,FALSE),0)</f>
        <v>0</v>
      </c>
      <c r="AKA4" s="356" t="str">
        <f t="shared" ref="AKA4" si="869">IF(OR(AKB4="SDF",AKC4="FERIADO"),"SDF","LV")</f>
        <v>LV</v>
      </c>
      <c r="AKB4" s="356" t="str">
        <f t="shared" ref="AKB4" si="870">IF(OR(WEEKDAY(AKA2,2)&gt;=6),"SDF","LV")</f>
        <v>LV</v>
      </c>
      <c r="AKC4" s="356">
        <f>IFERROR(VLOOKUP(AKA2,CALENDARIO!$B$50:$C$66,2,FALSE),0)</f>
        <v>0</v>
      </c>
      <c r="AKD4" s="356" t="str">
        <f t="shared" ref="AKD4" si="871">IF(OR(AKE4="SDF",AKF4="FERIADO"),"SDF","LV")</f>
        <v>LV</v>
      </c>
      <c r="AKE4" s="356" t="str">
        <f t="shared" ref="AKE4" si="872">IF(OR(WEEKDAY(AKD2,2)&gt;=6),"SDF","LV")</f>
        <v>LV</v>
      </c>
      <c r="AKF4" s="356">
        <f>IFERROR(VLOOKUP(AKD2,CALENDARIO!$B$50:$C$66,2,FALSE),0)</f>
        <v>0</v>
      </c>
      <c r="AKG4" s="356" t="str">
        <f t="shared" ref="AKG4" si="873">IF(OR(AKH4="SDF",AKI4="FERIADO"),"SDF","LV")</f>
        <v>LV</v>
      </c>
      <c r="AKH4" s="356" t="str">
        <f t="shared" ref="AKH4" si="874">IF(OR(WEEKDAY(AKG2,2)&gt;=6),"SDF","LV")</f>
        <v>LV</v>
      </c>
      <c r="AKI4" s="356">
        <f>IFERROR(VLOOKUP(AKG2,CALENDARIO!$B$50:$C$66,2,FALSE),0)</f>
        <v>0</v>
      </c>
      <c r="AKJ4" s="356" t="str">
        <f t="shared" ref="AKJ4" si="875">IF(OR(AKK4="SDF",AKL4="FERIADO"),"SDF","LV")</f>
        <v>LV</v>
      </c>
      <c r="AKK4" s="356" t="str">
        <f t="shared" ref="AKK4" si="876">IF(OR(WEEKDAY(AKJ2,2)&gt;=6),"SDF","LV")</f>
        <v>LV</v>
      </c>
      <c r="AKL4" s="356">
        <f>IFERROR(VLOOKUP(AKJ2,CALENDARIO!$B$50:$C$66,2,FALSE),0)</f>
        <v>0</v>
      </c>
      <c r="AKM4" s="356" t="str">
        <f t="shared" ref="AKM4" si="877">IF(OR(AKN4="SDF",AKO4="FERIADO"),"SDF","LV")</f>
        <v>SDF</v>
      </c>
      <c r="AKN4" s="356" t="str">
        <f t="shared" ref="AKN4" si="878">IF(OR(WEEKDAY(AKM2,2)&gt;=6),"SDF","LV")</f>
        <v>SDF</v>
      </c>
      <c r="AKO4" s="356">
        <f>IFERROR(VLOOKUP(AKM2,CALENDARIO!$B$50:$C$66,2,FALSE),0)</f>
        <v>0</v>
      </c>
      <c r="AKP4" s="356" t="str">
        <f t="shared" ref="AKP4" si="879">IF(OR(AKQ4="SDF",AKR4="FERIADO"),"SDF","LV")</f>
        <v>SDF</v>
      </c>
      <c r="AKQ4" s="356" t="str">
        <f t="shared" ref="AKQ4" si="880">IF(OR(WEEKDAY(AKP2,2)&gt;=6),"SDF","LV")</f>
        <v>SDF</v>
      </c>
      <c r="AKR4" s="356">
        <f>IFERROR(VLOOKUP(AKP2,CALENDARIO!$B$50:$C$66,2,FALSE),0)</f>
        <v>0</v>
      </c>
      <c r="AKS4" s="356" t="str">
        <f t="shared" ref="AKS4" si="881">IF(OR(AKT4="SDF",AKU4="FERIADO"),"SDF","LV")</f>
        <v>LV</v>
      </c>
      <c r="AKT4" s="356" t="str">
        <f t="shared" ref="AKT4" si="882">IF(OR(WEEKDAY(AKS2,2)&gt;=6),"SDF","LV")</f>
        <v>LV</v>
      </c>
      <c r="AKU4" s="356">
        <f>IFERROR(VLOOKUP(AKS2,CALENDARIO!$B$50:$C$66,2,FALSE),0)</f>
        <v>0</v>
      </c>
      <c r="AKV4" s="356" t="str">
        <f t="shared" ref="AKV4" si="883">IF(OR(AKW4="SDF",AKX4="FERIADO"),"SDF","LV")</f>
        <v>LV</v>
      </c>
      <c r="AKW4" s="356" t="str">
        <f t="shared" ref="AKW4" si="884">IF(OR(WEEKDAY(AKV2,2)&gt;=6),"SDF","LV")</f>
        <v>LV</v>
      </c>
      <c r="AKX4" s="356">
        <f>IFERROR(VLOOKUP(AKV2,CALENDARIO!$B$50:$C$66,2,FALSE),0)</f>
        <v>0</v>
      </c>
      <c r="AKY4" s="356" t="str">
        <f t="shared" ref="AKY4" si="885">IF(OR(AKZ4="SDF",ALA4="FERIADO"),"SDF","LV")</f>
        <v>LV</v>
      </c>
      <c r="AKZ4" s="356" t="str">
        <f t="shared" ref="AKZ4" si="886">IF(OR(WEEKDAY(AKY2,2)&gt;=6),"SDF","LV")</f>
        <v>LV</v>
      </c>
      <c r="ALA4" s="356">
        <f>IFERROR(VLOOKUP(AKY2,CALENDARIO!$B$50:$C$66,2,FALSE),0)</f>
        <v>0</v>
      </c>
      <c r="ALB4" s="356" t="str">
        <f t="shared" ref="ALB4" si="887">IF(OR(ALC4="SDF",ALD4="FERIADO"),"SDF","LV")</f>
        <v>LV</v>
      </c>
      <c r="ALC4" s="356" t="str">
        <f t="shared" ref="ALC4" si="888">IF(OR(WEEKDAY(ALB2,2)&gt;=6),"SDF","LV")</f>
        <v>LV</v>
      </c>
      <c r="ALD4" s="356">
        <f>IFERROR(VLOOKUP(ALB2,CALENDARIO!$B$50:$C$66,2,FALSE),0)</f>
        <v>0</v>
      </c>
      <c r="ALE4" s="356" t="str">
        <f t="shared" ref="ALE4" si="889">IF(OR(ALF4="SDF",ALG4="FERIADO"),"SDF","LV")</f>
        <v>LV</v>
      </c>
      <c r="ALF4" s="356" t="str">
        <f t="shared" ref="ALF4" si="890">IF(OR(WEEKDAY(ALE2,2)&gt;=6),"SDF","LV")</f>
        <v>LV</v>
      </c>
      <c r="ALG4" s="356">
        <f>IFERROR(VLOOKUP(ALE2,CALENDARIO!$B$50:$C$66,2,FALSE),0)</f>
        <v>0</v>
      </c>
      <c r="ALH4" s="356" t="str">
        <f t="shared" ref="ALH4" si="891">IF(OR(ALI4="SDF",ALJ4="FERIADO"),"SDF","LV")</f>
        <v>SDF</v>
      </c>
      <c r="ALI4" s="356" t="str">
        <f t="shared" ref="ALI4" si="892">IF(OR(WEEKDAY(ALH2,2)&gt;=6),"SDF","LV")</f>
        <v>SDF</v>
      </c>
      <c r="ALJ4" s="356">
        <f>IFERROR(VLOOKUP(ALH2,CALENDARIO!$B$50:$C$66,2,FALSE),0)</f>
        <v>0</v>
      </c>
      <c r="ALK4" s="356" t="str">
        <f t="shared" ref="ALK4" si="893">IF(OR(ALL4="SDF",ALM4="FERIADO"),"SDF","LV")</f>
        <v>SDF</v>
      </c>
      <c r="ALL4" s="356" t="str">
        <f t="shared" ref="ALL4" si="894">IF(OR(WEEKDAY(ALK2,2)&gt;=6),"SDF","LV")</f>
        <v>SDF</v>
      </c>
      <c r="ALM4" s="356">
        <f>IFERROR(VLOOKUP(ALK2,CALENDARIO!$B$50:$C$66,2,FALSE),0)</f>
        <v>0</v>
      </c>
      <c r="ALN4" s="356" t="str">
        <f t="shared" ref="ALN4" si="895">IF(OR(ALO4="SDF",ALP4="FERIADO"),"SDF","LV")</f>
        <v>LV</v>
      </c>
      <c r="ALO4" s="356" t="str">
        <f t="shared" ref="ALO4" si="896">IF(OR(WEEKDAY(ALN2,2)&gt;=6),"SDF","LV")</f>
        <v>LV</v>
      </c>
      <c r="ALP4" s="356">
        <f>IFERROR(VLOOKUP(ALN2,CALENDARIO!$B$50:$C$66,2,FALSE),0)</f>
        <v>0</v>
      </c>
      <c r="ALQ4" s="356" t="str">
        <f t="shared" ref="ALQ4" si="897">IF(OR(ALR4="SDF",ALS4="FERIADO"),"SDF","LV")</f>
        <v>LV</v>
      </c>
      <c r="ALR4" s="356" t="str">
        <f t="shared" ref="ALR4" si="898">IF(OR(WEEKDAY(ALQ2,2)&gt;=6),"SDF","LV")</f>
        <v>LV</v>
      </c>
      <c r="ALS4" s="356">
        <f>IFERROR(VLOOKUP(ALQ2,CALENDARIO!$B$50:$C$66,2,FALSE),0)</f>
        <v>0</v>
      </c>
      <c r="ALT4" s="356" t="str">
        <f t="shared" ref="ALT4" si="899">IF(OR(ALU4="SDF",ALV4="FERIADO"),"SDF","LV")</f>
        <v>LV</v>
      </c>
      <c r="ALU4" s="356" t="str">
        <f t="shared" ref="ALU4" si="900">IF(OR(WEEKDAY(ALT2,2)&gt;=6),"SDF","LV")</f>
        <v>LV</v>
      </c>
      <c r="ALV4" s="356">
        <f>IFERROR(VLOOKUP(ALT2,CALENDARIO!$B$50:$C$66,2,FALSE),0)</f>
        <v>0</v>
      </c>
      <c r="ALW4" s="356" t="str">
        <f t="shared" ref="ALW4" si="901">IF(OR(ALX4="SDF",ALY4="FERIADO"),"SDF","LV")</f>
        <v>SDF</v>
      </c>
      <c r="ALX4" s="356" t="str">
        <f t="shared" ref="ALX4" si="902">IF(OR(WEEKDAY(ALW2,2)&gt;=6),"SDF","LV")</f>
        <v>LV</v>
      </c>
      <c r="ALY4" s="356" t="str">
        <f>IFERROR(VLOOKUP(ALW2,CALENDARIO!$B$50:$C$66,2,FALSE),0)</f>
        <v>FERIADO</v>
      </c>
      <c r="ALZ4" s="356" t="str">
        <f t="shared" ref="ALZ4" si="903">IF(OR(AMA4="SDF",AMB4="FERIADO"),"SDF","LV")</f>
        <v>LV</v>
      </c>
      <c r="AMA4" s="356" t="str">
        <f t="shared" ref="AMA4" si="904">IF(OR(WEEKDAY(ALZ2,2)&gt;=6),"SDF","LV")</f>
        <v>LV</v>
      </c>
      <c r="AMB4" s="356">
        <f>IFERROR(VLOOKUP(ALZ2,CALENDARIO!$B$50:$C$66,2,FALSE),0)</f>
        <v>0</v>
      </c>
      <c r="AMC4" s="356" t="str">
        <f t="shared" ref="AMC4" si="905">IF(OR(AMD4="SDF",AME4="FERIADO"),"SDF","LV")</f>
        <v>SDF</v>
      </c>
      <c r="AMD4" s="356" t="str">
        <f t="shared" ref="AMD4" si="906">IF(OR(WEEKDAY(AMC2,2)&gt;=6),"SDF","LV")</f>
        <v>SDF</v>
      </c>
      <c r="AME4" s="356">
        <f>IFERROR(VLOOKUP(AMC2,CALENDARIO!$B$50:$C$66,2,FALSE),0)</f>
        <v>0</v>
      </c>
      <c r="AMF4" s="356" t="str">
        <f t="shared" ref="AMF4" si="907">IF(OR(AMG4="SDF",AMH4="FERIADO"),"SDF","LV")</f>
        <v>SDF</v>
      </c>
      <c r="AMG4" s="356" t="str">
        <f t="shared" ref="AMG4" si="908">IF(OR(WEEKDAY(AMF2,2)&gt;=6),"SDF","LV")</f>
        <v>SDF</v>
      </c>
      <c r="AMH4" s="356">
        <f>IFERROR(VLOOKUP(AMF2,CALENDARIO!$B$50:$C$66,2,FALSE),0)</f>
        <v>0</v>
      </c>
      <c r="AMI4" s="356" t="str">
        <f t="shared" ref="AMI4" si="909">IF(OR(AMJ4="SDF",AMK4="FERIADO"),"SDF","LV")</f>
        <v>LV</v>
      </c>
      <c r="AMJ4" s="356" t="str">
        <f t="shared" ref="AMJ4" si="910">IF(OR(WEEKDAY(AMI2,2)&gt;=6),"SDF","LV")</f>
        <v>LV</v>
      </c>
      <c r="AMK4" s="356">
        <f>IFERROR(VLOOKUP(AMI2,CALENDARIO!$B$50:$C$66,2,FALSE),0)</f>
        <v>0</v>
      </c>
      <c r="AML4" s="356" t="str">
        <f t="shared" ref="AML4" si="911">IF(OR(AMM4="SDF",AMN4="FERIADO"),"SDF","LV")</f>
        <v>LV</v>
      </c>
      <c r="AMM4" s="356" t="str">
        <f t="shared" ref="AMM4" si="912">IF(OR(WEEKDAY(AML2,2)&gt;=6),"SDF","LV")</f>
        <v>LV</v>
      </c>
      <c r="AMN4" s="356">
        <f>IFERROR(VLOOKUP(AML2,CALENDARIO!$B$50:$C$66,2,FALSE),0)</f>
        <v>0</v>
      </c>
      <c r="AMO4" s="356" t="str">
        <f t="shared" ref="AMO4" si="913">IF(OR(AMP4="SDF",AMQ4="FERIADO"),"SDF","LV")</f>
        <v>LV</v>
      </c>
      <c r="AMP4" s="356" t="str">
        <f t="shared" ref="AMP4" si="914">IF(OR(WEEKDAY(AMO2,2)&gt;=6),"SDF","LV")</f>
        <v>LV</v>
      </c>
      <c r="AMQ4" s="356">
        <f>IFERROR(VLOOKUP(AMO2,CALENDARIO!$B$50:$C$66,2,FALSE),0)</f>
        <v>0</v>
      </c>
      <c r="AMR4" s="356" t="str">
        <f t="shared" ref="AMR4" si="915">IF(OR(AMS4="SDF",AMT4="FERIADO"),"SDF","LV")</f>
        <v>LV</v>
      </c>
      <c r="AMS4" s="356" t="str">
        <f t="shared" ref="AMS4" si="916">IF(OR(WEEKDAY(AMR2,2)&gt;=6),"SDF","LV")</f>
        <v>LV</v>
      </c>
      <c r="AMT4" s="356">
        <f>IFERROR(VLOOKUP(AMR2,CALENDARIO!$B$50:$C$66,2,FALSE),0)</f>
        <v>0</v>
      </c>
      <c r="AMU4" s="356" t="str">
        <f t="shared" ref="AMU4" si="917">IF(OR(AMV4="SDF",AMW4="FERIADO"),"SDF","LV")</f>
        <v>LV</v>
      </c>
      <c r="AMV4" s="356" t="str">
        <f t="shared" ref="AMV4" si="918">IF(OR(WEEKDAY(AMU2,2)&gt;=6),"SDF","LV")</f>
        <v>LV</v>
      </c>
      <c r="AMW4" s="356">
        <f>IFERROR(VLOOKUP(AMU2,CALENDARIO!$B$50:$C$66,2,FALSE),0)</f>
        <v>0</v>
      </c>
      <c r="AMX4" s="356" t="str">
        <f>IF(OR(AMY4="SDF",AMZ4="FERIADO"),"SDF","LV")</f>
        <v>SDF</v>
      </c>
      <c r="AMY4" s="356" t="str">
        <f>IF(OR(WEEKDAY(AMX2,2)&gt;=6),"SDF","LV")</f>
        <v>SDF</v>
      </c>
      <c r="AMZ4" s="356">
        <f>IFERROR(VLOOKUP(AMX2,CALENDARIO!$B$50:$C$66,2,FALSE),0)</f>
        <v>0</v>
      </c>
      <c r="ANA4" s="356" t="str">
        <f>IF(OR(ANB4="SDF",ANC4="FERIADO"),"SDF","LV")</f>
        <v>SDF</v>
      </c>
      <c r="ANB4" s="356" t="str">
        <f>IF(OR(WEEKDAY(ANA2,2)&gt;=6),"SDF","LV")</f>
        <v>SDF</v>
      </c>
      <c r="ANC4" s="356">
        <f>IFERROR(VLOOKUP(ANA2,CALENDARIO!$B$50:$C$66,2,FALSE),0)</f>
        <v>0</v>
      </c>
      <c r="AND4" s="356" t="str">
        <f>IF(OR(ANE4="SDF",ANF4="FERIADO"),"SDF","LV")</f>
        <v>LV</v>
      </c>
      <c r="ANE4" s="356" t="str">
        <f>IF(OR(WEEKDAY(AND2,2)&gt;=6),"SDF","LV")</f>
        <v>LV</v>
      </c>
      <c r="ANF4" s="356">
        <f>IFERROR(VLOOKUP(AND2,CALENDARIO!$B$50:$C$66,2,FALSE),0)</f>
        <v>0</v>
      </c>
      <c r="ANG4" s="356" t="str">
        <f>IF(OR(ANH4="SDF",ANI4="FERIADO"),"SDF","LV")</f>
        <v>LV</v>
      </c>
      <c r="ANH4" s="356" t="str">
        <f>IF(OR(WEEKDAY(ANG2,2)&gt;=6),"SDF","LV")</f>
        <v>LV</v>
      </c>
      <c r="ANI4" s="356">
        <f>IFERROR(VLOOKUP(ANG2,CALENDARIO!$B$50:$C$66,2,FALSE),0)</f>
        <v>0</v>
      </c>
      <c r="ANJ4" s="356" t="str">
        <f>IF(OR(ANK4="SDF",ANL4="FERIADO"),"SDF","LV")</f>
        <v>LV</v>
      </c>
      <c r="ANK4" s="356" t="str">
        <f>IF(OR(WEEKDAY(ANJ2,2)&gt;=6),"SDF","LV")</f>
        <v>LV</v>
      </c>
      <c r="ANL4" s="356">
        <f>IFERROR(VLOOKUP(ANJ2,CALENDARIO!$B$50:$C$66,2,FALSE),0)</f>
        <v>0</v>
      </c>
      <c r="ANM4" s="356" t="str">
        <f>IF(OR(ANN4="SDF",ANO4="FERIADO"),"SDF","LV")</f>
        <v>LV</v>
      </c>
      <c r="ANN4" s="356" t="str">
        <f>IF(OR(WEEKDAY(ANM2,2)&gt;=6),"SDF","LV")</f>
        <v>LV</v>
      </c>
      <c r="ANO4" s="356">
        <f>IFERROR(VLOOKUP(ANM2,CALENDARIO!$B$50:$C$66,2,FALSE),0)</f>
        <v>0</v>
      </c>
      <c r="ANP4" s="356" t="str">
        <f>IF(OR(ANQ4="SDF",ANR4="FERIADO"),"SDF","LV")</f>
        <v>LV</v>
      </c>
      <c r="ANQ4" s="356" t="str">
        <f>IF(OR(WEEKDAY(ANP2,2)&gt;=6),"SDF","LV")</f>
        <v>LV</v>
      </c>
      <c r="ANR4" s="356">
        <f>IFERROR(VLOOKUP(ANP2,CALENDARIO!$B$50:$C$66,2,FALSE),0)</f>
        <v>0</v>
      </c>
      <c r="ANS4" s="356" t="str">
        <f>IF(OR(ANT4="SDF",ANU4="FERIADO"),"SDF","LV")</f>
        <v>SDF</v>
      </c>
      <c r="ANT4" s="356" t="str">
        <f>IF(OR(WEEKDAY(ANS2,2)&gt;=6),"SDF","LV")</f>
        <v>SDF</v>
      </c>
      <c r="ANU4" s="356">
        <f>IFERROR(VLOOKUP(ANS2,CALENDARIO!$B$50:$C$66,2,FALSE),0)</f>
        <v>0</v>
      </c>
      <c r="ANV4" s="356" t="str">
        <f>IF(OR(ANW4="SDF",ANX4="FERIADO"),"SDF","LV")</f>
        <v>SDF</v>
      </c>
      <c r="ANW4" s="356" t="str">
        <f>IF(OR(WEEKDAY(ANV2,2)&gt;=6),"SDF","LV")</f>
        <v>SDF</v>
      </c>
      <c r="ANX4" s="356">
        <f>IFERROR(VLOOKUP(ANV2,CALENDARIO!$B$50:$C$66,2,FALSE),0)</f>
        <v>0</v>
      </c>
      <c r="ANY4" s="356" t="str">
        <f>IF(OR(ANZ4="SDF",AOA4="FERIADO"),"SDF","LV")</f>
        <v>LV</v>
      </c>
      <c r="ANZ4" s="356" t="str">
        <f>IF(OR(WEEKDAY(ANY2,2)&gt;=6),"SDF","LV")</f>
        <v>LV</v>
      </c>
      <c r="AOA4" s="356">
        <f>IFERROR(VLOOKUP(ANY2,CALENDARIO!$B$50:$C$66,2,FALSE),0)</f>
        <v>0</v>
      </c>
      <c r="AOB4" s="356" t="str">
        <f>IF(OR(AOC4="SDF",AOD4="FERIADO"),"SDF","LV")</f>
        <v>LV</v>
      </c>
      <c r="AOC4" s="356" t="str">
        <f>IF(OR(WEEKDAY(AOB2,2)&gt;=6),"SDF","LV")</f>
        <v>LV</v>
      </c>
      <c r="AOD4" s="356">
        <f>IFERROR(VLOOKUP(AOB2,CALENDARIO!$B$50:$C$66,2,FALSE),0)</f>
        <v>0</v>
      </c>
      <c r="AOE4" s="356" t="str">
        <f>IF(OR(AOF4="SDF",AOG4="FERIADO"),"SDF","LV")</f>
        <v>LV</v>
      </c>
      <c r="AOF4" s="356" t="str">
        <f>IF(OR(WEEKDAY(AOE2,2)&gt;=6),"SDF","LV")</f>
        <v>LV</v>
      </c>
      <c r="AOG4" s="356">
        <f>IFERROR(VLOOKUP(AOE2,CALENDARIO!$B$50:$C$66,2,FALSE),0)</f>
        <v>0</v>
      </c>
      <c r="AOH4" s="356" t="str">
        <f>IF(OR(AOI4="SDF",AOJ4="FERIADO"),"SDF","LV")</f>
        <v>LV</v>
      </c>
      <c r="AOI4" s="356" t="str">
        <f>IF(OR(WEEKDAY(AOH2,2)&gt;=6),"SDF","LV")</f>
        <v>LV</v>
      </c>
      <c r="AOJ4" s="356">
        <f>IFERROR(VLOOKUP(AOH2,CALENDARIO!$B$50:$C$66,2,FALSE),0)</f>
        <v>0</v>
      </c>
      <c r="AOK4" s="356" t="str">
        <f>IF(OR(AOL4="SDF",AOM4="FERIADO"),"SDF","LV")</f>
        <v>LV</v>
      </c>
      <c r="AOL4" s="356" t="str">
        <f>IF(OR(WEEKDAY(AOK2,2)&gt;=6),"SDF","LV")</f>
        <v>LV</v>
      </c>
      <c r="AOM4" s="356">
        <f>IFERROR(VLOOKUP(AOK2,CALENDARIO!$B$50:$C$66,2,FALSE),0)</f>
        <v>0</v>
      </c>
      <c r="AON4" s="356" t="str">
        <f>IF(OR(AOO4="SDF",AOP4="FERIADO"),"SDF","LV")</f>
        <v>SDF</v>
      </c>
      <c r="AOO4" s="356" t="str">
        <f>IF(OR(WEEKDAY(AON2,2)&gt;=6),"SDF","LV")</f>
        <v>SDF</v>
      </c>
      <c r="AOP4" s="356">
        <f>IFERROR(VLOOKUP(AON2,CALENDARIO!$B$50:$C$66,2,FALSE),0)</f>
        <v>0</v>
      </c>
      <c r="AOQ4" s="356" t="str">
        <f>IF(OR(AOR4="SDF",AOS4="FERIADO"),"SDF","LV")</f>
        <v>SDF</v>
      </c>
      <c r="AOR4" s="356" t="str">
        <f>IF(OR(WEEKDAY(AOQ2,2)&gt;=6),"SDF","LV")</f>
        <v>SDF</v>
      </c>
      <c r="AOS4" s="356">
        <f>IFERROR(VLOOKUP(AOQ2,CALENDARIO!$B$50:$C$66,2,FALSE),0)</f>
        <v>0</v>
      </c>
      <c r="AOT4" s="356" t="str">
        <f>IF(OR(AOU4="SDF",AOV4="FERIADO"),"SDF","LV")</f>
        <v>LV</v>
      </c>
      <c r="AOU4" s="356" t="str">
        <f>IF(OR(WEEKDAY(AOT2,2)&gt;=6),"SDF","LV")</f>
        <v>LV</v>
      </c>
      <c r="AOV4" s="356">
        <f>IFERROR(VLOOKUP(AOT2,CALENDARIO!$B$50:$C$66,2,FALSE),0)</f>
        <v>0</v>
      </c>
      <c r="AOW4" s="356" t="str">
        <f>IF(OR(AOX4="SDF",AOY4="FERIADO"),"SDF","LV")</f>
        <v>LV</v>
      </c>
      <c r="AOX4" s="356" t="str">
        <f>IF(OR(WEEKDAY(AOW2,2)&gt;=6),"SDF","LV")</f>
        <v>LV</v>
      </c>
      <c r="AOY4" s="356">
        <f>IFERROR(VLOOKUP(AOW2,CALENDARIO!$B$50:$C$66,2,FALSE),0)</f>
        <v>0</v>
      </c>
      <c r="AOZ4" s="356" t="str">
        <f>IF(OR(APA4="SDF",APB4="FERIADO"),"SDF","LV")</f>
        <v>LV</v>
      </c>
      <c r="APA4" s="356" t="str">
        <f>IF(OR(WEEKDAY(AOZ2,2)&gt;=6),"SDF","LV")</f>
        <v>LV</v>
      </c>
      <c r="APB4" s="356">
        <f>IFERROR(VLOOKUP(AOZ2,CALENDARIO!$B$50:$C$66,2,FALSE),0)</f>
        <v>0</v>
      </c>
      <c r="APC4" s="356" t="str">
        <f>IF(OR(APD4="SDF",APE4="FERIADO"),"SDF","LV")</f>
        <v>LV</v>
      </c>
      <c r="APD4" s="356" t="str">
        <f>IF(OR(WEEKDAY(APC2,2)&gt;=6),"SDF","LV")</f>
        <v>LV</v>
      </c>
      <c r="APE4" s="356">
        <f>IFERROR(VLOOKUP(APC2,CALENDARIO!$B$50:$C$66,2,FALSE),0)</f>
        <v>0</v>
      </c>
      <c r="APF4" s="356" t="str">
        <f>IF(OR(APG4="SDF",APH4="FERIADO"),"SDF","LV")</f>
        <v>LV</v>
      </c>
      <c r="APG4" s="356" t="str">
        <f>IF(OR(WEEKDAY(APF2,2)&gt;=6),"SDF","LV")</f>
        <v>LV</v>
      </c>
      <c r="APH4" s="356">
        <f>IFERROR(VLOOKUP(APF2,CALENDARIO!$B$50:$C$66,2,FALSE),0)</f>
        <v>0</v>
      </c>
      <c r="API4" s="356" t="str">
        <f>IF(OR(APJ4="SDF",APK4="FERIADO"),"SDF","LV")</f>
        <v>SDF</v>
      </c>
      <c r="APJ4" s="356" t="str">
        <f>IF(OR(WEEKDAY(API2,2)&gt;=6),"SDF","LV")</f>
        <v>SDF</v>
      </c>
      <c r="APK4" s="356">
        <f>IFERROR(VLOOKUP(API2,CALENDARIO!$B$50:$C$66,2,FALSE),0)</f>
        <v>0</v>
      </c>
      <c r="APL4" s="356" t="str">
        <f>IF(OR(APM4="SDF",APN4="FERIADO"),"SDF","LV")</f>
        <v>SDF</v>
      </c>
      <c r="APM4" s="356" t="str">
        <f>IF(OR(WEEKDAY(APL2,2)&gt;=6),"SDF","LV")</f>
        <v>SDF</v>
      </c>
      <c r="APN4" s="356">
        <f>IFERROR(VLOOKUP(APL2,CALENDARIO!$B$50:$C$66,2,FALSE),0)</f>
        <v>0</v>
      </c>
      <c r="APO4" s="356" t="str">
        <f>IF(OR(APP4="SDF",APQ4="FERIADO"),"SDF","LV")</f>
        <v>LV</v>
      </c>
      <c r="APP4" s="356" t="str">
        <f>IF(OR(WEEKDAY(APO2,2)&gt;=6),"SDF","LV")</f>
        <v>LV</v>
      </c>
      <c r="APQ4" s="356">
        <f>IFERROR(VLOOKUP(APO2,CALENDARIO!$B$50:$C$66,2,FALSE),0)</f>
        <v>0</v>
      </c>
      <c r="APR4" s="356" t="str">
        <f>IF(OR(APS4="SDF",APT4="FERIADO"),"SDF","LV")</f>
        <v>LV</v>
      </c>
      <c r="APS4" s="356" t="str">
        <f>IF(OR(WEEKDAY(APR2,2)&gt;=6),"SDF","LV")</f>
        <v>LV</v>
      </c>
      <c r="APT4" s="356">
        <f>IFERROR(VLOOKUP(APR2,CALENDARIO!$B$50:$C$66,2,FALSE),0)</f>
        <v>0</v>
      </c>
      <c r="APU4" s="356" t="str">
        <f>IF(OR(APV4="SDF",APW4="FERIADO"),"SDF","LV")</f>
        <v>LV</v>
      </c>
      <c r="APV4" s="356" t="str">
        <f>IF(OR(WEEKDAY(APU2,2)&gt;=6),"SDF","LV")</f>
        <v>LV</v>
      </c>
      <c r="APW4" s="356">
        <f>IFERROR(VLOOKUP(APU2,CALENDARIO!$B$50:$C$66,2,FALSE),0)</f>
        <v>0</v>
      </c>
      <c r="APX4" s="356" t="str">
        <f>IF(OR(APY4="SDF",APZ4="FERIADO"),"SDF","LV")</f>
        <v>LV</v>
      </c>
      <c r="APY4" s="356" t="str">
        <f>IF(OR(WEEKDAY(APX2,2)&gt;=6),"SDF","LV")</f>
        <v>LV</v>
      </c>
      <c r="APZ4" s="356">
        <f>IFERROR(VLOOKUP(APX2,CALENDARIO!$B$50:$C$66,2,FALSE),0)</f>
        <v>0</v>
      </c>
      <c r="AQA4" s="356" t="str">
        <f>IF(OR(AQB4="SDF",AQC4="FERIADO"),"SDF","LV")</f>
        <v>LV</v>
      </c>
      <c r="AQB4" s="356" t="str">
        <f>IF(OR(WEEKDAY(AQA2,2)&gt;=6),"SDF","LV")</f>
        <v>LV</v>
      </c>
      <c r="AQC4" s="356">
        <f>IFERROR(VLOOKUP(AQA2,CALENDARIO!$B$50:$C$66,2,FALSE),0)</f>
        <v>0</v>
      </c>
      <c r="AQD4" s="356" t="str">
        <f>IF(OR(AQE4="SDF",AQF4="FERIADO"),"SDF","LV")</f>
        <v>SDF</v>
      </c>
      <c r="AQE4" s="356" t="str">
        <f>IF(OR(WEEKDAY(AQD2,2)&gt;=6),"SDF","LV")</f>
        <v>SDF</v>
      </c>
      <c r="AQF4" s="356">
        <f>IFERROR(VLOOKUP(AQD2,CALENDARIO!$B$50:$C$66,2,FALSE),0)</f>
        <v>0</v>
      </c>
      <c r="AQG4" s="356" t="str">
        <f>IF(OR(AQH4="SDF",AQI4="FERIADO"),"SDF","LV")</f>
        <v>SDF</v>
      </c>
      <c r="AQH4" s="356" t="str">
        <f>IF(OR(WEEKDAY(AQG2,2)&gt;=6),"SDF","LV")</f>
        <v>SDF</v>
      </c>
      <c r="AQI4" s="356">
        <f>IFERROR(VLOOKUP(AQG2,CALENDARIO!$B$50:$C$66,2,FALSE),0)</f>
        <v>0</v>
      </c>
      <c r="AQJ4" s="356" t="str">
        <f>IF(OR(AQK4="SDF",AQL4="FERIADO"),"SDF","LV")</f>
        <v>LV</v>
      </c>
      <c r="AQK4" s="356" t="str">
        <f>IF(OR(WEEKDAY(AQJ2,2)&gt;=6),"SDF","LV")</f>
        <v>LV</v>
      </c>
      <c r="AQL4" s="356">
        <f>IFERROR(VLOOKUP(AQJ2,CALENDARIO!$B$50:$C$66,2,FALSE),0)</f>
        <v>0</v>
      </c>
      <c r="AQM4" s="356" t="str">
        <f>IF(OR(AQN4="SDF",AQO4="FERIADO"),"SDF","LV")</f>
        <v>LV</v>
      </c>
      <c r="AQN4" s="356" t="str">
        <f>IF(OR(WEEKDAY(AQM2,2)&gt;=6),"SDF","LV")</f>
        <v>LV</v>
      </c>
      <c r="AQO4" s="356">
        <f>IFERROR(VLOOKUP(AQM2,CALENDARIO!$B$50:$C$66,2,FALSE),0)</f>
        <v>0</v>
      </c>
      <c r="AQP4" s="356" t="str">
        <f>IF(OR(AQQ4="SDF",AQR4="FERIADO"),"SDF","LV")</f>
        <v>LV</v>
      </c>
      <c r="AQQ4" s="356" t="str">
        <f>IF(OR(WEEKDAY(AQP2,2)&gt;=6),"SDF","LV")</f>
        <v>LV</v>
      </c>
      <c r="AQR4" s="356">
        <f>IFERROR(VLOOKUP(AQP2,CALENDARIO!$B$50:$C$66,2,FALSE),0)</f>
        <v>0</v>
      </c>
      <c r="AQS4" s="356" t="str">
        <f>IF(OR(AQT4="SDF",AQU4="FERIADO"),"SDF","LV")</f>
        <v>LV</v>
      </c>
      <c r="AQT4" s="356" t="str">
        <f>IF(OR(WEEKDAY(AQS2,2)&gt;=6),"SDF","LV")</f>
        <v>LV</v>
      </c>
      <c r="AQU4" s="356">
        <f>IFERROR(VLOOKUP(AQS2,CALENDARIO!$B$50:$C$66,2,FALSE),0)</f>
        <v>0</v>
      </c>
      <c r="AQV4" s="356" t="str">
        <f>IF(OR(AQW4="SDF",AQX4="FERIADO"),"SDF","LV")</f>
        <v>LV</v>
      </c>
      <c r="AQW4" s="356" t="str">
        <f>IF(OR(WEEKDAY(AQV2,2)&gt;=6),"SDF","LV")</f>
        <v>LV</v>
      </c>
      <c r="AQX4" s="356">
        <f>IFERROR(VLOOKUP(AQV2,CALENDARIO!$B$50:$C$66,2,FALSE),0)</f>
        <v>0</v>
      </c>
      <c r="AQY4" s="356" t="str">
        <f>IF(OR(AQZ4="SDF",ARA4="FERIADO"),"SDF","LV")</f>
        <v>SDF</v>
      </c>
      <c r="AQZ4" s="356" t="str">
        <f>IF(OR(WEEKDAY(AQY2,2)&gt;=6),"SDF","LV")</f>
        <v>SDF</v>
      </c>
      <c r="ARA4" s="356">
        <f>IFERROR(VLOOKUP(AQY2,CALENDARIO!$B$50:$C$66,2,FALSE),0)</f>
        <v>0</v>
      </c>
      <c r="ARB4" s="356" t="str">
        <f>IF(OR(ARC4="SDF",ARD4="FERIADO"),"SDF","LV")</f>
        <v>SDF</v>
      </c>
      <c r="ARC4" s="356" t="str">
        <f>IF(OR(WEEKDAY(ARB2,2)&gt;=6),"SDF","LV")</f>
        <v>SDF</v>
      </c>
      <c r="ARD4" s="356">
        <f>IFERROR(VLOOKUP(ARB2,CALENDARIO!$B$50:$C$66,2,FALSE),0)</f>
        <v>0</v>
      </c>
      <c r="ARE4" s="356" t="str">
        <f>IF(OR(ARF4="SDF",ARG4="FERIADO"),"SDF","LV")</f>
        <v>SDF</v>
      </c>
      <c r="ARF4" s="356" t="str">
        <f>IF(OR(WEEKDAY(ARE2,2)&gt;=6),"SDF","LV")</f>
        <v>LV</v>
      </c>
      <c r="ARG4" s="356" t="str">
        <f>IFERROR(VLOOKUP(ARE2,CALENDARIO!$B$50:$C$66,2,FALSE),0)</f>
        <v>FERIADO</v>
      </c>
      <c r="ARH4" s="356" t="str">
        <f>IF(OR(ARI4="SDF",ARJ4="FERIADO"),"SDF","LV")</f>
        <v>SDF</v>
      </c>
      <c r="ARI4" s="356" t="str">
        <f>IF(OR(WEEKDAY(ARH2,2)&gt;=6),"SDF","LV")</f>
        <v>LV</v>
      </c>
      <c r="ARJ4" s="356" t="str">
        <f>IFERROR(VLOOKUP(ARH2,CALENDARIO!$B$50:$C$66,2,FALSE),0)</f>
        <v>FERIADO</v>
      </c>
      <c r="ARK4" s="356" t="str">
        <f>IF(OR(ARL4="SDF",ARM4="FERIADO"),"SDF","LV")</f>
        <v>LV</v>
      </c>
      <c r="ARL4" s="356" t="str">
        <f>IF(OR(WEEKDAY(ARK2,2)&gt;=6),"SDF","LV")</f>
        <v>LV</v>
      </c>
      <c r="ARM4" s="356">
        <f>IFERROR(VLOOKUP(ARK2,CALENDARIO!$B$50:$C$66,2,FALSE),0)</f>
        <v>0</v>
      </c>
      <c r="ARN4" s="356" t="str">
        <f>IF(OR(ARO4="SDF",ARP4="FERIADO"),"SDF","LV")</f>
        <v>LV</v>
      </c>
      <c r="ARO4" s="356" t="str">
        <f>IF(OR(WEEKDAY(ARN2,2)&gt;=6),"SDF","LV")</f>
        <v>LV</v>
      </c>
      <c r="ARP4" s="356">
        <f>IFERROR(VLOOKUP(ARN2,CALENDARIO!$B$50:$C$66,2,FALSE),0)</f>
        <v>0</v>
      </c>
      <c r="ARQ4" s="356" t="str">
        <f>IF(OR(ARR4="SDF",ARS4="FERIADO"),"SDF","LV")</f>
        <v>LV</v>
      </c>
      <c r="ARR4" s="356" t="str">
        <f>IF(OR(WEEKDAY(ARQ2,2)&gt;=6),"SDF","LV")</f>
        <v>LV</v>
      </c>
      <c r="ARS4" s="356">
        <f>IFERROR(VLOOKUP(ARQ2,CALENDARIO!$B$50:$C$66,2,FALSE),0)</f>
        <v>0</v>
      </c>
      <c r="ART4" s="356" t="str">
        <f>IF(OR(ARU4="SDF",ARV4="FERIADO"),"SDF","LV")</f>
        <v>SDF</v>
      </c>
      <c r="ARU4" s="356" t="str">
        <f>IF(OR(WEEKDAY(ART2,2)&gt;=6),"SDF","LV")</f>
        <v>SDF</v>
      </c>
      <c r="ARV4" s="356">
        <f>IFERROR(VLOOKUP(ART2,CALENDARIO!$B$50:$C$66,2,FALSE),0)</f>
        <v>0</v>
      </c>
      <c r="ARW4" s="356" t="str">
        <f>IF(OR(ARX4="SDF",ARY4="FERIADO"),"SDF","LV")</f>
        <v>SDF</v>
      </c>
      <c r="ARX4" s="356" t="str">
        <f>IF(OR(WEEKDAY(ARW2,2)&gt;=6),"SDF","LV")</f>
        <v>SDF</v>
      </c>
      <c r="ARY4" s="356">
        <f>IFERROR(VLOOKUP(ARW2,CALENDARIO!$B$50:$C$66,2,FALSE),0)</f>
        <v>0</v>
      </c>
      <c r="ARZ4" s="356" t="str">
        <f>IF(OR(ASA4="SDF",ASB4="FERIADO"),"SDF","LV")</f>
        <v>LV</v>
      </c>
      <c r="ASA4" s="356" t="str">
        <f>IF(OR(WEEKDAY(ARZ2,2)&gt;=6),"SDF","LV")</f>
        <v>LV</v>
      </c>
      <c r="ASB4" s="356">
        <f>IFERROR(VLOOKUP(ARZ2,CALENDARIO!$B$50:$C$66,2,FALSE),0)</f>
        <v>0</v>
      </c>
      <c r="ASC4" s="356" t="str">
        <f>IF(OR(ASD4="SDF",ASE4="FERIADO"),"SDF","LV")</f>
        <v>LV</v>
      </c>
      <c r="ASD4" s="356" t="str">
        <f>IF(OR(WEEKDAY(ASC2,2)&gt;=6),"SDF","LV")</f>
        <v>LV</v>
      </c>
      <c r="ASE4" s="356">
        <f>IFERROR(VLOOKUP(ASC2,CALENDARIO!$B$50:$C$66,2,FALSE),0)</f>
        <v>0</v>
      </c>
      <c r="ASF4" s="356" t="str">
        <f>IF(OR(ASG4="SDF",ASH4="FERIADO"),"SDF","LV")</f>
        <v>LV</v>
      </c>
      <c r="ASG4" s="356" t="str">
        <f>IF(OR(WEEKDAY(ASF2,2)&gt;=6),"SDF","LV")</f>
        <v>LV</v>
      </c>
      <c r="ASH4" s="356">
        <f>IFERROR(VLOOKUP(ASF2,CALENDARIO!$B$50:$C$66,2,FALSE),0)</f>
        <v>0</v>
      </c>
      <c r="ASI4" s="356" t="str">
        <f>IF(OR(ASJ4="SDF",ASK4="FERIADO"),"SDF","LV")</f>
        <v>LV</v>
      </c>
      <c r="ASJ4" s="356" t="str">
        <f>IF(OR(WEEKDAY(ASI2,2)&gt;=6),"SDF","LV")</f>
        <v>LV</v>
      </c>
      <c r="ASK4" s="356">
        <f>IFERROR(VLOOKUP(ASI2,CALENDARIO!$B$50:$C$66,2,FALSE),0)</f>
        <v>0</v>
      </c>
      <c r="ASL4" s="356" t="str">
        <f>IF(OR(ASM4="SDF",ASN4="FERIADO"),"SDF","LV")</f>
        <v>LV</v>
      </c>
      <c r="ASM4" s="356" t="str">
        <f>IF(OR(WEEKDAY(ASL2,2)&gt;=6),"SDF","LV")</f>
        <v>LV</v>
      </c>
      <c r="ASN4" s="356">
        <f>IFERROR(VLOOKUP(ASL2,CALENDARIO!$B$50:$C$66,2,FALSE),0)</f>
        <v>0</v>
      </c>
      <c r="ASO4" s="356" t="str">
        <f>IF(OR(ASP4="SDF",ASQ4="FERIADO"),"SDF","LV")</f>
        <v>SDF</v>
      </c>
      <c r="ASP4" s="356" t="str">
        <f>IF(OR(WEEKDAY(ASO2,2)&gt;=6),"SDF","LV")</f>
        <v>SDF</v>
      </c>
      <c r="ASQ4" s="356">
        <f>IFERROR(VLOOKUP(ASO2,CALENDARIO!$B$50:$C$66,2,FALSE),0)</f>
        <v>0</v>
      </c>
      <c r="ASR4" s="356" t="str">
        <f>IF(OR(ASS4="SDF",AST4="FERIADO"),"SDF","LV")</f>
        <v>SDF</v>
      </c>
      <c r="ASS4" s="356" t="str">
        <f>IF(OR(WEEKDAY(ASR2,2)&gt;=6),"SDF","LV")</f>
        <v>SDF</v>
      </c>
      <c r="AST4" s="356">
        <f>IFERROR(VLOOKUP(ASR2,CALENDARIO!$B$50:$C$66,2,FALSE),0)</f>
        <v>0</v>
      </c>
      <c r="ASU4" s="356" t="str">
        <f>IF(OR(ASV4="SDF",ASW4="FERIADO"),"SDF","LV")</f>
        <v>LV</v>
      </c>
      <c r="ASV4" s="356" t="str">
        <f>IF(OR(WEEKDAY(ASU2,2)&gt;=6),"SDF","LV")</f>
        <v>LV</v>
      </c>
      <c r="ASW4" s="356">
        <f>IFERROR(VLOOKUP(ASU2,CALENDARIO!$B$50:$C$66,2,FALSE),0)</f>
        <v>0</v>
      </c>
      <c r="ASX4" s="356" t="str">
        <f>IF(OR(ASY4="SDF",ASZ4="FERIADO"),"SDF","LV")</f>
        <v>LV</v>
      </c>
      <c r="ASY4" s="356" t="str">
        <f>IF(OR(WEEKDAY(ASX2,2)&gt;=6),"SDF","LV")</f>
        <v>LV</v>
      </c>
      <c r="ASZ4" s="356">
        <f>IFERROR(VLOOKUP(ASX2,CALENDARIO!$B$50:$C$66,2,FALSE),0)</f>
        <v>0</v>
      </c>
      <c r="ATA4" s="356" t="str">
        <f>IF(OR(ATB4="SDF",ATC4="FERIADO"),"SDF","LV")</f>
        <v>LV</v>
      </c>
      <c r="ATB4" s="356" t="str">
        <f>IF(OR(WEEKDAY(ATA2,2)&gt;=6),"SDF","LV")</f>
        <v>LV</v>
      </c>
      <c r="ATC4" s="356">
        <f>IFERROR(VLOOKUP(ATA2,CALENDARIO!$B$50:$C$66,2,FALSE),0)</f>
        <v>0</v>
      </c>
      <c r="ATD4" s="356" t="str">
        <f>IF(OR(ATE4="SDF",ATF4="FERIADO"),"SDF","LV")</f>
        <v>LV</v>
      </c>
      <c r="ATE4" s="356" t="str">
        <f>IF(OR(WEEKDAY(ATD2,2)&gt;=6),"SDF","LV")</f>
        <v>LV</v>
      </c>
      <c r="ATF4" s="356">
        <f>IFERROR(VLOOKUP(ATD2,CALENDARIO!$B$50:$C$66,2,FALSE),0)</f>
        <v>0</v>
      </c>
      <c r="ATG4" s="356" t="str">
        <f>IF(OR(ATH4="SDF",ATI4="FERIADO"),"SDF","LV")</f>
        <v>LV</v>
      </c>
      <c r="ATH4" s="356" t="str">
        <f>IF(OR(WEEKDAY(ATG2,2)&gt;=6),"SDF","LV")</f>
        <v>LV</v>
      </c>
      <c r="ATI4" s="356">
        <f>IFERROR(VLOOKUP(ATG2,CALENDARIO!$B$50:$C$66,2,FALSE),0)</f>
        <v>0</v>
      </c>
      <c r="ATJ4" s="356" t="str">
        <f>IF(OR(ATK4="SDF",ATL4="FERIADO"),"SDF","LV")</f>
        <v>SDF</v>
      </c>
      <c r="ATK4" s="356" t="str">
        <f>IF(OR(WEEKDAY(ATJ2,2)&gt;=6),"SDF","LV")</f>
        <v>SDF</v>
      </c>
      <c r="ATL4" s="356">
        <f>IFERROR(VLOOKUP(ATJ2,CALENDARIO!$B$50:$C$66,2,FALSE),0)</f>
        <v>0</v>
      </c>
      <c r="ATM4" s="356" t="str">
        <f>IF(OR(ATN4="SDF",ATO4="FERIADO"),"SDF","LV")</f>
        <v>SDF</v>
      </c>
      <c r="ATN4" s="356" t="str">
        <f>IF(OR(WEEKDAY(ATM2,2)&gt;=6),"SDF","LV")</f>
        <v>SDF</v>
      </c>
      <c r="ATO4" s="356">
        <f>IFERROR(VLOOKUP(ATM2,CALENDARIO!$B$50:$C$66,2,FALSE),0)</f>
        <v>0</v>
      </c>
      <c r="ATP4" s="356" t="str">
        <f>IF(OR(ATQ4="SDF",ATR4="FERIADO"),"SDF","LV")</f>
        <v>LV</v>
      </c>
      <c r="ATQ4" s="356" t="str">
        <f>IF(OR(WEEKDAY(ATP2,2)&gt;=6),"SDF","LV")</f>
        <v>LV</v>
      </c>
      <c r="ATR4" s="356">
        <f>IFERROR(VLOOKUP(ATP2,CALENDARIO!$B$50:$C$66,2,FALSE),0)</f>
        <v>0</v>
      </c>
      <c r="ATS4" s="356" t="str">
        <f>IF(OR(ATT4="SDF",ATU4="FERIADO"),"SDF","LV")</f>
        <v>LV</v>
      </c>
      <c r="ATT4" s="356" t="str">
        <f>IF(OR(WEEKDAY(ATS2,2)&gt;=6),"SDF","LV")</f>
        <v>LV</v>
      </c>
      <c r="ATU4" s="356">
        <f>IFERROR(VLOOKUP(ATS2,CALENDARIO!$B$50:$C$66,2,FALSE),0)</f>
        <v>0</v>
      </c>
      <c r="ATV4" s="356" t="str">
        <f>IF(OR(ATW4="SDF",ATX4="FERIADO"),"SDF","LV")</f>
        <v>LV</v>
      </c>
      <c r="ATW4" s="356" t="str">
        <f>IF(OR(WEEKDAY(ATV2,2)&gt;=6),"SDF","LV")</f>
        <v>LV</v>
      </c>
      <c r="ATX4" s="356">
        <f>IFERROR(VLOOKUP(ATV2,CALENDARIO!$B$50:$C$66,2,FALSE),0)</f>
        <v>0</v>
      </c>
      <c r="ATY4" s="356" t="str">
        <f>IF(OR(ATZ4="SDF",AUA4="FERIADO"),"SDF","LV")</f>
        <v>LV</v>
      </c>
      <c r="ATZ4" s="356" t="str">
        <f>IF(OR(WEEKDAY(ATY2,2)&gt;=6),"SDF","LV")</f>
        <v>LV</v>
      </c>
      <c r="AUA4" s="356">
        <f>IFERROR(VLOOKUP(ATY2,CALENDARIO!$B$50:$C$66,2,FALSE),0)</f>
        <v>0</v>
      </c>
      <c r="AUB4" s="356" t="str">
        <f>IF(OR(AUC4="SDF",AUD4="FERIADO"),"SDF","LV")</f>
        <v>LV</v>
      </c>
      <c r="AUC4" s="356" t="str">
        <f>IF(OR(WEEKDAY(AUB2,2)&gt;=6),"SDF","LV")</f>
        <v>LV</v>
      </c>
      <c r="AUD4" s="356">
        <f>IFERROR(VLOOKUP(AUB2,CALENDARIO!$B$50:$C$66,2,FALSE),0)</f>
        <v>0</v>
      </c>
      <c r="AUE4" s="356" t="str">
        <f>IF(OR(AUF4="SDF",AUG4="FERIADO"),"SDF","LV")</f>
        <v>SDF</v>
      </c>
      <c r="AUF4" s="356" t="str">
        <f>IF(OR(WEEKDAY(AUE2,2)&gt;=6),"SDF","LV")</f>
        <v>SDF</v>
      </c>
      <c r="AUG4" s="356">
        <f>IFERROR(VLOOKUP(AUE2,CALENDARIO!$B$50:$C$66,2,FALSE),0)</f>
        <v>0</v>
      </c>
      <c r="AUH4" s="356" t="str">
        <f>IF(OR(AUI4="SDF",AUJ4="FERIADO"),"SDF","LV")</f>
        <v>SDF</v>
      </c>
      <c r="AUI4" s="356" t="str">
        <f>IF(OR(WEEKDAY(AUH2,2)&gt;=6),"SDF","LV")</f>
        <v>SDF</v>
      </c>
      <c r="AUJ4" s="356">
        <f>IFERROR(VLOOKUP(AUH2,CALENDARIO!$B$50:$C$66,2,FALSE),0)</f>
        <v>0</v>
      </c>
      <c r="AUK4" s="356" t="str">
        <f>IF(OR(AUL4="SDF",AUM4="FERIADO"),"SDF","LV")</f>
        <v>LV</v>
      </c>
      <c r="AUL4" s="356" t="str">
        <f>IF(OR(WEEKDAY(AUK2,2)&gt;=6),"SDF","LV")</f>
        <v>LV</v>
      </c>
      <c r="AUM4" s="356">
        <f>IFERROR(VLOOKUP(AUK2,CALENDARIO!$B$50:$C$66,2,FALSE),0)</f>
        <v>0</v>
      </c>
      <c r="AUN4" s="356" t="str">
        <f>IF(OR(AUO4="SDF",AUP4="FERIADO"),"SDF","LV")</f>
        <v>LV</v>
      </c>
      <c r="AUO4" s="356" t="str">
        <f>IF(OR(WEEKDAY(AUN2,2)&gt;=6),"SDF","LV")</f>
        <v>LV</v>
      </c>
      <c r="AUP4" s="356">
        <f>IFERROR(VLOOKUP(AUN2,CALENDARIO!$B$50:$C$66,2,FALSE),0)</f>
        <v>0</v>
      </c>
      <c r="AUQ4" s="356" t="str">
        <f>IF(OR(AUR4="SDF",AUS4="FERIADO"),"SDF","LV")</f>
        <v>LV</v>
      </c>
      <c r="AUR4" s="356" t="str">
        <f>IF(OR(WEEKDAY(AUQ2,2)&gt;=6),"SDF","LV")</f>
        <v>LV</v>
      </c>
      <c r="AUS4" s="356">
        <f>IFERROR(VLOOKUP(AUQ2,CALENDARIO!$B$50:$C$66,2,FALSE),0)</f>
        <v>0</v>
      </c>
      <c r="AUT4" s="356" t="str">
        <f>IF(OR(AUU4="SDF",AUV4="FERIADO"),"SDF","LV")</f>
        <v>LV</v>
      </c>
      <c r="AUU4" s="356" t="str">
        <f>IF(OR(WEEKDAY(AUT2,2)&gt;=6),"SDF","LV")</f>
        <v>LV</v>
      </c>
      <c r="AUV4" s="356">
        <f>IFERROR(VLOOKUP(AUT2,CALENDARIO!$B$50:$C$66,2,FALSE),0)</f>
        <v>0</v>
      </c>
      <c r="AUW4" s="356" t="str">
        <f>IF(OR(AUX4="SDF",AUY4="FERIADO"),"SDF","LV")</f>
        <v>LV</v>
      </c>
      <c r="AUX4" s="356" t="str">
        <f>IF(OR(WEEKDAY(AUW2,2)&gt;=6),"SDF","LV")</f>
        <v>LV</v>
      </c>
      <c r="AUY4" s="356">
        <f>IFERROR(VLOOKUP(AUW2,CALENDARIO!$B$50:$C$66,2,FALSE),0)</f>
        <v>0</v>
      </c>
      <c r="AUZ4" s="356" t="str">
        <f>IF(OR(AVA4="SDF",AVB4="FERIADO"),"SDF","LV")</f>
        <v>SDF</v>
      </c>
      <c r="AVA4" s="356" t="str">
        <f>IF(OR(WEEKDAY(AUZ2,2)&gt;=6),"SDF","LV")</f>
        <v>SDF</v>
      </c>
      <c r="AVB4" s="356">
        <f>IFERROR(VLOOKUP(AUZ2,CALENDARIO!$B$50:$C$66,2,FALSE),0)</f>
        <v>0</v>
      </c>
      <c r="AVC4" s="356" t="str">
        <f>IF(OR(AVD4="SDF",AVE4="FERIADO"),"SDF","LV")</f>
        <v>SDF</v>
      </c>
      <c r="AVD4" s="356" t="str">
        <f>IF(OR(WEEKDAY(AVC2,2)&gt;=6),"SDF","LV")</f>
        <v>SDF</v>
      </c>
      <c r="AVE4" s="356">
        <f>IFERROR(VLOOKUP(AVC2,CALENDARIO!$B$50:$C$66,2,FALSE),0)</f>
        <v>0</v>
      </c>
      <c r="AVF4" s="356" t="str">
        <f>IF(OR(AVG4="SDF",AVH4="FERIADO"),"SDF","LV")</f>
        <v>LV</v>
      </c>
      <c r="AVG4" s="356" t="str">
        <f>IF(OR(WEEKDAY(AVF2,2)&gt;=6),"SDF","LV")</f>
        <v>LV</v>
      </c>
      <c r="AVH4" s="356">
        <f>IFERROR(VLOOKUP(AVF2,CALENDARIO!$B$50:$C$66,2,FALSE),0)</f>
        <v>0</v>
      </c>
      <c r="AVI4" s="356" t="str">
        <f>IF(OR(AVJ4="SDF",AVK4="FERIADO"),"SDF","LV")</f>
        <v>SDF</v>
      </c>
      <c r="AVJ4" s="356" t="str">
        <f>IF(OR(WEEKDAY(AVI2,2)&gt;=6),"SDF","LV")</f>
        <v>LV</v>
      </c>
      <c r="AVK4" s="356" t="str">
        <f>IFERROR(VLOOKUP(AVI2,CALENDARIO!$B$50:$C$66,2,FALSE),0)</f>
        <v>FERIADO</v>
      </c>
      <c r="AVL4" s="356" t="str">
        <f>IF(OR(AVM4="SDF",AVN4="FERIADO"),"SDF","LV")</f>
        <v>LV</v>
      </c>
      <c r="AVM4" s="356" t="str">
        <f>IF(OR(WEEKDAY(AVL2,2)&gt;=6),"SDF","LV")</f>
        <v>LV</v>
      </c>
      <c r="AVN4" s="356">
        <f>IFERROR(VLOOKUP(AVL2,CALENDARIO!$B$50:$C$66,2,FALSE),0)</f>
        <v>0</v>
      </c>
      <c r="AVO4" s="356" t="str">
        <f>IF(OR(AVP4="SDF",AVQ4="FERIADO"),"SDF","LV")</f>
        <v>LV</v>
      </c>
      <c r="AVP4" s="356" t="str">
        <f>IF(OR(WEEKDAY(AVO2,2)&gt;=6),"SDF","LV")</f>
        <v>LV</v>
      </c>
      <c r="AVQ4" s="356">
        <f>IFERROR(VLOOKUP(AVO2,CALENDARIO!$B$50:$C$66,2,FALSE),0)</f>
        <v>0</v>
      </c>
      <c r="AVR4" s="356" t="str">
        <f>IF(OR(AVS4="SDF",AVT4="FERIADO"),"SDF","LV")</f>
        <v>LV</v>
      </c>
      <c r="AVS4" s="356" t="str">
        <f>IF(OR(WEEKDAY(AVR2,2)&gt;=6),"SDF","LV")</f>
        <v>LV</v>
      </c>
      <c r="AVT4" s="356">
        <f>IFERROR(VLOOKUP(AVR2,CALENDARIO!$B$50:$C$66,2,FALSE),0)</f>
        <v>0</v>
      </c>
      <c r="AVU4" s="356" t="str">
        <f>IF(OR(AVV4="SDF",AVW4="FERIADO"),"SDF","LV")</f>
        <v>SDF</v>
      </c>
      <c r="AVV4" s="356" t="str">
        <f>IF(OR(WEEKDAY(AVU2,2)&gt;=6),"SDF","LV")</f>
        <v>SDF</v>
      </c>
      <c r="AVW4" s="356">
        <f>IFERROR(VLOOKUP(AVU2,CALENDARIO!$B$50:$C$66,2,FALSE),0)</f>
        <v>0</v>
      </c>
      <c r="AVX4" s="356" t="str">
        <f>IF(OR(AVY4="SDF",AVZ4="FERIADO"),"SDF","LV")</f>
        <v>SDF</v>
      </c>
      <c r="AVY4" s="356" t="str">
        <f>IF(OR(WEEKDAY(AVX2,2)&gt;=6),"SDF","LV")</f>
        <v>SDF</v>
      </c>
      <c r="AVZ4" s="356">
        <f>IFERROR(VLOOKUP(AVX2,CALENDARIO!$B$50:$C$66,2,FALSE),0)</f>
        <v>0</v>
      </c>
      <c r="AWA4" s="356" t="str">
        <f>IF(OR(AWB4="SDF",AWC4="FERIADO"),"SDF","LV")</f>
        <v>LV</v>
      </c>
      <c r="AWB4" s="356" t="str">
        <f>IF(OR(WEEKDAY(AWA2,2)&gt;=6),"SDF","LV")</f>
        <v>LV</v>
      </c>
      <c r="AWC4" s="356">
        <f>IFERROR(VLOOKUP(AWA2,CALENDARIO!$B$50:$C$66,2,FALSE),0)</f>
        <v>0</v>
      </c>
      <c r="AWD4" s="356" t="str">
        <f>IF(OR(AWE4="SDF",AWF4="FERIADO"),"SDF","LV")</f>
        <v>LV</v>
      </c>
      <c r="AWE4" s="356" t="str">
        <f>IF(OR(WEEKDAY(AWD2,2)&gt;=6),"SDF","LV")</f>
        <v>LV</v>
      </c>
      <c r="AWF4" s="356">
        <f>IFERROR(VLOOKUP(AWD2,CALENDARIO!$B$50:$C$66,2,FALSE),0)</f>
        <v>0</v>
      </c>
      <c r="AWG4" s="356" t="str">
        <f>IF(OR(AWH4="SDF",AWI4="FERIADO"),"SDF","LV")</f>
        <v>LV</v>
      </c>
      <c r="AWH4" s="356" t="str">
        <f>IF(OR(WEEKDAY(AWG2,2)&gt;=6),"SDF","LV")</f>
        <v>LV</v>
      </c>
      <c r="AWI4" s="356">
        <f>IFERROR(VLOOKUP(AWG2,CALENDARIO!$B$50:$C$66,2,FALSE),0)</f>
        <v>0</v>
      </c>
      <c r="AWJ4" s="356" t="str">
        <f>IF(OR(AWK4="SDF",AWL4="FERIADO"),"SDF","LV")</f>
        <v>SDF</v>
      </c>
      <c r="AWK4" s="356" t="str">
        <f>IF(OR(WEEKDAY(AWJ2,2)&gt;=6),"SDF","LV")</f>
        <v>LV</v>
      </c>
      <c r="AWL4" s="356" t="str">
        <f>IFERROR(VLOOKUP(AWJ2,CALENDARIO!$B$50:$C$66,2,FALSE),0)</f>
        <v>FERIADO</v>
      </c>
      <c r="AWM4" s="356" t="str">
        <f>IF(OR(AWN4="SDF",AWO4="FERIADO"),"SDF","LV")</f>
        <v>SDF</v>
      </c>
      <c r="AWN4" s="356" t="str">
        <f>IF(OR(WEEKDAY(AWM2,2)&gt;=6),"SDF","LV")</f>
        <v>LV</v>
      </c>
      <c r="AWO4" s="356" t="str">
        <f>IFERROR(VLOOKUP(AWM2,CALENDARIO!$B$50:$C$66,2,FALSE),0)</f>
        <v>FERIADO</v>
      </c>
      <c r="AWP4" s="356" t="str">
        <f>IF(OR(AWQ4="SDF",AWR4="FERIADO"),"SDF","LV")</f>
        <v>SDF</v>
      </c>
      <c r="AWQ4" s="356" t="str">
        <f>IF(OR(WEEKDAY(AWP2,2)&gt;=6),"SDF","LV")</f>
        <v>SDF</v>
      </c>
      <c r="AWR4" s="356">
        <f>IFERROR(VLOOKUP(AWP2,CALENDARIO!$B$50:$C$66,2,FALSE),0)</f>
        <v>0</v>
      </c>
      <c r="AWS4" s="356" t="str">
        <f>IF(OR(AWT4="SDF",AWU4="FERIADO"),"SDF","LV")</f>
        <v>SDF</v>
      </c>
      <c r="AWT4" s="356" t="str">
        <f>IF(OR(WEEKDAY(AWS2,2)&gt;=6),"SDF","LV")</f>
        <v>SDF</v>
      </c>
      <c r="AWU4" s="356">
        <f>IFERROR(VLOOKUP(AWS2,CALENDARIO!$B$50:$C$66,2,FALSE),0)</f>
        <v>0</v>
      </c>
      <c r="AWV4" s="356" t="str">
        <f>IF(OR(AWW4="SDF",AWX4="FERIADO"),"SDF","LV")</f>
        <v>LV</v>
      </c>
      <c r="AWW4" s="356" t="str">
        <f>IF(OR(WEEKDAY(AWV2,2)&gt;=6),"SDF","LV")</f>
        <v>LV</v>
      </c>
      <c r="AWX4" s="356">
        <f>IFERROR(VLOOKUP(AWV2,CALENDARIO!$B$50:$C$66,2,FALSE),0)</f>
        <v>0</v>
      </c>
      <c r="AWY4" s="356" t="str">
        <f>IF(OR(AWZ4="SDF",AXA4="FERIADO"),"SDF","LV")</f>
        <v>LV</v>
      </c>
      <c r="AWZ4" s="356" t="str">
        <f>IF(OR(WEEKDAY(AWY2,2)&gt;=6),"SDF","LV")</f>
        <v>LV</v>
      </c>
      <c r="AXA4" s="356">
        <f>IFERROR(VLOOKUP(AWY2,CALENDARIO!$B$50:$C$66,2,FALSE),0)</f>
        <v>0</v>
      </c>
      <c r="AXB4" s="356" t="str">
        <f>IF(OR(AXC4="SDF",AXD4="FERIADO"),"SDF","LV")</f>
        <v>LV</v>
      </c>
      <c r="AXC4" s="356" t="str">
        <f>IF(OR(WEEKDAY(AXB2,2)&gt;=6),"SDF","LV")</f>
        <v>LV</v>
      </c>
      <c r="AXD4" s="356">
        <f>IFERROR(VLOOKUP(AXB2,CALENDARIO!$B$50:$C$66,2,FALSE),0)</f>
        <v>0</v>
      </c>
      <c r="AXE4" s="356" t="str">
        <f>IF(OR(AXF4="SDF",AXG4="FERIADO"),"SDF","LV")</f>
        <v>LV</v>
      </c>
      <c r="AXF4" s="356" t="str">
        <f>IF(OR(WEEKDAY(AXE2,2)&gt;=6),"SDF","LV")</f>
        <v>LV</v>
      </c>
      <c r="AXG4" s="356">
        <f>IFERROR(VLOOKUP(AXE2,CALENDARIO!$B$50:$C$66,2,FALSE),0)</f>
        <v>0</v>
      </c>
      <c r="AXH4" s="356" t="str">
        <f>IF(OR(AXI4="SDF",AXJ4="FERIADO"),"SDF","LV")</f>
        <v>LV</v>
      </c>
      <c r="AXI4" s="356" t="str">
        <f>IF(OR(WEEKDAY(AXH2,2)&gt;=6),"SDF","LV")</f>
        <v>LV</v>
      </c>
      <c r="AXJ4" s="356">
        <f>IFERROR(VLOOKUP(AXH2,CALENDARIO!$B$50:$C$66,2,FALSE),0)</f>
        <v>0</v>
      </c>
      <c r="AXK4" s="356" t="str">
        <f>IF(OR(AXL4="SDF",AXM4="FERIADO"),"SDF","LV")</f>
        <v>SDF</v>
      </c>
      <c r="AXL4" s="356" t="str">
        <f>IF(OR(WEEKDAY(AXK2,2)&gt;=6),"SDF","LV")</f>
        <v>SDF</v>
      </c>
      <c r="AXM4" s="356">
        <f>IFERROR(VLOOKUP(AXK2,CALENDARIO!$B$50:$C$66,2,FALSE),0)</f>
        <v>0</v>
      </c>
      <c r="AXN4" s="356" t="str">
        <f>IF(OR(AXO4="SDF",AXP4="FERIADO"),"SDF","LV")</f>
        <v>SDF</v>
      </c>
      <c r="AXO4" s="356" t="str">
        <f>IF(OR(WEEKDAY(AXN2,2)&gt;=6),"SDF","LV")</f>
        <v>SDF</v>
      </c>
      <c r="AXP4" s="356">
        <f>IFERROR(VLOOKUP(AXN2,CALENDARIO!$B$50:$C$66,2,FALSE),0)</f>
        <v>0</v>
      </c>
      <c r="AXQ4" s="356" t="str">
        <f>IF(OR(AXR4="SDF",AXS4="FERIADO"),"SDF","LV")</f>
        <v>LV</v>
      </c>
      <c r="AXR4" s="356" t="str">
        <f>IF(OR(WEEKDAY(AXQ2,2)&gt;=6),"SDF","LV")</f>
        <v>LV</v>
      </c>
      <c r="AXS4" s="356">
        <f>IFERROR(VLOOKUP(AXQ2,CALENDARIO!$B$50:$C$66,2,FALSE),0)</f>
        <v>0</v>
      </c>
      <c r="AXT4" s="356" t="str">
        <f>IF(OR(AXU4="SDF",AXV4="FERIADO"),"SDF","LV")</f>
        <v>LV</v>
      </c>
      <c r="AXU4" s="356" t="str">
        <f>IF(OR(WEEKDAY(AXT2,2)&gt;=6),"SDF","LV")</f>
        <v>LV</v>
      </c>
      <c r="AXV4" s="356">
        <f>IFERROR(VLOOKUP(AXT2,CALENDARIO!$B$50:$C$66,2,FALSE),0)</f>
        <v>0</v>
      </c>
      <c r="AXW4" s="356" t="str">
        <f>IF(OR(AXX4="SDF",AXY4="FERIADO"),"SDF","LV")</f>
        <v>LV</v>
      </c>
      <c r="AXX4" s="356" t="str">
        <f>IF(OR(WEEKDAY(AXW2,2)&gt;=6),"SDF","LV")</f>
        <v>LV</v>
      </c>
      <c r="AXY4" s="356">
        <f>IFERROR(VLOOKUP(AXW2,CALENDARIO!$B$50:$C$66,2,FALSE),0)</f>
        <v>0</v>
      </c>
      <c r="AXZ4" s="356" t="str">
        <f>IF(OR(AYA4="SDF",AYB4="FERIADO"),"SDF","LV")</f>
        <v>LV</v>
      </c>
      <c r="AYA4" s="356" t="str">
        <f>IF(OR(WEEKDAY(AXZ2,2)&gt;=6),"SDF","LV")</f>
        <v>LV</v>
      </c>
      <c r="AYB4" s="356">
        <f>IFERROR(VLOOKUP(AXZ2,CALENDARIO!$B$50:$C$66,2,FALSE),0)</f>
        <v>0</v>
      </c>
      <c r="AYC4" s="356" t="str">
        <f>IF(OR(AYD4="SDF",AYE4="FERIADO"),"SDF","LV")</f>
        <v>LV</v>
      </c>
      <c r="AYD4" s="356" t="str">
        <f>IF(OR(WEEKDAY(AYC2,2)&gt;=6),"SDF","LV")</f>
        <v>LV</v>
      </c>
      <c r="AYE4" s="356">
        <f>IFERROR(VLOOKUP(AYC2,CALENDARIO!$B$50:$C$66,2,FALSE),0)</f>
        <v>0</v>
      </c>
      <c r="AYF4" s="356" t="str">
        <f>IF(OR(AYG4="SDF",AYH4="FERIADO"),"SDF","LV")</f>
        <v>SDF</v>
      </c>
      <c r="AYG4" s="356" t="str">
        <f>IF(OR(WEEKDAY(AYF2,2)&gt;=6),"SDF","LV")</f>
        <v>SDF</v>
      </c>
      <c r="AYH4" s="356">
        <f>IFERROR(VLOOKUP(AYF2,CALENDARIO!$B$50:$C$66,2,FALSE),0)</f>
        <v>0</v>
      </c>
      <c r="AYI4" s="356" t="str">
        <f>IF(OR(AYJ4="SDF",AYK4="FERIADO"),"SDF","LV")</f>
        <v>SDF</v>
      </c>
      <c r="AYJ4" s="356" t="str">
        <f>IF(OR(WEEKDAY(AYI2,2)&gt;=6),"SDF","LV")</f>
        <v>SDF</v>
      </c>
      <c r="AYK4" s="356">
        <f>IFERROR(VLOOKUP(AYI2,CALENDARIO!$B$50:$C$66,2,FALSE),0)</f>
        <v>0</v>
      </c>
      <c r="AYL4" s="356" t="str">
        <f>IF(OR(AYM4="SDF",AYN4="FERIADO"),"SDF","LV")</f>
        <v>LV</v>
      </c>
      <c r="AYM4" s="356" t="str">
        <f>IF(OR(WEEKDAY(AYL2,2)&gt;=6),"SDF","LV")</f>
        <v>LV</v>
      </c>
      <c r="AYN4" s="356">
        <f>IFERROR(VLOOKUP(AYL2,CALENDARIO!$B$50:$C$66,2,FALSE),0)</f>
        <v>0</v>
      </c>
      <c r="AYO4" s="356" t="str">
        <f>IF(OR(AYP4="SDF",AYQ4="FERIADO"),"SDF","LV")</f>
        <v>LV</v>
      </c>
      <c r="AYP4" s="356" t="str">
        <f>IF(OR(WEEKDAY(AYO2,2)&gt;=6),"SDF","LV")</f>
        <v>LV</v>
      </c>
      <c r="AYQ4" s="356">
        <f>IFERROR(VLOOKUP(AYO2,CALENDARIO!$B$50:$C$66,2,FALSE),0)</f>
        <v>0</v>
      </c>
      <c r="AYR4" s="356" t="str">
        <f>IF(OR(AYS4="SDF",AYT4="FERIADO"),"SDF","LV")</f>
        <v>LV</v>
      </c>
      <c r="AYS4" s="356" t="str">
        <f>IF(OR(WEEKDAY(AYR2,2)&gt;=6),"SDF","LV")</f>
        <v>LV</v>
      </c>
      <c r="AYT4" s="356">
        <f>IFERROR(VLOOKUP(AYR2,CALENDARIO!$B$50:$C$66,2,FALSE),0)</f>
        <v>0</v>
      </c>
      <c r="AYU4" s="356" t="str">
        <f>IF(OR(AYV4="SDF",AYW4="FERIADO"),"SDF","LV")</f>
        <v>LV</v>
      </c>
      <c r="AYV4" s="356" t="str">
        <f>IF(OR(WEEKDAY(AYU2,2)&gt;=6),"SDF","LV")</f>
        <v>LV</v>
      </c>
      <c r="AYW4" s="356">
        <f>IFERROR(VLOOKUP(AYU2,CALENDARIO!$B$50:$C$66,2,FALSE),0)</f>
        <v>0</v>
      </c>
      <c r="AYX4" s="356" t="str">
        <f>IF(OR(AYY4="SDF",AYZ4="FERIADO"),"SDF","LV")</f>
        <v>LV</v>
      </c>
      <c r="AYY4" s="356" t="str">
        <f>IF(OR(WEEKDAY(AYX2,2)&gt;=6),"SDF","LV")</f>
        <v>LV</v>
      </c>
      <c r="AYZ4" s="356">
        <f>IFERROR(VLOOKUP(AYX2,CALENDARIO!$B$50:$C$66,2,FALSE),0)</f>
        <v>0</v>
      </c>
      <c r="AZA4" s="356" t="str">
        <f>IF(OR(AZB4="SDF",AZC4="FERIADO"),"SDF","LV")</f>
        <v>SDF</v>
      </c>
      <c r="AZB4" s="356" t="str">
        <f>IF(OR(WEEKDAY(AZA2,2)&gt;=6),"SDF","LV")</f>
        <v>SDF</v>
      </c>
      <c r="AZC4" s="356">
        <f>IFERROR(VLOOKUP(AZA2,CALENDARIO!$B$50:$C$66,2,FALSE),0)</f>
        <v>0</v>
      </c>
      <c r="AZD4" s="356" t="str">
        <f>IF(OR(AZE4="SDF",AZF4="FERIADO"),"SDF","LV")</f>
        <v>SDF</v>
      </c>
      <c r="AZE4" s="356" t="str">
        <f>IF(OR(WEEKDAY(AZD2,2)&gt;=6),"SDF","LV")</f>
        <v>SDF</v>
      </c>
      <c r="AZF4" s="356">
        <f>IFERROR(VLOOKUP(AZD2,CALENDARIO!$B$50:$C$66,2,FALSE),0)</f>
        <v>0</v>
      </c>
      <c r="AZG4" s="356" t="str">
        <f>IF(OR(AZH4="SDF",AZI4="FERIADO"),"SDF","LV")</f>
        <v>LV</v>
      </c>
      <c r="AZH4" s="356" t="str">
        <f>IF(OR(WEEKDAY(AZG2,2)&gt;=6),"SDF","LV")</f>
        <v>LV</v>
      </c>
      <c r="AZI4" s="356">
        <f>IFERROR(VLOOKUP(AZG2,CALENDARIO!$B$50:$C$66,2,FALSE),0)</f>
        <v>0</v>
      </c>
      <c r="AZJ4" s="356" t="str">
        <f>IF(OR(AZK4="SDF",AZL4="FERIADO"),"SDF","LV")</f>
        <v>LV</v>
      </c>
      <c r="AZK4" s="356" t="str">
        <f>IF(OR(WEEKDAY(AZJ2,2)&gt;=6),"SDF","LV")</f>
        <v>LV</v>
      </c>
      <c r="AZL4" s="356">
        <f>IFERROR(VLOOKUP(AZJ2,CALENDARIO!$B$50:$C$66,2,FALSE),0)</f>
        <v>0</v>
      </c>
      <c r="AZM4" s="356" t="str">
        <f>IF(OR(AZN4="SDF",AZO4="FERIADO"),"SDF","LV")</f>
        <v>LV</v>
      </c>
      <c r="AZN4" s="356" t="str">
        <f>IF(OR(WEEKDAY(AZM2,2)&gt;=6),"SDF","LV")</f>
        <v>LV</v>
      </c>
      <c r="AZO4" s="356">
        <f>IFERROR(VLOOKUP(AZM2,CALENDARIO!$B$50:$C$66,2,FALSE),0)</f>
        <v>0</v>
      </c>
      <c r="AZP4" s="356" t="str">
        <f>IF(OR(AZQ4="SDF",AZR4="FERIADO"),"SDF","LV")</f>
        <v>LV</v>
      </c>
      <c r="AZQ4" s="356" t="str">
        <f>IF(OR(WEEKDAY(AZP2,2)&gt;=6),"SDF","LV")</f>
        <v>LV</v>
      </c>
      <c r="AZR4" s="356">
        <f>IFERROR(VLOOKUP(AZP2,CALENDARIO!$B$50:$C$66,2,FALSE),0)</f>
        <v>0</v>
      </c>
      <c r="AZS4" s="356" t="str">
        <f>IF(OR(AZT4="SDF",AZU4="FERIADO"),"SDF","LV")</f>
        <v>LV</v>
      </c>
      <c r="AZT4" s="356" t="str">
        <f>IF(OR(WEEKDAY(AZS2,2)&gt;=6),"SDF","LV")</f>
        <v>LV</v>
      </c>
      <c r="AZU4" s="356">
        <f>IFERROR(VLOOKUP(AZS2,CALENDARIO!$B$50:$C$66,2,FALSE),0)</f>
        <v>0</v>
      </c>
      <c r="AZV4" s="356" t="str">
        <f>IF(OR(AZW4="SDF",AZX4="FERIADO"),"SDF","LV")</f>
        <v>SDF</v>
      </c>
      <c r="AZW4" s="356" t="str">
        <f>IF(OR(WEEKDAY(AZV2,2)&gt;=6),"SDF","LV")</f>
        <v>SDF</v>
      </c>
      <c r="AZX4" s="356">
        <f>IFERROR(VLOOKUP(AZV2,CALENDARIO!$B$50:$C$66,2,FALSE),0)</f>
        <v>0</v>
      </c>
      <c r="AZY4" s="356" t="str">
        <f>IF(OR(AZZ4="SDF",BAA4="FERIADO"),"SDF","LV")</f>
        <v>SDF</v>
      </c>
      <c r="AZZ4" s="356" t="str">
        <f>IF(OR(WEEKDAY(AZY2,2)&gt;=6),"SDF","LV")</f>
        <v>SDF</v>
      </c>
      <c r="BAA4" s="356">
        <f>IFERROR(VLOOKUP(AZY2,CALENDARIO!$B$50:$C$66,2,FALSE),0)</f>
        <v>0</v>
      </c>
      <c r="BAB4" s="356" t="str">
        <f>IF(OR(BAC4="SDF",BAD4="FERIADO"),"SDF","LV")</f>
        <v>LV</v>
      </c>
      <c r="BAC4" s="356" t="str">
        <f>IF(OR(WEEKDAY(BAB2,2)&gt;=6),"SDF","LV")</f>
        <v>LV</v>
      </c>
      <c r="BAD4" s="356">
        <f>IFERROR(VLOOKUP(BAB2,CALENDARIO!$B$50:$C$66,2,FALSE),0)</f>
        <v>0</v>
      </c>
      <c r="BAE4" s="356" t="str">
        <f>IF(OR(BAF4="SDF",BAG4="FERIADO"),"SDF","LV")</f>
        <v>LV</v>
      </c>
      <c r="BAF4" s="356" t="str">
        <f>IF(OR(WEEKDAY(BAE2,2)&gt;=6),"SDF","LV")</f>
        <v>LV</v>
      </c>
      <c r="BAG4" s="356">
        <f>IFERROR(VLOOKUP(BAE2,CALENDARIO!$B$50:$C$66,2,FALSE),0)</f>
        <v>0</v>
      </c>
      <c r="BAH4" s="356" t="str">
        <f>IF(OR(BAI4="SDF",BAJ4="FERIADO"),"SDF","LV")</f>
        <v>LV</v>
      </c>
      <c r="BAI4" s="356" t="str">
        <f>IF(OR(WEEKDAY(BAH2,2)&gt;=6),"SDF","LV")</f>
        <v>LV</v>
      </c>
      <c r="BAJ4" s="356">
        <f>IFERROR(VLOOKUP(BAH2,CALENDARIO!$B$50:$C$66,2,FALSE),0)</f>
        <v>0</v>
      </c>
    </row>
    <row r="5" spans="1:1388" ht="15" customHeight="1">
      <c r="B5" s="1425" t="s">
        <v>26</v>
      </c>
      <c r="C5" s="1415"/>
      <c r="D5" s="1415"/>
      <c r="E5" s="1416"/>
      <c r="F5" s="1426"/>
      <c r="G5" s="1426"/>
      <c r="H5" s="1427"/>
      <c r="I5" s="1330" t="str">
        <f>IF(OR(J4="SDF",K4="FERIADO"),"SDF","LV")</f>
        <v>SDF</v>
      </c>
      <c r="J5" s="1331" t="e">
        <f>IF(OR(K5="SDF",L5="FERIADO"),"SDF","LV")</f>
        <v>#REF!</v>
      </c>
      <c r="K5" s="1332" t="e">
        <f>IF(OR(L5="SDF",M5="FERIADO"),"SDF","LV")</f>
        <v>#REF!</v>
      </c>
      <c r="L5" s="1330" t="str">
        <f>IF(OR(M4="SDF",N4="FERIADO"),"SDF","LV")</f>
        <v>SDF</v>
      </c>
      <c r="M5" s="1331" t="e">
        <f t="shared" ref="M5" si="919">IF(OR(N5="SDF",O5="FERIADO"),"SDF","LV")</f>
        <v>#REF!</v>
      </c>
      <c r="N5" s="1332" t="e">
        <f t="shared" ref="N5" si="920">IF(OR(O5="SDF",P5="FERIADO"),"SDF","LV")</f>
        <v>#REF!</v>
      </c>
      <c r="O5" s="1330" t="str">
        <f>IF(OR(P4="SDF",Q4="FERIADO"),"SDF","LV")</f>
        <v>LV</v>
      </c>
      <c r="P5" s="1331" t="e">
        <f t="shared" ref="P5" si="921">IF(OR(Q5="SDF",R5="FERIADO"),"SDF","LV")</f>
        <v>#REF!</v>
      </c>
      <c r="Q5" s="1332" t="e">
        <f t="shared" ref="Q5" si="922">IF(OR(R5="SDF",S5="FERIADO"),"SDF","LV")</f>
        <v>#REF!</v>
      </c>
      <c r="R5" s="1330" t="str">
        <f>IF(OR(S4="SDF",T4="FERIADO"),"SDF","LV")</f>
        <v>LV</v>
      </c>
      <c r="S5" s="1331" t="e">
        <f t="shared" ref="S5" si="923">IF(OR(T5="SDF",U5="FERIADO"),"SDF","LV")</f>
        <v>#REF!</v>
      </c>
      <c r="T5" s="1332" t="e">
        <f t="shared" ref="T5" si="924">IF(OR(U5="SDF",V5="FERIADO"),"SDF","LV")</f>
        <v>#REF!</v>
      </c>
      <c r="U5" s="1330" t="str">
        <f>IF(OR(V4="SDF",W4="FERIADO"),"SDF","LV")</f>
        <v>LV</v>
      </c>
      <c r="V5" s="1331" t="e">
        <f t="shared" ref="V5" si="925">IF(OR(W5="SDF",X5="FERIADO"),"SDF","LV")</f>
        <v>#REF!</v>
      </c>
      <c r="W5" s="1332" t="e">
        <f t="shared" ref="W5" si="926">IF(OR(X5="SDF",Y5="FERIADO"),"SDF","LV")</f>
        <v>#REF!</v>
      </c>
      <c r="X5" s="1330" t="str">
        <f>IF(OR(Y4="SDF",Z4="FERIADO"),"SDF","LV")</f>
        <v>LV</v>
      </c>
      <c r="Y5" s="1331" t="e">
        <f t="shared" ref="Y5" si="927">IF(OR(Z5="SDF",AA5="FERIADO"),"SDF","LV")</f>
        <v>#REF!</v>
      </c>
      <c r="Z5" s="1332" t="e">
        <f t="shared" ref="Z5" si="928">IF(OR(AA5="SDF",AB5="FERIADO"),"SDF","LV")</f>
        <v>#REF!</v>
      </c>
      <c r="AA5" s="1330" t="str">
        <f>IF(OR(AB4="SDF",AC4="FERIADO"),"SDF","LV")</f>
        <v>LV</v>
      </c>
      <c r="AB5" s="1331" t="e">
        <f t="shared" ref="AB5" si="929">IF(OR(AC5="SDF",AD5="FERIADO"),"SDF","LV")</f>
        <v>#REF!</v>
      </c>
      <c r="AC5" s="1332" t="e">
        <f t="shared" ref="AC5" si="930">IF(OR(AD5="SDF",AE5="FERIADO"),"SDF","LV")</f>
        <v>#REF!</v>
      </c>
      <c r="AD5" s="1330" t="str">
        <f>IF(OR(AE4="SDF",AF4="FERIADO"),"SDF","LV")</f>
        <v>SDF</v>
      </c>
      <c r="AE5" s="1331" t="e">
        <f t="shared" ref="AE5" si="931">IF(OR(AF5="SDF",AG5="FERIADO"),"SDF","LV")</f>
        <v>#REF!</v>
      </c>
      <c r="AF5" s="1332" t="e">
        <f t="shared" ref="AF5" si="932">IF(OR(AG5="SDF",AH5="FERIADO"),"SDF","LV")</f>
        <v>#REF!</v>
      </c>
      <c r="AG5" s="1330" t="str">
        <f>IF(OR(AH4="SDF",AI4="FERIADO"),"SDF","LV")</f>
        <v>SDF</v>
      </c>
      <c r="AH5" s="1331" t="e">
        <f t="shared" ref="AH5" si="933">IF(OR(AI5="SDF",AJ5="FERIADO"),"SDF","LV")</f>
        <v>#REF!</v>
      </c>
      <c r="AI5" s="1332" t="e">
        <f t="shared" ref="AI5" si="934">IF(OR(AJ5="SDF",AK5="FERIADO"),"SDF","LV")</f>
        <v>#REF!</v>
      </c>
      <c r="AJ5" s="1330" t="str">
        <f>IF(OR(AK4="SDF",AL4="FERIADO"),"SDF","LV")</f>
        <v>LV</v>
      </c>
      <c r="AK5" s="1331" t="e">
        <f t="shared" ref="AK5" si="935">IF(OR(AL5="SDF",AM5="FERIADO"),"SDF","LV")</f>
        <v>#REF!</v>
      </c>
      <c r="AL5" s="1332" t="e">
        <f t="shared" ref="AL5" si="936">IF(OR(AM5="SDF",AN5="FERIADO"),"SDF","LV")</f>
        <v>#REF!</v>
      </c>
      <c r="AM5" s="1330" t="str">
        <f>IF(OR(AN4="SDF",AO4="FERIADO"),"SDF","LV")</f>
        <v>LV</v>
      </c>
      <c r="AN5" s="1331" t="e">
        <f t="shared" ref="AN5" si="937">IF(OR(AO5="SDF",AP5="FERIADO"),"SDF","LV")</f>
        <v>#REF!</v>
      </c>
      <c r="AO5" s="1332" t="e">
        <f t="shared" ref="AO5" si="938">IF(OR(AP5="SDF",AQ5="FERIADO"),"SDF","LV")</f>
        <v>#REF!</v>
      </c>
      <c r="AP5" s="1330" t="str">
        <f>IF(OR(AQ4="SDF",AR4="FERIADO"),"SDF","LV")</f>
        <v>LV</v>
      </c>
      <c r="AQ5" s="1331" t="e">
        <f t="shared" ref="AQ5" si="939">IF(OR(AR5="SDF",AS5="FERIADO"),"SDF","LV")</f>
        <v>#REF!</v>
      </c>
      <c r="AR5" s="1332" t="e">
        <f t="shared" ref="AR5" si="940">IF(OR(AS5="SDF",AT5="FERIADO"),"SDF","LV")</f>
        <v>#REF!</v>
      </c>
      <c r="AS5" s="1330" t="str">
        <f>IF(OR(AT4="SDF",AU4="FERIADO"),"SDF","LV")</f>
        <v>LV</v>
      </c>
      <c r="AT5" s="1331" t="e">
        <f t="shared" ref="AT5" si="941">IF(OR(AU5="SDF",AV5="FERIADO"),"SDF","LV")</f>
        <v>#REF!</v>
      </c>
      <c r="AU5" s="1332" t="e">
        <f t="shared" ref="AU5" si="942">IF(OR(AV5="SDF",AW5="FERIADO"),"SDF","LV")</f>
        <v>#REF!</v>
      </c>
      <c r="AV5" s="1330" t="str">
        <f>IF(OR(AW4="SDF",AX4="FERIADO"),"SDF","LV")</f>
        <v>LV</v>
      </c>
      <c r="AW5" s="1331" t="e">
        <f t="shared" ref="AW5" si="943">IF(OR(AX5="SDF",AY5="FERIADO"),"SDF","LV")</f>
        <v>#REF!</v>
      </c>
      <c r="AX5" s="1332" t="e">
        <f t="shared" ref="AX5" si="944">IF(OR(AY5="SDF",AZ5="FERIADO"),"SDF","LV")</f>
        <v>#REF!</v>
      </c>
      <c r="AY5" s="1330" t="str">
        <f>IF(OR(AZ4="SDF",BA4="FERIADO"),"SDF","LV")</f>
        <v>SDF</v>
      </c>
      <c r="AZ5" s="1331" t="e">
        <f t="shared" ref="AZ5" si="945">IF(OR(BA5="SDF",BB5="FERIADO"),"SDF","LV")</f>
        <v>#REF!</v>
      </c>
      <c r="BA5" s="1332" t="e">
        <f t="shared" ref="BA5" si="946">IF(OR(BB5="SDF",BC5="FERIADO"),"SDF","LV")</f>
        <v>#REF!</v>
      </c>
      <c r="BB5" s="1330" t="str">
        <f>IF(OR(BC4="SDF",BD4="FERIADO"),"SDF","LV")</f>
        <v>SDF</v>
      </c>
      <c r="BC5" s="1331" t="e">
        <f t="shared" ref="BC5" si="947">IF(OR(BD5="SDF",BE5="FERIADO"),"SDF","LV")</f>
        <v>#REF!</v>
      </c>
      <c r="BD5" s="1332" t="e">
        <f t="shared" ref="BD5" si="948">IF(OR(BE5="SDF",BF5="FERIADO"),"SDF","LV")</f>
        <v>#REF!</v>
      </c>
      <c r="BE5" s="1330" t="str">
        <f>IF(OR(BF4="SDF",BG4="FERIADO"),"SDF","LV")</f>
        <v>LV</v>
      </c>
      <c r="BF5" s="1331" t="e">
        <f t="shared" ref="BF5" si="949">IF(OR(BG5="SDF",BH5="FERIADO"),"SDF","LV")</f>
        <v>#REF!</v>
      </c>
      <c r="BG5" s="1332" t="e">
        <f t="shared" ref="BG5" si="950">IF(OR(BH5="SDF",BI5="FERIADO"),"SDF","LV")</f>
        <v>#REF!</v>
      </c>
      <c r="BH5" s="1330" t="str">
        <f>IF(OR(BI4="SDF",BJ4="FERIADO"),"SDF","LV")</f>
        <v>LV</v>
      </c>
      <c r="BI5" s="1331" t="e">
        <f t="shared" ref="BI5" si="951">IF(OR(BJ5="SDF",BK5="FERIADO"),"SDF","LV")</f>
        <v>#REF!</v>
      </c>
      <c r="BJ5" s="1332" t="e">
        <f t="shared" ref="BJ5" si="952">IF(OR(BK5="SDF",BL5="FERIADO"),"SDF","LV")</f>
        <v>#REF!</v>
      </c>
      <c r="BK5" s="1330" t="str">
        <f>IF(OR(BL4="SDF",BM4="FERIADO"),"SDF","LV")</f>
        <v>LV</v>
      </c>
      <c r="BL5" s="1331" t="e">
        <f t="shared" ref="BL5" si="953">IF(OR(BM5="SDF",BN5="FERIADO"),"SDF","LV")</f>
        <v>#REF!</v>
      </c>
      <c r="BM5" s="1332" t="e">
        <f t="shared" ref="BM5" si="954">IF(OR(BN5="SDF",BO5="FERIADO"),"SDF","LV")</f>
        <v>#REF!</v>
      </c>
      <c r="BN5" s="1330" t="str">
        <f>IF(OR(BO4="SDF",BP4="FERIADO"),"SDF","LV")</f>
        <v>LV</v>
      </c>
      <c r="BO5" s="1331" t="e">
        <f t="shared" ref="BO5" si="955">IF(OR(BP5="SDF",BQ5="FERIADO"),"SDF","LV")</f>
        <v>#REF!</v>
      </c>
      <c r="BP5" s="1332" t="e">
        <f t="shared" ref="BP5" si="956">IF(OR(BQ5="SDF",BR5="FERIADO"),"SDF","LV")</f>
        <v>#REF!</v>
      </c>
      <c r="BQ5" s="1330" t="str">
        <f>IF(OR(BR4="SDF",BS4="FERIADO"),"SDF","LV")</f>
        <v>LV</v>
      </c>
      <c r="BR5" s="1331" t="e">
        <f t="shared" ref="BR5" si="957">IF(OR(BS5="SDF",BT5="FERIADO"),"SDF","LV")</f>
        <v>#REF!</v>
      </c>
      <c r="BS5" s="1332" t="e">
        <f t="shared" ref="BS5" si="958">IF(OR(BT5="SDF",BU5="FERIADO"),"SDF","LV")</f>
        <v>#REF!</v>
      </c>
      <c r="BT5" s="1330" t="str">
        <f>IF(OR(BU4="SDF",BV4="FERIADO"),"SDF","LV")</f>
        <v>SDF</v>
      </c>
      <c r="BU5" s="1331" t="e">
        <f t="shared" ref="BU5" si="959">IF(OR(BV5="SDF",BW5="FERIADO"),"SDF","LV")</f>
        <v>#REF!</v>
      </c>
      <c r="BV5" s="1332" t="e">
        <f t="shared" ref="BV5" si="960">IF(OR(BW5="SDF",BX5="FERIADO"),"SDF","LV")</f>
        <v>#REF!</v>
      </c>
      <c r="BW5" s="1330" t="str">
        <f>IF(OR(BX4="SDF",BY4="FERIADO"),"SDF","LV")</f>
        <v>SDF</v>
      </c>
      <c r="BX5" s="1331" t="e">
        <f t="shared" ref="BX5" si="961">IF(OR(BY5="SDF",BZ5="FERIADO"),"SDF","LV")</f>
        <v>#REF!</v>
      </c>
      <c r="BY5" s="1332" t="e">
        <f t="shared" ref="BY5" si="962">IF(OR(BZ5="SDF",CA5="FERIADO"),"SDF","LV")</f>
        <v>#REF!</v>
      </c>
      <c r="BZ5" s="1330" t="str">
        <f>IF(OR(CA4="SDF",CB4="FERIADO"),"SDF","LV")</f>
        <v>LV</v>
      </c>
      <c r="CA5" s="1331" t="e">
        <f t="shared" ref="CA5" si="963">IF(OR(CB5="SDF",CC5="FERIADO"),"SDF","LV")</f>
        <v>#REF!</v>
      </c>
      <c r="CB5" s="1332" t="e">
        <f t="shared" ref="CB5" si="964">IF(OR(CC5="SDF",CD5="FERIADO"),"SDF","LV")</f>
        <v>#REF!</v>
      </c>
      <c r="CC5" s="1330" t="str">
        <f>IF(OR(CD4="SDF",CE4="FERIADO"),"SDF","LV")</f>
        <v>LV</v>
      </c>
      <c r="CD5" s="1331" t="e">
        <f t="shared" ref="CD5" si="965">IF(OR(CE5="SDF",CF5="FERIADO"),"SDF","LV")</f>
        <v>#REF!</v>
      </c>
      <c r="CE5" s="1332" t="e">
        <f t="shared" ref="CE5" si="966">IF(OR(CF5="SDF",CG5="FERIADO"),"SDF","LV")</f>
        <v>#REF!</v>
      </c>
      <c r="CF5" s="1330" t="str">
        <f>IF(OR(CG4="SDF",CH4="FERIADO"),"SDF","LV")</f>
        <v>LV</v>
      </c>
      <c r="CG5" s="1331" t="e">
        <f t="shared" ref="CG5" si="967">IF(OR(CH5="SDF",CI5="FERIADO"),"SDF","LV")</f>
        <v>#REF!</v>
      </c>
      <c r="CH5" s="1332" t="e">
        <f t="shared" ref="CH5" si="968">IF(OR(CI5="SDF",CJ5="FERIADO"),"SDF","LV")</f>
        <v>#REF!</v>
      </c>
      <c r="CI5" s="1330" t="str">
        <f>IF(OR(CJ4="SDF",CK4="FERIADO"),"SDF","LV")</f>
        <v>LV</v>
      </c>
      <c r="CJ5" s="1331" t="e">
        <f t="shared" ref="CJ5" si="969">IF(OR(CK5="SDF",CL5="FERIADO"),"SDF","LV")</f>
        <v>#REF!</v>
      </c>
      <c r="CK5" s="1332" t="e">
        <f t="shared" ref="CK5" si="970">IF(OR(CL5="SDF",CM5="FERIADO"),"SDF","LV")</f>
        <v>#REF!</v>
      </c>
      <c r="CL5" s="1330" t="str">
        <f>IF(OR(CM4="SDF",CN4="FERIADO"),"SDF","LV")</f>
        <v>LV</v>
      </c>
      <c r="CM5" s="1331" t="e">
        <f t="shared" ref="CM5" si="971">IF(OR(CN5="SDF",CO5="FERIADO"),"SDF","LV")</f>
        <v>#REF!</v>
      </c>
      <c r="CN5" s="1332" t="e">
        <f t="shared" ref="CN5" si="972">IF(OR(CO5="SDF",CP5="FERIADO"),"SDF","LV")</f>
        <v>#REF!</v>
      </c>
      <c r="CO5" s="1330" t="str">
        <f>IF(OR(CP4="SDF",CQ4="FERIADO"),"SDF","LV")</f>
        <v>SDF</v>
      </c>
      <c r="CP5" s="1331" t="e">
        <f t="shared" ref="CP5" si="973">IF(OR(CQ5="SDF",CR5="FERIADO"),"SDF","LV")</f>
        <v>#REF!</v>
      </c>
      <c r="CQ5" s="1332" t="e">
        <f t="shared" ref="CQ5" si="974">IF(OR(CR5="SDF",CS5="FERIADO"),"SDF","LV")</f>
        <v>#REF!</v>
      </c>
      <c r="CR5" s="1330" t="str">
        <f>IF(OR(CS4="SDF",CT4="FERIADO"),"SDF","LV")</f>
        <v>SDF</v>
      </c>
      <c r="CS5" s="1331" t="e">
        <f t="shared" ref="CS5" si="975">IF(OR(CT5="SDF",CU5="FERIADO"),"SDF","LV")</f>
        <v>#REF!</v>
      </c>
      <c r="CT5" s="1332" t="e">
        <f t="shared" ref="CT5" si="976">IF(OR(CU5="SDF",CV5="FERIADO"),"SDF","LV")</f>
        <v>#REF!</v>
      </c>
      <c r="CU5" s="1330" t="str">
        <f>IF(OR(CV4="SDF",CW4="FERIADO"),"SDF","LV")</f>
        <v>LV</v>
      </c>
      <c r="CV5" s="1331" t="e">
        <f t="shared" ref="CV5" si="977">IF(OR(CW5="SDF",CX5="FERIADO"),"SDF","LV")</f>
        <v>#REF!</v>
      </c>
      <c r="CW5" s="1332" t="e">
        <f t="shared" ref="CW5" si="978">IF(OR(CX5="SDF",CY5="FERIADO"),"SDF","LV")</f>
        <v>#REF!</v>
      </c>
      <c r="CX5" s="1330" t="str">
        <f>IF(OR(CY4="SDF",CZ4="FERIADO"),"SDF","LV")</f>
        <v>LV</v>
      </c>
      <c r="CY5" s="1331" t="e">
        <f t="shared" ref="CY5" si="979">IF(OR(CZ5="SDF",DA5="FERIADO"),"SDF","LV")</f>
        <v>#REF!</v>
      </c>
      <c r="CZ5" s="1332" t="e">
        <f t="shared" ref="CZ5" si="980">IF(OR(DA5="SDF",DB5="FERIADO"),"SDF","LV")</f>
        <v>#REF!</v>
      </c>
      <c r="DA5" s="1330" t="str">
        <f>IF(OR(DB4="SDF",DC4="FERIADO"),"SDF","LV")</f>
        <v>LV</v>
      </c>
      <c r="DB5" s="1331" t="e">
        <f t="shared" ref="DB5" si="981">IF(OR(DC5="SDF",DD5="FERIADO"),"SDF","LV")</f>
        <v>#REF!</v>
      </c>
      <c r="DC5" s="1332" t="e">
        <f t="shared" ref="DC5" si="982">IF(OR(DD5="SDF",DE5="FERIADO"),"SDF","LV")</f>
        <v>#REF!</v>
      </c>
      <c r="DD5" s="1330" t="str">
        <f>IF(OR(DE4="SDF",DF4="FERIADO"),"SDF","LV")</f>
        <v>LV</v>
      </c>
      <c r="DE5" s="1331" t="e">
        <f t="shared" ref="DE5" si="983">IF(OR(DF5="SDF",DG5="FERIADO"),"SDF","LV")</f>
        <v>#REF!</v>
      </c>
      <c r="DF5" s="1332" t="e">
        <f t="shared" ref="DF5" si="984">IF(OR(DG5="SDF",DH5="FERIADO"),"SDF","LV")</f>
        <v>#REF!</v>
      </c>
      <c r="DG5" s="1330" t="str">
        <f>IF(OR(DH4="SDF",DI4="FERIADO"),"SDF","LV")</f>
        <v>LV</v>
      </c>
      <c r="DH5" s="1331" t="e">
        <f t="shared" ref="DH5" si="985">IF(OR(DI5="SDF",DJ5="FERIADO"),"SDF","LV")</f>
        <v>#REF!</v>
      </c>
      <c r="DI5" s="1332" t="e">
        <f t="shared" ref="DI5" si="986">IF(OR(DJ5="SDF",DK5="FERIADO"),"SDF","LV")</f>
        <v>#REF!</v>
      </c>
      <c r="DJ5" s="1330" t="str">
        <f>IF(OR(DK4="SDF",DL4="FERIADO"),"SDF","LV")</f>
        <v>SDF</v>
      </c>
      <c r="DK5" s="1331" t="e">
        <f t="shared" ref="DK5" si="987">IF(OR(DL5="SDF",DM5="FERIADO"),"SDF","LV")</f>
        <v>#REF!</v>
      </c>
      <c r="DL5" s="1332" t="e">
        <f t="shared" ref="DL5" si="988">IF(OR(DM5="SDF",DN5="FERIADO"),"SDF","LV")</f>
        <v>#REF!</v>
      </c>
      <c r="DM5" s="1330" t="str">
        <f>IF(OR(DN4="SDF",DO4="FERIADO"),"SDF","LV")</f>
        <v>SDF</v>
      </c>
      <c r="DN5" s="1331" t="e">
        <f t="shared" ref="DN5" si="989">IF(OR(DO5="SDF",DP5="FERIADO"),"SDF","LV")</f>
        <v>#REF!</v>
      </c>
      <c r="DO5" s="1332" t="e">
        <f t="shared" ref="DO5" si="990">IF(OR(DP5="SDF",DQ5="FERIADO"),"SDF","LV")</f>
        <v>#REF!</v>
      </c>
      <c r="DP5" s="1330" t="str">
        <f>IF(OR(DQ4="SDF",DR4="FERIADO"),"SDF","LV")</f>
        <v>LV</v>
      </c>
      <c r="DQ5" s="1331" t="e">
        <f t="shared" ref="DQ5" si="991">IF(OR(DR5="SDF",DS5="FERIADO"),"SDF","LV")</f>
        <v>#REF!</v>
      </c>
      <c r="DR5" s="1332" t="e">
        <f t="shared" ref="DR5" si="992">IF(OR(DS5="SDF",DT5="FERIADO"),"SDF","LV")</f>
        <v>#REF!</v>
      </c>
      <c r="DS5" s="1330" t="str">
        <f>IF(OR(DT4="SDF",DU4="FERIADO"),"SDF","LV")</f>
        <v>LV</v>
      </c>
      <c r="DT5" s="1331" t="e">
        <f t="shared" ref="DT5" si="993">IF(OR(DU5="SDF",DV5="FERIADO"),"SDF","LV")</f>
        <v>#REF!</v>
      </c>
      <c r="DU5" s="1332" t="e">
        <f t="shared" ref="DU5" si="994">IF(OR(DV5="SDF",DW5="FERIADO"),"SDF","LV")</f>
        <v>#REF!</v>
      </c>
      <c r="DV5" s="1330" t="str">
        <f>IF(OR(DW4="SDF",DX4="FERIADO"),"SDF","LV")</f>
        <v>LV</v>
      </c>
      <c r="DW5" s="1331" t="e">
        <f t="shared" ref="DW5" si="995">IF(OR(DX5="SDF",DY5="FERIADO"),"SDF","LV")</f>
        <v>#REF!</v>
      </c>
      <c r="DX5" s="1332" t="e">
        <f t="shared" ref="DX5" si="996">IF(OR(DY5="SDF",DZ5="FERIADO"),"SDF","LV")</f>
        <v>#REF!</v>
      </c>
      <c r="DY5" s="1330" t="str">
        <f>IF(OR(DZ4="SDF",EA4="FERIADO"),"SDF","LV")</f>
        <v>LV</v>
      </c>
      <c r="DZ5" s="1331" t="e">
        <f t="shared" ref="DZ5" si="997">IF(OR(EA5="SDF",EB5="FERIADO"),"SDF","LV")</f>
        <v>#REF!</v>
      </c>
      <c r="EA5" s="1332" t="e">
        <f t="shared" ref="EA5" si="998">IF(OR(EB5="SDF",EC5="FERIADO"),"SDF","LV")</f>
        <v>#REF!</v>
      </c>
      <c r="EB5" s="1330" t="str">
        <f>IF(OR(EC4="SDF",ED4="FERIADO"),"SDF","LV")</f>
        <v>LV</v>
      </c>
      <c r="EC5" s="1331" t="e">
        <f t="shared" ref="EC5" si="999">IF(OR(ED5="SDF",EE5="FERIADO"),"SDF","LV")</f>
        <v>#REF!</v>
      </c>
      <c r="ED5" s="1332" t="e">
        <f t="shared" ref="ED5" si="1000">IF(OR(EE5="SDF",EF5="FERIADO"),"SDF","LV")</f>
        <v>#REF!</v>
      </c>
      <c r="EE5" s="1330" t="str">
        <f>IF(OR(EF4="SDF",EG4="FERIADO"),"SDF","LV")</f>
        <v>SDF</v>
      </c>
      <c r="EF5" s="1331" t="e">
        <f t="shared" ref="EF5" si="1001">IF(OR(EG5="SDF",EH5="FERIADO"),"SDF","LV")</f>
        <v>#REF!</v>
      </c>
      <c r="EG5" s="1332" t="e">
        <f t="shared" ref="EG5" si="1002">IF(OR(EH5="SDF",EI5="FERIADO"),"SDF","LV")</f>
        <v>#REF!</v>
      </c>
      <c r="EH5" s="1330" t="str">
        <f>IF(OR(EI4="SDF",EJ4="FERIADO"),"SDF","LV")</f>
        <v>SDF</v>
      </c>
      <c r="EI5" s="1331" t="e">
        <f t="shared" ref="EI5" si="1003">IF(OR(EJ5="SDF",EK5="FERIADO"),"SDF","LV")</f>
        <v>#REF!</v>
      </c>
      <c r="EJ5" s="1332" t="e">
        <f t="shared" ref="EJ5" si="1004">IF(OR(EK5="SDF",EL5="FERIADO"),"SDF","LV")</f>
        <v>#REF!</v>
      </c>
      <c r="EK5" s="1330" t="str">
        <f>IF(OR(EL4="SDF",EM4="FERIADO"),"SDF","LV")</f>
        <v>LV</v>
      </c>
      <c r="EL5" s="1331" t="e">
        <f t="shared" ref="EL5" si="1005">IF(OR(EM5="SDF",EN5="FERIADO"),"SDF","LV")</f>
        <v>#REF!</v>
      </c>
      <c r="EM5" s="1332" t="e">
        <f t="shared" ref="EM5" si="1006">IF(OR(EN5="SDF",EO5="FERIADO"),"SDF","LV")</f>
        <v>#REF!</v>
      </c>
      <c r="EN5" s="1330" t="str">
        <f>IF(OR(EO4="SDF",EP4="FERIADO"),"SDF","LV")</f>
        <v>LV</v>
      </c>
      <c r="EO5" s="1331" t="e">
        <f t="shared" ref="EO5" si="1007">IF(OR(EP5="SDF",EQ5="FERIADO"),"SDF","LV")</f>
        <v>#REF!</v>
      </c>
      <c r="EP5" s="1332" t="e">
        <f t="shared" ref="EP5" si="1008">IF(OR(EQ5="SDF",ER5="FERIADO"),"SDF","LV")</f>
        <v>#REF!</v>
      </c>
      <c r="EQ5" s="1330" t="str">
        <f>IF(OR(ER4="SDF",ES4="FERIADO"),"SDF","LV")</f>
        <v>LV</v>
      </c>
      <c r="ER5" s="1331" t="e">
        <f t="shared" ref="ER5" si="1009">IF(OR(ES5="SDF",ET5="FERIADO"),"SDF","LV")</f>
        <v>#REF!</v>
      </c>
      <c r="ES5" s="1332" t="e">
        <f t="shared" ref="ES5" si="1010">IF(OR(ET5="SDF",EU5="FERIADO"),"SDF","LV")</f>
        <v>#REF!</v>
      </c>
      <c r="ET5" s="1330" t="str">
        <f>IF(OR(EU4="SDF",EV4="FERIADO"),"SDF","LV")</f>
        <v>LV</v>
      </c>
      <c r="EU5" s="1331" t="e">
        <f t="shared" ref="EU5" si="1011">IF(OR(EV5="SDF",EW5="FERIADO"),"SDF","LV")</f>
        <v>#REF!</v>
      </c>
      <c r="EV5" s="1332" t="e">
        <f t="shared" ref="EV5" si="1012">IF(OR(EW5="SDF",EX5="FERIADO"),"SDF","LV")</f>
        <v>#REF!</v>
      </c>
      <c r="EW5" s="1330" t="str">
        <f>IF(OR(EX4="SDF",EY4="FERIADO"),"SDF","LV")</f>
        <v>LV</v>
      </c>
      <c r="EX5" s="1331" t="e">
        <f t="shared" ref="EX5" si="1013">IF(OR(EY5="SDF",EZ5="FERIADO"),"SDF","LV")</f>
        <v>#REF!</v>
      </c>
      <c r="EY5" s="1332" t="e">
        <f t="shared" ref="EY5" si="1014">IF(OR(EZ5="SDF",FA5="FERIADO"),"SDF","LV")</f>
        <v>#REF!</v>
      </c>
      <c r="EZ5" s="1330" t="str">
        <f>IF(OR(FA4="SDF",FB4="FERIADO"),"SDF","LV")</f>
        <v>SDF</v>
      </c>
      <c r="FA5" s="1331" t="e">
        <f t="shared" ref="FA5" si="1015">IF(OR(FB5="SDF",FC5="FERIADO"),"SDF","LV")</f>
        <v>#REF!</v>
      </c>
      <c r="FB5" s="1332" t="e">
        <f t="shared" ref="FB5" si="1016">IF(OR(FC5="SDF",FD5="FERIADO"),"SDF","LV")</f>
        <v>#REF!</v>
      </c>
      <c r="FC5" s="1330" t="str">
        <f>IF(OR(FD4="SDF",FE4="FERIADO"),"SDF","LV")</f>
        <v>SDF</v>
      </c>
      <c r="FD5" s="1331" t="e">
        <f t="shared" ref="FD5" si="1017">IF(OR(FE5="SDF",FF5="FERIADO"),"SDF","LV")</f>
        <v>#REF!</v>
      </c>
      <c r="FE5" s="1332" t="e">
        <f t="shared" ref="FE5" si="1018">IF(OR(FF5="SDF",FG5="FERIADO"),"SDF","LV")</f>
        <v>#REF!</v>
      </c>
      <c r="FF5" s="1330" t="str">
        <f>IF(OR(FG4="SDF",FH4="FERIADO"),"SDF","LV")</f>
        <v>LV</v>
      </c>
      <c r="FG5" s="1331" t="e">
        <f t="shared" ref="FG5" si="1019">IF(OR(FH5="SDF",FI5="FERIADO"),"SDF","LV")</f>
        <v>#REF!</v>
      </c>
      <c r="FH5" s="1332" t="e">
        <f t="shared" ref="FH5" si="1020">IF(OR(FI5="SDF",FJ5="FERIADO"),"SDF","LV")</f>
        <v>#REF!</v>
      </c>
      <c r="FI5" s="1330" t="str">
        <f>IF(OR(FJ4="SDF",FK4="FERIADO"),"SDF","LV")</f>
        <v>LV</v>
      </c>
      <c r="FJ5" s="1331" t="e">
        <f t="shared" ref="FJ5" si="1021">IF(OR(FK5="SDF",FL5="FERIADO"),"SDF","LV")</f>
        <v>#REF!</v>
      </c>
      <c r="FK5" s="1332" t="e">
        <f t="shared" ref="FK5" si="1022">IF(OR(FL5="SDF",FM5="FERIADO"),"SDF","LV")</f>
        <v>#REF!</v>
      </c>
      <c r="FL5" s="1330" t="str">
        <f>IF(OR(FM4="SDF",FN4="FERIADO"),"SDF","LV")</f>
        <v>LV</v>
      </c>
      <c r="FM5" s="1331" t="e">
        <f t="shared" ref="FM5" si="1023">IF(OR(FN5="SDF",FO5="FERIADO"),"SDF","LV")</f>
        <v>#REF!</v>
      </c>
      <c r="FN5" s="1332" t="e">
        <f t="shared" ref="FN5" si="1024">IF(OR(FO5="SDF",FP5="FERIADO"),"SDF","LV")</f>
        <v>#REF!</v>
      </c>
      <c r="FO5" s="1330" t="str">
        <f>IF(OR(FP4="SDF",FQ4="FERIADO"),"SDF","LV")</f>
        <v>LV</v>
      </c>
      <c r="FP5" s="1331" t="e">
        <f t="shared" ref="FP5" si="1025">IF(OR(FQ5="SDF",FR5="FERIADO"),"SDF","LV")</f>
        <v>#REF!</v>
      </c>
      <c r="FQ5" s="1332" t="e">
        <f t="shared" ref="FQ5" si="1026">IF(OR(FR5="SDF",FS5="FERIADO"),"SDF","LV")</f>
        <v>#REF!</v>
      </c>
      <c r="FR5" s="1330" t="str">
        <f>IF(OR(FS4="SDF",FT4="FERIADO"),"SDF","LV")</f>
        <v>LV</v>
      </c>
      <c r="FS5" s="1331" t="e">
        <f t="shared" ref="FS5" si="1027">IF(OR(FT5="SDF",FU5="FERIADO"),"SDF","LV")</f>
        <v>#REF!</v>
      </c>
      <c r="FT5" s="1332" t="e">
        <f t="shared" ref="FT5" si="1028">IF(OR(FU5="SDF",FV5="FERIADO"),"SDF","LV")</f>
        <v>#REF!</v>
      </c>
      <c r="FU5" s="1330" t="str">
        <f>IF(OR(FV4="SDF",FW4="FERIADO"),"SDF","LV")</f>
        <v>SDF</v>
      </c>
      <c r="FV5" s="1331" t="e">
        <f t="shared" ref="FV5" si="1029">IF(OR(FW5="SDF",FX5="FERIADO"),"SDF","LV")</f>
        <v>#REF!</v>
      </c>
      <c r="FW5" s="1332" t="e">
        <f t="shared" ref="FW5" si="1030">IF(OR(FX5="SDF",FY5="FERIADO"),"SDF","LV")</f>
        <v>#REF!</v>
      </c>
      <c r="FX5" s="1330" t="str">
        <f>IF(OR(FY4="SDF",FZ4="FERIADO"),"SDF","LV")</f>
        <v>SDF</v>
      </c>
      <c r="FY5" s="1331" t="e">
        <f t="shared" ref="FY5" si="1031">IF(OR(FZ5="SDF",GA5="FERIADO"),"SDF","LV")</f>
        <v>#REF!</v>
      </c>
      <c r="FZ5" s="1332" t="e">
        <f t="shared" ref="FZ5" si="1032">IF(OR(GA5="SDF",GB5="FERIADO"),"SDF","LV")</f>
        <v>#REF!</v>
      </c>
      <c r="GA5" s="1330" t="str">
        <f>IF(OR(GB4="SDF",GC4="FERIADO"),"SDF","LV")</f>
        <v>LV</v>
      </c>
      <c r="GB5" s="1331" t="e">
        <f t="shared" ref="GB5" si="1033">IF(OR(GC5="SDF",GD5="FERIADO"),"SDF","LV")</f>
        <v>#REF!</v>
      </c>
      <c r="GC5" s="1332" t="e">
        <f t="shared" ref="GC5" si="1034">IF(OR(GD5="SDF",GE5="FERIADO"),"SDF","LV")</f>
        <v>#REF!</v>
      </c>
      <c r="GD5" s="1330" t="str">
        <f>IF(OR(GE4="SDF",GF4="FERIADO"),"SDF","LV")</f>
        <v>LV</v>
      </c>
      <c r="GE5" s="1331" t="e">
        <f t="shared" ref="GE5" si="1035">IF(OR(GF5="SDF",GG5="FERIADO"),"SDF","LV")</f>
        <v>#REF!</v>
      </c>
      <c r="GF5" s="1332" t="e">
        <f t="shared" ref="GF5" si="1036">IF(OR(GG5="SDF",GH5="FERIADO"),"SDF","LV")</f>
        <v>#REF!</v>
      </c>
      <c r="GG5" s="1330" t="str">
        <f>IF(OR(GH4="SDF",GI4="FERIADO"),"SDF","LV")</f>
        <v>LV</v>
      </c>
      <c r="GH5" s="1331" t="e">
        <f t="shared" ref="GH5" si="1037">IF(OR(GI5="SDF",GJ5="FERIADO"),"SDF","LV")</f>
        <v>#REF!</v>
      </c>
      <c r="GI5" s="1332" t="e">
        <f t="shared" ref="GI5" si="1038">IF(OR(GJ5="SDF",GK5="FERIADO"),"SDF","LV")</f>
        <v>#REF!</v>
      </c>
      <c r="GJ5" s="1330" t="str">
        <f>IF(OR(GK4="SDF",GL4="FERIADO"),"SDF","LV")</f>
        <v>LV</v>
      </c>
      <c r="GK5" s="1331" t="e">
        <f t="shared" ref="GK5" si="1039">IF(OR(GL5="SDF",GM5="FERIADO"),"SDF","LV")</f>
        <v>#REF!</v>
      </c>
      <c r="GL5" s="1332" t="e">
        <f t="shared" ref="GL5" si="1040">IF(OR(GM5="SDF",GN5="FERIADO"),"SDF","LV")</f>
        <v>#REF!</v>
      </c>
      <c r="GM5" s="1330" t="str">
        <f>IF(OR(GN4="SDF",GO4="FERIADO"),"SDF","LV")</f>
        <v>LV</v>
      </c>
      <c r="GN5" s="1331" t="e">
        <f t="shared" ref="GN5" si="1041">IF(OR(GO5="SDF",GP5="FERIADO"),"SDF","LV")</f>
        <v>#REF!</v>
      </c>
      <c r="GO5" s="1332" t="e">
        <f t="shared" ref="GO5" si="1042">IF(OR(GP5="SDF",GQ5="FERIADO"),"SDF","LV")</f>
        <v>#REF!</v>
      </c>
      <c r="GP5" s="1330" t="str">
        <f>IF(OR(GQ4="SDF",GR4="FERIADO"),"SDF","LV")</f>
        <v>SDF</v>
      </c>
      <c r="GQ5" s="1331" t="e">
        <f t="shared" ref="GQ5" si="1043">IF(OR(GR5="SDF",GS5="FERIADO"),"SDF","LV")</f>
        <v>#REF!</v>
      </c>
      <c r="GR5" s="1332" t="e">
        <f t="shared" ref="GR5" si="1044">IF(OR(GS5="SDF",GT5="FERIADO"),"SDF","LV")</f>
        <v>#REF!</v>
      </c>
      <c r="GS5" s="1330" t="str">
        <f>IF(OR(GT4="SDF",GU4="FERIADO"),"SDF","LV")</f>
        <v>SDF</v>
      </c>
      <c r="GT5" s="1331" t="e">
        <f t="shared" ref="GT5" si="1045">IF(OR(GU5="SDF",GV5="FERIADO"),"SDF","LV")</f>
        <v>#REF!</v>
      </c>
      <c r="GU5" s="1332" t="e">
        <f t="shared" ref="GU5" si="1046">IF(OR(GV5="SDF",GW5="FERIADO"),"SDF","LV")</f>
        <v>#REF!</v>
      </c>
      <c r="GV5" s="1330" t="str">
        <f>IF(OR(GW4="SDF",GX4="FERIADO"),"SDF","LV")</f>
        <v>LV</v>
      </c>
      <c r="GW5" s="1331" t="e">
        <f t="shared" ref="GW5" si="1047">IF(OR(GX5="SDF",GY5="FERIADO"),"SDF","LV")</f>
        <v>#REF!</v>
      </c>
      <c r="GX5" s="1332" t="e">
        <f t="shared" ref="GX5" si="1048">IF(OR(GY5="SDF",GZ5="FERIADO"),"SDF","LV")</f>
        <v>#REF!</v>
      </c>
      <c r="GY5" s="1330" t="str">
        <f>IF(OR(GZ4="SDF",HA4="FERIADO"),"SDF","LV")</f>
        <v>LV</v>
      </c>
      <c r="GZ5" s="1331" t="e">
        <f t="shared" ref="GZ5" si="1049">IF(OR(HA5="SDF",HB5="FERIADO"),"SDF","LV")</f>
        <v>#REF!</v>
      </c>
      <c r="HA5" s="1332" t="e">
        <f t="shared" ref="HA5" si="1050">IF(OR(HB5="SDF",HC5="FERIADO"),"SDF","LV")</f>
        <v>#REF!</v>
      </c>
      <c r="HB5" s="1330" t="str">
        <f>IF(OR(HC4="SDF",HD4="FERIADO"),"SDF","LV")</f>
        <v>LV</v>
      </c>
      <c r="HC5" s="1331" t="e">
        <f t="shared" ref="HC5" si="1051">IF(OR(HD5="SDF",HE5="FERIADO"),"SDF","LV")</f>
        <v>#REF!</v>
      </c>
      <c r="HD5" s="1332" t="e">
        <f t="shared" ref="HD5" si="1052">IF(OR(HE5="SDF",HF5="FERIADO"),"SDF","LV")</f>
        <v>#REF!</v>
      </c>
      <c r="HE5" s="1330" t="str">
        <f>IF(OR(HF4="SDF",HG4="FERIADO"),"SDF","LV")</f>
        <v>LV</v>
      </c>
      <c r="HF5" s="1331" t="e">
        <f t="shared" ref="HF5" si="1053">IF(OR(HG5="SDF",HH5="FERIADO"),"SDF","LV")</f>
        <v>#REF!</v>
      </c>
      <c r="HG5" s="1332" t="e">
        <f t="shared" ref="HG5" si="1054">IF(OR(HH5="SDF",HI5="FERIADO"),"SDF","LV")</f>
        <v>#REF!</v>
      </c>
      <c r="HH5" s="1330" t="str">
        <f>IF(OR(HI4="SDF",HJ4="FERIADO"),"SDF","LV")</f>
        <v>LV</v>
      </c>
      <c r="HI5" s="1331" t="e">
        <f t="shared" ref="HI5" si="1055">IF(OR(HJ5="SDF",HK5="FERIADO"),"SDF","LV")</f>
        <v>#REF!</v>
      </c>
      <c r="HJ5" s="1332" t="e">
        <f t="shared" ref="HJ5" si="1056">IF(OR(HK5="SDF",HL5="FERIADO"),"SDF","LV")</f>
        <v>#REF!</v>
      </c>
      <c r="HK5" s="1330" t="str">
        <f>IF(OR(HL4="SDF",HM4="FERIADO"),"SDF","LV")</f>
        <v>SDF</v>
      </c>
      <c r="HL5" s="1331" t="e">
        <f t="shared" ref="HL5" si="1057">IF(OR(HM5="SDF",HN5="FERIADO"),"SDF","LV")</f>
        <v>#REF!</v>
      </c>
      <c r="HM5" s="1332" t="e">
        <f t="shared" ref="HM5" si="1058">IF(OR(HN5="SDF",HO5="FERIADO"),"SDF","LV")</f>
        <v>#REF!</v>
      </c>
      <c r="HN5" s="1330" t="str">
        <f>IF(OR(HO4="SDF",HP4="FERIADO"),"SDF","LV")</f>
        <v>SDF</v>
      </c>
      <c r="HO5" s="1331" t="e">
        <f t="shared" ref="HO5" si="1059">IF(OR(HP5="SDF",HQ5="FERIADO"),"SDF","LV")</f>
        <v>#REF!</v>
      </c>
      <c r="HP5" s="1332" t="e">
        <f t="shared" ref="HP5" si="1060">IF(OR(HQ5="SDF",HR5="FERIADO"),"SDF","LV")</f>
        <v>#REF!</v>
      </c>
      <c r="HQ5" s="1330" t="str">
        <f>IF(OR(HR4="SDF",HS4="FERIADO"),"SDF","LV")</f>
        <v>LV</v>
      </c>
      <c r="HR5" s="1331" t="e">
        <f t="shared" ref="HR5" si="1061">IF(OR(HS5="SDF",HT5="FERIADO"),"SDF","LV")</f>
        <v>#REF!</v>
      </c>
      <c r="HS5" s="1332" t="e">
        <f t="shared" ref="HS5" si="1062">IF(OR(HT5="SDF",HU5="FERIADO"),"SDF","LV")</f>
        <v>#REF!</v>
      </c>
      <c r="HT5" s="1330" t="str">
        <f>IF(OR(HU4="SDF",HV4="FERIADO"),"SDF","LV")</f>
        <v>LV</v>
      </c>
      <c r="HU5" s="1331" t="e">
        <f t="shared" ref="HU5" si="1063">IF(OR(HV5="SDF",HW5="FERIADO"),"SDF","LV")</f>
        <v>#REF!</v>
      </c>
      <c r="HV5" s="1332" t="e">
        <f t="shared" ref="HV5" si="1064">IF(OR(HW5="SDF",HX5="FERIADO"),"SDF","LV")</f>
        <v>#REF!</v>
      </c>
      <c r="HW5" s="1330" t="str">
        <f>IF(OR(HX4="SDF",HY4="FERIADO"),"SDF","LV")</f>
        <v>LV</v>
      </c>
      <c r="HX5" s="1331" t="e">
        <f t="shared" ref="HX5" si="1065">IF(OR(HY5="SDF",HZ5="FERIADO"),"SDF","LV")</f>
        <v>#REF!</v>
      </c>
      <c r="HY5" s="1332" t="e">
        <f t="shared" ref="HY5" si="1066">IF(OR(HZ5="SDF",IA5="FERIADO"),"SDF","LV")</f>
        <v>#REF!</v>
      </c>
      <c r="HZ5" s="1330" t="str">
        <f>IF(OR(IA4="SDF",IB4="FERIADO"),"SDF","LV")</f>
        <v>LV</v>
      </c>
      <c r="IA5" s="1331" t="e">
        <f t="shared" ref="IA5" si="1067">IF(OR(IB5="SDF",IC5="FERIADO"),"SDF","LV")</f>
        <v>#REF!</v>
      </c>
      <c r="IB5" s="1332" t="e">
        <f t="shared" ref="IB5" si="1068">IF(OR(IC5="SDF",ID5="FERIADO"),"SDF","LV")</f>
        <v>#REF!</v>
      </c>
      <c r="IC5" s="1330" t="str">
        <f>IF(OR(ID4="SDF",IE4="FERIADO"),"SDF","LV")</f>
        <v>LV</v>
      </c>
      <c r="ID5" s="1331" t="e">
        <f t="shared" ref="ID5" si="1069">IF(OR(IE5="SDF",IF5="FERIADO"),"SDF","LV")</f>
        <v>#REF!</v>
      </c>
      <c r="IE5" s="1332" t="e">
        <f t="shared" ref="IE5" si="1070">IF(OR(IF5="SDF",IG5="FERIADO"),"SDF","LV")</f>
        <v>#REF!</v>
      </c>
      <c r="IF5" s="1330" t="str">
        <f>IF(OR(IG4="SDF",IH4="FERIADO"),"SDF","LV")</f>
        <v>SDF</v>
      </c>
      <c r="IG5" s="1331" t="e">
        <f t="shared" ref="IG5" si="1071">IF(OR(IH5="SDF",II5="FERIADO"),"SDF","LV")</f>
        <v>#REF!</v>
      </c>
      <c r="IH5" s="1332" t="e">
        <f t="shared" ref="IH5" si="1072">IF(OR(II5="SDF",IJ5="FERIADO"),"SDF","LV")</f>
        <v>#REF!</v>
      </c>
      <c r="II5" s="1330" t="str">
        <f>IF(OR(IJ4="SDF",IK4="FERIADO"),"SDF","LV")</f>
        <v>SDF</v>
      </c>
      <c r="IJ5" s="1331" t="e">
        <f t="shared" ref="IJ5" si="1073">IF(OR(IK5="SDF",IL5="FERIADO"),"SDF","LV")</f>
        <v>#REF!</v>
      </c>
      <c r="IK5" s="1332" t="e">
        <f t="shared" ref="IK5" si="1074">IF(OR(IL5="SDF",IM5="FERIADO"),"SDF","LV")</f>
        <v>#REF!</v>
      </c>
      <c r="IL5" s="1330" t="str">
        <f>IF(OR(IM4="SDF",IN4="FERIADO"),"SDF","LV")</f>
        <v>LV</v>
      </c>
      <c r="IM5" s="1331" t="e">
        <f t="shared" ref="IM5" si="1075">IF(OR(IN5="SDF",IO5="FERIADO"),"SDF","LV")</f>
        <v>#REF!</v>
      </c>
      <c r="IN5" s="1332" t="e">
        <f t="shared" ref="IN5" si="1076">IF(OR(IO5="SDF",IP5="FERIADO"),"SDF","LV")</f>
        <v>#REF!</v>
      </c>
      <c r="IO5" s="1330" t="str">
        <f>IF(OR(IP4="SDF",IQ4="FERIADO"),"SDF","LV")</f>
        <v>LV</v>
      </c>
      <c r="IP5" s="1331" t="e">
        <f t="shared" ref="IP5" si="1077">IF(OR(IQ5="SDF",IR5="FERIADO"),"SDF","LV")</f>
        <v>#REF!</v>
      </c>
      <c r="IQ5" s="1332" t="e">
        <f t="shared" ref="IQ5" si="1078">IF(OR(IR5="SDF",IS5="FERIADO"),"SDF","LV")</f>
        <v>#REF!</v>
      </c>
      <c r="IR5" s="1330" t="str">
        <f>IF(OR(IS4="SDF",IT4="FERIADO"),"SDF","LV")</f>
        <v>LV</v>
      </c>
      <c r="IS5" s="1331" t="e">
        <f t="shared" ref="IS5" si="1079">IF(OR(IT5="SDF",IU5="FERIADO"),"SDF","LV")</f>
        <v>#REF!</v>
      </c>
      <c r="IT5" s="1332" t="e">
        <f t="shared" ref="IT5" si="1080">IF(OR(IU5="SDF",IV5="FERIADO"),"SDF","LV")</f>
        <v>#REF!</v>
      </c>
      <c r="IU5" s="1330" t="str">
        <f>IF(OR(IV4="SDF",IW4="FERIADO"),"SDF","LV")</f>
        <v>LV</v>
      </c>
      <c r="IV5" s="1331" t="e">
        <f t="shared" ref="IV5" si="1081">IF(OR(IW5="SDF",IX5="FERIADO"),"SDF","LV")</f>
        <v>#REF!</v>
      </c>
      <c r="IW5" s="1332" t="e">
        <f t="shared" ref="IW5" si="1082">IF(OR(IX5="SDF",IY5="FERIADO"),"SDF","LV")</f>
        <v>#REF!</v>
      </c>
      <c r="IX5" s="1330" t="str">
        <f>IF(OR(IY4="SDF",IZ4="FERIADO"),"SDF","LV")</f>
        <v>LV</v>
      </c>
      <c r="IY5" s="1331" t="e">
        <f t="shared" ref="IY5" si="1083">IF(OR(IZ5="SDF",JA5="FERIADO"),"SDF","LV")</f>
        <v>#REF!</v>
      </c>
      <c r="IZ5" s="1332" t="e">
        <f t="shared" ref="IZ5" si="1084">IF(OR(JA5="SDF",JB5="FERIADO"),"SDF","LV")</f>
        <v>#REF!</v>
      </c>
      <c r="JA5" s="1330" t="str">
        <f>IF(OR(JB4="SDF",JC4="FERIADO"),"SDF","LV")</f>
        <v>SDF</v>
      </c>
      <c r="JB5" s="1331" t="e">
        <f t="shared" ref="JB5" si="1085">IF(OR(JC5="SDF",JD5="FERIADO"),"SDF","LV")</f>
        <v>#REF!</v>
      </c>
      <c r="JC5" s="1332" t="e">
        <f t="shared" ref="JC5" si="1086">IF(OR(JD5="SDF",JE5="FERIADO"),"SDF","LV")</f>
        <v>#REF!</v>
      </c>
      <c r="JD5" s="1330" t="str">
        <f>IF(OR(JE4="SDF",JF4="FERIADO"),"SDF","LV")</f>
        <v>SDF</v>
      </c>
      <c r="JE5" s="1331" t="e">
        <f t="shared" ref="JE5" si="1087">IF(OR(JF5="SDF",JG5="FERIADO"),"SDF","LV")</f>
        <v>#REF!</v>
      </c>
      <c r="JF5" s="1332" t="e">
        <f t="shared" ref="JF5" si="1088">IF(OR(JG5="SDF",JH5="FERIADO"),"SDF","LV")</f>
        <v>#REF!</v>
      </c>
      <c r="JG5" s="1330" t="str">
        <f>IF(OR(JH4="SDF",JI4="FERIADO"),"SDF","LV")</f>
        <v>LV</v>
      </c>
      <c r="JH5" s="1331" t="e">
        <f t="shared" ref="JH5" si="1089">IF(OR(JI5="SDF",JJ5="FERIADO"),"SDF","LV")</f>
        <v>#REF!</v>
      </c>
      <c r="JI5" s="1332" t="e">
        <f t="shared" ref="JI5" si="1090">IF(OR(JJ5="SDF",JK5="FERIADO"),"SDF","LV")</f>
        <v>#REF!</v>
      </c>
      <c r="JJ5" s="1330" t="str">
        <f>IF(OR(JK4="SDF",JL4="FERIADO"),"SDF","LV")</f>
        <v>LV</v>
      </c>
      <c r="JK5" s="1331" t="e">
        <f t="shared" ref="JK5" si="1091">IF(OR(JL5="SDF",JM5="FERIADO"),"SDF","LV")</f>
        <v>#REF!</v>
      </c>
      <c r="JL5" s="1332" t="e">
        <f t="shared" ref="JL5" si="1092">IF(OR(JM5="SDF",JN5="FERIADO"),"SDF","LV")</f>
        <v>#REF!</v>
      </c>
      <c r="JM5" s="1330" t="str">
        <f>IF(OR(JN4="SDF",JO4="FERIADO"),"SDF","LV")</f>
        <v>LV</v>
      </c>
      <c r="JN5" s="1331" t="e">
        <f t="shared" ref="JN5" si="1093">IF(OR(JO5="SDF",JP5="FERIADO"),"SDF","LV")</f>
        <v>#REF!</v>
      </c>
      <c r="JO5" s="1332" t="e">
        <f t="shared" ref="JO5" si="1094">IF(OR(JP5="SDF",JQ5="FERIADO"),"SDF","LV")</f>
        <v>#REF!</v>
      </c>
      <c r="JP5" s="1330" t="str">
        <f>IF(OR(JQ4="SDF",JR4="FERIADO"),"SDF","LV")</f>
        <v>SDF</v>
      </c>
      <c r="JQ5" s="1331" t="e">
        <f t="shared" ref="JQ5" si="1095">IF(OR(JR5="SDF",JS5="FERIADO"),"SDF","LV")</f>
        <v>#REF!</v>
      </c>
      <c r="JR5" s="1332" t="e">
        <f t="shared" ref="JR5" si="1096">IF(OR(JS5="SDF",JT5="FERIADO"),"SDF","LV")</f>
        <v>#REF!</v>
      </c>
      <c r="JS5" s="1330" t="str">
        <f>IF(OR(JT4="SDF",JU4="FERIADO"),"SDF","LV")</f>
        <v>LV</v>
      </c>
      <c r="JT5" s="1331" t="e">
        <f t="shared" ref="JT5" si="1097">IF(OR(JU5="SDF",JV5="FERIADO"),"SDF","LV")</f>
        <v>#REF!</v>
      </c>
      <c r="JU5" s="1332" t="e">
        <f t="shared" ref="JU5" si="1098">IF(OR(JV5="SDF",JW5="FERIADO"),"SDF","LV")</f>
        <v>#REF!</v>
      </c>
      <c r="JV5" s="1330" t="str">
        <f>IF(OR(JW4="SDF",JX4="FERIADO"),"SDF","LV")</f>
        <v>SDF</v>
      </c>
      <c r="JW5" s="1331" t="e">
        <f t="shared" ref="JW5" si="1099">IF(OR(JX5="SDF",JY5="FERIADO"),"SDF","LV")</f>
        <v>#REF!</v>
      </c>
      <c r="JX5" s="1332" t="e">
        <f t="shared" ref="JX5" si="1100">IF(OR(JY5="SDF",JZ5="FERIADO"),"SDF","LV")</f>
        <v>#REF!</v>
      </c>
      <c r="JY5" s="1330" t="str">
        <f>IF(OR(JZ4="SDF",KA4="FERIADO"),"SDF","LV")</f>
        <v>SDF</v>
      </c>
      <c r="JZ5" s="1331" t="e">
        <f t="shared" ref="JZ5" si="1101">IF(OR(KA5="SDF",KB5="FERIADO"),"SDF","LV")</f>
        <v>#REF!</v>
      </c>
      <c r="KA5" s="1332" t="e">
        <f t="shared" ref="KA5" si="1102">IF(OR(KB5="SDF",KC5="FERIADO"),"SDF","LV")</f>
        <v>#REF!</v>
      </c>
      <c r="KB5" s="1330" t="str">
        <f>IF(OR(KC4="SDF",KD4="FERIADO"),"SDF","LV")</f>
        <v>LV</v>
      </c>
      <c r="KC5" s="1331" t="e">
        <f t="shared" ref="KC5" si="1103">IF(OR(KD5="SDF",KE5="FERIADO"),"SDF","LV")</f>
        <v>#REF!</v>
      </c>
      <c r="KD5" s="1332" t="e">
        <f t="shared" ref="KD5" si="1104">IF(OR(KE5="SDF",KF5="FERIADO"),"SDF","LV")</f>
        <v>#REF!</v>
      </c>
      <c r="KE5" s="1330" t="str">
        <f>IF(OR(KF4="SDF",KG4="FERIADO"),"SDF","LV")</f>
        <v>LV</v>
      </c>
      <c r="KF5" s="1331" t="e">
        <f t="shared" ref="KF5" si="1105">IF(OR(KG5="SDF",KH5="FERIADO"),"SDF","LV")</f>
        <v>#REF!</v>
      </c>
      <c r="KG5" s="1332" t="e">
        <f t="shared" ref="KG5" si="1106">IF(OR(KH5="SDF",KI5="FERIADO"),"SDF","LV")</f>
        <v>#REF!</v>
      </c>
      <c r="KH5" s="1330" t="str">
        <f>IF(OR(KI4="SDF",KJ4="FERIADO"),"SDF","LV")</f>
        <v>LV</v>
      </c>
      <c r="KI5" s="1331" t="e">
        <f t="shared" ref="KI5" si="1107">IF(OR(KJ5="SDF",KK5="FERIADO"),"SDF","LV")</f>
        <v>#REF!</v>
      </c>
      <c r="KJ5" s="1332" t="e">
        <f t="shared" ref="KJ5" si="1108">IF(OR(KK5="SDF",KL5="FERIADO"),"SDF","LV")</f>
        <v>#REF!</v>
      </c>
      <c r="KK5" s="1330" t="str">
        <f>IF(OR(KL4="SDF",KM4="FERIADO"),"SDF","LV")</f>
        <v>LV</v>
      </c>
      <c r="KL5" s="1331" t="e">
        <f t="shared" ref="KL5" si="1109">IF(OR(KM5="SDF",KN5="FERIADO"),"SDF","LV")</f>
        <v>#REF!</v>
      </c>
      <c r="KM5" s="1332" t="e">
        <f t="shared" ref="KM5" si="1110">IF(OR(KN5="SDF",KO5="FERIADO"),"SDF","LV")</f>
        <v>#REF!</v>
      </c>
      <c r="KN5" s="1330" t="str">
        <f>IF(OR(KO4="SDF",KP4="FERIADO"),"SDF","LV")</f>
        <v>LV</v>
      </c>
      <c r="KO5" s="1331" t="e">
        <f t="shared" ref="KO5" si="1111">IF(OR(KP5="SDF",KQ5="FERIADO"),"SDF","LV")</f>
        <v>#REF!</v>
      </c>
      <c r="KP5" s="1332" t="e">
        <f t="shared" ref="KP5" si="1112">IF(OR(KQ5="SDF",KR5="FERIADO"),"SDF","LV")</f>
        <v>#REF!</v>
      </c>
      <c r="KQ5" s="1330" t="str">
        <f>IF(OR(KR4="SDF",KS4="FERIADO"),"SDF","LV")</f>
        <v>SDF</v>
      </c>
      <c r="KR5" s="1331" t="e">
        <f t="shared" ref="KR5" si="1113">IF(OR(KS5="SDF",KT5="FERIADO"),"SDF","LV")</f>
        <v>#REF!</v>
      </c>
      <c r="KS5" s="1332" t="e">
        <f t="shared" ref="KS5" si="1114">IF(OR(KT5="SDF",KU5="FERIADO"),"SDF","LV")</f>
        <v>#REF!</v>
      </c>
      <c r="KT5" s="1330" t="str">
        <f>IF(OR(KU4="SDF",KV4="FERIADO"),"SDF","LV")</f>
        <v>SDF</v>
      </c>
      <c r="KU5" s="1331" t="e">
        <f t="shared" ref="KU5" si="1115">IF(OR(KV5="SDF",KW5="FERIADO"),"SDF","LV")</f>
        <v>#REF!</v>
      </c>
      <c r="KV5" s="1332" t="e">
        <f t="shared" ref="KV5" si="1116">IF(OR(KW5="SDF",KX5="FERIADO"),"SDF","LV")</f>
        <v>#REF!</v>
      </c>
      <c r="KW5" s="1330" t="str">
        <f>IF(OR(KX4="SDF",KY4="FERIADO"),"SDF","LV")</f>
        <v>LV</v>
      </c>
      <c r="KX5" s="1331" t="e">
        <f t="shared" ref="KX5" si="1117">IF(OR(KY5="SDF",KZ5="FERIADO"),"SDF","LV")</f>
        <v>#REF!</v>
      </c>
      <c r="KY5" s="1332" t="e">
        <f t="shared" ref="KY5" si="1118">IF(OR(KZ5="SDF",LA5="FERIADO"),"SDF","LV")</f>
        <v>#REF!</v>
      </c>
      <c r="KZ5" s="1330" t="str">
        <f>IF(OR(LA4="SDF",LB4="FERIADO"),"SDF","LV")</f>
        <v>LV</v>
      </c>
      <c r="LA5" s="1331" t="e">
        <f t="shared" ref="LA5" si="1119">IF(OR(LB5="SDF",LC5="FERIADO"),"SDF","LV")</f>
        <v>#REF!</v>
      </c>
      <c r="LB5" s="1332" t="e">
        <f t="shared" ref="LB5" si="1120">IF(OR(LC5="SDF",LD5="FERIADO"),"SDF","LV")</f>
        <v>#REF!</v>
      </c>
      <c r="LC5" s="1330" t="str">
        <f>IF(OR(LD4="SDF",LE4="FERIADO"),"SDF","LV")</f>
        <v>LV</v>
      </c>
      <c r="LD5" s="1331" t="e">
        <f t="shared" ref="LD5" si="1121">IF(OR(LE5="SDF",LF5="FERIADO"),"SDF","LV")</f>
        <v>#REF!</v>
      </c>
      <c r="LE5" s="1332" t="e">
        <f t="shared" ref="LE5" si="1122">IF(OR(LF5="SDF",LG5="FERIADO"),"SDF","LV")</f>
        <v>#REF!</v>
      </c>
      <c r="LF5" s="1330" t="str">
        <f>IF(OR(LG4="SDF",LH4="FERIADO"),"SDF","LV")</f>
        <v>LV</v>
      </c>
      <c r="LG5" s="1331" t="e">
        <f t="shared" ref="LG5" si="1123">IF(OR(LH5="SDF",LI5="FERIADO"),"SDF","LV")</f>
        <v>#REF!</v>
      </c>
      <c r="LH5" s="1332" t="e">
        <f t="shared" ref="LH5" si="1124">IF(OR(LI5="SDF",LJ5="FERIADO"),"SDF","LV")</f>
        <v>#REF!</v>
      </c>
      <c r="LI5" s="1330" t="str">
        <f>IF(OR(LJ4="SDF",LK4="FERIADO"),"SDF","LV")</f>
        <v>LV</v>
      </c>
      <c r="LJ5" s="1331" t="e">
        <f t="shared" ref="LJ5" si="1125">IF(OR(LK5="SDF",LL5="FERIADO"),"SDF","LV")</f>
        <v>#REF!</v>
      </c>
      <c r="LK5" s="1332" t="e">
        <f t="shared" ref="LK5" si="1126">IF(OR(LL5="SDF",LM5="FERIADO"),"SDF","LV")</f>
        <v>#REF!</v>
      </c>
      <c r="LL5" s="1330" t="str">
        <f>IF(OR(LM4="SDF",LN4="FERIADO"),"SDF","LV")</f>
        <v>SDF</v>
      </c>
      <c r="LM5" s="1331" t="e">
        <f t="shared" ref="LM5" si="1127">IF(OR(LN5="SDF",LO5="FERIADO"),"SDF","LV")</f>
        <v>#REF!</v>
      </c>
      <c r="LN5" s="1332" t="e">
        <f t="shared" ref="LN5" si="1128">IF(OR(LO5="SDF",LP5="FERIADO"),"SDF","LV")</f>
        <v>#REF!</v>
      </c>
      <c r="LO5" s="1330" t="str">
        <f>IF(OR(LP4="SDF",LQ4="FERIADO"),"SDF","LV")</f>
        <v>SDF</v>
      </c>
      <c r="LP5" s="1331" t="e">
        <f t="shared" ref="LP5" si="1129">IF(OR(LQ5="SDF",LR5="FERIADO"),"SDF","LV")</f>
        <v>#REF!</v>
      </c>
      <c r="LQ5" s="1332" t="e">
        <f t="shared" ref="LQ5" si="1130">IF(OR(LR5="SDF",LS5="FERIADO"),"SDF","LV")</f>
        <v>#REF!</v>
      </c>
      <c r="LR5" s="1330" t="str">
        <f>IF(OR(LS4="SDF",LT4="FERIADO"),"SDF","LV")</f>
        <v>LV</v>
      </c>
      <c r="LS5" s="1331" t="e">
        <f t="shared" ref="LS5" si="1131">IF(OR(LT5="SDF",LU5="FERIADO"),"SDF","LV")</f>
        <v>#REF!</v>
      </c>
      <c r="LT5" s="1332" t="e">
        <f t="shared" ref="LT5" si="1132">IF(OR(LU5="SDF",LV5="FERIADO"),"SDF","LV")</f>
        <v>#REF!</v>
      </c>
      <c r="LU5" s="1330" t="str">
        <f>IF(OR(LV4="SDF",LW4="FERIADO"),"SDF","LV")</f>
        <v>LV</v>
      </c>
      <c r="LV5" s="1331" t="e">
        <f t="shared" ref="LV5" si="1133">IF(OR(LW5="SDF",LX5="FERIADO"),"SDF","LV")</f>
        <v>#REF!</v>
      </c>
      <c r="LW5" s="1332" t="e">
        <f t="shared" ref="LW5" si="1134">IF(OR(LX5="SDF",LY5="FERIADO"),"SDF","LV")</f>
        <v>#REF!</v>
      </c>
      <c r="LX5" s="1330" t="str">
        <f>IF(OR(LY4="SDF",LZ4="FERIADO"),"SDF","LV")</f>
        <v>LV</v>
      </c>
      <c r="LY5" s="1331" t="e">
        <f t="shared" ref="LY5" si="1135">IF(OR(LZ5="SDF",MA5="FERIADO"),"SDF","LV")</f>
        <v>#REF!</v>
      </c>
      <c r="LZ5" s="1332" t="e">
        <f t="shared" ref="LZ5" si="1136">IF(OR(MA5="SDF",MB5="FERIADO"),"SDF","LV")</f>
        <v>#REF!</v>
      </c>
      <c r="MA5" s="1330" t="str">
        <f>IF(OR(MB4="SDF",MC4="FERIADO"),"SDF","LV")</f>
        <v>LV</v>
      </c>
      <c r="MB5" s="1331" t="e">
        <f t="shared" ref="MB5" si="1137">IF(OR(MC5="SDF",MD5="FERIADO"),"SDF","LV")</f>
        <v>#REF!</v>
      </c>
      <c r="MC5" s="1332" t="e">
        <f t="shared" ref="MC5" si="1138">IF(OR(MD5="SDF",ME5="FERIADO"),"SDF","LV")</f>
        <v>#REF!</v>
      </c>
      <c r="MD5" s="1330" t="str">
        <f>IF(OR(ME4="SDF",MF4="FERIADO"),"SDF","LV")</f>
        <v>LV</v>
      </c>
      <c r="ME5" s="1331" t="e">
        <f t="shared" ref="ME5" si="1139">IF(OR(MF5="SDF",MG5="FERIADO"),"SDF","LV")</f>
        <v>#REF!</v>
      </c>
      <c r="MF5" s="1332" t="e">
        <f t="shared" ref="MF5" si="1140">IF(OR(MG5="SDF",MH5="FERIADO"),"SDF","LV")</f>
        <v>#REF!</v>
      </c>
      <c r="MG5" s="1330" t="str">
        <f>IF(OR(MH4="SDF",MI4="FERIADO"),"SDF","LV")</f>
        <v>SDF</v>
      </c>
      <c r="MH5" s="1331" t="e">
        <f t="shared" ref="MH5" si="1141">IF(OR(MI5="SDF",MJ5="FERIADO"),"SDF","LV")</f>
        <v>#REF!</v>
      </c>
      <c r="MI5" s="1332" t="e">
        <f t="shared" ref="MI5" si="1142">IF(OR(MJ5="SDF",MK5="FERIADO"),"SDF","LV")</f>
        <v>#REF!</v>
      </c>
      <c r="MJ5" s="1330" t="str">
        <f>IF(OR(MK4="SDF",ML4="FERIADO"),"SDF","LV")</f>
        <v>SDF</v>
      </c>
      <c r="MK5" s="1331" t="e">
        <f t="shared" ref="MK5" si="1143">IF(OR(ML5="SDF",MM5="FERIADO"),"SDF","LV")</f>
        <v>#REF!</v>
      </c>
      <c r="ML5" s="1332" t="e">
        <f t="shared" ref="ML5" si="1144">IF(OR(MM5="SDF",MN5="FERIADO"),"SDF","LV")</f>
        <v>#REF!</v>
      </c>
      <c r="MM5" s="1330" t="str">
        <f>IF(OR(MN4="SDF",MO4="FERIADO"),"SDF","LV")</f>
        <v>LV</v>
      </c>
      <c r="MN5" s="1331" t="e">
        <f t="shared" ref="MN5" si="1145">IF(OR(MO5="SDF",MP5="FERIADO"),"SDF","LV")</f>
        <v>#REF!</v>
      </c>
      <c r="MO5" s="1332" t="e">
        <f t="shared" ref="MO5" si="1146">IF(OR(MP5="SDF",MQ5="FERIADO"),"SDF","LV")</f>
        <v>#REF!</v>
      </c>
      <c r="MP5" s="1330" t="str">
        <f>IF(OR(MQ4="SDF",MR4="FERIADO"),"SDF","LV")</f>
        <v>LV</v>
      </c>
      <c r="MQ5" s="1331" t="e">
        <f t="shared" ref="MQ5" si="1147">IF(OR(MR5="SDF",MS5="FERIADO"),"SDF","LV")</f>
        <v>#REF!</v>
      </c>
      <c r="MR5" s="1332" t="e">
        <f t="shared" ref="MR5" si="1148">IF(OR(MS5="SDF",MT5="FERIADO"),"SDF","LV")</f>
        <v>#REF!</v>
      </c>
      <c r="MS5" s="1330" t="str">
        <f>IF(OR(MT4="SDF",MU4="FERIADO"),"SDF","LV")</f>
        <v>LV</v>
      </c>
      <c r="MT5" s="1331" t="e">
        <f t="shared" ref="MT5" si="1149">IF(OR(MU5="SDF",MV5="FERIADO"),"SDF","LV")</f>
        <v>#REF!</v>
      </c>
      <c r="MU5" s="1332" t="e">
        <f t="shared" ref="MU5" si="1150">IF(OR(MV5="SDF",MW5="FERIADO"),"SDF","LV")</f>
        <v>#REF!</v>
      </c>
      <c r="MV5" s="1330" t="str">
        <f>IF(OR(MW4="SDF",MX4="FERIADO"),"SDF","LV")</f>
        <v>LV</v>
      </c>
      <c r="MW5" s="1331" t="e">
        <f t="shared" ref="MW5" si="1151">IF(OR(MX5="SDF",MY5="FERIADO"),"SDF","LV")</f>
        <v>#REF!</v>
      </c>
      <c r="MX5" s="1332" t="e">
        <f t="shared" ref="MX5" si="1152">IF(OR(MY5="SDF",MZ5="FERIADO"),"SDF","LV")</f>
        <v>#REF!</v>
      </c>
      <c r="MY5" s="1330" t="str">
        <f>IF(OR(MZ4="SDF",NA4="FERIADO"),"SDF","LV")</f>
        <v>LV</v>
      </c>
      <c r="MZ5" s="1331" t="e">
        <f t="shared" ref="MZ5" si="1153">IF(OR(NA5="SDF",NB5="FERIADO"),"SDF","LV")</f>
        <v>#REF!</v>
      </c>
      <c r="NA5" s="1332" t="e">
        <f t="shared" ref="NA5" si="1154">IF(OR(NB5="SDF",NC5="FERIADO"),"SDF","LV")</f>
        <v>#REF!</v>
      </c>
      <c r="NB5" s="1330" t="str">
        <f>IF(OR(NC4="SDF",ND4="FERIADO"),"SDF","LV")</f>
        <v>SDF</v>
      </c>
      <c r="NC5" s="1331" t="e">
        <f t="shared" ref="NC5" si="1155">IF(OR(ND5="SDF",NE5="FERIADO"),"SDF","LV")</f>
        <v>#REF!</v>
      </c>
      <c r="ND5" s="1332" t="e">
        <f t="shared" ref="ND5" si="1156">IF(OR(NE5="SDF",NF5="FERIADO"),"SDF","LV")</f>
        <v>#REF!</v>
      </c>
      <c r="NE5" s="1330" t="str">
        <f>IF(OR(NF4="SDF",NG4="FERIADO"),"SDF","LV")</f>
        <v>SDF</v>
      </c>
      <c r="NF5" s="1331" t="e">
        <f t="shared" ref="NF5" si="1157">IF(OR(NG5="SDF",NH5="FERIADO"),"SDF","LV")</f>
        <v>#REF!</v>
      </c>
      <c r="NG5" s="1332" t="e">
        <f t="shared" ref="NG5" si="1158">IF(OR(NH5="SDF",NI5="FERIADO"),"SDF","LV")</f>
        <v>#REF!</v>
      </c>
      <c r="NH5" s="1330" t="str">
        <f>IF(OR(NI4="SDF",NJ4="FERIADO"),"SDF","LV")</f>
        <v>LV</v>
      </c>
      <c r="NI5" s="1331" t="e">
        <f t="shared" ref="NI5" si="1159">IF(OR(NJ5="SDF",NK5="FERIADO"),"SDF","LV")</f>
        <v>#REF!</v>
      </c>
      <c r="NJ5" s="1332" t="e">
        <f t="shared" ref="NJ5" si="1160">IF(OR(NK5="SDF",NL5="FERIADO"),"SDF","LV")</f>
        <v>#REF!</v>
      </c>
      <c r="NK5" s="1330" t="str">
        <f>IF(OR(NL4="SDF",NM4="FERIADO"),"SDF","LV")</f>
        <v>LV</v>
      </c>
      <c r="NL5" s="1331" t="e">
        <f t="shared" ref="NL5" si="1161">IF(OR(NM5="SDF",NN5="FERIADO"),"SDF","LV")</f>
        <v>#REF!</v>
      </c>
      <c r="NM5" s="1332" t="e">
        <f t="shared" ref="NM5" si="1162">IF(OR(NN5="SDF",NO5="FERIADO"),"SDF","LV")</f>
        <v>#REF!</v>
      </c>
      <c r="NN5" s="1330" t="str">
        <f>IF(OR(NO4="SDF",NP4="FERIADO"),"SDF","LV")</f>
        <v>LV</v>
      </c>
      <c r="NO5" s="1331" t="e">
        <f t="shared" ref="NO5" si="1163">IF(OR(NP5="SDF",NQ5="FERIADO"),"SDF","LV")</f>
        <v>#REF!</v>
      </c>
      <c r="NP5" s="1332" t="e">
        <f t="shared" ref="NP5" si="1164">IF(OR(NQ5="SDF",NR5="FERIADO"),"SDF","LV")</f>
        <v>#REF!</v>
      </c>
      <c r="NQ5" s="1330" t="str">
        <f>IF(OR(NR4="SDF",NS4="FERIADO"),"SDF","LV")</f>
        <v>LV</v>
      </c>
      <c r="NR5" s="1331" t="e">
        <f t="shared" ref="NR5" si="1165">IF(OR(NS5="SDF",NT5="FERIADO"),"SDF","LV")</f>
        <v>#REF!</v>
      </c>
      <c r="NS5" s="1332" t="e">
        <f t="shared" ref="NS5" si="1166">IF(OR(NT5="SDF",NU5="FERIADO"),"SDF","LV")</f>
        <v>#REF!</v>
      </c>
      <c r="NT5" s="1330" t="str">
        <f>IF(OR(NU4="SDF",NV4="FERIADO"),"SDF","LV")</f>
        <v>LV</v>
      </c>
      <c r="NU5" s="1331" t="e">
        <f t="shared" ref="NU5" si="1167">IF(OR(NV5="SDF",NW5="FERIADO"),"SDF","LV")</f>
        <v>#REF!</v>
      </c>
      <c r="NV5" s="1332" t="e">
        <f t="shared" ref="NV5" si="1168">IF(OR(NW5="SDF",NX5="FERIADO"),"SDF","LV")</f>
        <v>#REF!</v>
      </c>
      <c r="NW5" s="1330" t="str">
        <f>IF(OR(NX4="SDF",NY4="FERIADO"),"SDF","LV")</f>
        <v>SDF</v>
      </c>
      <c r="NX5" s="1331" t="e">
        <f t="shared" ref="NX5" si="1169">IF(OR(NY5="SDF",NZ5="FERIADO"),"SDF","LV")</f>
        <v>#REF!</v>
      </c>
      <c r="NY5" s="1332" t="e">
        <f t="shared" ref="NY5" si="1170">IF(OR(NZ5="SDF",OA5="FERIADO"),"SDF","LV")</f>
        <v>#REF!</v>
      </c>
      <c r="NZ5" s="1330" t="str">
        <f>IF(OR(OA4="SDF",OB4="FERIADO"),"SDF","LV")</f>
        <v>SDF</v>
      </c>
      <c r="OA5" s="1331" t="e">
        <f t="shared" ref="OA5" si="1171">IF(OR(OB5="SDF",OC5="FERIADO"),"SDF","LV")</f>
        <v>#REF!</v>
      </c>
      <c r="OB5" s="1332" t="e">
        <f t="shared" ref="OB5" si="1172">IF(OR(OC5="SDF",OD5="FERIADO"),"SDF","LV")</f>
        <v>#REF!</v>
      </c>
      <c r="OC5" s="1330" t="str">
        <f>IF(OR(OD4="SDF",OE4="FERIADO"),"SDF","LV")</f>
        <v>SDF</v>
      </c>
      <c r="OD5" s="1331" t="e">
        <f t="shared" ref="OD5" si="1173">IF(OR(OE5="SDF",OF5="FERIADO"),"SDF","LV")</f>
        <v>#REF!</v>
      </c>
      <c r="OE5" s="1332" t="e">
        <f t="shared" ref="OE5" si="1174">IF(OR(OF5="SDF",OG5="FERIADO"),"SDF","LV")</f>
        <v>#REF!</v>
      </c>
      <c r="OF5" s="1330" t="str">
        <f>IF(OR(OG4="SDF",OH4="FERIADO"),"SDF","LV")</f>
        <v>LV</v>
      </c>
      <c r="OG5" s="1331" t="e">
        <f t="shared" ref="OG5" si="1175">IF(OR(OH5="SDF",OI5="FERIADO"),"SDF","LV")</f>
        <v>#REF!</v>
      </c>
      <c r="OH5" s="1332" t="e">
        <f t="shared" ref="OH5" si="1176">IF(OR(OI5="SDF",OJ5="FERIADO"),"SDF","LV")</f>
        <v>#REF!</v>
      </c>
      <c r="OI5" s="1330" t="str">
        <f>IF(OR(OJ4="SDF",OK4="FERIADO"),"SDF","LV")</f>
        <v>LV</v>
      </c>
      <c r="OJ5" s="1331" t="e">
        <f t="shared" ref="OJ5" si="1177">IF(OR(OK5="SDF",OL5="FERIADO"),"SDF","LV")</f>
        <v>#REF!</v>
      </c>
      <c r="OK5" s="1332" t="e">
        <f t="shared" ref="OK5" si="1178">IF(OR(OL5="SDF",OM5="FERIADO"),"SDF","LV")</f>
        <v>#REF!</v>
      </c>
      <c r="OL5" s="1330" t="str">
        <f>IF(OR(OM4="SDF",ON4="FERIADO"),"SDF","LV")</f>
        <v>LV</v>
      </c>
      <c r="OM5" s="1331" t="e">
        <f t="shared" ref="OM5" si="1179">IF(OR(ON5="SDF",OO5="FERIADO"),"SDF","LV")</f>
        <v>#REF!</v>
      </c>
      <c r="ON5" s="1332" t="e">
        <f t="shared" ref="ON5" si="1180">IF(OR(OO5="SDF",OP5="FERIADO"),"SDF","LV")</f>
        <v>#REF!</v>
      </c>
      <c r="OO5" s="1330" t="str">
        <f>IF(OR(OP4="SDF",OQ4="FERIADO"),"SDF","LV")</f>
        <v>LV</v>
      </c>
      <c r="OP5" s="1331" t="e">
        <f t="shared" ref="OP5" si="1181">IF(OR(OQ5="SDF",OR5="FERIADO"),"SDF","LV")</f>
        <v>#REF!</v>
      </c>
      <c r="OQ5" s="1332" t="e">
        <f t="shared" ref="OQ5" si="1182">IF(OR(OR5="SDF",OS5="FERIADO"),"SDF","LV")</f>
        <v>#REF!</v>
      </c>
      <c r="OR5" s="1330" t="str">
        <f>IF(OR(OS4="SDF",OT4="FERIADO"),"SDF","LV")</f>
        <v>SDF</v>
      </c>
      <c r="OS5" s="1331" t="e">
        <f t="shared" ref="OS5" si="1183">IF(OR(OT5="SDF",OU5="FERIADO"),"SDF","LV")</f>
        <v>#REF!</v>
      </c>
      <c r="OT5" s="1332" t="e">
        <f t="shared" ref="OT5" si="1184">IF(OR(OU5="SDF",OV5="FERIADO"),"SDF","LV")</f>
        <v>#REF!</v>
      </c>
      <c r="OU5" s="1330" t="str">
        <f>IF(OR(OV4="SDF",OW4="FERIADO"),"SDF","LV")</f>
        <v>SDF</v>
      </c>
      <c r="OV5" s="1331" t="e">
        <f t="shared" ref="OV5" si="1185">IF(OR(OW5="SDF",OX5="FERIADO"),"SDF","LV")</f>
        <v>#REF!</v>
      </c>
      <c r="OW5" s="1332" t="e">
        <f t="shared" ref="OW5" si="1186">IF(OR(OX5="SDF",OY5="FERIADO"),"SDF","LV")</f>
        <v>#REF!</v>
      </c>
      <c r="OX5" s="1330" t="str">
        <f>IF(OR(OY4="SDF",OZ4="FERIADO"),"SDF","LV")</f>
        <v>SDF</v>
      </c>
      <c r="OY5" s="1331" t="e">
        <f t="shared" ref="OY5" si="1187">IF(OR(OZ5="SDF",PA5="FERIADO"),"SDF","LV")</f>
        <v>#REF!</v>
      </c>
      <c r="OZ5" s="1332" t="e">
        <f t="shared" ref="OZ5" si="1188">IF(OR(PA5="SDF",PB5="FERIADO"),"SDF","LV")</f>
        <v>#REF!</v>
      </c>
      <c r="PA5" s="1330" t="str">
        <f>IF(OR(PB4="SDF",PC4="FERIADO"),"SDF","LV")</f>
        <v>LV</v>
      </c>
      <c r="PB5" s="1331" t="e">
        <f t="shared" ref="PB5" si="1189">IF(OR(PC5="SDF",PD5="FERIADO"),"SDF","LV")</f>
        <v>#REF!</v>
      </c>
      <c r="PC5" s="1332" t="e">
        <f t="shared" ref="PC5" si="1190">IF(OR(PD5="SDF",PE5="FERIADO"),"SDF","LV")</f>
        <v>#REF!</v>
      </c>
      <c r="PD5" s="1330" t="str">
        <f>IF(OR(PE4="SDF",PF4="FERIADO"),"SDF","LV")</f>
        <v>LV</v>
      </c>
      <c r="PE5" s="1331" t="e">
        <f t="shared" ref="PE5" si="1191">IF(OR(PF5="SDF",PG5="FERIADO"),"SDF","LV")</f>
        <v>#REF!</v>
      </c>
      <c r="PF5" s="1332" t="e">
        <f t="shared" ref="PF5" si="1192">IF(OR(PG5="SDF",PH5="FERIADO"),"SDF","LV")</f>
        <v>#REF!</v>
      </c>
      <c r="PG5" s="1330" t="str">
        <f>IF(OR(PH4="SDF",PI4="FERIADO"),"SDF","LV")</f>
        <v>LV</v>
      </c>
      <c r="PH5" s="1331" t="e">
        <f t="shared" ref="PH5" si="1193">IF(OR(PI5="SDF",PJ5="FERIADO"),"SDF","LV")</f>
        <v>#REF!</v>
      </c>
      <c r="PI5" s="1332" t="e">
        <f t="shared" ref="PI5" si="1194">IF(OR(PJ5="SDF",PK5="FERIADO"),"SDF","LV")</f>
        <v>#REF!</v>
      </c>
      <c r="PJ5" s="1330" t="str">
        <f>IF(OR(PK4="SDF",PL4="FERIADO"),"SDF","LV")</f>
        <v>SDF</v>
      </c>
      <c r="PK5" s="1331" t="e">
        <f t="shared" ref="PK5" si="1195">IF(OR(PL5="SDF",PM5="FERIADO"),"SDF","LV")</f>
        <v>#REF!</v>
      </c>
      <c r="PL5" s="1332" t="e">
        <f t="shared" ref="PL5" si="1196">IF(OR(PM5="SDF",PN5="FERIADO"),"SDF","LV")</f>
        <v>#REF!</v>
      </c>
      <c r="PM5" s="1330" t="str">
        <f>IF(OR(PN4="SDF",PO4="FERIADO"),"SDF","LV")</f>
        <v>SDF</v>
      </c>
      <c r="PN5" s="1331" t="e">
        <f t="shared" ref="PN5" si="1197">IF(OR(PO5="SDF",PP5="FERIADO"),"SDF","LV")</f>
        <v>#REF!</v>
      </c>
      <c r="PO5" s="1332" t="e">
        <f t="shared" ref="PO5" si="1198">IF(OR(PP5="SDF",PQ5="FERIADO"),"SDF","LV")</f>
        <v>#REF!</v>
      </c>
      <c r="PP5" s="1330" t="str">
        <f>IF(OR(PQ4="SDF",PR4="FERIADO"),"SDF","LV")</f>
        <v>SDF</v>
      </c>
      <c r="PQ5" s="1331" t="e">
        <f t="shared" ref="PQ5" si="1199">IF(OR(PR5="SDF",PS5="FERIADO"),"SDF","LV")</f>
        <v>#REF!</v>
      </c>
      <c r="PR5" s="1332" t="e">
        <f t="shared" ref="PR5" si="1200">IF(OR(PS5="SDF",PT5="FERIADO"),"SDF","LV")</f>
        <v>#REF!</v>
      </c>
      <c r="PS5" s="1330" t="str">
        <f>IF(OR(PT4="SDF",PU4="FERIADO"),"SDF","LV")</f>
        <v>LV</v>
      </c>
      <c r="PT5" s="1331" t="e">
        <f t="shared" ref="PT5" si="1201">IF(OR(PU5="SDF",PV5="FERIADO"),"SDF","LV")</f>
        <v>#REF!</v>
      </c>
      <c r="PU5" s="1332" t="e">
        <f t="shared" ref="PU5" si="1202">IF(OR(PV5="SDF",PW5="FERIADO"),"SDF","LV")</f>
        <v>#REF!</v>
      </c>
      <c r="PV5" s="1330" t="str">
        <f>IF(OR(PW4="SDF",PX4="FERIADO"),"SDF","LV")</f>
        <v>LV</v>
      </c>
      <c r="PW5" s="1331" t="e">
        <f t="shared" ref="PW5" si="1203">IF(OR(PX5="SDF",PY5="FERIADO"),"SDF","LV")</f>
        <v>#REF!</v>
      </c>
      <c r="PX5" s="1332" t="e">
        <f t="shared" ref="PX5" si="1204">IF(OR(PY5="SDF",PZ5="FERIADO"),"SDF","LV")</f>
        <v>#REF!</v>
      </c>
      <c r="PY5" s="1330" t="str">
        <f>IF(OR(PZ4="SDF",QA4="FERIADO"),"SDF","LV")</f>
        <v>LV</v>
      </c>
      <c r="PZ5" s="1331" t="e">
        <f t="shared" ref="PZ5" si="1205">IF(OR(QA5="SDF",QB5="FERIADO"),"SDF","LV")</f>
        <v>#REF!</v>
      </c>
      <c r="QA5" s="1332" t="e">
        <f t="shared" ref="QA5" si="1206">IF(OR(QB5="SDF",QC5="FERIADO"),"SDF","LV")</f>
        <v>#REF!</v>
      </c>
      <c r="QB5" s="1330" t="str">
        <f>IF(OR(QC4="SDF",QD4="FERIADO"),"SDF","LV")</f>
        <v>LV</v>
      </c>
      <c r="QC5" s="1331" t="e">
        <f t="shared" ref="QC5" si="1207">IF(OR(QD5="SDF",QE5="FERIADO"),"SDF","LV")</f>
        <v>#REF!</v>
      </c>
      <c r="QD5" s="1332" t="e">
        <f t="shared" ref="QD5" si="1208">IF(OR(QE5="SDF",QF5="FERIADO"),"SDF","LV")</f>
        <v>#REF!</v>
      </c>
      <c r="QE5" s="1330" t="str">
        <f>IF(OR(QF4="SDF",QG4="FERIADO"),"SDF","LV")</f>
        <v>LV</v>
      </c>
      <c r="QF5" s="1331" t="e">
        <f t="shared" ref="QF5" si="1209">IF(OR(QG5="SDF",QH5="FERIADO"),"SDF","LV")</f>
        <v>#REF!</v>
      </c>
      <c r="QG5" s="1332" t="e">
        <f t="shared" ref="QG5" si="1210">IF(OR(QH5="SDF",QI5="FERIADO"),"SDF","LV")</f>
        <v>#REF!</v>
      </c>
      <c r="QH5" s="1330" t="str">
        <f>IF(OR(QI4="SDF",QJ4="FERIADO"),"SDF","LV")</f>
        <v>SDF</v>
      </c>
      <c r="QI5" s="1331" t="e">
        <f t="shared" ref="QI5" si="1211">IF(OR(QJ5="SDF",QK5="FERIADO"),"SDF","LV")</f>
        <v>#REF!</v>
      </c>
      <c r="QJ5" s="1332" t="e">
        <f t="shared" ref="QJ5" si="1212">IF(OR(QK5="SDF",QL5="FERIADO"),"SDF","LV")</f>
        <v>#REF!</v>
      </c>
      <c r="QK5" s="1330" t="str">
        <f>IF(OR(QL4="SDF",QM4="FERIADO"),"SDF","LV")</f>
        <v>SDF</v>
      </c>
      <c r="QL5" s="1331" t="e">
        <f t="shared" ref="QL5" si="1213">IF(OR(QM5="SDF",QN5="FERIADO"),"SDF","LV")</f>
        <v>#REF!</v>
      </c>
      <c r="QM5" s="1332" t="e">
        <f t="shared" ref="QM5" si="1214">IF(OR(QN5="SDF",QO5="FERIADO"),"SDF","LV")</f>
        <v>#REF!</v>
      </c>
      <c r="QN5" s="1330" t="str">
        <f>IF(OR(QO4="SDF",QP4="FERIADO"),"SDF","LV")</f>
        <v>LV</v>
      </c>
      <c r="QO5" s="1331" t="e">
        <f t="shared" ref="QO5" si="1215">IF(OR(QP5="SDF",QQ5="FERIADO"),"SDF","LV")</f>
        <v>#REF!</v>
      </c>
      <c r="QP5" s="1332" t="e">
        <f t="shared" ref="QP5" si="1216">IF(OR(QQ5="SDF",QR5="FERIADO"),"SDF","LV")</f>
        <v>#REF!</v>
      </c>
      <c r="QQ5" s="1330" t="str">
        <f>IF(OR(QR4="SDF",QS4="FERIADO"),"SDF","LV")</f>
        <v>LV</v>
      </c>
      <c r="QR5" s="1331" t="e">
        <f t="shared" ref="QR5" si="1217">IF(OR(QS5="SDF",QT5="FERIADO"),"SDF","LV")</f>
        <v>#REF!</v>
      </c>
      <c r="QS5" s="1332" t="e">
        <f t="shared" ref="QS5" si="1218">IF(OR(QT5="SDF",QU5="FERIADO"),"SDF","LV")</f>
        <v>#REF!</v>
      </c>
      <c r="QT5" s="1330" t="str">
        <f>IF(OR(QU4="SDF",QV4="FERIADO"),"SDF","LV")</f>
        <v>LV</v>
      </c>
      <c r="QU5" s="1331" t="e">
        <f t="shared" ref="QU5" si="1219">IF(OR(QV5="SDF",QW5="FERIADO"),"SDF","LV")</f>
        <v>#REF!</v>
      </c>
      <c r="QV5" s="1332" t="e">
        <f t="shared" ref="QV5" si="1220">IF(OR(QW5="SDF",QX5="FERIADO"),"SDF","LV")</f>
        <v>#REF!</v>
      </c>
      <c r="QW5" s="1330" t="str">
        <f>IF(OR(QX4="SDF",QY4="FERIADO"),"SDF","LV")</f>
        <v>LV</v>
      </c>
      <c r="QX5" s="1331" t="e">
        <f t="shared" ref="QX5" si="1221">IF(OR(QY5="SDF",QZ5="FERIADO"),"SDF","LV")</f>
        <v>#REF!</v>
      </c>
      <c r="QY5" s="1332" t="e">
        <f t="shared" ref="QY5" si="1222">IF(OR(QZ5="SDF",RA5="FERIADO"),"SDF","LV")</f>
        <v>#REF!</v>
      </c>
      <c r="QZ5" s="1330" t="str">
        <f>IF(OR(RA4="SDF",RB4="FERIADO"),"SDF","LV")</f>
        <v>LV</v>
      </c>
      <c r="RA5" s="1331" t="e">
        <f t="shared" ref="RA5" si="1223">IF(OR(RB5="SDF",RC5="FERIADO"),"SDF","LV")</f>
        <v>#REF!</v>
      </c>
      <c r="RB5" s="1332" t="e">
        <f t="shared" ref="RB5" si="1224">IF(OR(RC5="SDF",RD5="FERIADO"),"SDF","LV")</f>
        <v>#REF!</v>
      </c>
      <c r="RC5" s="1330" t="str">
        <f>IF(OR(RD4="SDF",RE4="FERIADO"),"SDF","LV")</f>
        <v>SDF</v>
      </c>
      <c r="RD5" s="1331" t="e">
        <f t="shared" ref="RD5" si="1225">IF(OR(RE5="SDF",RF5="FERIADO"),"SDF","LV")</f>
        <v>#REF!</v>
      </c>
      <c r="RE5" s="1332" t="e">
        <f t="shared" ref="RE5" si="1226">IF(OR(RF5="SDF",RG5="FERIADO"),"SDF","LV")</f>
        <v>#REF!</v>
      </c>
      <c r="RF5" s="1330" t="str">
        <f>IF(OR(RG4="SDF",RH4="FERIADO"),"SDF","LV")</f>
        <v>SDF</v>
      </c>
      <c r="RG5" s="1331" t="e">
        <f t="shared" ref="RG5" si="1227">IF(OR(RH5="SDF",RI5="FERIADO"),"SDF","LV")</f>
        <v>#REF!</v>
      </c>
      <c r="RH5" s="1332" t="e">
        <f t="shared" ref="RH5" si="1228">IF(OR(RI5="SDF",RJ5="FERIADO"),"SDF","LV")</f>
        <v>#REF!</v>
      </c>
      <c r="RI5" s="1330" t="str">
        <f>IF(OR(RJ4="SDF",RK4="FERIADO"),"SDF","LV")</f>
        <v>LV</v>
      </c>
      <c r="RJ5" s="1331" t="e">
        <f t="shared" ref="RJ5" si="1229">IF(OR(RK5="SDF",RL5="FERIADO"),"SDF","LV")</f>
        <v>#REF!</v>
      </c>
      <c r="RK5" s="1332" t="e">
        <f t="shared" ref="RK5" si="1230">IF(OR(RL5="SDF",RM5="FERIADO"),"SDF","LV")</f>
        <v>#REF!</v>
      </c>
      <c r="RL5" s="1330" t="str">
        <f>IF(OR(RM4="SDF",RN4="FERIADO"),"SDF","LV")</f>
        <v>LV</v>
      </c>
      <c r="RM5" s="1331" t="e">
        <f t="shared" ref="RM5" si="1231">IF(OR(RN5="SDF",RO5="FERIADO"),"SDF","LV")</f>
        <v>#REF!</v>
      </c>
      <c r="RN5" s="1332" t="e">
        <f t="shared" ref="RN5" si="1232">IF(OR(RO5="SDF",RP5="FERIADO"),"SDF","LV")</f>
        <v>#REF!</v>
      </c>
      <c r="RO5" s="1330" t="str">
        <f>IF(OR(RP4="SDF",RQ4="FERIADO"),"SDF","LV")</f>
        <v>LV</v>
      </c>
      <c r="RP5" s="1331" t="e">
        <f t="shared" ref="RP5" si="1233">IF(OR(RQ5="SDF",RR5="FERIADO"),"SDF","LV")</f>
        <v>#REF!</v>
      </c>
      <c r="RQ5" s="1332" t="e">
        <f t="shared" ref="RQ5" si="1234">IF(OR(RR5="SDF",RS5="FERIADO"),"SDF","LV")</f>
        <v>#REF!</v>
      </c>
      <c r="RR5" s="1330" t="str">
        <f>IF(OR(RS4="SDF",RT4="FERIADO"),"SDF","LV")</f>
        <v>LV</v>
      </c>
      <c r="RS5" s="1331" t="e">
        <f t="shared" ref="RS5" si="1235">IF(OR(RT5="SDF",RU5="FERIADO"),"SDF","LV")</f>
        <v>#REF!</v>
      </c>
      <c r="RT5" s="1332" t="e">
        <f t="shared" ref="RT5" si="1236">IF(OR(RU5="SDF",RV5="FERIADO"),"SDF","LV")</f>
        <v>#REF!</v>
      </c>
      <c r="RU5" s="1330" t="str">
        <f>IF(OR(RV4="SDF",RW4="FERIADO"),"SDF","LV")</f>
        <v>LV</v>
      </c>
      <c r="RV5" s="1331" t="e">
        <f t="shared" ref="RV5" si="1237">IF(OR(RW5="SDF",RX5="FERIADO"),"SDF","LV")</f>
        <v>#REF!</v>
      </c>
      <c r="RW5" s="1332" t="e">
        <f t="shared" ref="RW5" si="1238">IF(OR(RX5="SDF",RY5="FERIADO"),"SDF","LV")</f>
        <v>#REF!</v>
      </c>
      <c r="RX5" s="1330" t="str">
        <f>IF(OR(RY4="SDF",RZ4="FERIADO"),"SDF","LV")</f>
        <v>SDF</v>
      </c>
      <c r="RY5" s="1331" t="e">
        <f t="shared" ref="RY5" si="1239">IF(OR(RZ5="SDF",SA5="FERIADO"),"SDF","LV")</f>
        <v>#REF!</v>
      </c>
      <c r="RZ5" s="1332" t="e">
        <f t="shared" ref="RZ5" si="1240">IF(OR(SA5="SDF",SB5="FERIADO"),"SDF","LV")</f>
        <v>#REF!</v>
      </c>
      <c r="SA5" s="1330" t="str">
        <f>IF(OR(SB4="SDF",SC4="FERIADO"),"SDF","LV")</f>
        <v>SDF</v>
      </c>
      <c r="SB5" s="1331" t="e">
        <f t="shared" ref="SB5" si="1241">IF(OR(SC5="SDF",SD5="FERIADO"),"SDF","LV")</f>
        <v>#REF!</v>
      </c>
      <c r="SC5" s="1332" t="e">
        <f t="shared" ref="SC5" si="1242">IF(OR(SD5="SDF",SE5="FERIADO"),"SDF","LV")</f>
        <v>#REF!</v>
      </c>
      <c r="SD5" s="1330" t="str">
        <f>IF(OR(SE4="SDF",SF4="FERIADO"),"SDF","LV")</f>
        <v>SDF</v>
      </c>
      <c r="SE5" s="1331" t="e">
        <f t="shared" ref="SE5" si="1243">IF(OR(SF5="SDF",SG5="FERIADO"),"SDF","LV")</f>
        <v>#REF!</v>
      </c>
      <c r="SF5" s="1332" t="e">
        <f t="shared" ref="SF5" si="1244">IF(OR(SG5="SDF",SH5="FERIADO"),"SDF","LV")</f>
        <v>#REF!</v>
      </c>
      <c r="SG5" s="1330" t="str">
        <f>IF(OR(SH4="SDF",SI4="FERIADO"),"SDF","LV")</f>
        <v>LV</v>
      </c>
      <c r="SH5" s="1331" t="e">
        <f t="shared" ref="SH5" si="1245">IF(OR(SI5="SDF",SJ5="FERIADO"),"SDF","LV")</f>
        <v>#REF!</v>
      </c>
      <c r="SI5" s="1332" t="e">
        <f t="shared" ref="SI5" si="1246">IF(OR(SJ5="SDF",SK5="FERIADO"),"SDF","LV")</f>
        <v>#REF!</v>
      </c>
      <c r="SJ5" s="1330" t="str">
        <f>IF(OR(SK4="SDF",SL4="FERIADO"),"SDF","LV")</f>
        <v>LV</v>
      </c>
      <c r="SK5" s="1331" t="e">
        <f t="shared" ref="SK5" si="1247">IF(OR(SL5="SDF",SM5="FERIADO"),"SDF","LV")</f>
        <v>#REF!</v>
      </c>
      <c r="SL5" s="1332" t="e">
        <f t="shared" ref="SL5" si="1248">IF(OR(SM5="SDF",SN5="FERIADO"),"SDF","LV")</f>
        <v>#REF!</v>
      </c>
      <c r="SM5" s="1330" t="str">
        <f>IF(OR(SN4="SDF",SO4="FERIADO"),"SDF","LV")</f>
        <v>LV</v>
      </c>
      <c r="SN5" s="1331" t="e">
        <f t="shared" ref="SN5" si="1249">IF(OR(SO5="SDF",SP5="FERIADO"),"SDF","LV")</f>
        <v>#REF!</v>
      </c>
      <c r="SO5" s="1332" t="e">
        <f t="shared" ref="SO5" si="1250">IF(OR(SP5="SDF",SQ5="FERIADO"),"SDF","LV")</f>
        <v>#REF!</v>
      </c>
      <c r="SP5" s="1330" t="str">
        <f>IF(OR(SQ4="SDF",SR4="FERIADO"),"SDF","LV")</f>
        <v>LV</v>
      </c>
      <c r="SQ5" s="1331" t="e">
        <f t="shared" ref="SQ5" si="1251">IF(OR(SR5="SDF",SS5="FERIADO"),"SDF","LV")</f>
        <v>#REF!</v>
      </c>
      <c r="SR5" s="1332" t="e">
        <f t="shared" ref="SR5" si="1252">IF(OR(SS5="SDF",ST5="FERIADO"),"SDF","LV")</f>
        <v>#REF!</v>
      </c>
      <c r="SS5" s="1330" t="str">
        <f>IF(OR(ST4="SDF",SU4="FERIADO"),"SDF","LV")</f>
        <v>SDF</v>
      </c>
      <c r="ST5" s="1331" t="e">
        <f t="shared" ref="ST5" si="1253">IF(OR(SU5="SDF",SV5="FERIADO"),"SDF","LV")</f>
        <v>#REF!</v>
      </c>
      <c r="SU5" s="1332" t="e">
        <f t="shared" ref="SU5" si="1254">IF(OR(SV5="SDF",SW5="FERIADO"),"SDF","LV")</f>
        <v>#REF!</v>
      </c>
      <c r="SV5" s="1330" t="str">
        <f>IF(OR(SW4="SDF",SX4="FERIADO"),"SDF","LV")</f>
        <v>SDF</v>
      </c>
      <c r="SW5" s="1331" t="e">
        <f t="shared" ref="SW5" si="1255">IF(OR(SX5="SDF",SY5="FERIADO"),"SDF","LV")</f>
        <v>#REF!</v>
      </c>
      <c r="SX5" s="1332" t="e">
        <f t="shared" ref="SX5" si="1256">IF(OR(SY5="SDF",SZ5="FERIADO"),"SDF","LV")</f>
        <v>#REF!</v>
      </c>
      <c r="SY5" s="1330" t="str">
        <f>IF(OR(SZ4="SDF",TA4="FERIADO"),"SDF","LV")</f>
        <v>LV</v>
      </c>
      <c r="SZ5" s="1331" t="e">
        <f t="shared" ref="SZ5" si="1257">IF(OR(TA5="SDF",TB5="FERIADO"),"SDF","LV")</f>
        <v>#REF!</v>
      </c>
      <c r="TA5" s="1332" t="e">
        <f t="shared" ref="TA5" si="1258">IF(OR(TB5="SDF",TC5="FERIADO"),"SDF","LV")</f>
        <v>#REF!</v>
      </c>
      <c r="TB5" s="1330" t="str">
        <f>IF(OR(TC4="SDF",TD4="FERIADO"),"SDF","LV")</f>
        <v>LV</v>
      </c>
      <c r="TC5" s="1331" t="e">
        <f t="shared" ref="TC5" si="1259">IF(OR(TD5="SDF",TE5="FERIADO"),"SDF","LV")</f>
        <v>#REF!</v>
      </c>
      <c r="TD5" s="1332" t="e">
        <f t="shared" ref="TD5" si="1260">IF(OR(TE5="SDF",TF5="FERIADO"),"SDF","LV")</f>
        <v>#REF!</v>
      </c>
      <c r="TE5" s="1330" t="str">
        <f>IF(OR(TF4="SDF",TG4="FERIADO"),"SDF","LV")</f>
        <v>LV</v>
      </c>
      <c r="TF5" s="1331" t="e">
        <f t="shared" ref="TF5" si="1261">IF(OR(TG5="SDF",TH5="FERIADO"),"SDF","LV")</f>
        <v>#REF!</v>
      </c>
      <c r="TG5" s="1332" t="e">
        <f t="shared" ref="TG5" si="1262">IF(OR(TH5="SDF",TI5="FERIADO"),"SDF","LV")</f>
        <v>#REF!</v>
      </c>
      <c r="TH5" s="1330" t="str">
        <f>IF(OR(TI4="SDF",TJ4="FERIADO"),"SDF","LV")</f>
        <v>LV</v>
      </c>
      <c r="TI5" s="1331" t="e">
        <f t="shared" ref="TI5" si="1263">IF(OR(TJ5="SDF",TK5="FERIADO"),"SDF","LV")</f>
        <v>#REF!</v>
      </c>
      <c r="TJ5" s="1332" t="e">
        <f t="shared" ref="TJ5" si="1264">IF(OR(TK5="SDF",TL5="FERIADO"),"SDF","LV")</f>
        <v>#REF!</v>
      </c>
      <c r="TK5" s="1330" t="str">
        <f>IF(OR(TL4="SDF",TM4="FERIADO"),"SDF","LV")</f>
        <v>LV</v>
      </c>
      <c r="TL5" s="1331" t="e">
        <f t="shared" ref="TL5" si="1265">IF(OR(TM5="SDF",TN5="FERIADO"),"SDF","LV")</f>
        <v>#REF!</v>
      </c>
      <c r="TM5" s="1332" t="e">
        <f t="shared" ref="TM5" si="1266">IF(OR(TN5="SDF",TO5="FERIADO"),"SDF","LV")</f>
        <v>#REF!</v>
      </c>
      <c r="TN5" s="1330" t="str">
        <f>IF(OR(TO4="SDF",TP4="FERIADO"),"SDF","LV")</f>
        <v>SDF</v>
      </c>
      <c r="TO5" s="1331" t="e">
        <f t="shared" ref="TO5" si="1267">IF(OR(TP5="SDF",TQ5="FERIADO"),"SDF","LV")</f>
        <v>#REF!</v>
      </c>
      <c r="TP5" s="1332" t="e">
        <f t="shared" ref="TP5" si="1268">IF(OR(TQ5="SDF",TR5="FERIADO"),"SDF","LV")</f>
        <v>#REF!</v>
      </c>
      <c r="TQ5" s="1330" t="str">
        <f>IF(OR(TR4="SDF",TS4="FERIADO"),"SDF","LV")</f>
        <v>SDF</v>
      </c>
      <c r="TR5" s="1331" t="e">
        <f t="shared" ref="TR5" si="1269">IF(OR(TS5="SDF",TT5="FERIADO"),"SDF","LV")</f>
        <v>#REF!</v>
      </c>
      <c r="TS5" s="1332" t="e">
        <f t="shared" ref="TS5" si="1270">IF(OR(TT5="SDF",TU5="FERIADO"),"SDF","LV")</f>
        <v>#REF!</v>
      </c>
      <c r="TT5" s="1330" t="str">
        <f>IF(OR(TU4="SDF",TV4="FERIADO"),"SDF","LV")</f>
        <v>LV</v>
      </c>
      <c r="TU5" s="1331" t="e">
        <f t="shared" ref="TU5" si="1271">IF(OR(TV5="SDF",TW5="FERIADO"),"SDF","LV")</f>
        <v>#REF!</v>
      </c>
      <c r="TV5" s="1332" t="e">
        <f t="shared" ref="TV5" si="1272">IF(OR(TW5="SDF",TX5="FERIADO"),"SDF","LV")</f>
        <v>#REF!</v>
      </c>
      <c r="TW5" s="1330" t="str">
        <f>IF(OR(TX4="SDF",TY4="FERIADO"),"SDF","LV")</f>
        <v>LV</v>
      </c>
      <c r="TX5" s="1331" t="e">
        <f t="shared" ref="TX5" si="1273">IF(OR(TY5="SDF",TZ5="FERIADO"),"SDF","LV")</f>
        <v>#REF!</v>
      </c>
      <c r="TY5" s="1332" t="e">
        <f t="shared" ref="TY5" si="1274">IF(OR(TZ5="SDF",UA5="FERIADO"),"SDF","LV")</f>
        <v>#REF!</v>
      </c>
      <c r="TZ5" s="1330" t="str">
        <f>IF(OR(UA4="SDF",UB4="FERIADO"),"SDF","LV")</f>
        <v>LV</v>
      </c>
      <c r="UA5" s="1331" t="e">
        <f t="shared" ref="UA5" si="1275">IF(OR(UB5="SDF",UC5="FERIADO"),"SDF","LV")</f>
        <v>#REF!</v>
      </c>
      <c r="UB5" s="1332" t="e">
        <f t="shared" ref="UB5" si="1276">IF(OR(UC5="SDF",UD5="FERIADO"),"SDF","LV")</f>
        <v>#REF!</v>
      </c>
      <c r="UC5" s="1330" t="str">
        <f>IF(OR(UD4="SDF",UE4="FERIADO"),"SDF","LV")</f>
        <v>LV</v>
      </c>
      <c r="UD5" s="1331" t="e">
        <f t="shared" ref="UD5" si="1277">IF(OR(UE5="SDF",UF5="FERIADO"),"SDF","LV")</f>
        <v>#REF!</v>
      </c>
      <c r="UE5" s="1332" t="e">
        <f t="shared" ref="UE5" si="1278">IF(OR(UF5="SDF",UG5="FERIADO"),"SDF","LV")</f>
        <v>#REF!</v>
      </c>
      <c r="UF5" s="1330" t="str">
        <f>IF(OR(UG4="SDF",UH4="FERIADO"),"SDF","LV")</f>
        <v>LV</v>
      </c>
      <c r="UG5" s="1331" t="e">
        <f t="shared" ref="UG5" si="1279">IF(OR(UH5="SDF",UI5="FERIADO"),"SDF","LV")</f>
        <v>#REF!</v>
      </c>
      <c r="UH5" s="1332" t="e">
        <f t="shared" ref="UH5" si="1280">IF(OR(UI5="SDF",UJ5="FERIADO"),"SDF","LV")</f>
        <v>#REF!</v>
      </c>
      <c r="UI5" s="1330" t="str">
        <f>IF(OR(UJ4="SDF",UK4="FERIADO"),"SDF","LV")</f>
        <v>SDF</v>
      </c>
      <c r="UJ5" s="1331" t="e">
        <f t="shared" ref="UJ5" si="1281">IF(OR(UK5="SDF",UL5="FERIADO"),"SDF","LV")</f>
        <v>#REF!</v>
      </c>
      <c r="UK5" s="1332" t="e">
        <f t="shared" ref="UK5" si="1282">IF(OR(UL5="SDF",UM5="FERIADO"),"SDF","LV")</f>
        <v>#REF!</v>
      </c>
      <c r="UL5" s="1330" t="str">
        <f>IF(OR(UM4="SDF",UN4="FERIADO"),"SDF","LV")</f>
        <v>SDF</v>
      </c>
      <c r="UM5" s="1331" t="e">
        <f t="shared" ref="UM5" si="1283">IF(OR(UN5="SDF",UO5="FERIADO"),"SDF","LV")</f>
        <v>#REF!</v>
      </c>
      <c r="UN5" s="1332" t="e">
        <f t="shared" ref="UN5" si="1284">IF(OR(UO5="SDF",UP5="FERIADO"),"SDF","LV")</f>
        <v>#REF!</v>
      </c>
      <c r="UO5" s="1330" t="str">
        <f>IF(OR(UP4="SDF",UQ4="FERIADO"),"SDF","LV")</f>
        <v>LV</v>
      </c>
      <c r="UP5" s="1331" t="e">
        <f t="shared" ref="UP5" si="1285">IF(OR(UQ5="SDF",UR5="FERIADO"),"SDF","LV")</f>
        <v>#REF!</v>
      </c>
      <c r="UQ5" s="1332" t="e">
        <f t="shared" ref="UQ5" si="1286">IF(OR(UR5="SDF",US5="FERIADO"),"SDF","LV")</f>
        <v>#REF!</v>
      </c>
      <c r="UR5" s="1330" t="str">
        <f>IF(OR(US4="SDF",UT4="FERIADO"),"SDF","LV")</f>
        <v>LV</v>
      </c>
      <c r="US5" s="1331" t="e">
        <f t="shared" ref="US5" si="1287">IF(OR(UT5="SDF",UU5="FERIADO"),"SDF","LV")</f>
        <v>#REF!</v>
      </c>
      <c r="UT5" s="1332" t="e">
        <f t="shared" ref="UT5" si="1288">IF(OR(UU5="SDF",UV5="FERIADO"),"SDF","LV")</f>
        <v>#REF!</v>
      </c>
      <c r="UU5" s="1330" t="str">
        <f>IF(OR(UV4="SDF",UW4="FERIADO"),"SDF","LV")</f>
        <v>LV</v>
      </c>
      <c r="UV5" s="1331" t="e">
        <f t="shared" ref="UV5" si="1289">IF(OR(UW5="SDF",UX5="FERIADO"),"SDF","LV")</f>
        <v>#REF!</v>
      </c>
      <c r="UW5" s="1332" t="e">
        <f t="shared" ref="UW5" si="1290">IF(OR(UX5="SDF",UY5="FERIADO"),"SDF","LV")</f>
        <v>#REF!</v>
      </c>
      <c r="UX5" s="1330" t="str">
        <f>IF(OR(UY4="SDF",UZ4="FERIADO"),"SDF","LV")</f>
        <v>LV</v>
      </c>
      <c r="UY5" s="1331" t="e">
        <f t="shared" ref="UY5" si="1291">IF(OR(UZ5="SDF",VA5="FERIADO"),"SDF","LV")</f>
        <v>#REF!</v>
      </c>
      <c r="UZ5" s="1332" t="e">
        <f t="shared" ref="UZ5" si="1292">IF(OR(VA5="SDF",VB5="FERIADO"),"SDF","LV")</f>
        <v>#REF!</v>
      </c>
      <c r="VA5" s="1330" t="str">
        <f>IF(OR(VB4="SDF",VC4="FERIADO"),"SDF","LV")</f>
        <v>LV</v>
      </c>
      <c r="VB5" s="1331" t="e">
        <f t="shared" ref="VB5" si="1293">IF(OR(VC5="SDF",VD5="FERIADO"),"SDF","LV")</f>
        <v>#REF!</v>
      </c>
      <c r="VC5" s="1332" t="e">
        <f t="shared" ref="VC5" si="1294">IF(OR(VD5="SDF",VE5="FERIADO"),"SDF","LV")</f>
        <v>#REF!</v>
      </c>
      <c r="VD5" s="1330" t="str">
        <f>IF(OR(VE4="SDF",VF4="FERIADO"),"SDF","LV")</f>
        <v>SDF</v>
      </c>
      <c r="VE5" s="1331" t="e">
        <f t="shared" ref="VE5" si="1295">IF(OR(VF5="SDF",VG5="FERIADO"),"SDF","LV")</f>
        <v>#REF!</v>
      </c>
      <c r="VF5" s="1332" t="e">
        <f t="shared" ref="VF5" si="1296">IF(OR(VG5="SDF",VH5="FERIADO"),"SDF","LV")</f>
        <v>#REF!</v>
      </c>
      <c r="VG5" s="1330" t="str">
        <f>IF(OR(VH4="SDF",VI4="FERIADO"),"SDF","LV")</f>
        <v>SDF</v>
      </c>
      <c r="VH5" s="1331" t="e">
        <f t="shared" ref="VH5" si="1297">IF(OR(VI5="SDF",VJ5="FERIADO"),"SDF","LV")</f>
        <v>#REF!</v>
      </c>
      <c r="VI5" s="1332" t="e">
        <f t="shared" ref="VI5" si="1298">IF(OR(VJ5="SDF",VK5="FERIADO"),"SDF","LV")</f>
        <v>#REF!</v>
      </c>
      <c r="VJ5" s="1330" t="str">
        <f>IF(OR(VK4="SDF",VL4="FERIADO"),"SDF","LV")</f>
        <v>LV</v>
      </c>
      <c r="VK5" s="1331" t="e">
        <f t="shared" ref="VK5" si="1299">IF(OR(VL5="SDF",VM5="FERIADO"),"SDF","LV")</f>
        <v>#REF!</v>
      </c>
      <c r="VL5" s="1332" t="e">
        <f t="shared" ref="VL5" si="1300">IF(OR(VM5="SDF",VN5="FERIADO"),"SDF","LV")</f>
        <v>#REF!</v>
      </c>
      <c r="VM5" s="1330" t="str">
        <f>IF(OR(VN4="SDF",VO4="FERIADO"),"SDF","LV")</f>
        <v>LV</v>
      </c>
      <c r="VN5" s="1331" t="e">
        <f t="shared" ref="VN5" si="1301">IF(OR(VO5="SDF",VP5="FERIADO"),"SDF","LV")</f>
        <v>#REF!</v>
      </c>
      <c r="VO5" s="1332" t="e">
        <f t="shared" ref="VO5" si="1302">IF(OR(VP5="SDF",VQ5="FERIADO"),"SDF","LV")</f>
        <v>#REF!</v>
      </c>
      <c r="VP5" s="1330" t="str">
        <f>IF(OR(VQ4="SDF",VR4="FERIADO"),"SDF","LV")</f>
        <v>LV</v>
      </c>
      <c r="VQ5" s="1331" t="e">
        <f t="shared" ref="VQ5" si="1303">IF(OR(VR5="SDF",VS5="FERIADO"),"SDF","LV")</f>
        <v>#REF!</v>
      </c>
      <c r="VR5" s="1332" t="e">
        <f t="shared" ref="VR5" si="1304">IF(OR(VS5="SDF",VT5="FERIADO"),"SDF","LV")</f>
        <v>#REF!</v>
      </c>
      <c r="VS5" s="1330" t="str">
        <f>IF(OR(VT4="SDF",VU4="FERIADO"),"SDF","LV")</f>
        <v>LV</v>
      </c>
      <c r="VT5" s="1331" t="e">
        <f t="shared" ref="VT5" si="1305">IF(OR(VU5="SDF",VV5="FERIADO"),"SDF","LV")</f>
        <v>#REF!</v>
      </c>
      <c r="VU5" s="1332" t="e">
        <f t="shared" ref="VU5" si="1306">IF(OR(VV5="SDF",VW5="FERIADO"),"SDF","LV")</f>
        <v>#REF!</v>
      </c>
      <c r="VV5" s="1330" t="str">
        <f>IF(OR(VW4="SDF",VX4="FERIADO"),"SDF","LV")</f>
        <v>LV</v>
      </c>
      <c r="VW5" s="1331" t="e">
        <f t="shared" ref="VW5" si="1307">IF(OR(VX5="SDF",VY5="FERIADO"),"SDF","LV")</f>
        <v>#REF!</v>
      </c>
      <c r="VX5" s="1332" t="e">
        <f t="shared" ref="VX5" si="1308">IF(OR(VY5="SDF",VZ5="FERIADO"),"SDF","LV")</f>
        <v>#REF!</v>
      </c>
      <c r="VY5" s="1330" t="str">
        <f>IF(OR(VZ4="SDF",WA4="FERIADO"),"SDF","LV")</f>
        <v>SDF</v>
      </c>
      <c r="VZ5" s="1331" t="e">
        <f t="shared" ref="VZ5" si="1309">IF(OR(WA5="SDF",WB5="FERIADO"),"SDF","LV")</f>
        <v>#REF!</v>
      </c>
      <c r="WA5" s="1332" t="e">
        <f t="shared" ref="WA5" si="1310">IF(OR(WB5="SDF",WC5="FERIADO"),"SDF","LV")</f>
        <v>#REF!</v>
      </c>
      <c r="WB5" s="1330" t="str">
        <f>IF(OR(WC4="SDF",WD4="FERIADO"),"SDF","LV")</f>
        <v>SDF</v>
      </c>
      <c r="WC5" s="1331" t="e">
        <f t="shared" ref="WC5" si="1311">IF(OR(WD5="SDF",WE5="FERIADO"),"SDF","LV")</f>
        <v>#REF!</v>
      </c>
      <c r="WD5" s="1332" t="e">
        <f t="shared" ref="WD5" si="1312">IF(OR(WE5="SDF",WF5="FERIADO"),"SDF","LV")</f>
        <v>#REF!</v>
      </c>
      <c r="WE5" s="1330" t="str">
        <f>IF(OR(WF4="SDF",WG4="FERIADO"),"SDF","LV")</f>
        <v>LV</v>
      </c>
      <c r="WF5" s="1331" t="e">
        <f t="shared" ref="WF5" si="1313">IF(OR(WG5="SDF",WH5="FERIADO"),"SDF","LV")</f>
        <v>#REF!</v>
      </c>
      <c r="WG5" s="1332" t="e">
        <f t="shared" ref="WG5" si="1314">IF(OR(WH5="SDF",WI5="FERIADO"),"SDF","LV")</f>
        <v>#REF!</v>
      </c>
      <c r="WH5" s="1330" t="str">
        <f>IF(OR(WI4="SDF",WJ4="FERIADO"),"SDF","LV")</f>
        <v>LV</v>
      </c>
      <c r="WI5" s="1331" t="e">
        <f t="shared" ref="WI5" si="1315">IF(OR(WJ5="SDF",WK5="FERIADO"),"SDF","LV")</f>
        <v>#REF!</v>
      </c>
      <c r="WJ5" s="1332" t="e">
        <f t="shared" ref="WJ5" si="1316">IF(OR(WK5="SDF",WL5="FERIADO"),"SDF","LV")</f>
        <v>#REF!</v>
      </c>
      <c r="WK5" s="1330" t="str">
        <f>IF(OR(WL4="SDF",WM4="FERIADO"),"SDF","LV")</f>
        <v>LV</v>
      </c>
      <c r="WL5" s="1331" t="e">
        <f t="shared" ref="WL5" si="1317">IF(OR(WM5="SDF",WN5="FERIADO"),"SDF","LV")</f>
        <v>#REF!</v>
      </c>
      <c r="WM5" s="1332" t="e">
        <f t="shared" ref="WM5" si="1318">IF(OR(WN5="SDF",WO5="FERIADO"),"SDF","LV")</f>
        <v>#REF!</v>
      </c>
      <c r="WN5" s="1330" t="str">
        <f>IF(OR(WO4="SDF",WP4="FERIADO"),"SDF","LV")</f>
        <v>LV</v>
      </c>
      <c r="WO5" s="1331" t="e">
        <f t="shared" ref="WO5" si="1319">IF(OR(WP5="SDF",WQ5="FERIADO"),"SDF","LV")</f>
        <v>#REF!</v>
      </c>
      <c r="WP5" s="1332" t="e">
        <f t="shared" ref="WP5" si="1320">IF(OR(WQ5="SDF",WR5="FERIADO"),"SDF","LV")</f>
        <v>#REF!</v>
      </c>
      <c r="WQ5" s="1330" t="str">
        <f>IF(OR(WR4="SDF",WS4="FERIADO"),"SDF","LV")</f>
        <v>LV</v>
      </c>
      <c r="WR5" s="1331" t="e">
        <f t="shared" ref="WR5" si="1321">IF(OR(WS5="SDF",WT5="FERIADO"),"SDF","LV")</f>
        <v>#REF!</v>
      </c>
      <c r="WS5" s="1332" t="e">
        <f t="shared" ref="WS5" si="1322">IF(OR(WT5="SDF",WU5="FERIADO"),"SDF","LV")</f>
        <v>#REF!</v>
      </c>
      <c r="WT5" s="1330" t="str">
        <f>IF(OR(WU4="SDF",WV4="FERIADO"),"SDF","LV")</f>
        <v>SDF</v>
      </c>
      <c r="WU5" s="1331" t="e">
        <f t="shared" ref="WU5" si="1323">IF(OR(WV5="SDF",WW5="FERIADO"),"SDF","LV")</f>
        <v>#REF!</v>
      </c>
      <c r="WV5" s="1332" t="e">
        <f t="shared" ref="WV5" si="1324">IF(OR(WW5="SDF",WX5="FERIADO"),"SDF","LV")</f>
        <v>#REF!</v>
      </c>
      <c r="WW5" s="1330" t="str">
        <f>IF(OR(WX4="SDF",WY4="FERIADO"),"SDF","LV")</f>
        <v>SDF</v>
      </c>
      <c r="WX5" s="1331" t="e">
        <f t="shared" ref="WX5" si="1325">IF(OR(WY5="SDF",WZ5="FERIADO"),"SDF","LV")</f>
        <v>#REF!</v>
      </c>
      <c r="WY5" s="1332" t="e">
        <f t="shared" ref="WY5" si="1326">IF(OR(WZ5="SDF",XA5="FERIADO"),"SDF","LV")</f>
        <v>#REF!</v>
      </c>
      <c r="WZ5" s="1330" t="str">
        <f>IF(OR(XA4="SDF",XB4="FERIADO"),"SDF","LV")</f>
        <v>LV</v>
      </c>
      <c r="XA5" s="1331" t="e">
        <f t="shared" ref="XA5" si="1327">IF(OR(XB5="SDF",XC5="FERIADO"),"SDF","LV")</f>
        <v>#REF!</v>
      </c>
      <c r="XB5" s="1332" t="e">
        <f t="shared" ref="XB5" si="1328">IF(OR(XC5="SDF",XD5="FERIADO"),"SDF","LV")</f>
        <v>#REF!</v>
      </c>
      <c r="XC5" s="1330" t="str">
        <f>IF(OR(XD4="SDF",XE4="FERIADO"),"SDF","LV")</f>
        <v>LV</v>
      </c>
      <c r="XD5" s="1331" t="e">
        <f t="shared" ref="XD5" si="1329">IF(OR(XE5="SDF",XF5="FERIADO"),"SDF","LV")</f>
        <v>#REF!</v>
      </c>
      <c r="XE5" s="1332" t="e">
        <f t="shared" ref="XE5" si="1330">IF(OR(XF5="SDF",XG5="FERIADO"),"SDF","LV")</f>
        <v>#REF!</v>
      </c>
      <c r="XF5" s="1330" t="str">
        <f>IF(OR(XG4="SDF",XH4="FERIADO"),"SDF","LV")</f>
        <v>LV</v>
      </c>
      <c r="XG5" s="1331" t="e">
        <f t="shared" ref="XG5" si="1331">IF(OR(XH5="SDF",XI5="FERIADO"),"SDF","LV")</f>
        <v>#REF!</v>
      </c>
      <c r="XH5" s="1332" t="e">
        <f t="shared" ref="XH5" si="1332">IF(OR(XI5="SDF",XJ5="FERIADO"),"SDF","LV")</f>
        <v>#REF!</v>
      </c>
      <c r="XI5" s="1330" t="str">
        <f>IF(OR(XJ4="SDF",XK4="FERIADO"),"SDF","LV")</f>
        <v>LV</v>
      </c>
      <c r="XJ5" s="1331" t="e">
        <f>IF(OR(XK5="SDF",#REF!="FERIADO"),"SDF","LV")</f>
        <v>#REF!</v>
      </c>
      <c r="XK5" s="1332" t="e">
        <f>IF(OR(#REF!="SDF",#REF!="FERIADO"),"SDF","LV")</f>
        <v>#REF!</v>
      </c>
      <c r="XL5" s="1330" t="str">
        <f>IF(OR(XM4="SDF",XN4="FERIADO"),"SDF","LV")</f>
        <v>LV</v>
      </c>
      <c r="XM5" s="1331" t="e">
        <f t="shared" ref="XM5" si="1333">IF(OR(XN5="SDF",XO5="FERIADO"),"SDF","LV")</f>
        <v>#REF!</v>
      </c>
      <c r="XN5" s="1332" t="e">
        <f t="shared" ref="XN5" si="1334">IF(OR(XO5="SDF",XP5="FERIADO"),"SDF","LV")</f>
        <v>#REF!</v>
      </c>
      <c r="XO5" s="1330" t="str">
        <f>IF(OR(XP4="SDF",XQ4="FERIADO"),"SDF","LV")</f>
        <v>SDF</v>
      </c>
      <c r="XP5" s="1331" t="e">
        <f t="shared" ref="XP5" si="1335">IF(OR(XQ5="SDF",XR5="FERIADO"),"SDF","LV")</f>
        <v>#REF!</v>
      </c>
      <c r="XQ5" s="1332" t="e">
        <f t="shared" ref="XQ5" si="1336">IF(OR(XR5="SDF",XS5="FERIADO"),"SDF","LV")</f>
        <v>#REF!</v>
      </c>
      <c r="XR5" s="1330" t="str">
        <f>IF(OR(XS4="SDF",XT4="FERIADO"),"SDF","LV")</f>
        <v>SDF</v>
      </c>
      <c r="XS5" s="1331" t="e">
        <f t="shared" ref="XS5" si="1337">IF(OR(XT5="SDF",XU5="FERIADO"),"SDF","LV")</f>
        <v>#REF!</v>
      </c>
      <c r="XT5" s="1332" t="e">
        <f t="shared" ref="XT5" si="1338">IF(OR(XU5="SDF",XV5="FERIADO"),"SDF","LV")</f>
        <v>#REF!</v>
      </c>
      <c r="XU5" s="1330" t="str">
        <f>IF(OR(XV4="SDF",XW4="FERIADO"),"SDF","LV")</f>
        <v>LV</v>
      </c>
      <c r="XV5" s="1331" t="e">
        <f t="shared" ref="XV5" si="1339">IF(OR(XW5="SDF",XX5="FERIADO"),"SDF","LV")</f>
        <v>#REF!</v>
      </c>
      <c r="XW5" s="1332" t="e">
        <f t="shared" ref="XW5" si="1340">IF(OR(XX5="SDF",XY5="FERIADO"),"SDF","LV")</f>
        <v>#REF!</v>
      </c>
      <c r="XX5" s="1330" t="str">
        <f>IF(OR(XY4="SDF",XZ4="FERIADO"),"SDF","LV")</f>
        <v>LV</v>
      </c>
      <c r="XY5" s="1331" t="e">
        <f t="shared" ref="XY5" si="1341">IF(OR(XZ5="SDF",YA5="FERIADO"),"SDF","LV")</f>
        <v>#REF!</v>
      </c>
      <c r="XZ5" s="1332" t="e">
        <f t="shared" ref="XZ5" si="1342">IF(OR(YA5="SDF",YB5="FERIADO"),"SDF","LV")</f>
        <v>#REF!</v>
      </c>
      <c r="YA5" s="1330" t="str">
        <f>IF(OR(YB4="SDF",YC4="FERIADO"),"SDF","LV")</f>
        <v>LV</v>
      </c>
      <c r="YB5" s="1331" t="e">
        <f t="shared" ref="YB5" si="1343">IF(OR(YC5="SDF",YD5="FERIADO"),"SDF","LV")</f>
        <v>#REF!</v>
      </c>
      <c r="YC5" s="1332" t="e">
        <f t="shared" ref="YC5" si="1344">IF(OR(YD5="SDF",YE5="FERIADO"),"SDF","LV")</f>
        <v>#REF!</v>
      </c>
      <c r="YD5" s="1330" t="str">
        <f>IF(OR(YE4="SDF",YF4="FERIADO"),"SDF","LV")</f>
        <v>LV</v>
      </c>
      <c r="YE5" s="1331" t="e">
        <f t="shared" ref="YE5" si="1345">IF(OR(YF5="SDF",YG5="FERIADO"),"SDF","LV")</f>
        <v>#REF!</v>
      </c>
      <c r="YF5" s="1332" t="e">
        <f t="shared" ref="YF5" si="1346">IF(OR(YG5="SDF",YH5="FERIADO"),"SDF","LV")</f>
        <v>#REF!</v>
      </c>
      <c r="YG5" s="1330" t="str">
        <f>IF(OR(YH4="SDF",YI4="FERIADO"),"SDF","LV")</f>
        <v>LV</v>
      </c>
      <c r="YH5" s="1331" t="e">
        <f t="shared" ref="YH5" si="1347">IF(OR(YI5="SDF",YJ5="FERIADO"),"SDF","LV")</f>
        <v>#REF!</v>
      </c>
      <c r="YI5" s="1332" t="e">
        <f t="shared" ref="YI5" si="1348">IF(OR(YJ5="SDF",YK5="FERIADO"),"SDF","LV")</f>
        <v>#REF!</v>
      </c>
      <c r="YJ5" s="1330" t="str">
        <f>IF(OR(YK4="SDF",YL4="FERIADO"),"SDF","LV")</f>
        <v>SDF</v>
      </c>
      <c r="YK5" s="1331" t="e">
        <f t="shared" ref="YK5" si="1349">IF(OR(YL5="SDF",YM5="FERIADO"),"SDF","LV")</f>
        <v>#REF!</v>
      </c>
      <c r="YL5" s="1332" t="e">
        <f t="shared" ref="YL5" si="1350">IF(OR(YM5="SDF",YN5="FERIADO"),"SDF","LV")</f>
        <v>#REF!</v>
      </c>
      <c r="YM5" s="1330" t="str">
        <f>IF(OR(YN4="SDF",YO4="FERIADO"),"SDF","LV")</f>
        <v>SDF</v>
      </c>
      <c r="YN5" s="1331" t="e">
        <f t="shared" ref="YN5" si="1351">IF(OR(YO5="SDF",YP5="FERIADO"),"SDF","LV")</f>
        <v>#REF!</v>
      </c>
      <c r="YO5" s="1332" t="e">
        <f t="shared" ref="YO5" si="1352">IF(OR(YP5="SDF",YQ5="FERIADO"),"SDF","LV")</f>
        <v>#REF!</v>
      </c>
      <c r="YP5" s="1330" t="str">
        <f>IF(OR(YQ4="SDF",YR4="FERIADO"),"SDF","LV")</f>
        <v>LV</v>
      </c>
      <c r="YQ5" s="1331" t="e">
        <f t="shared" ref="YQ5" si="1353">IF(OR(YR5="SDF",YS5="FERIADO"),"SDF","LV")</f>
        <v>#REF!</v>
      </c>
      <c r="YR5" s="1332" t="e">
        <f t="shared" ref="YR5" si="1354">IF(OR(YS5="SDF",YT5="FERIADO"),"SDF","LV")</f>
        <v>#REF!</v>
      </c>
      <c r="YS5" s="1330" t="str">
        <f>IF(OR(YT4="SDF",YU4="FERIADO"),"SDF","LV")</f>
        <v>LV</v>
      </c>
      <c r="YT5" s="1331" t="e">
        <f t="shared" ref="YT5" si="1355">IF(OR(YU5="SDF",YV5="FERIADO"),"SDF","LV")</f>
        <v>#REF!</v>
      </c>
      <c r="YU5" s="1332" t="e">
        <f t="shared" ref="YU5" si="1356">IF(OR(YV5="SDF",YW5="FERIADO"),"SDF","LV")</f>
        <v>#REF!</v>
      </c>
      <c r="YV5" s="1330" t="str">
        <f>IF(OR(YW4="SDF",YX4="FERIADO"),"SDF","LV")</f>
        <v>LV</v>
      </c>
      <c r="YW5" s="1331" t="e">
        <f t="shared" ref="YW5" si="1357">IF(OR(YX5="SDF",YY5="FERIADO"),"SDF","LV")</f>
        <v>#REF!</v>
      </c>
      <c r="YX5" s="1332" t="e">
        <f t="shared" ref="YX5" si="1358">IF(OR(YY5="SDF",YZ5="FERIADO"),"SDF","LV")</f>
        <v>#REF!</v>
      </c>
      <c r="YY5" s="1330" t="str">
        <f>IF(OR(YZ4="SDF",ZA4="FERIADO"),"SDF","LV")</f>
        <v>LV</v>
      </c>
      <c r="YZ5" s="1331" t="e">
        <f>IF(OR(ZA5="SDF",#REF!="FERIADO"),"SDF","LV")</f>
        <v>#REF!</v>
      </c>
      <c r="ZA5" s="1332" t="e">
        <f>IF(OR(#REF!="SDF",#REF!="FERIADO"),"SDF","LV")</f>
        <v>#REF!</v>
      </c>
      <c r="ZB5" s="1330" t="str">
        <f>IF(OR(ZC4="SDF",ZD4="FERIADO"),"SDF","LV")</f>
        <v>LV</v>
      </c>
      <c r="ZC5" s="1331" t="e">
        <f t="shared" ref="ZC5" si="1359">IF(OR(ZD5="SDF",ZE5="FERIADO"),"SDF","LV")</f>
        <v>#REF!</v>
      </c>
      <c r="ZD5" s="1332" t="e">
        <f t="shared" ref="ZD5" si="1360">IF(OR(ZE5="SDF",ZF5="FERIADO"),"SDF","LV")</f>
        <v>#REF!</v>
      </c>
      <c r="ZE5" s="1330" t="str">
        <f>IF(OR(ZF4="SDF",ZG4="FERIADO"),"SDF","LV")</f>
        <v>SDF</v>
      </c>
      <c r="ZF5" s="1331" t="e">
        <f t="shared" ref="ZF5" si="1361">IF(OR(ZG5="SDF",ZH5="FERIADO"),"SDF","LV")</f>
        <v>#REF!</v>
      </c>
      <c r="ZG5" s="1332" t="e">
        <f t="shared" ref="ZG5" si="1362">IF(OR(ZH5="SDF",ZI5="FERIADO"),"SDF","LV")</f>
        <v>#REF!</v>
      </c>
      <c r="ZH5" s="1330" t="str">
        <f>IF(OR(ZI4="SDF",ZJ4="FERIADO"),"SDF","LV")</f>
        <v>SDF</v>
      </c>
      <c r="ZI5" s="1331" t="e">
        <f t="shared" ref="ZI5" si="1363">IF(OR(ZJ5="SDF",ZK5="FERIADO"),"SDF","LV")</f>
        <v>#REF!</v>
      </c>
      <c r="ZJ5" s="1332" t="e">
        <f t="shared" ref="ZJ5" si="1364">IF(OR(ZK5="SDF",ZL5="FERIADO"),"SDF","LV")</f>
        <v>#REF!</v>
      </c>
      <c r="ZK5" s="1330" t="str">
        <f>IF(OR(ZL4="SDF",ZM4="FERIADO"),"SDF","LV")</f>
        <v>LV</v>
      </c>
      <c r="ZL5" s="1331" t="e">
        <f t="shared" ref="ZL5" si="1365">IF(OR(ZM5="SDF",ZN5="FERIADO"),"SDF","LV")</f>
        <v>#REF!</v>
      </c>
      <c r="ZM5" s="1332" t="e">
        <f t="shared" ref="ZM5" si="1366">IF(OR(ZN5="SDF",ZO5="FERIADO"),"SDF","LV")</f>
        <v>#REF!</v>
      </c>
      <c r="ZN5" s="1330" t="str">
        <f>IF(OR(ZO4="SDF",ZP4="FERIADO"),"SDF","LV")</f>
        <v>LV</v>
      </c>
      <c r="ZO5" s="1331" t="e">
        <f t="shared" ref="ZO5" si="1367">IF(OR(ZP5="SDF",ZQ5="FERIADO"),"SDF","LV")</f>
        <v>#REF!</v>
      </c>
      <c r="ZP5" s="1332" t="e">
        <f t="shared" ref="ZP5" si="1368">IF(OR(ZQ5="SDF",ZR5="FERIADO"),"SDF","LV")</f>
        <v>#REF!</v>
      </c>
      <c r="ZQ5" s="1330" t="str">
        <f>IF(OR(ZR4="SDF",ZS4="FERIADO"),"SDF","LV")</f>
        <v>LV</v>
      </c>
      <c r="ZR5" s="1331" t="e">
        <f t="shared" ref="ZR5" si="1369">IF(OR(ZS5="SDF",ZT5="FERIADO"),"SDF","LV")</f>
        <v>#REF!</v>
      </c>
      <c r="ZS5" s="1332" t="e">
        <f t="shared" ref="ZS5" si="1370">IF(OR(ZT5="SDF",ZU5="FERIADO"),"SDF","LV")</f>
        <v>#REF!</v>
      </c>
      <c r="ZT5" s="1330" t="str">
        <f>IF(OR(ZU4="SDF",ZV4="FERIADO"),"SDF","LV")</f>
        <v>LV</v>
      </c>
      <c r="ZU5" s="1331" t="e">
        <f t="shared" ref="ZU5" si="1371">IF(OR(ZV5="SDF",ZW5="FERIADO"),"SDF","LV")</f>
        <v>#REF!</v>
      </c>
      <c r="ZV5" s="1332" t="e">
        <f t="shared" ref="ZV5" si="1372">IF(OR(ZW5="SDF",ZX5="FERIADO"),"SDF","LV")</f>
        <v>#REF!</v>
      </c>
      <c r="ZW5" s="1330" t="str">
        <f>IF(OR(ZX4="SDF",ZY4="FERIADO"),"SDF","LV")</f>
        <v>LV</v>
      </c>
      <c r="ZX5" s="1331" t="e">
        <f t="shared" ref="ZX5" si="1373">IF(OR(ZY5="SDF",ZZ5="FERIADO"),"SDF","LV")</f>
        <v>#REF!</v>
      </c>
      <c r="ZY5" s="1332" t="e">
        <f t="shared" ref="ZY5" si="1374">IF(OR(ZZ5="SDF",AAA5="FERIADO"),"SDF","LV")</f>
        <v>#REF!</v>
      </c>
      <c r="ZZ5" s="1330" t="str">
        <f>IF(OR(AAA4="SDF",AAB4="FERIADO"),"SDF","LV")</f>
        <v>SDF</v>
      </c>
      <c r="AAA5" s="1331" t="e">
        <f t="shared" ref="AAA5" si="1375">IF(OR(AAB5="SDF",AAC5="FERIADO"),"SDF","LV")</f>
        <v>#REF!</v>
      </c>
      <c r="AAB5" s="1332" t="e">
        <f t="shared" ref="AAB5" si="1376">IF(OR(AAC5="SDF",AAD5="FERIADO"),"SDF","LV")</f>
        <v>#REF!</v>
      </c>
      <c r="AAC5" s="1330" t="str">
        <f>IF(OR(AAD4="SDF",AAE4="FERIADO"),"SDF","LV")</f>
        <v>SDF</v>
      </c>
      <c r="AAD5" s="1331" t="e">
        <f t="shared" ref="AAD5" si="1377">IF(OR(AAE5="SDF",AAF5="FERIADO"),"SDF","LV")</f>
        <v>#REF!</v>
      </c>
      <c r="AAE5" s="1332" t="e">
        <f t="shared" ref="AAE5" si="1378">IF(OR(AAF5="SDF",AAG5="FERIADO"),"SDF","LV")</f>
        <v>#REF!</v>
      </c>
      <c r="AAF5" s="1330" t="str">
        <f>IF(OR(AAG4="SDF",AAH4="FERIADO"),"SDF","LV")</f>
        <v>LV</v>
      </c>
      <c r="AAG5" s="1331" t="e">
        <f t="shared" ref="AAG5" si="1379">IF(OR(AAH5="SDF",AAI5="FERIADO"),"SDF","LV")</f>
        <v>#REF!</v>
      </c>
      <c r="AAH5" s="1332" t="e">
        <f t="shared" ref="AAH5" si="1380">IF(OR(AAI5="SDF",AAJ5="FERIADO"),"SDF","LV")</f>
        <v>#REF!</v>
      </c>
      <c r="AAI5" s="1330" t="str">
        <f>IF(OR(AAJ4="SDF",AAK4="FERIADO"),"SDF","LV")</f>
        <v>LV</v>
      </c>
      <c r="AAJ5" s="1331" t="e">
        <f t="shared" ref="AAJ5" si="1381">IF(OR(AAK5="SDF",AAL5="FERIADO"),"SDF","LV")</f>
        <v>#REF!</v>
      </c>
      <c r="AAK5" s="1332" t="e">
        <f t="shared" ref="AAK5" si="1382">IF(OR(AAL5="SDF",AAM5="FERIADO"),"SDF","LV")</f>
        <v>#REF!</v>
      </c>
      <c r="AAL5" s="1330" t="str">
        <f>IF(OR(AAM4="SDF",AAN4="FERIADO"),"SDF","LV")</f>
        <v>LV</v>
      </c>
      <c r="AAM5" s="1331" t="e">
        <f t="shared" ref="AAM5" si="1383">IF(OR(AAN5="SDF",AAO5="FERIADO"),"SDF","LV")</f>
        <v>#REF!</v>
      </c>
      <c r="AAN5" s="1332" t="e">
        <f t="shared" ref="AAN5" si="1384">IF(OR(AAO5="SDF",AAP5="FERIADO"),"SDF","LV")</f>
        <v>#REF!</v>
      </c>
      <c r="AAO5" s="1330" t="str">
        <f>IF(OR(AAP4="SDF",AAQ4="FERIADO"),"SDF","LV")</f>
        <v>LV</v>
      </c>
      <c r="AAP5" s="1331" t="e">
        <f>IF(OR(AAQ5="SDF",#REF!="FERIADO"),"SDF","LV")</f>
        <v>#REF!</v>
      </c>
      <c r="AAQ5" s="1332" t="e">
        <f>IF(OR(#REF!="SDF",#REF!="FERIADO"),"SDF","LV")</f>
        <v>#REF!</v>
      </c>
      <c r="AAR5" s="1330" t="str">
        <f>IF(OR(AAS4="SDF",AAT4="FERIADO"),"SDF","LV")</f>
        <v>LV</v>
      </c>
      <c r="AAS5" s="1331" t="e">
        <f t="shared" ref="AAS5" si="1385">IF(OR(AAT5="SDF",AAU5="FERIADO"),"SDF","LV")</f>
        <v>#REF!</v>
      </c>
      <c r="AAT5" s="1332" t="e">
        <f t="shared" ref="AAT5" si="1386">IF(OR(AAU5="SDF",AAV5="FERIADO"),"SDF","LV")</f>
        <v>#REF!</v>
      </c>
      <c r="AAU5" s="1330" t="str">
        <f>IF(OR(AAV4="SDF",AAW4="FERIADO"),"SDF","LV")</f>
        <v>SDF</v>
      </c>
      <c r="AAV5" s="1331" t="e">
        <f t="shared" ref="AAV5" si="1387">IF(OR(AAW5="SDF",AAX5="FERIADO"),"SDF","LV")</f>
        <v>#REF!</v>
      </c>
      <c r="AAW5" s="1332" t="e">
        <f t="shared" ref="AAW5" si="1388">IF(OR(AAX5="SDF",AAY5="FERIADO"),"SDF","LV")</f>
        <v>#REF!</v>
      </c>
      <c r="AAX5" s="1330" t="str">
        <f>IF(OR(AAY4="SDF",AAZ4="FERIADO"),"SDF","LV")</f>
        <v>SDF</v>
      </c>
      <c r="AAY5" s="1331" t="e">
        <f t="shared" ref="AAY5" si="1389">IF(OR(AAZ5="SDF",ABA5="FERIADO"),"SDF","LV")</f>
        <v>#REF!</v>
      </c>
      <c r="AAZ5" s="1332" t="e">
        <f t="shared" ref="AAZ5" si="1390">IF(OR(ABA5="SDF",ABB5="FERIADO"),"SDF","LV")</f>
        <v>#REF!</v>
      </c>
      <c r="ABA5" s="1330" t="str">
        <f>IF(OR(ABB4="SDF",ABC4="FERIADO"),"SDF","LV")</f>
        <v>LV</v>
      </c>
      <c r="ABB5" s="1331" t="e">
        <f t="shared" ref="ABB5" si="1391">IF(OR(ABC5="SDF",ABD5="FERIADO"),"SDF","LV")</f>
        <v>#REF!</v>
      </c>
      <c r="ABC5" s="1332" t="e">
        <f t="shared" ref="ABC5" si="1392">IF(OR(ABD5="SDF",ABE5="FERIADO"),"SDF","LV")</f>
        <v>#REF!</v>
      </c>
      <c r="ABD5" s="1330" t="str">
        <f>IF(OR(ABE4="SDF",ABF4="FERIADO"),"SDF","LV")</f>
        <v>LV</v>
      </c>
      <c r="ABE5" s="1331" t="e">
        <f t="shared" ref="ABE5" si="1393">IF(OR(ABF5="SDF",ABG5="FERIADO"),"SDF","LV")</f>
        <v>#REF!</v>
      </c>
      <c r="ABF5" s="1332" t="e">
        <f t="shared" ref="ABF5" si="1394">IF(OR(ABG5="SDF",ABH5="FERIADO"),"SDF","LV")</f>
        <v>#REF!</v>
      </c>
      <c r="ABG5" s="1330" t="str">
        <f>IF(OR(ABH4="SDF",ABI4="FERIADO"),"SDF","LV")</f>
        <v>LV</v>
      </c>
      <c r="ABH5" s="1331" t="e">
        <f t="shared" ref="ABH5" si="1395">IF(OR(ABI5="SDF",ABJ5="FERIADO"),"SDF","LV")</f>
        <v>#REF!</v>
      </c>
      <c r="ABI5" s="1332" t="e">
        <f t="shared" ref="ABI5" si="1396">IF(OR(ABJ5="SDF",ABK5="FERIADO"),"SDF","LV")</f>
        <v>#REF!</v>
      </c>
      <c r="ABJ5" s="1330" t="str">
        <f>IF(OR(ABK4="SDF",ABL4="FERIADO"),"SDF","LV")</f>
        <v>LV</v>
      </c>
      <c r="ABK5" s="1331" t="e">
        <f>IF(OR(ABL5="SDF",#REF!="FERIADO"),"SDF","LV")</f>
        <v>#REF!</v>
      </c>
      <c r="ABL5" s="1332" t="e">
        <f>IF(OR(#REF!="SDF",#REF!="FERIADO"),"SDF","LV")</f>
        <v>#REF!</v>
      </c>
      <c r="ABM5" s="1330" t="str">
        <f>IF(OR(ABN4="SDF",ABO4="FERIADO"),"SDF","LV")</f>
        <v>LV</v>
      </c>
      <c r="ABN5" s="1331" t="e">
        <f t="shared" ref="ABN5" si="1397">IF(OR(ABO5="SDF",ABP5="FERIADO"),"SDF","LV")</f>
        <v>#REF!</v>
      </c>
      <c r="ABO5" s="1332" t="e">
        <f t="shared" ref="ABO5" si="1398">IF(OR(ABP5="SDF",ABQ5="FERIADO"),"SDF","LV")</f>
        <v>#REF!</v>
      </c>
      <c r="ABP5" s="1330" t="str">
        <f>IF(OR(ABQ4="SDF",ABR4="FERIADO"),"SDF","LV")</f>
        <v>SDF</v>
      </c>
      <c r="ABQ5" s="1331" t="e">
        <f t="shared" ref="ABQ5" si="1399">IF(OR(ABR5="SDF",ABS5="FERIADO"),"SDF","LV")</f>
        <v>#REF!</v>
      </c>
      <c r="ABR5" s="1332" t="e">
        <f t="shared" ref="ABR5" si="1400">IF(OR(ABS5="SDF",ABT5="FERIADO"),"SDF","LV")</f>
        <v>#REF!</v>
      </c>
      <c r="ABS5" s="1330" t="str">
        <f>IF(OR(ABT4="SDF",ABU4="FERIADO"),"SDF","LV")</f>
        <v>SDF</v>
      </c>
      <c r="ABT5" s="1331" t="e">
        <f t="shared" ref="ABT5" si="1401">IF(OR(ABU5="SDF",ABV5="FERIADO"),"SDF","LV")</f>
        <v>#REF!</v>
      </c>
      <c r="ABU5" s="1332" t="e">
        <f t="shared" ref="ABU5" si="1402">IF(OR(ABV5="SDF",ABW5="FERIADO"),"SDF","LV")</f>
        <v>#REF!</v>
      </c>
      <c r="ABV5" s="1330" t="str">
        <f>IF(OR(ABW4="SDF",ABX4="FERIADO"),"SDF","LV")</f>
        <v>LV</v>
      </c>
      <c r="ABW5" s="1331" t="e">
        <f t="shared" ref="ABW5" si="1403">IF(OR(ABX5="SDF",ABY5="FERIADO"),"SDF","LV")</f>
        <v>#REF!</v>
      </c>
      <c r="ABX5" s="1332" t="e">
        <f t="shared" ref="ABX5" si="1404">IF(OR(ABY5="SDF",ABZ5="FERIADO"),"SDF","LV")</f>
        <v>#REF!</v>
      </c>
      <c r="ABY5" s="1330" t="str">
        <f>IF(OR(ABZ4="SDF",ACA4="FERIADO"),"SDF","LV")</f>
        <v>LV</v>
      </c>
      <c r="ABZ5" s="1331" t="e">
        <f t="shared" ref="ABZ5" si="1405">IF(OR(ACA5="SDF",ACB5="FERIADO"),"SDF","LV")</f>
        <v>#REF!</v>
      </c>
      <c r="ACA5" s="1332" t="e">
        <f t="shared" ref="ACA5" si="1406">IF(OR(ACB5="SDF",ACC5="FERIADO"),"SDF","LV")</f>
        <v>#REF!</v>
      </c>
      <c r="ACB5" s="1330" t="str">
        <f>IF(OR(ACC4="SDF",ACD4="FERIADO"),"SDF","LV")</f>
        <v>LV</v>
      </c>
      <c r="ACC5" s="1331" t="e">
        <f t="shared" ref="ACC5" si="1407">IF(OR(ACD5="SDF",ACE5="FERIADO"),"SDF","LV")</f>
        <v>#REF!</v>
      </c>
      <c r="ACD5" s="1332" t="e">
        <f t="shared" ref="ACD5" si="1408">IF(OR(ACE5="SDF",ACF5="FERIADO"),"SDF","LV")</f>
        <v>#REF!</v>
      </c>
      <c r="ACE5" s="1330" t="str">
        <f>IF(OR(ACF4="SDF",ACG4="FERIADO"),"SDF","LV")</f>
        <v>LV</v>
      </c>
      <c r="ACF5" s="1331" t="e">
        <f>IF(OR(ACG5="SDF",#REF!="FERIADO"),"SDF","LV")</f>
        <v>#REF!</v>
      </c>
      <c r="ACG5" s="1332" t="e">
        <f>IF(OR(#REF!="SDF",#REF!="FERIADO"),"SDF","LV")</f>
        <v>#REF!</v>
      </c>
      <c r="ACH5" s="1330" t="str">
        <f>IF(OR(ACI4="SDF",ACJ4="FERIADO"),"SDF","LV")</f>
        <v>SDF</v>
      </c>
      <c r="ACI5" s="1331" t="e">
        <f t="shared" ref="ACI5" si="1409">IF(OR(ACJ5="SDF",ACK5="FERIADO"),"SDF","LV")</f>
        <v>#REF!</v>
      </c>
      <c r="ACJ5" s="1332" t="e">
        <f t="shared" ref="ACJ5" si="1410">IF(OR(ACK5="SDF",ACL5="FERIADO"),"SDF","LV")</f>
        <v>#REF!</v>
      </c>
      <c r="ACK5" s="1330" t="str">
        <f>IF(OR(ACL4="SDF",ACM4="FERIADO"),"SDF","LV")</f>
        <v>SDF</v>
      </c>
      <c r="ACL5" s="1331" t="e">
        <f t="shared" ref="ACL5" si="1411">IF(OR(ACM5="SDF",ACN5="FERIADO"),"SDF","LV")</f>
        <v>#REF!</v>
      </c>
      <c r="ACM5" s="1332" t="e">
        <f t="shared" ref="ACM5" si="1412">IF(OR(ACN5="SDF",ACO5="FERIADO"),"SDF","LV")</f>
        <v>#REF!</v>
      </c>
      <c r="ACN5" s="1330" t="str">
        <f>IF(OR(ACO4="SDF",ACP4="FERIADO"),"SDF","LV")</f>
        <v>SDF</v>
      </c>
      <c r="ACO5" s="1331" t="e">
        <f t="shared" ref="ACO5" si="1413">IF(OR(ACP5="SDF",ACQ5="FERIADO"),"SDF","LV")</f>
        <v>#REF!</v>
      </c>
      <c r="ACP5" s="1332" t="e">
        <f t="shared" ref="ACP5" si="1414">IF(OR(ACQ5="SDF",ACR5="FERIADO"),"SDF","LV")</f>
        <v>#REF!</v>
      </c>
      <c r="ACQ5" s="1330" t="str">
        <f>IF(OR(ACR4="SDF",ACS4="FERIADO"),"SDF","LV")</f>
        <v>LV</v>
      </c>
      <c r="ACR5" s="1331" t="e">
        <f>IF(OR(ACS5="SDF",ACT5="FERIADO"),"SDF","LV")</f>
        <v>#REF!</v>
      </c>
      <c r="ACS5" s="1332" t="e">
        <f t="shared" ref="ACS5" si="1415">IF(OR(ACT5="SDF",ACU5="FERIADO"),"SDF","LV")</f>
        <v>#REF!</v>
      </c>
      <c r="ACT5" s="1330" t="str">
        <f>IF(OR(ACU4="SDF",ACV4="FERIADO"),"SDF","LV")</f>
        <v>LV</v>
      </c>
      <c r="ACU5" s="1331" t="e">
        <f t="shared" ref="ACU5" si="1416">IF(OR(ACV5="SDF",ACW5="FERIADO"),"SDF","LV")</f>
        <v>#REF!</v>
      </c>
      <c r="ACV5" s="1332" t="e">
        <f t="shared" ref="ACV5" si="1417">IF(OR(ACW5="SDF",ACX5="FERIADO"),"SDF","LV")</f>
        <v>#REF!</v>
      </c>
      <c r="ACW5" s="1330" t="str">
        <f>IF(OR(ACX4="SDF",ACY4="FERIADO"),"SDF","LV")</f>
        <v>LV</v>
      </c>
      <c r="ACX5" s="1331" t="e">
        <f t="shared" ref="ACX5" si="1418">IF(OR(ACY5="SDF",ACZ5="FERIADO"),"SDF","LV")</f>
        <v>#REF!</v>
      </c>
      <c r="ACY5" s="1332" t="e">
        <f t="shared" ref="ACY5" si="1419">IF(OR(ACZ5="SDF",ADA5="FERIADO"),"SDF","LV")</f>
        <v>#REF!</v>
      </c>
      <c r="ACZ5" s="1330" t="str">
        <f>IF(OR(ADA4="SDF",ADB4="FERIADO"),"SDF","LV")</f>
        <v>LV</v>
      </c>
      <c r="ADA5" s="1331" t="e">
        <f>IF(OR(ADB5="SDF",#REF!="FERIADO"),"SDF","LV")</f>
        <v>#REF!</v>
      </c>
      <c r="ADB5" s="1332" t="e">
        <f>IF(OR(#REF!="SDF",#REF!="FERIADO"),"SDF","LV")</f>
        <v>#REF!</v>
      </c>
      <c r="ADC5" s="1330" t="str">
        <f>IF(OR(ADD4="SDF",ADE4="FERIADO"),"SDF","LV")</f>
        <v>LV</v>
      </c>
      <c r="ADD5" s="1331" t="e">
        <f t="shared" ref="ADD5" si="1420">IF(OR(ADE5="SDF",ADF5="FERIADO"),"SDF","LV")</f>
        <v>#REF!</v>
      </c>
      <c r="ADE5" s="1332" t="e">
        <f t="shared" ref="ADE5" si="1421">IF(OR(ADF5="SDF",ADG5="FERIADO"),"SDF","LV")</f>
        <v>#REF!</v>
      </c>
      <c r="ADF5" s="1330" t="str">
        <f>IF(OR(ADG4="SDF",ADH4="FERIADO"),"SDF","LV")</f>
        <v>SDF</v>
      </c>
      <c r="ADG5" s="1331" t="e">
        <f t="shared" ref="ADG5" si="1422">IF(OR(ADH5="SDF",ADI5="FERIADO"),"SDF","LV")</f>
        <v>#REF!</v>
      </c>
      <c r="ADH5" s="1332" t="e">
        <f t="shared" ref="ADH5" si="1423">IF(OR(ADI5="SDF",ADJ5="FERIADO"),"SDF","LV")</f>
        <v>#REF!</v>
      </c>
      <c r="ADI5" s="1330" t="str">
        <f>IF(OR(ADJ4="SDF",ADK4="FERIADO"),"SDF","LV")</f>
        <v>SDF</v>
      </c>
      <c r="ADJ5" s="1331" t="e">
        <f t="shared" ref="ADJ5" si="1424">IF(OR(ADK5="SDF",ADL5="FERIADO"),"SDF","LV")</f>
        <v>#REF!</v>
      </c>
      <c r="ADK5" s="1332" t="e">
        <f t="shared" ref="ADK5" si="1425">IF(OR(ADL5="SDF",ADM5="FERIADO"),"SDF","LV")</f>
        <v>#REF!</v>
      </c>
      <c r="ADL5" s="1330" t="str">
        <f>IF(OR(ADM4="SDF",ADN4="FERIADO"),"SDF","LV")</f>
        <v>LV</v>
      </c>
      <c r="ADM5" s="1331" t="e">
        <f t="shared" ref="ADM5" si="1426">IF(OR(ADN5="SDF",ADO5="FERIADO"),"SDF","LV")</f>
        <v>#REF!</v>
      </c>
      <c r="ADN5" s="1332" t="e">
        <f t="shared" ref="ADN5" si="1427">IF(OR(ADO5="SDF",ADP5="FERIADO"),"SDF","LV")</f>
        <v>#REF!</v>
      </c>
      <c r="ADO5" s="1330" t="str">
        <f>IF(OR(ADP4="SDF",ADQ4="FERIADO"),"SDF","LV")</f>
        <v>LV</v>
      </c>
      <c r="ADP5" s="1331" t="e">
        <f t="shared" ref="ADP5" si="1428">IF(OR(ADQ5="SDF",ADR5="FERIADO"),"SDF","LV")</f>
        <v>#REF!</v>
      </c>
      <c r="ADQ5" s="1332" t="e">
        <f t="shared" ref="ADQ5" si="1429">IF(OR(ADR5="SDF",ADS5="FERIADO"),"SDF","LV")</f>
        <v>#REF!</v>
      </c>
      <c r="ADR5" s="1330" t="str">
        <f>IF(OR(ADS4="SDF",ADT4="FERIADO"),"SDF","LV")</f>
        <v>LV</v>
      </c>
      <c r="ADS5" s="1331" t="e">
        <f t="shared" ref="ADS5" si="1430">IF(OR(ADT5="SDF",ADU5="FERIADO"),"SDF","LV")</f>
        <v>#REF!</v>
      </c>
      <c r="ADT5" s="1332" t="e">
        <f t="shared" ref="ADT5" si="1431">IF(OR(ADU5="SDF",ADV5="FERIADO"),"SDF","LV")</f>
        <v>#REF!</v>
      </c>
      <c r="ADU5" s="1330" t="str">
        <f>IF(OR(ADV4="SDF",ADW4="FERIADO"),"SDF","LV")</f>
        <v>LV</v>
      </c>
      <c r="ADV5" s="1331" t="e">
        <f>IF(OR(ADW5="SDF",#REF!="FERIADO"),"SDF","LV")</f>
        <v>#REF!</v>
      </c>
      <c r="ADW5" s="1332" t="e">
        <f>IF(OR(#REF!="SDF",#REF!="FERIADO"),"SDF","LV")</f>
        <v>#REF!</v>
      </c>
      <c r="ADX5" s="1330" t="str">
        <f>IF(OR(ADY4="SDF",ADZ4="FERIADO"),"SDF","LV")</f>
        <v>LV</v>
      </c>
      <c r="ADY5" s="1331" t="e">
        <f t="shared" ref="ADY5" si="1432">IF(OR(ADZ5="SDF",AEA5="FERIADO"),"SDF","LV")</f>
        <v>#REF!</v>
      </c>
      <c r="ADZ5" s="1332" t="e">
        <f t="shared" ref="ADZ5" si="1433">IF(OR(AEA5="SDF",AEB5="FERIADO"),"SDF","LV")</f>
        <v>#REF!</v>
      </c>
      <c r="AEA5" s="1330" t="str">
        <f>IF(OR(AEB4="SDF",AEC4="FERIADO"),"SDF","LV")</f>
        <v>SDF</v>
      </c>
      <c r="AEB5" s="1331" t="e">
        <f t="shared" ref="AEB5" si="1434">IF(OR(AEC5="SDF",AED5="FERIADO"),"SDF","LV")</f>
        <v>#REF!</v>
      </c>
      <c r="AEC5" s="1332" t="e">
        <f t="shared" ref="AEC5" si="1435">IF(OR(AED5="SDF",AEE5="FERIADO"),"SDF","LV")</f>
        <v>#REF!</v>
      </c>
      <c r="AED5" s="1330" t="str">
        <f>IF(OR(AEE4="SDF",AEF4="FERIADO"),"SDF","LV")</f>
        <v>SDF</v>
      </c>
      <c r="AEE5" s="1331" t="e">
        <f t="shared" ref="AEE5" si="1436">IF(OR(AEF5="SDF",AEG5="FERIADO"),"SDF","LV")</f>
        <v>#REF!</v>
      </c>
      <c r="AEF5" s="1332" t="e">
        <f t="shared" ref="AEF5" si="1437">IF(OR(AEG5="SDF",AEH5="FERIADO"),"SDF","LV")</f>
        <v>#REF!</v>
      </c>
      <c r="AEG5" s="1330" t="str">
        <f>IF(OR(AEH4="SDF",AEI4="FERIADO"),"SDF","LV")</f>
        <v>LV</v>
      </c>
      <c r="AEH5" s="1331" t="e">
        <f t="shared" ref="AEH5" si="1438">IF(OR(AEI5="SDF",AEJ5="FERIADO"),"SDF","LV")</f>
        <v>#REF!</v>
      </c>
      <c r="AEI5" s="1332" t="e">
        <f t="shared" ref="AEI5" si="1439">IF(OR(AEJ5="SDF",AEK5="FERIADO"),"SDF","LV")</f>
        <v>#REF!</v>
      </c>
      <c r="AEJ5" s="1330" t="str">
        <f>IF(OR(AEK4="SDF",AEL4="FERIADO"),"SDF","LV")</f>
        <v>LV</v>
      </c>
      <c r="AEK5" s="1331" t="e">
        <f t="shared" ref="AEK5" si="1440">IF(OR(AEL5="SDF",AEM5="FERIADO"),"SDF","LV")</f>
        <v>#REF!</v>
      </c>
      <c r="AEL5" s="1332" t="e">
        <f t="shared" ref="AEL5" si="1441">IF(OR(AEM5="SDF",AEN5="FERIADO"),"SDF","LV")</f>
        <v>#REF!</v>
      </c>
      <c r="AEM5" s="1330" t="str">
        <f>IF(OR(AEN4="SDF",AEO4="FERIADO"),"SDF","LV")</f>
        <v>LV</v>
      </c>
      <c r="AEN5" s="1331" t="e">
        <f t="shared" ref="AEN5" si="1442">IF(OR(AEO5="SDF",AEP5="FERIADO"),"SDF","LV")</f>
        <v>#REF!</v>
      </c>
      <c r="AEO5" s="1332" t="e">
        <f t="shared" ref="AEO5" si="1443">IF(OR(AEP5="SDF",AEQ5="FERIADO"),"SDF","LV")</f>
        <v>#REF!</v>
      </c>
      <c r="AEP5" s="1330" t="str">
        <f>IF(OR(AEQ4="SDF",AER4="FERIADO"),"SDF","LV")</f>
        <v>LV</v>
      </c>
      <c r="AEQ5" s="1331" t="e">
        <f>IF(OR(AER5="SDF",#REF!="FERIADO"),"SDF","LV")</f>
        <v>#REF!</v>
      </c>
      <c r="AER5" s="1332" t="e">
        <f>IF(OR(#REF!="SDF",#REF!="FERIADO"),"SDF","LV")</f>
        <v>#REF!</v>
      </c>
      <c r="AES5" s="1330" t="str">
        <f>IF(OR(AET4="SDF",AEU4="FERIADO"),"SDF","LV")</f>
        <v>LV</v>
      </c>
      <c r="AET5" s="1331" t="e">
        <f t="shared" ref="AET5" si="1444">IF(OR(AEU5="SDF",AEV5="FERIADO"),"SDF","LV")</f>
        <v>#REF!</v>
      </c>
      <c r="AEU5" s="1332" t="e">
        <f t="shared" ref="AEU5" si="1445">IF(OR(AEV5="SDF",AEW5="FERIADO"),"SDF","LV")</f>
        <v>#REF!</v>
      </c>
      <c r="AEV5" s="1330" t="str">
        <f>IF(OR(AEW4="SDF",AEX4="FERIADO"),"SDF","LV")</f>
        <v>SDF</v>
      </c>
      <c r="AEW5" s="1331" t="e">
        <f t="shared" ref="AEW5" si="1446">IF(OR(AEX5="SDF",AEY5="FERIADO"),"SDF","LV")</f>
        <v>#REF!</v>
      </c>
      <c r="AEX5" s="1332" t="e">
        <f t="shared" ref="AEX5" si="1447">IF(OR(AEY5="SDF",AEZ5="FERIADO"),"SDF","LV")</f>
        <v>#REF!</v>
      </c>
      <c r="AEY5" s="1330" t="str">
        <f>IF(OR(AEZ4="SDF",AFA4="FERIADO"),"SDF","LV")</f>
        <v>SDF</v>
      </c>
      <c r="AEZ5" s="1331" t="e">
        <f t="shared" ref="AEZ5" si="1448">IF(OR(AFA5="SDF",AFB5="FERIADO"),"SDF","LV")</f>
        <v>#REF!</v>
      </c>
      <c r="AFA5" s="1332" t="e">
        <f t="shared" ref="AFA5" si="1449">IF(OR(AFB5="SDF",AFC5="FERIADO"),"SDF","LV")</f>
        <v>#REF!</v>
      </c>
      <c r="AFB5" s="1330" t="str">
        <f>IF(OR(AFC4="SDF",AFD4="FERIADO"),"SDF","LV")</f>
        <v>LV</v>
      </c>
      <c r="AFC5" s="1331" t="e">
        <f t="shared" ref="AFC5" si="1450">IF(OR(AFD5="SDF",AFE5="FERIADO"),"SDF","LV")</f>
        <v>#REF!</v>
      </c>
      <c r="AFD5" s="1332" t="e">
        <f t="shared" ref="AFD5" si="1451">IF(OR(AFE5="SDF",AFF5="FERIADO"),"SDF","LV")</f>
        <v>#REF!</v>
      </c>
      <c r="AFE5" s="1330" t="str">
        <f>IF(OR(AFF4="SDF",AFG4="FERIADO"),"SDF","LV")</f>
        <v>LV</v>
      </c>
      <c r="AFF5" s="1331" t="e">
        <f t="shared" ref="AFF5" si="1452">IF(OR(AFG5="SDF",AFH5="FERIADO"),"SDF","LV")</f>
        <v>#REF!</v>
      </c>
      <c r="AFG5" s="1332" t="e">
        <f t="shared" ref="AFG5" si="1453">IF(OR(AFH5="SDF",AFI5="FERIADO"),"SDF","LV")</f>
        <v>#REF!</v>
      </c>
      <c r="AFH5" s="1330" t="str">
        <f>IF(OR(AFI4="SDF",AFJ4="FERIADO"),"SDF","LV")</f>
        <v>LV</v>
      </c>
      <c r="AFI5" s="1331" t="e">
        <f t="shared" ref="AFI5" si="1454">IF(OR(AFJ5="SDF",AFK5="FERIADO"),"SDF","LV")</f>
        <v>#REF!</v>
      </c>
      <c r="AFJ5" s="1332" t="e">
        <f t="shared" ref="AFJ5" si="1455">IF(OR(AFK5="SDF",AFL5="FERIADO"),"SDF","LV")</f>
        <v>#REF!</v>
      </c>
      <c r="AFK5" s="1330" t="str">
        <f>IF(OR(AFL4="SDF",AFM4="FERIADO"),"SDF","LV")</f>
        <v>LV</v>
      </c>
      <c r="AFL5" s="1331" t="e">
        <f>IF(OR(AFM5="SDF",#REF!="FERIADO"),"SDF","LV")</f>
        <v>#REF!</v>
      </c>
      <c r="AFM5" s="1332" t="e">
        <f>IF(OR(#REF!="SDF",#REF!="FERIADO"),"SDF","LV")</f>
        <v>#REF!</v>
      </c>
      <c r="AFN5" s="1330" t="str">
        <f>IF(OR(AFO4="SDF",AFP4="FERIADO"),"SDF","LV")</f>
        <v>LV</v>
      </c>
      <c r="AFO5" s="1331" t="e">
        <f t="shared" ref="AFO5" si="1456">IF(OR(AFP5="SDF",AFQ5="FERIADO"),"SDF","LV")</f>
        <v>#REF!</v>
      </c>
      <c r="AFP5" s="1332" t="e">
        <f t="shared" ref="AFP5" si="1457">IF(OR(AFQ5="SDF",AFR5="FERIADO"),"SDF","LV")</f>
        <v>#REF!</v>
      </c>
      <c r="AFQ5" s="1330" t="str">
        <f>IF(OR(AFR4="SDF",AFS4="FERIADO"),"SDF","LV")</f>
        <v>SDF</v>
      </c>
      <c r="AFR5" s="1331" t="e">
        <f t="shared" ref="AFR5" si="1458">IF(OR(AFS5="SDF",AFT5="FERIADO"),"SDF","LV")</f>
        <v>#REF!</v>
      </c>
      <c r="AFS5" s="1332" t="e">
        <f t="shared" ref="AFS5" si="1459">IF(OR(AFT5="SDF",AFU5="FERIADO"),"SDF","LV")</f>
        <v>#REF!</v>
      </c>
      <c r="AFT5" s="1330" t="str">
        <f>IF(OR(AFU4="SDF",AFV4="FERIADO"),"SDF","LV")</f>
        <v>SDF</v>
      </c>
      <c r="AFU5" s="1331" t="e">
        <f t="shared" ref="AFU5" si="1460">IF(OR(AFV5="SDF",AFW5="FERIADO"),"SDF","LV")</f>
        <v>#REF!</v>
      </c>
      <c r="AFV5" s="1332" t="e">
        <f t="shared" ref="AFV5" si="1461">IF(OR(AFW5="SDF",AFX5="FERIADO"),"SDF","LV")</f>
        <v>#REF!</v>
      </c>
      <c r="AFW5" s="1330" t="str">
        <f>IF(OR(AFX4="SDF",AFY4="FERIADO"),"SDF","LV")</f>
        <v>LV</v>
      </c>
      <c r="AFX5" s="1331" t="e">
        <f t="shared" ref="AFX5" si="1462">IF(OR(AFY5="SDF",AFZ5="FERIADO"),"SDF","LV")</f>
        <v>#REF!</v>
      </c>
      <c r="AFY5" s="1332" t="e">
        <f t="shared" ref="AFY5" si="1463">IF(OR(AFZ5="SDF",AGA5="FERIADO"),"SDF","LV")</f>
        <v>#REF!</v>
      </c>
      <c r="AFZ5" s="1330" t="str">
        <f>IF(OR(AGA4="SDF",AGB4="FERIADO"),"SDF","LV")</f>
        <v>LV</v>
      </c>
      <c r="AGA5" s="1331" t="e">
        <f t="shared" ref="AGA5" si="1464">IF(OR(AGB5="SDF",AGC5="FERIADO"),"SDF","LV")</f>
        <v>#REF!</v>
      </c>
      <c r="AGB5" s="1332" t="e">
        <f t="shared" ref="AGB5" si="1465">IF(OR(AGC5="SDF",AGD5="FERIADO"),"SDF","LV")</f>
        <v>#REF!</v>
      </c>
      <c r="AGC5" s="1330" t="str">
        <f>IF(OR(AGD4="SDF",AGE4="FERIADO"),"SDF","LV")</f>
        <v>LV</v>
      </c>
      <c r="AGD5" s="1331" t="e">
        <f t="shared" ref="AGD5" si="1466">IF(OR(AGE5="SDF",AGF5="FERIADO"),"SDF","LV")</f>
        <v>#REF!</v>
      </c>
      <c r="AGE5" s="1332" t="e">
        <f t="shared" ref="AGE5" si="1467">IF(OR(AGF5="SDF",AGG5="FERIADO"),"SDF","LV")</f>
        <v>#REF!</v>
      </c>
      <c r="AGF5" s="1330" t="str">
        <f>IF(OR(AGG4="SDF",AGH4="FERIADO"),"SDF","LV")</f>
        <v>LV</v>
      </c>
      <c r="AGG5" s="1331" t="e">
        <f>IF(OR(AGH5="SDF",#REF!="FERIADO"),"SDF","LV")</f>
        <v>#REF!</v>
      </c>
      <c r="AGH5" s="1332" t="e">
        <f>IF(OR(#REF!="SDF",#REF!="FERIADO"),"SDF","LV")</f>
        <v>#REF!</v>
      </c>
      <c r="AGI5" s="1330" t="str">
        <f>IF(OR(AGJ4="SDF",AGK4="FERIADO"),"SDF","LV")</f>
        <v>LV</v>
      </c>
      <c r="AGJ5" s="1331" t="e">
        <f t="shared" ref="AGJ5" si="1468">IF(OR(AGK5="SDF",AGL5="FERIADO"),"SDF","LV")</f>
        <v>#REF!</v>
      </c>
      <c r="AGK5" s="1332" t="e">
        <f t="shared" ref="AGK5" si="1469">IF(OR(AGL5="SDF",AGM5="FERIADO"),"SDF","LV")</f>
        <v>#REF!</v>
      </c>
      <c r="AGL5" s="1330" t="str">
        <f>IF(OR(AGM4="SDF",AGN4="FERIADO"),"SDF","LV")</f>
        <v>SDF</v>
      </c>
      <c r="AGM5" s="1331" t="e">
        <f t="shared" ref="AGM5" si="1470">IF(OR(AGN5="SDF",AGO5="FERIADO"),"SDF","LV")</f>
        <v>#REF!</v>
      </c>
      <c r="AGN5" s="1332" t="e">
        <f t="shared" ref="AGN5" si="1471">IF(OR(AGO5="SDF",AGP5="FERIADO"),"SDF","LV")</f>
        <v>#REF!</v>
      </c>
      <c r="AGO5" s="1330" t="str">
        <f>IF(OR(AGP4="SDF",AGQ4="FERIADO"),"SDF","LV")</f>
        <v>SDF</v>
      </c>
      <c r="AGP5" s="1331" t="e">
        <f t="shared" ref="AGP5" si="1472">IF(OR(AGQ5="SDF",AGR5="FERIADO"),"SDF","LV")</f>
        <v>#REF!</v>
      </c>
      <c r="AGQ5" s="1332" t="e">
        <f t="shared" ref="AGQ5" si="1473">IF(OR(AGR5="SDF",AGS5="FERIADO"),"SDF","LV")</f>
        <v>#REF!</v>
      </c>
      <c r="AGR5" s="1330" t="str">
        <f>IF(OR(AGS4="SDF",AGT4="FERIADO"),"SDF","LV")</f>
        <v>LV</v>
      </c>
      <c r="AGS5" s="1331" t="e">
        <f t="shared" ref="AGS5" si="1474">IF(OR(AGT5="SDF",AGU5="FERIADO"),"SDF","LV")</f>
        <v>#REF!</v>
      </c>
      <c r="AGT5" s="1332" t="e">
        <f t="shared" ref="AGT5" si="1475">IF(OR(AGU5="SDF",AGV5="FERIADO"),"SDF","LV")</f>
        <v>#REF!</v>
      </c>
      <c r="AGU5" s="1330" t="str">
        <f>IF(OR(AGV4="SDF",AGW4="FERIADO"),"SDF","LV")</f>
        <v>LV</v>
      </c>
      <c r="AGV5" s="1331" t="e">
        <f t="shared" ref="AGV5" si="1476">IF(OR(AGW5="SDF",AGX5="FERIADO"),"SDF","LV")</f>
        <v>#REF!</v>
      </c>
      <c r="AGW5" s="1332" t="e">
        <f t="shared" ref="AGW5" si="1477">IF(OR(AGX5="SDF",AGY5="FERIADO"),"SDF","LV")</f>
        <v>#REF!</v>
      </c>
      <c r="AGX5" s="1330" t="str">
        <f>IF(OR(AGY4="SDF",AGZ4="FERIADO"),"SDF","LV")</f>
        <v>LV</v>
      </c>
      <c r="AGY5" s="1331" t="e">
        <f t="shared" ref="AGY5" si="1478">IF(OR(AGZ5="SDF",AHA5="FERIADO"),"SDF","LV")</f>
        <v>#REF!</v>
      </c>
      <c r="AGZ5" s="1332" t="e">
        <f t="shared" ref="AGZ5" si="1479">IF(OR(AHA5="SDF",AHB5="FERIADO"),"SDF","LV")</f>
        <v>#REF!</v>
      </c>
      <c r="AHA5" s="1330" t="str">
        <f>IF(OR(AHB4="SDF",AHC4="FERIADO"),"SDF","LV")</f>
        <v>LV</v>
      </c>
      <c r="AHB5" s="1331" t="e">
        <f>IF(OR(AHC5="SDF",#REF!="FERIADO"),"SDF","LV")</f>
        <v>#REF!</v>
      </c>
      <c r="AHC5" s="1332" t="e">
        <f>IF(OR(#REF!="SDF",#REF!="FERIADO"),"SDF","LV")</f>
        <v>#REF!</v>
      </c>
      <c r="AHD5" s="1330" t="str">
        <f>IF(OR(AHE4="SDF",AHF4="FERIADO"),"SDF","LV")</f>
        <v>LV</v>
      </c>
      <c r="AHE5" s="1331" t="e">
        <f t="shared" ref="AHE5" si="1480">IF(OR(AHF5="SDF",AHG5="FERIADO"),"SDF","LV")</f>
        <v>#REF!</v>
      </c>
      <c r="AHF5" s="1332" t="e">
        <f t="shared" ref="AHF5" si="1481">IF(OR(AHG5="SDF",AHH5="FERIADO"),"SDF","LV")</f>
        <v>#REF!</v>
      </c>
      <c r="AHG5" s="1330" t="str">
        <f>IF(OR(AHH4="SDF",AHI4="FERIADO"),"SDF","LV")</f>
        <v>SDF</v>
      </c>
      <c r="AHH5" s="1331" t="e">
        <f t="shared" ref="AHH5" si="1482">IF(OR(AHI5="SDF",AHJ5="FERIADO"),"SDF","LV")</f>
        <v>#REF!</v>
      </c>
      <c r="AHI5" s="1332" t="e">
        <f t="shared" ref="AHI5" si="1483">IF(OR(AHJ5="SDF",AHK5="FERIADO"),"SDF","LV")</f>
        <v>#REF!</v>
      </c>
      <c r="AHJ5" s="1330" t="str">
        <f>IF(OR(AHK4="SDF",AHL4="FERIADO"),"SDF","LV")</f>
        <v>SDF</v>
      </c>
      <c r="AHK5" s="1331" t="e">
        <f t="shared" ref="AHK5" si="1484">IF(OR(AHL5="SDF",AHM5="FERIADO"),"SDF","LV")</f>
        <v>#REF!</v>
      </c>
      <c r="AHL5" s="1332" t="e">
        <f t="shared" ref="AHL5" si="1485">IF(OR(AHM5="SDF",AHN5="FERIADO"),"SDF","LV")</f>
        <v>#REF!</v>
      </c>
      <c r="AHM5" s="1330" t="str">
        <f>IF(OR(AHN4="SDF",AHO4="FERIADO"),"SDF","LV")</f>
        <v>SDF</v>
      </c>
      <c r="AHN5" s="1331" t="e">
        <f t="shared" ref="AHN5" si="1486">IF(OR(AHO5="SDF",AHP5="FERIADO"),"SDF","LV")</f>
        <v>#REF!</v>
      </c>
      <c r="AHO5" s="1332" t="e">
        <f t="shared" ref="AHO5" si="1487">IF(OR(AHP5="SDF",AHQ5="FERIADO"),"SDF","LV")</f>
        <v>#REF!</v>
      </c>
      <c r="AHP5" s="1330" t="str">
        <f>IF(OR(AHQ4="SDF",AHR4="FERIADO"),"SDF","LV")</f>
        <v>LV</v>
      </c>
      <c r="AHQ5" s="1331" t="e">
        <f t="shared" ref="AHQ5" si="1488">IF(OR(AHR5="SDF",AHS5="FERIADO"),"SDF","LV")</f>
        <v>#REF!</v>
      </c>
      <c r="AHR5" s="1332" t="e">
        <f t="shared" ref="AHR5" si="1489">IF(OR(AHS5="SDF",AHT5="FERIADO"),"SDF","LV")</f>
        <v>#REF!</v>
      </c>
      <c r="AHS5" s="1330" t="str">
        <f>IF(OR(AHT4="SDF",AHU4="FERIADO"),"SDF","LV")</f>
        <v>LV</v>
      </c>
      <c r="AHT5" s="1331" t="e">
        <f t="shared" ref="AHT5" si="1490">IF(OR(AHU5="SDF",AHV5="FERIADO"),"SDF","LV")</f>
        <v>#REF!</v>
      </c>
      <c r="AHU5" s="1332" t="e">
        <f t="shared" ref="AHU5" si="1491">IF(OR(AHV5="SDF",AHW5="FERIADO"),"SDF","LV")</f>
        <v>#REF!</v>
      </c>
      <c r="AHV5" s="1330" t="str">
        <f>IF(OR(AHW4="SDF",AHX4="FERIADO"),"SDF","LV")</f>
        <v>LV</v>
      </c>
      <c r="AHW5" s="1331" t="e">
        <f>IF(OR(AHX5="SDF",#REF!="FERIADO"),"SDF","LV")</f>
        <v>#REF!</v>
      </c>
      <c r="AHX5" s="1332" t="e">
        <f>IF(OR(#REF!="SDF",#REF!="FERIADO"),"SDF","LV")</f>
        <v>#REF!</v>
      </c>
      <c r="AHY5" s="1330" t="str">
        <f>IF(OR(AHZ4="SDF",AIA4="FERIADO"),"SDF","LV")</f>
        <v>LV</v>
      </c>
      <c r="AHZ5" s="1331" t="e">
        <f t="shared" ref="AHZ5" si="1492">IF(OR(AIA5="SDF",AIB5="FERIADO"),"SDF","LV")</f>
        <v>#REF!</v>
      </c>
      <c r="AIA5" s="1332" t="e">
        <f t="shared" ref="AIA5" si="1493">IF(OR(AIB5="SDF",AIC5="FERIADO"),"SDF","LV")</f>
        <v>#REF!</v>
      </c>
      <c r="AIB5" s="1330" t="str">
        <f>IF(OR(AIC4="SDF",AID4="FERIADO"),"SDF","LV")</f>
        <v>SDF</v>
      </c>
      <c r="AIC5" s="1331" t="e">
        <f t="shared" ref="AIC5" si="1494">IF(OR(AID5="SDF",AIE5="FERIADO"),"SDF","LV")</f>
        <v>#REF!</v>
      </c>
      <c r="AID5" s="1332" t="e">
        <f t="shared" ref="AID5" si="1495">IF(OR(AIE5="SDF",AIF5="FERIADO"),"SDF","LV")</f>
        <v>#REF!</v>
      </c>
      <c r="AIE5" s="1330" t="str">
        <f>IF(OR(AIF4="SDF",AIG4="FERIADO"),"SDF","LV")</f>
        <v>SDF</v>
      </c>
      <c r="AIF5" s="1331" t="e">
        <f>IF(OR(AIG5="SDF",#REF!="FERIADO"),"SDF","LV")</f>
        <v>#REF!</v>
      </c>
      <c r="AIG5" s="1332" t="e">
        <f>IF(OR(#REF!="SDF",#REF!="FERIADO"),"SDF","LV")</f>
        <v>#REF!</v>
      </c>
      <c r="AIH5" s="1330" t="str">
        <f>IF(OR(AII4="SDF",AIJ4="FERIADO"),"SDF","LV")</f>
        <v>LV</v>
      </c>
      <c r="AII5" s="1331" t="e">
        <f t="shared" ref="AII5" si="1496">IF(OR(AIJ5="SDF",AIK5="FERIADO"),"SDF","LV")</f>
        <v>#REF!</v>
      </c>
      <c r="AIJ5" s="1332" t="e">
        <f t="shared" ref="AIJ5" si="1497">IF(OR(AIK5="SDF",AIL5="FERIADO"),"SDF","LV")</f>
        <v>#REF!</v>
      </c>
      <c r="AIK5" s="1330" t="str">
        <f>IF(OR(AIL4="SDF",AIM4="FERIADO"),"SDF","LV")</f>
        <v>LV</v>
      </c>
      <c r="AIL5" s="1331" t="e">
        <f>IF(OR(AIM5="SDF",#REF!="FERIADO"),"SDF","LV")</f>
        <v>#REF!</v>
      </c>
      <c r="AIM5" s="1332" t="e">
        <f>IF(OR(#REF!="SDF",#REF!="FERIADO"),"SDF","LV")</f>
        <v>#REF!</v>
      </c>
      <c r="AIN5" s="1330" t="str">
        <f>IF(OR(AIO4="SDF",AIP4="FERIADO"),"SDF","LV")</f>
        <v>LV</v>
      </c>
      <c r="AIO5" s="1331" t="e">
        <f t="shared" ref="AIO5" si="1498">IF(OR(AIP5="SDF",AIQ5="FERIADO"),"SDF","LV")</f>
        <v>#REF!</v>
      </c>
      <c r="AIP5" s="1332" t="e">
        <f t="shared" ref="AIP5" si="1499">IF(OR(AIQ5="SDF",AIR5="FERIADO"),"SDF","LV")</f>
        <v>#REF!</v>
      </c>
      <c r="AIQ5" s="1330" t="str">
        <f>IF(OR(AIR4="SDF",AIS4="FERIADO"),"SDF","LV")</f>
        <v>LV</v>
      </c>
      <c r="AIR5" s="1331" t="e">
        <f t="shared" ref="AIR5" si="1500">IF(OR(AIS5="SDF",AIT5="FERIADO"),"SDF","LV")</f>
        <v>#REF!</v>
      </c>
      <c r="AIS5" s="1332" t="e">
        <f t="shared" ref="AIS5" si="1501">IF(OR(AIT5="SDF",AIU5="FERIADO"),"SDF","LV")</f>
        <v>#REF!</v>
      </c>
      <c r="AIT5" s="1330" t="str">
        <f>IF(OR(AIU4="SDF",AIV4="FERIADO"),"SDF","LV")</f>
        <v>LV</v>
      </c>
      <c r="AIU5" s="1331" t="e">
        <f>IF(OR(AIV5="SDF",#REF!="FERIADO"),"SDF","LV")</f>
        <v>#REF!</v>
      </c>
      <c r="AIV5" s="1332" t="e">
        <f>IF(OR(#REF!="SDF",#REF!="FERIADO"),"SDF","LV")</f>
        <v>#REF!</v>
      </c>
      <c r="AIW5" s="1330" t="str">
        <f>IF(OR(AIX4="SDF",AIY4="FERIADO"),"SDF","LV")</f>
        <v>SDF</v>
      </c>
      <c r="AIX5" s="1331" t="e">
        <f t="shared" ref="AIX5" si="1502">IF(OR(AIY5="SDF",AIZ5="FERIADO"),"SDF","LV")</f>
        <v>#REF!</v>
      </c>
      <c r="AIY5" s="1332" t="e">
        <f t="shared" ref="AIY5" si="1503">IF(OR(AIZ5="SDF",AJA5="FERIADO"),"SDF","LV")</f>
        <v>#REF!</v>
      </c>
      <c r="AIZ5" s="1330" t="str">
        <f>IF(OR(AJA4="SDF",AJB4="FERIADO"),"SDF","LV")</f>
        <v>SDF</v>
      </c>
      <c r="AJA5" s="1331" t="e">
        <f>IF(OR(AJB5="SDF",#REF!="FERIADO"),"SDF","LV")</f>
        <v>#REF!</v>
      </c>
      <c r="AJB5" s="1332" t="e">
        <f>IF(OR(#REF!="SDF",#REF!="FERIADO"),"SDF","LV")</f>
        <v>#REF!</v>
      </c>
      <c r="AJC5" s="1330" t="str">
        <f>IF(OR(AJD4="SDF",AJE4="FERIADO"),"SDF","LV")</f>
        <v>SDF</v>
      </c>
      <c r="AJD5" s="1331" t="e">
        <f t="shared" ref="AJD5" si="1504">IF(OR(AJE5="SDF",AJF5="FERIADO"),"SDF","LV")</f>
        <v>#REF!</v>
      </c>
      <c r="AJE5" s="1332" t="e">
        <f t="shared" ref="AJE5" si="1505">IF(OR(AJF5="SDF",AJG5="FERIADO"),"SDF","LV")</f>
        <v>#REF!</v>
      </c>
      <c r="AJF5" s="1330" t="str">
        <f>IF(OR(AJG4="SDF",AJH4="FERIADO"),"SDF","LV")</f>
        <v>LV</v>
      </c>
      <c r="AJG5" s="1331" t="e">
        <f>IF(OR(AJH5="SDF",#REF!="FERIADO"),"SDF","LV")</f>
        <v>#REF!</v>
      </c>
      <c r="AJH5" s="1332" t="e">
        <f>IF(OR(#REF!="SDF",#REF!="FERIADO"),"SDF","LV")</f>
        <v>#REF!</v>
      </c>
      <c r="AJI5" s="1330" t="str">
        <f>IF(OR(AJJ4="SDF",AJK4="FERIADO"),"SDF","LV")</f>
        <v>LV</v>
      </c>
      <c r="AJJ5" s="1331" t="e">
        <f t="shared" ref="AJJ5" si="1506">IF(OR(AJK5="SDF",AJL5="FERIADO"),"SDF","LV")</f>
        <v>#REF!</v>
      </c>
      <c r="AJK5" s="1332" t="e">
        <f t="shared" ref="AJK5" si="1507">IF(OR(AJL5="SDF",AJM5="FERIADO"),"SDF","LV")</f>
        <v>#REF!</v>
      </c>
      <c r="AJL5" s="1330" t="str">
        <f>IF(OR(AJM4="SDF",AJN4="FERIADO"),"SDF","LV")</f>
        <v>LV</v>
      </c>
      <c r="AJM5" s="1331" t="e">
        <f t="shared" ref="AJM5" si="1508">IF(OR(AJN5="SDF",AJO5="FERIADO"),"SDF","LV")</f>
        <v>#REF!</v>
      </c>
      <c r="AJN5" s="1332" t="e">
        <f t="shared" ref="AJN5" si="1509">IF(OR(AJO5="SDF",AJP5="FERIADO"),"SDF","LV")</f>
        <v>#REF!</v>
      </c>
      <c r="AJO5" s="1330" t="str">
        <f>IF(OR(AJP4="SDF",AJQ4="FERIADO"),"SDF","LV")</f>
        <v>LV</v>
      </c>
      <c r="AJP5" s="1331" t="e">
        <f>IF(OR(AJQ5="SDF",#REF!="FERIADO"),"SDF","LV")</f>
        <v>#REF!</v>
      </c>
      <c r="AJQ5" s="1332" t="e">
        <f>IF(OR(#REF!="SDF",#REF!="FERIADO"),"SDF","LV")</f>
        <v>#REF!</v>
      </c>
      <c r="AJR5" s="1330" t="str">
        <f>IF(OR(AJS4="SDF",AJT4="FERIADO"),"SDF","LV")</f>
        <v>SDF</v>
      </c>
      <c r="AJS5" s="1331" t="e">
        <f t="shared" ref="AJS5" si="1510">IF(OR(AJT5="SDF",AJU5="FERIADO"),"SDF","LV")</f>
        <v>#REF!</v>
      </c>
      <c r="AJT5" s="1332" t="e">
        <f t="shared" ref="AJT5" si="1511">IF(OR(AJU5="SDF",AJV5="FERIADO"),"SDF","LV")</f>
        <v>#REF!</v>
      </c>
      <c r="AJU5" s="1330" t="str">
        <f>IF(OR(AJV4="SDF",AJW4="FERIADO"),"SDF","LV")</f>
        <v>SDF</v>
      </c>
      <c r="AJV5" s="1331" t="e">
        <f>IF(OR(AJW5="SDF",#REF!="FERIADO"),"SDF","LV")</f>
        <v>#REF!</v>
      </c>
      <c r="AJW5" s="1332" t="e">
        <f>IF(OR(#REF!="SDF",#REF!="FERIADO"),"SDF","LV")</f>
        <v>#REF!</v>
      </c>
      <c r="AJX5" s="1330" t="str">
        <f>IF(OR(AJY4="SDF",AJZ4="FERIADO"),"SDF","LV")</f>
        <v>LV</v>
      </c>
      <c r="AJY5" s="1331" t="e">
        <f t="shared" ref="AJY5" si="1512">IF(OR(AJZ5="SDF",AKA5="FERIADO"),"SDF","LV")</f>
        <v>#REF!</v>
      </c>
      <c r="AJZ5" s="1332" t="e">
        <f t="shared" ref="AJZ5" si="1513">IF(OR(AKA5="SDF",AKB5="FERIADO"),"SDF","LV")</f>
        <v>#REF!</v>
      </c>
      <c r="AKA5" s="1330" t="str">
        <f>IF(OR(AKB4="SDF",AKC4="FERIADO"),"SDF","LV")</f>
        <v>LV</v>
      </c>
      <c r="AKB5" s="1331" t="e">
        <f>IF(OR(AKC5="SDF",#REF!="FERIADO"),"SDF","LV")</f>
        <v>#REF!</v>
      </c>
      <c r="AKC5" s="1332" t="e">
        <f>IF(OR(#REF!="SDF",#REF!="FERIADO"),"SDF","LV")</f>
        <v>#REF!</v>
      </c>
      <c r="AKD5" s="1330" t="str">
        <f>IF(OR(AKE4="SDF",AKF4="FERIADO"),"SDF","LV")</f>
        <v>LV</v>
      </c>
      <c r="AKE5" s="1331" t="e">
        <f t="shared" ref="AKE5" si="1514">IF(OR(AKF5="SDF",AKG5="FERIADO"),"SDF","LV")</f>
        <v>#REF!</v>
      </c>
      <c r="AKF5" s="1332" t="e">
        <f t="shared" ref="AKF5" si="1515">IF(OR(AKG5="SDF",AKH5="FERIADO"),"SDF","LV")</f>
        <v>#REF!</v>
      </c>
      <c r="AKG5" s="1330" t="str">
        <f>IF(OR(AKH4="SDF",AKI4="FERIADO"),"SDF","LV")</f>
        <v>LV</v>
      </c>
      <c r="AKH5" s="1331" t="e">
        <f t="shared" ref="AKH5" si="1516">IF(OR(AKI5="SDF",AKJ5="FERIADO"),"SDF","LV")</f>
        <v>#REF!</v>
      </c>
      <c r="AKI5" s="1332" t="e">
        <f t="shared" ref="AKI5" si="1517">IF(OR(AKJ5="SDF",AKK5="FERIADO"),"SDF","LV")</f>
        <v>#REF!</v>
      </c>
      <c r="AKJ5" s="1330" t="str">
        <f>IF(OR(AKK4="SDF",AKL4="FERIADO"),"SDF","LV")</f>
        <v>LV</v>
      </c>
      <c r="AKK5" s="1331" t="e">
        <f>IF(OR(AKL5="SDF",#REF!="FERIADO"),"SDF","LV")</f>
        <v>#REF!</v>
      </c>
      <c r="AKL5" s="1332" t="e">
        <f>IF(OR(#REF!="SDF",#REF!="FERIADO"),"SDF","LV")</f>
        <v>#REF!</v>
      </c>
      <c r="AKM5" s="1330" t="str">
        <f>IF(OR(AKN4="SDF",AKO4="FERIADO"),"SDF","LV")</f>
        <v>SDF</v>
      </c>
      <c r="AKN5" s="1331" t="e">
        <f t="shared" ref="AKN5" si="1518">IF(OR(AKO5="SDF",AKP5="FERIADO"),"SDF","LV")</f>
        <v>#REF!</v>
      </c>
      <c r="AKO5" s="1332" t="e">
        <f t="shared" ref="AKO5" si="1519">IF(OR(AKP5="SDF",AKQ5="FERIADO"),"SDF","LV")</f>
        <v>#REF!</v>
      </c>
      <c r="AKP5" s="1330" t="str">
        <f>IF(OR(AKQ4="SDF",AKR4="FERIADO"),"SDF","LV")</f>
        <v>SDF</v>
      </c>
      <c r="AKQ5" s="1331" t="e">
        <f>IF(OR(AKR5="SDF",#REF!="FERIADO"),"SDF","LV")</f>
        <v>#REF!</v>
      </c>
      <c r="AKR5" s="1332" t="e">
        <f>IF(OR(#REF!="SDF",#REF!="FERIADO"),"SDF","LV")</f>
        <v>#REF!</v>
      </c>
      <c r="AKS5" s="1330" t="str">
        <f>IF(OR(AKT4="SDF",AKU4="FERIADO"),"SDF","LV")</f>
        <v>LV</v>
      </c>
      <c r="AKT5" s="1331" t="e">
        <f t="shared" ref="AKT5" si="1520">IF(OR(AKU5="SDF",AKV5="FERIADO"),"SDF","LV")</f>
        <v>#REF!</v>
      </c>
      <c r="AKU5" s="1332" t="e">
        <f t="shared" ref="AKU5" si="1521">IF(OR(AKV5="SDF",AKW5="FERIADO"),"SDF","LV")</f>
        <v>#REF!</v>
      </c>
      <c r="AKV5" s="1330" t="str">
        <f>IF(OR(AKW4="SDF",AKX4="FERIADO"),"SDF","LV")</f>
        <v>LV</v>
      </c>
      <c r="AKW5" s="1331" t="e">
        <f>IF(OR(AKX5="SDF",#REF!="FERIADO"),"SDF","LV")</f>
        <v>#REF!</v>
      </c>
      <c r="AKX5" s="1332" t="e">
        <f>IF(OR(#REF!="SDF",#REF!="FERIADO"),"SDF","LV")</f>
        <v>#REF!</v>
      </c>
      <c r="AKY5" s="1330" t="str">
        <f>IF(OR(AKZ4="SDF",ALA4="FERIADO"),"SDF","LV")</f>
        <v>LV</v>
      </c>
      <c r="AKZ5" s="1331" t="e">
        <f t="shared" ref="AKZ5" si="1522">IF(OR(ALA5="SDF",ALB5="FERIADO"),"SDF","LV")</f>
        <v>#REF!</v>
      </c>
      <c r="ALA5" s="1332" t="e">
        <f t="shared" ref="ALA5" si="1523">IF(OR(ALB5="SDF",ALC5="FERIADO"),"SDF","LV")</f>
        <v>#REF!</v>
      </c>
      <c r="ALB5" s="1330" t="str">
        <f>IF(OR(ALC4="SDF",ALD4="FERIADO"),"SDF","LV")</f>
        <v>LV</v>
      </c>
      <c r="ALC5" s="1331" t="e">
        <f t="shared" ref="ALC5" si="1524">IF(OR(ALD5="SDF",ALE5="FERIADO"),"SDF","LV")</f>
        <v>#REF!</v>
      </c>
      <c r="ALD5" s="1332" t="e">
        <f t="shared" ref="ALD5" si="1525">IF(OR(ALE5="SDF",ALF5="FERIADO"),"SDF","LV")</f>
        <v>#REF!</v>
      </c>
      <c r="ALE5" s="1330" t="str">
        <f>IF(OR(ALF4="SDF",ALG4="FERIADO"),"SDF","LV")</f>
        <v>LV</v>
      </c>
      <c r="ALF5" s="1331" t="e">
        <f>IF(OR(ALG5="SDF",#REF!="FERIADO"),"SDF","LV")</f>
        <v>#REF!</v>
      </c>
      <c r="ALG5" s="1332" t="e">
        <f>IF(OR(#REF!="SDF",#REF!="FERIADO"),"SDF","LV")</f>
        <v>#REF!</v>
      </c>
      <c r="ALH5" s="1330" t="str">
        <f>IF(OR(ALI4="SDF",ALJ4="FERIADO"),"SDF","LV")</f>
        <v>SDF</v>
      </c>
      <c r="ALI5" s="1331" t="e">
        <f t="shared" ref="ALI5" si="1526">IF(OR(ALJ5="SDF",ALK5="FERIADO"),"SDF","LV")</f>
        <v>#REF!</v>
      </c>
      <c r="ALJ5" s="1332" t="e">
        <f t="shared" ref="ALJ5" si="1527">IF(OR(ALK5="SDF",ALL5="FERIADO"),"SDF","LV")</f>
        <v>#REF!</v>
      </c>
      <c r="ALK5" s="1330" t="str">
        <f>IF(OR(ALL4="SDF",ALM4="FERIADO"),"SDF","LV")</f>
        <v>SDF</v>
      </c>
      <c r="ALL5" s="1331" t="e">
        <f>IF(OR(ALM5="SDF",#REF!="FERIADO"),"SDF","LV")</f>
        <v>#REF!</v>
      </c>
      <c r="ALM5" s="1332" t="e">
        <f>IF(OR(#REF!="SDF",#REF!="FERIADO"),"SDF","LV")</f>
        <v>#REF!</v>
      </c>
      <c r="ALN5" s="1330" t="str">
        <f>IF(OR(ALO4="SDF",ALP4="FERIADO"),"SDF","LV")</f>
        <v>LV</v>
      </c>
      <c r="ALO5" s="1331" t="e">
        <f t="shared" ref="ALO5" si="1528">IF(OR(ALP5="SDF",ALQ5="FERIADO"),"SDF","LV")</f>
        <v>#REF!</v>
      </c>
      <c r="ALP5" s="1332" t="e">
        <f t="shared" ref="ALP5" si="1529">IF(OR(ALQ5="SDF",ALR5="FERIADO"),"SDF","LV")</f>
        <v>#REF!</v>
      </c>
      <c r="ALQ5" s="1330" t="str">
        <f>IF(OR(ALR4="SDF",ALS4="FERIADO"),"SDF","LV")</f>
        <v>LV</v>
      </c>
      <c r="ALR5" s="1331" t="e">
        <f>IF(OR(ALS5="SDF",#REF!="FERIADO"),"SDF","LV")</f>
        <v>#REF!</v>
      </c>
      <c r="ALS5" s="1332" t="e">
        <f>IF(OR(#REF!="SDF",#REF!="FERIADO"),"SDF","LV")</f>
        <v>#REF!</v>
      </c>
      <c r="ALT5" s="1330" t="str">
        <f>IF(OR(ALU4="SDF",ALV4="FERIADO"),"SDF","LV")</f>
        <v>LV</v>
      </c>
      <c r="ALU5" s="1331" t="e">
        <f t="shared" ref="ALU5" si="1530">IF(OR(ALV5="SDF",ALW5="FERIADO"),"SDF","LV")</f>
        <v>#REF!</v>
      </c>
      <c r="ALV5" s="1332" t="e">
        <f t="shared" ref="ALV5" si="1531">IF(OR(ALW5="SDF",ALX5="FERIADO"),"SDF","LV")</f>
        <v>#REF!</v>
      </c>
      <c r="ALW5" s="1330" t="str">
        <f>IF(OR(ALX4="SDF",ALY4="FERIADO"),"SDF","LV")</f>
        <v>SDF</v>
      </c>
      <c r="ALX5" s="1331" t="e">
        <f t="shared" ref="ALX5" si="1532">IF(OR(ALY5="SDF",ALZ5="FERIADO"),"SDF","LV")</f>
        <v>#REF!</v>
      </c>
      <c r="ALY5" s="1332" t="e">
        <f t="shared" ref="ALY5" si="1533">IF(OR(ALZ5="SDF",AMA5="FERIADO"),"SDF","LV")</f>
        <v>#REF!</v>
      </c>
      <c r="ALZ5" s="1330" t="str">
        <f>IF(OR(AMA4="SDF",AMB4="FERIADO"),"SDF","LV")</f>
        <v>LV</v>
      </c>
      <c r="AMA5" s="1331" t="e">
        <f>IF(OR(AMB5="SDF",#REF!="FERIADO"),"SDF","LV")</f>
        <v>#REF!</v>
      </c>
      <c r="AMB5" s="1332" t="e">
        <f>IF(OR(#REF!="SDF",#REF!="FERIADO"),"SDF","LV")</f>
        <v>#REF!</v>
      </c>
      <c r="AMC5" s="1330" t="str">
        <f>IF(OR(AMD4="SDF",AME4="FERIADO"),"SDF","LV")</f>
        <v>SDF</v>
      </c>
      <c r="AMD5" s="1331" t="e">
        <f t="shared" ref="AMD5" si="1534">IF(OR(AME5="SDF",AMF5="FERIADO"),"SDF","LV")</f>
        <v>#REF!</v>
      </c>
      <c r="AME5" s="1332" t="e">
        <f t="shared" ref="AME5" si="1535">IF(OR(AMF5="SDF",AMG5="FERIADO"),"SDF","LV")</f>
        <v>#REF!</v>
      </c>
      <c r="AMF5" s="1330" t="str">
        <f>IF(OR(AMG4="SDF",AMH4="FERIADO"),"SDF","LV")</f>
        <v>SDF</v>
      </c>
      <c r="AMG5" s="1331" t="e">
        <f>IF(OR(AMH5="SDF",#REF!="FERIADO"),"SDF","LV")</f>
        <v>#REF!</v>
      </c>
      <c r="AMH5" s="1332" t="e">
        <f>IF(OR(#REF!="SDF",#REF!="FERIADO"),"SDF","LV")</f>
        <v>#REF!</v>
      </c>
      <c r="AMI5" s="1330" t="str">
        <f>IF(OR(AMJ4="SDF",AMK4="FERIADO"),"SDF","LV")</f>
        <v>LV</v>
      </c>
      <c r="AMJ5" s="1331" t="e">
        <f t="shared" ref="AMJ5" si="1536">IF(OR(AMK5="SDF",AML5="FERIADO"),"SDF","LV")</f>
        <v>#REF!</v>
      </c>
      <c r="AMK5" s="1332" t="e">
        <f t="shared" ref="AMK5" si="1537">IF(OR(AML5="SDF",AMM5="FERIADO"),"SDF","LV")</f>
        <v>#REF!</v>
      </c>
      <c r="AML5" s="1330" t="str">
        <f>IF(OR(AMM4="SDF",AMN4="FERIADO"),"SDF","LV")</f>
        <v>LV</v>
      </c>
      <c r="AMM5" s="1331" t="e">
        <f>IF(OR(AMN5="SDF",#REF!="FERIADO"),"SDF","LV")</f>
        <v>#REF!</v>
      </c>
      <c r="AMN5" s="1332" t="e">
        <f>IF(OR(#REF!="SDF",#REF!="FERIADO"),"SDF","LV")</f>
        <v>#REF!</v>
      </c>
      <c r="AMO5" s="1330" t="str">
        <f>IF(OR(AMP4="SDF",AMQ4="FERIADO"),"SDF","LV")</f>
        <v>LV</v>
      </c>
      <c r="AMP5" s="1331" t="e">
        <f t="shared" ref="AMP5" si="1538">IF(OR(AMQ5="SDF",AMR5="FERIADO"),"SDF","LV")</f>
        <v>#REF!</v>
      </c>
      <c r="AMQ5" s="1332" t="e">
        <f t="shared" ref="AMQ5" si="1539">IF(OR(AMR5="SDF",AMS5="FERIADO"),"SDF","LV")</f>
        <v>#REF!</v>
      </c>
      <c r="AMR5" s="1330" t="str">
        <f>IF(OR(AMS4="SDF",AMT4="FERIADO"),"SDF","LV")</f>
        <v>LV</v>
      </c>
      <c r="AMS5" s="1331" t="e">
        <f t="shared" ref="AMS5" si="1540">IF(OR(AMT5="SDF",AMU5="FERIADO"),"SDF","LV")</f>
        <v>#REF!</v>
      </c>
      <c r="AMT5" s="1332" t="e">
        <f t="shared" ref="AMT5" si="1541">IF(OR(AMU5="SDF",AMV5="FERIADO"),"SDF","LV")</f>
        <v>#REF!</v>
      </c>
      <c r="AMU5" s="1330" t="str">
        <f>IF(OR(AMV4="SDF",AMW4="FERIADO"),"SDF","LV")</f>
        <v>LV</v>
      </c>
      <c r="AMV5" s="1331" t="e">
        <f>IF(OR(AMW5="SDF",#REF!="FERIADO"),"SDF","LV")</f>
        <v>#REF!</v>
      </c>
      <c r="AMW5" s="1332" t="e">
        <f>IF(OR(#REF!="SDF",#REF!="FERIADO"),"SDF","LV")</f>
        <v>#REF!</v>
      </c>
      <c r="AMX5" s="1330" t="str">
        <f>IF(OR(AMY4="SDF",AMZ4="FERIADO"),"SDF","LV")</f>
        <v>SDF</v>
      </c>
      <c r="AMY5" s="1331" t="e">
        <f>IF(OR(AMZ5="SDF",ANA5="FERIADO"),"SDF","LV")</f>
        <v>#REF!</v>
      </c>
      <c r="AMZ5" s="1332" t="e">
        <f>IF(OR(ANA5="SDF",ANB5="FERIADO"),"SDF","LV")</f>
        <v>#REF!</v>
      </c>
      <c r="ANA5" s="1330" t="str">
        <f>IF(OR(ANB4="SDF",ANC4="FERIADO"),"SDF","LV")</f>
        <v>SDF</v>
      </c>
      <c r="ANB5" s="1331" t="e">
        <f>IF(OR(ANC5="SDF",#REF!="FERIADO"),"SDF","LV")</f>
        <v>#REF!</v>
      </c>
      <c r="ANC5" s="1332" t="e">
        <f>IF(OR(#REF!="SDF",#REF!="FERIADO"),"SDF","LV")</f>
        <v>#REF!</v>
      </c>
      <c r="AND5" s="1330" t="str">
        <f>IF(OR(ANE4="SDF",ANF4="FERIADO"),"SDF","LV")</f>
        <v>LV</v>
      </c>
      <c r="ANE5" s="1331" t="e">
        <f>IF(OR(ANF5="SDF",ANG5="FERIADO"),"SDF","LV")</f>
        <v>#REF!</v>
      </c>
      <c r="ANF5" s="1332" t="e">
        <f>IF(OR(ANG5="SDF",ANH5="FERIADO"),"SDF","LV")</f>
        <v>#REF!</v>
      </c>
      <c r="ANG5" s="1330" t="str">
        <f>IF(OR(ANH4="SDF",ANI4="FERIADO"),"SDF","LV")</f>
        <v>LV</v>
      </c>
      <c r="ANH5" s="1331" t="e">
        <f>IF(OR(ANI5="SDF",#REF!="FERIADO"),"SDF","LV")</f>
        <v>#REF!</v>
      </c>
      <c r="ANI5" s="1332" t="e">
        <f>IF(OR(#REF!="SDF",#REF!="FERIADO"),"SDF","LV")</f>
        <v>#REF!</v>
      </c>
      <c r="ANJ5" s="1330" t="str">
        <f>IF(OR(ANK4="SDF",ANL4="FERIADO"),"SDF","LV")</f>
        <v>LV</v>
      </c>
      <c r="ANK5" s="1331" t="e">
        <f>IF(OR(ANL5="SDF",ANM5="FERIADO"),"SDF","LV")</f>
        <v>#REF!</v>
      </c>
      <c r="ANL5" s="1332" t="e">
        <f>IF(OR(ANM5="SDF",ANN5="FERIADO"),"SDF","LV")</f>
        <v>#REF!</v>
      </c>
      <c r="ANM5" s="1330" t="str">
        <f>IF(OR(ANN4="SDF",ANO4="FERIADO"),"SDF","LV")</f>
        <v>LV</v>
      </c>
      <c r="ANN5" s="1331" t="e">
        <f>IF(OR(ANO5="SDF",ANP5="FERIADO"),"SDF","LV")</f>
        <v>#REF!</v>
      </c>
      <c r="ANO5" s="1332" t="e">
        <f>IF(OR(ANP5="SDF",ANQ5="FERIADO"),"SDF","LV")</f>
        <v>#REF!</v>
      </c>
      <c r="ANP5" s="1330" t="str">
        <f>IF(OR(ANQ4="SDF",ANR4="FERIADO"),"SDF","LV")</f>
        <v>LV</v>
      </c>
      <c r="ANQ5" s="1331" t="e">
        <f>IF(OR(ANR5="SDF",#REF!="FERIADO"),"SDF","LV")</f>
        <v>#REF!</v>
      </c>
      <c r="ANR5" s="1332" t="e">
        <f>IF(OR(#REF!="SDF",#REF!="FERIADO"),"SDF","LV")</f>
        <v>#REF!</v>
      </c>
      <c r="ANS5" s="1330" t="str">
        <f>IF(OR(ANT4="SDF",ANU4="FERIADO"),"SDF","LV")</f>
        <v>SDF</v>
      </c>
      <c r="ANT5" s="1331" t="e">
        <f>IF(OR(ANU5="SDF",ANV5="FERIADO"),"SDF","LV")</f>
        <v>#REF!</v>
      </c>
      <c r="ANU5" s="1332" t="e">
        <f>IF(OR(ANV5="SDF",ANW5="FERIADO"),"SDF","LV")</f>
        <v>#REF!</v>
      </c>
      <c r="ANV5" s="1330" t="str">
        <f>IF(OR(ANW4="SDF",ANX4="FERIADO"),"SDF","LV")</f>
        <v>SDF</v>
      </c>
      <c r="ANW5" s="1331" t="e">
        <f>IF(OR(ANX5="SDF",#REF!="FERIADO"),"SDF","LV")</f>
        <v>#REF!</v>
      </c>
      <c r="ANX5" s="1332" t="e">
        <f>IF(OR(#REF!="SDF",#REF!="FERIADO"),"SDF","LV")</f>
        <v>#REF!</v>
      </c>
      <c r="ANY5" s="1330" t="str">
        <f>IF(OR(ANZ4="SDF",AOA4="FERIADO"),"SDF","LV")</f>
        <v>LV</v>
      </c>
      <c r="ANZ5" s="1331" t="e">
        <f>IF(OR(AOA5="SDF",AOB5="FERIADO"),"SDF","LV")</f>
        <v>#REF!</v>
      </c>
      <c r="AOA5" s="1332" t="e">
        <f>IF(OR(AOB5="SDF",AOC5="FERIADO"),"SDF","LV")</f>
        <v>#REF!</v>
      </c>
      <c r="AOB5" s="1330" t="str">
        <f>IF(OR(AOC4="SDF",AOD4="FERIADO"),"SDF","LV")</f>
        <v>LV</v>
      </c>
      <c r="AOC5" s="1331" t="e">
        <f>IF(OR(AOD5="SDF",#REF!="FERIADO"),"SDF","LV")</f>
        <v>#REF!</v>
      </c>
      <c r="AOD5" s="1332" t="e">
        <f>IF(OR(#REF!="SDF",#REF!="FERIADO"),"SDF","LV")</f>
        <v>#REF!</v>
      </c>
      <c r="AOE5" s="1330" t="str">
        <f>IF(OR(AOF4="SDF",AOG4="FERIADO"),"SDF","LV")</f>
        <v>LV</v>
      </c>
      <c r="AOF5" s="1331" t="e">
        <f>IF(OR(AOG5="SDF",AOH5="FERIADO"),"SDF","LV")</f>
        <v>#REF!</v>
      </c>
      <c r="AOG5" s="1332" t="e">
        <f>IF(OR(AOH5="SDF",AOI5="FERIADO"),"SDF","LV")</f>
        <v>#REF!</v>
      </c>
      <c r="AOH5" s="1330" t="str">
        <f>IF(OR(AOI4="SDF",AOJ4="FERIADO"),"SDF","LV")</f>
        <v>LV</v>
      </c>
      <c r="AOI5" s="1331" t="e">
        <f>IF(OR(AOJ5="SDF",AOK5="FERIADO"),"SDF","LV")</f>
        <v>#REF!</v>
      </c>
      <c r="AOJ5" s="1332" t="e">
        <f>IF(OR(AOK5="SDF",AOL5="FERIADO"),"SDF","LV")</f>
        <v>#REF!</v>
      </c>
      <c r="AOK5" s="1330" t="str">
        <f>IF(OR(AOL4="SDF",AOM4="FERIADO"),"SDF","LV")</f>
        <v>LV</v>
      </c>
      <c r="AOL5" s="1331" t="e">
        <f>IF(OR(AOM5="SDF",#REF!="FERIADO"),"SDF","LV")</f>
        <v>#REF!</v>
      </c>
      <c r="AOM5" s="1332" t="e">
        <f>IF(OR(#REF!="SDF",#REF!="FERIADO"),"SDF","LV")</f>
        <v>#REF!</v>
      </c>
      <c r="AON5" s="1330" t="str">
        <f>IF(OR(AOO4="SDF",AOP4="FERIADO"),"SDF","LV")</f>
        <v>SDF</v>
      </c>
      <c r="AOO5" s="1331" t="e">
        <f>IF(OR(AOP5="SDF",AOQ5="FERIADO"),"SDF","LV")</f>
        <v>#REF!</v>
      </c>
      <c r="AOP5" s="1332" t="e">
        <f>IF(OR(AOQ5="SDF",AOR5="FERIADO"),"SDF","LV")</f>
        <v>#REF!</v>
      </c>
      <c r="AOQ5" s="1330" t="str">
        <f>IF(OR(AOR4="SDF",AOS4="FERIADO"),"SDF","LV")</f>
        <v>SDF</v>
      </c>
      <c r="AOR5" s="1331" t="e">
        <f>IF(OR(AOS5="SDF",#REF!="FERIADO"),"SDF","LV")</f>
        <v>#REF!</v>
      </c>
      <c r="AOS5" s="1332" t="e">
        <f>IF(OR(#REF!="SDF",#REF!="FERIADO"),"SDF","LV")</f>
        <v>#REF!</v>
      </c>
      <c r="AOT5" s="1330" t="str">
        <f>IF(OR(AOU4="SDF",AOV4="FERIADO"),"SDF","LV")</f>
        <v>LV</v>
      </c>
      <c r="AOU5" s="1331" t="e">
        <f>IF(OR(AOV5="SDF",AOW5="FERIADO"),"SDF","LV")</f>
        <v>#REF!</v>
      </c>
      <c r="AOV5" s="1332" t="e">
        <f>IF(OR(AOW5="SDF",AOX5="FERIADO"),"SDF","LV")</f>
        <v>#REF!</v>
      </c>
      <c r="AOW5" s="1330" t="str">
        <f>IF(OR(AOX4="SDF",AOY4="FERIADO"),"SDF","LV")</f>
        <v>LV</v>
      </c>
      <c r="AOX5" s="1331" t="e">
        <f>IF(OR(AOY5="SDF",#REF!="FERIADO"),"SDF","LV")</f>
        <v>#REF!</v>
      </c>
      <c r="AOY5" s="1332" t="e">
        <f>IF(OR(#REF!="SDF",#REF!="FERIADO"),"SDF","LV")</f>
        <v>#REF!</v>
      </c>
      <c r="AOZ5" s="1330" t="str">
        <f>IF(OR(APA4="SDF",APB4="FERIADO"),"SDF","LV")</f>
        <v>LV</v>
      </c>
      <c r="APA5" s="1331" t="e">
        <f>IF(OR(APB5="SDF",APC5="FERIADO"),"SDF","LV")</f>
        <v>#REF!</v>
      </c>
      <c r="APB5" s="1332" t="e">
        <f>IF(OR(APC5="SDF",APD5="FERIADO"),"SDF","LV")</f>
        <v>#REF!</v>
      </c>
      <c r="APC5" s="1330" t="str">
        <f>IF(OR(APD4="SDF",APE4="FERIADO"),"SDF","LV")</f>
        <v>LV</v>
      </c>
      <c r="APD5" s="1331" t="e">
        <f>IF(OR(APE5="SDF",APF5="FERIADO"),"SDF","LV")</f>
        <v>#REF!</v>
      </c>
      <c r="APE5" s="1332" t="e">
        <f>IF(OR(APF5="SDF",APG5="FERIADO"),"SDF","LV")</f>
        <v>#REF!</v>
      </c>
      <c r="APF5" s="1330" t="str">
        <f>IF(OR(APG4="SDF",APH4="FERIADO"),"SDF","LV")</f>
        <v>LV</v>
      </c>
      <c r="APG5" s="1331" t="e">
        <f>IF(OR(APH5="SDF",#REF!="FERIADO"),"SDF","LV")</f>
        <v>#REF!</v>
      </c>
      <c r="APH5" s="1332" t="e">
        <f>IF(OR(#REF!="SDF",#REF!="FERIADO"),"SDF","LV")</f>
        <v>#REF!</v>
      </c>
      <c r="API5" s="1330" t="str">
        <f>IF(OR(APJ4="SDF",APK4="FERIADO"),"SDF","LV")</f>
        <v>SDF</v>
      </c>
      <c r="APJ5" s="1331" t="e">
        <f>IF(OR(APK5="SDF",APL5="FERIADO"),"SDF","LV")</f>
        <v>#REF!</v>
      </c>
      <c r="APK5" s="1332" t="e">
        <f>IF(OR(APL5="SDF",APM5="FERIADO"),"SDF","LV")</f>
        <v>#REF!</v>
      </c>
      <c r="APL5" s="1330" t="str">
        <f>IF(OR(APM4="SDF",APN4="FERIADO"),"SDF","LV")</f>
        <v>SDF</v>
      </c>
      <c r="APM5" s="1331" t="e">
        <f>IF(OR(APN5="SDF",#REF!="FERIADO"),"SDF","LV")</f>
        <v>#REF!</v>
      </c>
      <c r="APN5" s="1332" t="e">
        <f>IF(OR(#REF!="SDF",#REF!="FERIADO"),"SDF","LV")</f>
        <v>#REF!</v>
      </c>
      <c r="APO5" s="1330" t="str">
        <f>IF(OR(APP4="SDF",APQ4="FERIADO"),"SDF","LV")</f>
        <v>LV</v>
      </c>
      <c r="APP5" s="1331" t="e">
        <f>IF(OR(APQ5="SDF",APR5="FERIADO"),"SDF","LV")</f>
        <v>#REF!</v>
      </c>
      <c r="APQ5" s="1332" t="e">
        <f>IF(OR(APR5="SDF",APS5="FERIADO"),"SDF","LV")</f>
        <v>#REF!</v>
      </c>
      <c r="APR5" s="1330" t="str">
        <f>IF(OR(APS4="SDF",APT4="FERIADO"),"SDF","LV")</f>
        <v>LV</v>
      </c>
      <c r="APS5" s="1331" t="e">
        <f>IF(OR(APT5="SDF",#REF!="FERIADO"),"SDF","LV")</f>
        <v>#REF!</v>
      </c>
      <c r="APT5" s="1332" t="e">
        <f>IF(OR(#REF!="SDF",#REF!="FERIADO"),"SDF","LV")</f>
        <v>#REF!</v>
      </c>
      <c r="APU5" s="1330" t="str">
        <f>IF(OR(APV4="SDF",APW4="FERIADO"),"SDF","LV")</f>
        <v>LV</v>
      </c>
      <c r="APV5" s="1331" t="e">
        <f>IF(OR(APW5="SDF",APX5="FERIADO"),"SDF","LV")</f>
        <v>#REF!</v>
      </c>
      <c r="APW5" s="1332" t="e">
        <f>IF(OR(APX5="SDF",APY5="FERIADO"),"SDF","LV")</f>
        <v>#REF!</v>
      </c>
      <c r="APX5" s="1330" t="str">
        <f>IF(OR(APY4="SDF",APZ4="FERIADO"),"SDF","LV")</f>
        <v>LV</v>
      </c>
      <c r="APY5" s="1331" t="e">
        <f>IF(OR(APZ5="SDF",AQA5="FERIADO"),"SDF","LV")</f>
        <v>#REF!</v>
      </c>
      <c r="APZ5" s="1332" t="e">
        <f>IF(OR(AQA5="SDF",AQB5="FERIADO"),"SDF","LV")</f>
        <v>#REF!</v>
      </c>
      <c r="AQA5" s="1330" t="str">
        <f>IF(OR(AQB4="SDF",AQC4="FERIADO"),"SDF","LV")</f>
        <v>LV</v>
      </c>
      <c r="AQB5" s="1331" t="e">
        <f>IF(OR(AQC5="SDF",#REF!="FERIADO"),"SDF","LV")</f>
        <v>#REF!</v>
      </c>
      <c r="AQC5" s="1332" t="e">
        <f>IF(OR(#REF!="SDF",#REF!="FERIADO"),"SDF","LV")</f>
        <v>#REF!</v>
      </c>
      <c r="AQD5" s="1330" t="str">
        <f>IF(OR(AQE4="SDF",AQF4="FERIADO"),"SDF","LV")</f>
        <v>SDF</v>
      </c>
      <c r="AQE5" s="1331" t="e">
        <f>IF(OR(AQF5="SDF",AQG5="FERIADO"),"SDF","LV")</f>
        <v>#REF!</v>
      </c>
      <c r="AQF5" s="1332" t="e">
        <f>IF(OR(AQG5="SDF",AQH5="FERIADO"),"SDF","LV")</f>
        <v>#REF!</v>
      </c>
      <c r="AQG5" s="1330" t="str">
        <f>IF(OR(AQH4="SDF",AQI4="FERIADO"),"SDF","LV")</f>
        <v>SDF</v>
      </c>
      <c r="AQH5" s="1331" t="e">
        <f>IF(OR(AQI5="SDF",#REF!="FERIADO"),"SDF","LV")</f>
        <v>#REF!</v>
      </c>
      <c r="AQI5" s="1332" t="e">
        <f>IF(OR(#REF!="SDF",#REF!="FERIADO"),"SDF","LV")</f>
        <v>#REF!</v>
      </c>
      <c r="AQJ5" s="1330" t="str">
        <f>IF(OR(AQK4="SDF",AQL4="FERIADO"),"SDF","LV")</f>
        <v>LV</v>
      </c>
      <c r="AQK5" s="1331" t="e">
        <f>IF(OR(AQL5="SDF",AQM5="FERIADO"),"SDF","LV")</f>
        <v>#REF!</v>
      </c>
      <c r="AQL5" s="1332" t="e">
        <f>IF(OR(AQM5="SDF",AQN5="FERIADO"),"SDF","LV")</f>
        <v>#REF!</v>
      </c>
      <c r="AQM5" s="1330" t="str">
        <f>IF(OR(AQN4="SDF",AQO4="FERIADO"),"SDF","LV")</f>
        <v>LV</v>
      </c>
      <c r="AQN5" s="1331" t="e">
        <f>IF(OR(AQO5="SDF",AQP5="FERIADO"),"SDF","LV")</f>
        <v>#REF!</v>
      </c>
      <c r="AQO5" s="1332" t="e">
        <f>IF(OR(AQP5="SDF",AQQ5="FERIADO"),"SDF","LV")</f>
        <v>#REF!</v>
      </c>
      <c r="AQP5" s="1330" t="str">
        <f>IF(OR(AQQ4="SDF",AQR4="FERIADO"),"SDF","LV")</f>
        <v>LV</v>
      </c>
      <c r="AQQ5" s="1331" t="e">
        <f>IF(OR(AQR5="SDF",#REF!="FERIADO"),"SDF","LV")</f>
        <v>#REF!</v>
      </c>
      <c r="AQR5" s="1332" t="e">
        <f>IF(OR(#REF!="SDF",#REF!="FERIADO"),"SDF","LV")</f>
        <v>#REF!</v>
      </c>
      <c r="AQS5" s="1330" t="str">
        <f>IF(OR(AQT4="SDF",AQU4="FERIADO"),"SDF","LV")</f>
        <v>LV</v>
      </c>
      <c r="AQT5" s="1331" t="e">
        <f>IF(OR(AQU5="SDF",AQV5="FERIADO"),"SDF","LV")</f>
        <v>#REF!</v>
      </c>
      <c r="AQU5" s="1332" t="e">
        <f>IF(OR(AQV5="SDF",AQW5="FERIADO"),"SDF","LV")</f>
        <v>#REF!</v>
      </c>
      <c r="AQV5" s="1330" t="str">
        <f>IF(OR(AQW4="SDF",AQX4="FERIADO"),"SDF","LV")</f>
        <v>LV</v>
      </c>
      <c r="AQW5" s="1331" t="e">
        <f>IF(OR(AQX5="SDF",#REF!="FERIADO"),"SDF","LV")</f>
        <v>#REF!</v>
      </c>
      <c r="AQX5" s="1332" t="e">
        <f>IF(OR(#REF!="SDF",#REF!="FERIADO"),"SDF","LV")</f>
        <v>#REF!</v>
      </c>
      <c r="AQY5" s="1330" t="str">
        <f>IF(OR(AQZ4="SDF",ARA4="FERIADO"),"SDF","LV")</f>
        <v>SDF</v>
      </c>
      <c r="AQZ5" s="1331" t="e">
        <f>IF(OR(ARA5="SDF",ARB5="FERIADO"),"SDF","LV")</f>
        <v>#REF!</v>
      </c>
      <c r="ARA5" s="1332" t="e">
        <f>IF(OR(ARB5="SDF",ARC5="FERIADO"),"SDF","LV")</f>
        <v>#REF!</v>
      </c>
      <c r="ARB5" s="1330" t="str">
        <f>IF(OR(ARC4="SDF",ARD4="FERIADO"),"SDF","LV")</f>
        <v>SDF</v>
      </c>
      <c r="ARC5" s="1331" t="e">
        <f>IF(OR(ARD5="SDF",#REF!="FERIADO"),"SDF","LV")</f>
        <v>#REF!</v>
      </c>
      <c r="ARD5" s="1332" t="e">
        <f>IF(OR(#REF!="SDF",#REF!="FERIADO"),"SDF","LV")</f>
        <v>#REF!</v>
      </c>
      <c r="ARE5" s="1330" t="str">
        <f>IF(OR(ARF4="SDF",ARG4="FERIADO"),"SDF","LV")</f>
        <v>SDF</v>
      </c>
      <c r="ARF5" s="1331" t="e">
        <f>IF(OR(ARG5="SDF",ARH5="FERIADO"),"SDF","LV")</f>
        <v>#REF!</v>
      </c>
      <c r="ARG5" s="1332" t="e">
        <f>IF(OR(ARH5="SDF",ARI5="FERIADO"),"SDF","LV")</f>
        <v>#REF!</v>
      </c>
      <c r="ARH5" s="1330" t="str">
        <f>IF(OR(ARI4="SDF",ARJ4="FERIADO"),"SDF","LV")</f>
        <v>SDF</v>
      </c>
      <c r="ARI5" s="1331" t="e">
        <f>IF(OR(ARJ5="SDF",ARK5="FERIADO"),"SDF","LV")</f>
        <v>#REF!</v>
      </c>
      <c r="ARJ5" s="1332" t="e">
        <f>IF(OR(ARK5="SDF",ARL5="FERIADO"),"SDF","LV")</f>
        <v>#REF!</v>
      </c>
      <c r="ARK5" s="1330" t="str">
        <f>IF(OR(ARL4="SDF",ARM4="FERIADO"),"SDF","LV")</f>
        <v>LV</v>
      </c>
      <c r="ARL5" s="1331" t="e">
        <f>IF(OR(ARM5="SDF",#REF!="FERIADO"),"SDF","LV")</f>
        <v>#REF!</v>
      </c>
      <c r="ARM5" s="1332" t="e">
        <f>IF(OR(#REF!="SDF",#REF!="FERIADO"),"SDF","LV")</f>
        <v>#REF!</v>
      </c>
      <c r="ARN5" s="1330" t="str">
        <f>IF(OR(ARO4="SDF",ARP4="FERIADO"),"SDF","LV")</f>
        <v>LV</v>
      </c>
      <c r="ARO5" s="1331" t="e">
        <f>IF(OR(ARP5="SDF",ARQ5="FERIADO"),"SDF","LV")</f>
        <v>#REF!</v>
      </c>
      <c r="ARP5" s="1332" t="e">
        <f>IF(OR(ARQ5="SDF",ARR5="FERIADO"),"SDF","LV")</f>
        <v>#REF!</v>
      </c>
      <c r="ARQ5" s="1330" t="str">
        <f>IF(OR(ARR4="SDF",ARS4="FERIADO"),"SDF","LV")</f>
        <v>LV</v>
      </c>
      <c r="ARR5" s="1331" t="e">
        <f>IF(OR(ARS5="SDF",#REF!="FERIADO"),"SDF","LV")</f>
        <v>#REF!</v>
      </c>
      <c r="ARS5" s="1332" t="e">
        <f>IF(OR(#REF!="SDF",#REF!="FERIADO"),"SDF","LV")</f>
        <v>#REF!</v>
      </c>
      <c r="ART5" s="1330" t="str">
        <f>IF(OR(ARU4="SDF",ARV4="FERIADO"),"SDF","LV")</f>
        <v>SDF</v>
      </c>
      <c r="ARU5" s="1331" t="e">
        <f>IF(OR(ARV5="SDF",ARW5="FERIADO"),"SDF","LV")</f>
        <v>#REF!</v>
      </c>
      <c r="ARV5" s="1332" t="e">
        <f>IF(OR(ARW5="SDF",ARX5="FERIADO"),"SDF","LV")</f>
        <v>#REF!</v>
      </c>
      <c r="ARW5" s="1330" t="str">
        <f>IF(OR(ARX4="SDF",ARY4="FERIADO"),"SDF","LV")</f>
        <v>SDF</v>
      </c>
      <c r="ARX5" s="1331" t="e">
        <f>IF(OR(ARY5="SDF",#REF!="FERIADO"),"SDF","LV")</f>
        <v>#REF!</v>
      </c>
      <c r="ARY5" s="1332" t="e">
        <f>IF(OR(#REF!="SDF",#REF!="FERIADO"),"SDF","LV")</f>
        <v>#REF!</v>
      </c>
      <c r="ARZ5" s="1330" t="str">
        <f>IF(OR(ASA4="SDF",ASB4="FERIADO"),"SDF","LV")</f>
        <v>LV</v>
      </c>
      <c r="ASA5" s="1331" t="e">
        <f>IF(OR(ASB5="SDF",ASC5="FERIADO"),"SDF","LV")</f>
        <v>#REF!</v>
      </c>
      <c r="ASB5" s="1332" t="e">
        <f>IF(OR(ASC5="SDF",ASD5="FERIADO"),"SDF","LV")</f>
        <v>#REF!</v>
      </c>
      <c r="ASC5" s="1330" t="str">
        <f>IF(OR(ASD4="SDF",ASE4="FERIADO"),"SDF","LV")</f>
        <v>LV</v>
      </c>
      <c r="ASD5" s="1331" t="e">
        <f>IF(OR(ASE5="SDF",ASF5="FERIADO"),"SDF","LV")</f>
        <v>#REF!</v>
      </c>
      <c r="ASE5" s="1332" t="e">
        <f>IF(OR(ASF5="SDF",ASG5="FERIADO"),"SDF","LV")</f>
        <v>#REF!</v>
      </c>
      <c r="ASF5" s="1330" t="str">
        <f>IF(OR(ASG4="SDF",ASH4="FERIADO"),"SDF","LV")</f>
        <v>LV</v>
      </c>
      <c r="ASG5" s="1331" t="e">
        <f>IF(OR(ASH5="SDF",#REF!="FERIADO"),"SDF","LV")</f>
        <v>#REF!</v>
      </c>
      <c r="ASH5" s="1332" t="e">
        <f>IF(OR(#REF!="SDF",#REF!="FERIADO"),"SDF","LV")</f>
        <v>#REF!</v>
      </c>
      <c r="ASI5" s="1330" t="str">
        <f>IF(OR(ASJ4="SDF",ASK4="FERIADO"),"SDF","LV")</f>
        <v>LV</v>
      </c>
      <c r="ASJ5" s="1331" t="e">
        <f>IF(OR(ASK5="SDF",ASL5="FERIADO"),"SDF","LV")</f>
        <v>#REF!</v>
      </c>
      <c r="ASK5" s="1332" t="e">
        <f>IF(OR(ASL5="SDF",ASM5="FERIADO"),"SDF","LV")</f>
        <v>#REF!</v>
      </c>
      <c r="ASL5" s="1330" t="str">
        <f>IF(OR(ASM4="SDF",ASN4="FERIADO"),"SDF","LV")</f>
        <v>LV</v>
      </c>
      <c r="ASM5" s="1331" t="e">
        <f>IF(OR(ASN5="SDF",#REF!="FERIADO"),"SDF","LV")</f>
        <v>#REF!</v>
      </c>
      <c r="ASN5" s="1332" t="e">
        <f>IF(OR(#REF!="SDF",#REF!="FERIADO"),"SDF","LV")</f>
        <v>#REF!</v>
      </c>
      <c r="ASO5" s="1330" t="str">
        <f>IF(OR(ASP4="SDF",ASQ4="FERIADO"),"SDF","LV")</f>
        <v>SDF</v>
      </c>
      <c r="ASP5" s="1331" t="e">
        <f>IF(OR(ASQ5="SDF",ASR5="FERIADO"),"SDF","LV")</f>
        <v>#REF!</v>
      </c>
      <c r="ASQ5" s="1331" t="e">
        <f>IF(OR(ASR5="SDF",ASS5="FERIADO"),"SDF","LV")</f>
        <v>#REF!</v>
      </c>
      <c r="ASR5" s="1370" t="str">
        <f>IF(OR(ASS4="SDF",AST4="FERIADO"),"SDF","LV")</f>
        <v>SDF</v>
      </c>
      <c r="ASS5" s="1331" t="e">
        <f>IF(OR(AST5="SDF",#REF!="FERIADO"),"SDF","LV")</f>
        <v>#REF!</v>
      </c>
      <c r="AST5" s="1332" t="e">
        <f>IF(OR(#REF!="SDF",#REF!="FERIADO"),"SDF","LV")</f>
        <v>#REF!</v>
      </c>
      <c r="ASU5" s="1330" t="str">
        <f>IF(OR(ASV4="SDF",ASW4="FERIADO"),"SDF","LV")</f>
        <v>LV</v>
      </c>
      <c r="ASV5" s="1331" t="e">
        <f>IF(OR(ASW5="SDF",ASX5="FERIADO"),"SDF","LV")</f>
        <v>#REF!</v>
      </c>
      <c r="ASW5" s="1332" t="e">
        <f>IF(OR(ASX5="SDF",ASY5="FERIADO"),"SDF","LV")</f>
        <v>#REF!</v>
      </c>
      <c r="ASX5" s="1330" t="str">
        <f>IF(OR(ASY4="SDF",ASZ4="FERIADO"),"SDF","LV")</f>
        <v>LV</v>
      </c>
      <c r="ASY5" s="1331" t="e">
        <f>IF(OR(ASZ5="SDF",ATA5="FERIADO"),"SDF","LV")</f>
        <v>#REF!</v>
      </c>
      <c r="ASZ5" s="1332" t="e">
        <f>IF(OR(ATA5="SDF",ATB5="FERIADO"),"SDF","LV")</f>
        <v>#REF!</v>
      </c>
      <c r="ATA5" s="1330" t="str">
        <f>IF(OR(ATB4="SDF",ATC4="FERIADO"),"SDF","LV")</f>
        <v>LV</v>
      </c>
      <c r="ATB5" s="1331" t="e">
        <f>IF(OR(ATC5="SDF",#REF!="FERIADO"),"SDF","LV")</f>
        <v>#REF!</v>
      </c>
      <c r="ATC5" s="1332" t="e">
        <f>IF(OR(#REF!="SDF",#REF!="FERIADO"),"SDF","LV")</f>
        <v>#REF!</v>
      </c>
      <c r="ATD5" s="1330" t="str">
        <f>IF(OR(ATE4="SDF",ATF4="FERIADO"),"SDF","LV")</f>
        <v>LV</v>
      </c>
      <c r="ATE5" s="1331" t="e">
        <f>IF(OR(ATF5="SDF",ATG5="FERIADO"),"SDF","LV")</f>
        <v>#REF!</v>
      </c>
      <c r="ATF5" s="1332" t="e">
        <f>IF(OR(ATG5="SDF",ATH5="FERIADO"),"SDF","LV")</f>
        <v>#REF!</v>
      </c>
      <c r="ATG5" s="1330" t="str">
        <f>IF(OR(ATH4="SDF",ATI4="FERIADO"),"SDF","LV")</f>
        <v>LV</v>
      </c>
      <c r="ATH5" s="1331" t="e">
        <f>IF(OR(ATI5="SDF",#REF!="FERIADO"),"SDF","LV")</f>
        <v>#REF!</v>
      </c>
      <c r="ATI5" s="1332" t="e">
        <f>IF(OR(#REF!="SDF",#REF!="FERIADO"),"SDF","LV")</f>
        <v>#REF!</v>
      </c>
      <c r="ATJ5" s="1330" t="str">
        <f>IF(OR(ATK4="SDF",ATL4="FERIADO"),"SDF","LV")</f>
        <v>SDF</v>
      </c>
      <c r="ATK5" s="1331" t="e">
        <f>IF(OR(ATL5="SDF",ATM5="FERIADO"),"SDF","LV")</f>
        <v>#REF!</v>
      </c>
      <c r="ATL5" s="1332" t="e">
        <f>IF(OR(ATM5="SDF",ATN5="FERIADO"),"SDF","LV")</f>
        <v>#REF!</v>
      </c>
      <c r="ATM5" s="1330" t="str">
        <f>IF(OR(ATN4="SDF",ATO4="FERIADO"),"SDF","LV")</f>
        <v>SDF</v>
      </c>
      <c r="ATN5" s="1331" t="e">
        <f>IF(OR(ATO5="SDF",#REF!="FERIADO"),"SDF","LV")</f>
        <v>#REF!</v>
      </c>
      <c r="ATO5" s="1332" t="e">
        <f>IF(OR(#REF!="SDF",#REF!="FERIADO"),"SDF","LV")</f>
        <v>#REF!</v>
      </c>
      <c r="ATP5" s="1330" t="str">
        <f>IF(OR(ATQ4="SDF",ATR4="FERIADO"),"SDF","LV")</f>
        <v>LV</v>
      </c>
      <c r="ATQ5" s="1331" t="e">
        <f>IF(OR(ATR5="SDF",ATS5="FERIADO"),"SDF","LV")</f>
        <v>#REF!</v>
      </c>
      <c r="ATR5" s="1332" t="e">
        <f>IF(OR(ATS5="SDF",ATT5="FERIADO"),"SDF","LV")</f>
        <v>#REF!</v>
      </c>
      <c r="ATS5" s="1330" t="str">
        <f>IF(OR(ATT4="SDF",ATU4="FERIADO"),"SDF","LV")</f>
        <v>LV</v>
      </c>
      <c r="ATT5" s="1331" t="e">
        <f>IF(OR(ATU5="SDF",ATV5="FERIADO"),"SDF","LV")</f>
        <v>#REF!</v>
      </c>
      <c r="ATU5" s="1332" t="e">
        <f>IF(OR(ATV5="SDF",ATW5="FERIADO"),"SDF","LV")</f>
        <v>#REF!</v>
      </c>
      <c r="ATV5" s="1330" t="str">
        <f>IF(OR(ATW4="SDF",ATX4="FERIADO"),"SDF","LV")</f>
        <v>LV</v>
      </c>
      <c r="ATW5" s="1331" t="e">
        <f>IF(OR(ATX5="SDF",#REF!="FERIADO"),"SDF","LV")</f>
        <v>#REF!</v>
      </c>
      <c r="ATX5" s="1332" t="e">
        <f>IF(OR(#REF!="SDF",#REF!="FERIADO"),"SDF","LV")</f>
        <v>#REF!</v>
      </c>
      <c r="ATY5" s="1330" t="str">
        <f>IF(OR(ATZ4="SDF",AUA4="FERIADO"),"SDF","LV")</f>
        <v>LV</v>
      </c>
      <c r="ATZ5" s="1331" t="e">
        <f>IF(OR(AUA5="SDF",AUB5="FERIADO"),"SDF","LV")</f>
        <v>#REF!</v>
      </c>
      <c r="AUA5" s="1332" t="e">
        <f>IF(OR(AUB5="SDF",AUC5="FERIADO"),"SDF","LV")</f>
        <v>#REF!</v>
      </c>
      <c r="AUB5" s="1330" t="str">
        <f>IF(OR(AUC4="SDF",AUD4="FERIADO"),"SDF","LV")</f>
        <v>LV</v>
      </c>
      <c r="AUC5" s="1331" t="e">
        <f>IF(OR(AUD5="SDF",#REF!="FERIADO"),"SDF","LV")</f>
        <v>#REF!</v>
      </c>
      <c r="AUD5" s="1332" t="e">
        <f>IF(OR(#REF!="SDF",#REF!="FERIADO"),"SDF","LV")</f>
        <v>#REF!</v>
      </c>
      <c r="AUE5" s="1330" t="str">
        <f>IF(OR(AUF4="SDF",AUG4="FERIADO"),"SDF","LV")</f>
        <v>SDF</v>
      </c>
      <c r="AUF5" s="1331" t="e">
        <f>IF(OR(AUG5="SDF",AUH5="FERIADO"),"SDF","LV")</f>
        <v>#REF!</v>
      </c>
      <c r="AUG5" s="1332" t="e">
        <f>IF(OR(AUH5="SDF",AUI5="FERIADO"),"SDF","LV")</f>
        <v>#REF!</v>
      </c>
      <c r="AUH5" s="1330" t="str">
        <f>IF(OR(AUI4="SDF",AUJ4="FERIADO"),"SDF","LV")</f>
        <v>SDF</v>
      </c>
      <c r="AUI5" s="1331" t="e">
        <f>IF(OR(AUJ5="SDF",#REF!="FERIADO"),"SDF","LV")</f>
        <v>#REF!</v>
      </c>
      <c r="AUJ5" s="1332" t="e">
        <f>IF(OR(#REF!="SDF",#REF!="FERIADO"),"SDF","LV")</f>
        <v>#REF!</v>
      </c>
      <c r="AUK5" s="1345" t="str">
        <f>IF(OR(AUL4="SDF",AUM4="FERIADO"),"SDF","LV")</f>
        <v>LV</v>
      </c>
      <c r="AUL5" s="1346" t="e">
        <f>IF(OR(AUM5="SDF",AUN5="FERIADO"),"SDF","LV")</f>
        <v>#REF!</v>
      </c>
      <c r="AUM5" s="1347" t="e">
        <f>IF(OR(AUN5="SDF",AUO5="FERIADO"),"SDF","LV")</f>
        <v>#REF!</v>
      </c>
      <c r="AUN5" s="1345" t="str">
        <f>IF(OR(AUO4="SDF",AUP4="FERIADO"),"SDF","LV")</f>
        <v>LV</v>
      </c>
      <c r="AUO5" s="1346" t="e">
        <f>IF(OR(AUP5="SDF",AUQ5="FERIADO"),"SDF","LV")</f>
        <v>#REF!</v>
      </c>
      <c r="AUP5" s="1347" t="e">
        <f>IF(OR(AUQ5="SDF",AUR5="FERIADO"),"SDF","LV")</f>
        <v>#REF!</v>
      </c>
      <c r="AUQ5" s="1345" t="str">
        <f>IF(OR(AUR4="SDF",AUS4="FERIADO"),"SDF","LV")</f>
        <v>LV</v>
      </c>
      <c r="AUR5" s="1346" t="e">
        <f>IF(OR(AUS5="SDF",#REF!="FERIADO"),"SDF","LV")</f>
        <v>#REF!</v>
      </c>
      <c r="AUS5" s="1347" t="e">
        <f>IF(OR(#REF!="SDF",#REF!="FERIADO"),"SDF","LV")</f>
        <v>#REF!</v>
      </c>
      <c r="AUT5" s="1345" t="str">
        <f>IF(OR(AUU4="SDF",AUV4="FERIADO"),"SDF","LV")</f>
        <v>LV</v>
      </c>
      <c r="AUU5" s="1346" t="e">
        <f>IF(OR(AUV5="SDF",AUW5="FERIADO"),"SDF","LV")</f>
        <v>#REF!</v>
      </c>
      <c r="AUV5" s="1347" t="e">
        <f>IF(OR(AUW5="SDF",AUX5="FERIADO"),"SDF","LV")</f>
        <v>#REF!</v>
      </c>
      <c r="AUW5" s="1345" t="str">
        <f>IF(OR(AUX4="SDF",AUY4="FERIADO"),"SDF","LV")</f>
        <v>LV</v>
      </c>
      <c r="AUX5" s="1346" t="e">
        <f>IF(OR(AUY5="SDF",#REF!="FERIADO"),"SDF","LV")</f>
        <v>#REF!</v>
      </c>
      <c r="AUY5" s="1347" t="e">
        <f>IF(OR(#REF!="SDF",#REF!="FERIADO"),"SDF","LV")</f>
        <v>#REF!</v>
      </c>
      <c r="AUZ5" s="1330" t="str">
        <f>IF(OR(AVA4="SDF",AVB4="FERIADO"),"SDF","LV")</f>
        <v>SDF</v>
      </c>
      <c r="AVA5" s="1331" t="e">
        <f>IF(OR(AVB5="SDF",AVC5="FERIADO"),"SDF","LV")</f>
        <v>#REF!</v>
      </c>
      <c r="AVB5" s="1332" t="e">
        <f>IF(OR(AVC5="SDF",AVD5="FERIADO"),"SDF","LV")</f>
        <v>#REF!</v>
      </c>
      <c r="AVC5" s="1345" t="str">
        <f>IF(OR(AVD4="SDF",AVE4="FERIADO"),"SDF","LV")</f>
        <v>SDF</v>
      </c>
      <c r="AVD5" s="1346" t="e">
        <f>IF(OR(AVE5="SDF",#REF!="FERIADO"),"SDF","LV")</f>
        <v>#REF!</v>
      </c>
      <c r="AVE5" s="1347" t="e">
        <f>IF(OR(#REF!="SDF",#REF!="FERIADO"),"SDF","LV")</f>
        <v>#REF!</v>
      </c>
      <c r="AVF5" s="1330" t="str">
        <f>IF(OR(AVG4="SDF",AVH4="FERIADO"),"SDF","LV")</f>
        <v>LV</v>
      </c>
      <c r="AVG5" s="1331" t="e">
        <f>IF(OR(AVH5="SDF",AVI5="FERIADO"),"SDF","LV")</f>
        <v>#REF!</v>
      </c>
      <c r="AVH5" s="1332" t="e">
        <f>IF(OR(AVI5="SDF",AVJ5="FERIADO"),"SDF","LV")</f>
        <v>#REF!</v>
      </c>
      <c r="AVI5" s="1330" t="str">
        <f>IF(OR(AVJ4="SDF",AVK4="FERIADO"),"SDF","LV")</f>
        <v>SDF</v>
      </c>
      <c r="AVJ5" s="1331" t="e">
        <f>IF(OR(AVK5="SDF",AVL5="FERIADO"),"SDF","LV")</f>
        <v>#REF!</v>
      </c>
      <c r="AVK5" s="1332" t="e">
        <f>IF(OR(AVL5="SDF",AVM5="FERIADO"),"SDF","LV")</f>
        <v>#REF!</v>
      </c>
      <c r="AVL5" s="1330" t="str">
        <f>IF(OR(AVM4="SDF",AVN4="FERIADO"),"SDF","LV")</f>
        <v>LV</v>
      </c>
      <c r="AVM5" s="1331" t="e">
        <f>IF(OR(AVN5="SDF",#REF!="FERIADO"),"SDF","LV")</f>
        <v>#REF!</v>
      </c>
      <c r="AVN5" s="1332" t="e">
        <f>IF(OR(#REF!="SDF",#REF!="FERIADO"),"SDF","LV")</f>
        <v>#REF!</v>
      </c>
      <c r="AVO5" s="1330" t="str">
        <f>IF(OR(AVP4="SDF",AVQ4="FERIADO"),"SDF","LV")</f>
        <v>LV</v>
      </c>
      <c r="AVP5" s="1331" t="e">
        <f>IF(OR(AVQ5="SDF",AVR5="FERIADO"),"SDF","LV")</f>
        <v>#REF!</v>
      </c>
      <c r="AVQ5" s="1332" t="e">
        <f>IF(OR(AVR5="SDF",AVS5="FERIADO"),"SDF","LV")</f>
        <v>#REF!</v>
      </c>
      <c r="AVR5" s="1330" t="str">
        <f>IF(OR(AVS4="SDF",AVT4="FERIADO"),"SDF","LV")</f>
        <v>LV</v>
      </c>
      <c r="AVS5" s="1331" t="e">
        <f>IF(OR(AVT5="SDF",#REF!="FERIADO"),"SDF","LV")</f>
        <v>#REF!</v>
      </c>
      <c r="AVT5" s="1332" t="e">
        <f>IF(OR(#REF!="SDF",#REF!="FERIADO"),"SDF","LV")</f>
        <v>#REF!</v>
      </c>
      <c r="AVU5" s="1330" t="str">
        <f>IF(OR(AVV4="SDF",AVW4="FERIADO"),"SDF","LV")</f>
        <v>SDF</v>
      </c>
      <c r="AVV5" s="1331" t="e">
        <f>IF(OR(AVW5="SDF",AVX5="FERIADO"),"SDF","LV")</f>
        <v>#REF!</v>
      </c>
      <c r="AVW5" s="1332" t="e">
        <f>IF(OR(AVX5="SDF",AVY5="FERIADO"),"SDF","LV")</f>
        <v>#REF!</v>
      </c>
      <c r="AVX5" s="1330" t="str">
        <f>IF(OR(AVY4="SDF",AVZ4="FERIADO"),"SDF","LV")</f>
        <v>SDF</v>
      </c>
      <c r="AVY5" s="1331" t="e">
        <f>IF(OR(AVZ5="SDF",#REF!="FERIADO"),"SDF","LV")</f>
        <v>#REF!</v>
      </c>
      <c r="AVZ5" s="1332" t="e">
        <f>IF(OR(#REF!="SDF",#REF!="FERIADO"),"SDF","LV")</f>
        <v>#REF!</v>
      </c>
      <c r="AWA5" s="1330" t="str">
        <f>IF(OR(AWB4="SDF",AWC4="FERIADO"),"SDF","LV")</f>
        <v>LV</v>
      </c>
      <c r="AWB5" s="1331" t="e">
        <f>IF(OR(AWC5="SDF",AWD5="FERIADO"),"SDF","LV")</f>
        <v>#REF!</v>
      </c>
      <c r="AWC5" s="1332" t="e">
        <f>IF(OR(AWD5="SDF",AWE5="FERIADO"),"SDF","LV")</f>
        <v>#REF!</v>
      </c>
      <c r="AWD5" s="1330" t="str">
        <f>IF(OR(AWE4="SDF",AWF4="FERIADO"),"SDF","LV")</f>
        <v>LV</v>
      </c>
      <c r="AWE5" s="1331" t="e">
        <f>IF(OR(AWF5="SDF",AWG5="FERIADO"),"SDF","LV")</f>
        <v>#REF!</v>
      </c>
      <c r="AWF5" s="1332" t="e">
        <f>IF(OR(AWG5="SDF",AWH5="FERIADO"),"SDF","LV")</f>
        <v>#REF!</v>
      </c>
      <c r="AWG5" s="1330" t="str">
        <f>IF(OR(AWH4="SDF",AWI4="FERIADO"),"SDF","LV")</f>
        <v>LV</v>
      </c>
      <c r="AWH5" s="1331" t="e">
        <f>IF(OR(AWI5="SDF",#REF!="FERIADO"),"SDF","LV")</f>
        <v>#REF!</v>
      </c>
      <c r="AWI5" s="1332" t="e">
        <f>IF(OR(#REF!="SDF",#REF!="FERIADO"),"SDF","LV")</f>
        <v>#REF!</v>
      </c>
      <c r="AWJ5" s="1330" t="str">
        <f>IF(OR(AWK4="SDF",AWL4="FERIADO"),"SDF","LV")</f>
        <v>SDF</v>
      </c>
      <c r="AWK5" s="1331" t="e">
        <f>IF(OR(AWL5="SDF",AWM5="FERIADO"),"SDF","LV")</f>
        <v>#REF!</v>
      </c>
      <c r="AWL5" s="1332" t="e">
        <f>IF(OR(AWM5="SDF",AWN5="FERIADO"),"SDF","LV")</f>
        <v>#REF!</v>
      </c>
      <c r="AWM5" s="1330" t="str">
        <f>IF(OR(AWN4="SDF",AWO4="FERIADO"),"SDF","LV")</f>
        <v>SDF</v>
      </c>
      <c r="AWN5" s="1331" t="e">
        <f>IF(OR(AWO5="SDF",#REF!="FERIADO"),"SDF","LV")</f>
        <v>#REF!</v>
      </c>
      <c r="AWO5" s="1332" t="e">
        <f>IF(OR(#REF!="SDF",#REF!="FERIADO"),"SDF","LV")</f>
        <v>#REF!</v>
      </c>
      <c r="AWP5" s="1330" t="str">
        <f>IF(OR(AWQ4="SDF",AWR4="FERIADO"),"SDF","LV")</f>
        <v>SDF</v>
      </c>
      <c r="AWQ5" s="1331" t="e">
        <f>IF(OR(AWR5="SDF",AWS5="FERIADO"),"SDF","LV")</f>
        <v>#REF!</v>
      </c>
      <c r="AWR5" s="1332" t="e">
        <f>IF(OR(AWS5="SDF",AWT5="FERIADO"),"SDF","LV")</f>
        <v>#REF!</v>
      </c>
      <c r="AWS5" s="1330" t="str">
        <f>IF(OR(AWT4="SDF",AWU4="FERIADO"),"SDF","LV")</f>
        <v>SDF</v>
      </c>
      <c r="AWT5" s="1331" t="e">
        <f>IF(OR(AWU5="SDF",#REF!="FERIADO"),"SDF","LV")</f>
        <v>#REF!</v>
      </c>
      <c r="AWU5" s="1332" t="e">
        <f>IF(OR(#REF!="SDF",#REF!="FERIADO"),"SDF","LV")</f>
        <v>#REF!</v>
      </c>
      <c r="AWV5" s="1330" t="str">
        <f>IF(OR(AWW4="SDF",AWX4="FERIADO"),"SDF","LV")</f>
        <v>LV</v>
      </c>
      <c r="AWW5" s="1331" t="e">
        <f>IF(OR(AWX5="SDF",AWY5="FERIADO"),"SDF","LV")</f>
        <v>#REF!</v>
      </c>
      <c r="AWX5" s="1332" t="e">
        <f>IF(OR(AWY5="SDF",AWZ5="FERIADO"),"SDF","LV")</f>
        <v>#REF!</v>
      </c>
      <c r="AWY5" s="1330" t="str">
        <f>IF(OR(AWZ4="SDF",AXA4="FERIADO"),"SDF","LV")</f>
        <v>LV</v>
      </c>
      <c r="AWZ5" s="1331" t="e">
        <f>IF(OR(AXA5="SDF",AXB5="FERIADO"),"SDF","LV")</f>
        <v>#REF!</v>
      </c>
      <c r="AXA5" s="1332" t="e">
        <f>IF(OR(AXB5="SDF",AXC5="FERIADO"),"SDF","LV")</f>
        <v>#REF!</v>
      </c>
      <c r="AXB5" s="1330" t="str">
        <f>IF(OR(AXC4="SDF",AXD4="FERIADO"),"SDF","LV")</f>
        <v>LV</v>
      </c>
      <c r="AXC5" s="1331" t="e">
        <f>IF(OR(AXD5="SDF",#REF!="FERIADO"),"SDF","LV")</f>
        <v>#REF!</v>
      </c>
      <c r="AXD5" s="1332" t="e">
        <f>IF(OR(#REF!="SDF",#REF!="FERIADO"),"SDF","LV")</f>
        <v>#REF!</v>
      </c>
      <c r="AXE5" s="1330" t="str">
        <f>IF(OR(AXF4="SDF",AXG4="FERIADO"),"SDF","LV")</f>
        <v>LV</v>
      </c>
      <c r="AXF5" s="1331" t="e">
        <f>IF(OR(AXG5="SDF",AXH5="FERIADO"),"SDF","LV")</f>
        <v>#REF!</v>
      </c>
      <c r="AXG5" s="1332" t="e">
        <f>IF(OR(AXH5="SDF",AXI5="FERIADO"),"SDF","LV")</f>
        <v>#REF!</v>
      </c>
      <c r="AXH5" s="1330" t="str">
        <f>IF(OR(AXI4="SDF",AXJ4="FERIADO"),"SDF","LV")</f>
        <v>LV</v>
      </c>
      <c r="AXI5" s="1331" t="e">
        <f>IF(OR(AXJ5="SDF",#REF!="FERIADO"),"SDF","LV")</f>
        <v>#REF!</v>
      </c>
      <c r="AXJ5" s="1332" t="e">
        <f>IF(OR(#REF!="SDF",#REF!="FERIADO"),"SDF","LV")</f>
        <v>#REF!</v>
      </c>
      <c r="AXK5" s="1330" t="str">
        <f>IF(OR(AXL4="SDF",AXM4="FERIADO"),"SDF","LV")</f>
        <v>SDF</v>
      </c>
      <c r="AXL5" s="1331" t="e">
        <f>IF(OR(AXM5="SDF",AXN5="FERIADO"),"SDF","LV")</f>
        <v>#REF!</v>
      </c>
      <c r="AXM5" s="1332" t="e">
        <f>IF(OR(AXN5="SDF",AXO5="FERIADO"),"SDF","LV")</f>
        <v>#REF!</v>
      </c>
      <c r="AXN5" s="1330" t="str">
        <f>IF(OR(AXO4="SDF",AXP4="FERIADO"),"SDF","LV")</f>
        <v>SDF</v>
      </c>
      <c r="AXO5" s="1331" t="e">
        <f>IF(OR(AXP5="SDF",#REF!="FERIADO"),"SDF","LV")</f>
        <v>#REF!</v>
      </c>
      <c r="AXP5" s="1332" t="e">
        <f>IF(OR(#REF!="SDF",#REF!="FERIADO"),"SDF","LV")</f>
        <v>#REF!</v>
      </c>
      <c r="AXQ5" s="1330" t="str">
        <f>IF(OR(AXR4="SDF",AXS4="FERIADO"),"SDF","LV")</f>
        <v>LV</v>
      </c>
      <c r="AXR5" s="1331" t="e">
        <f>IF(OR(AXS5="SDF",AXT5="FERIADO"),"SDF","LV")</f>
        <v>#REF!</v>
      </c>
      <c r="AXS5" s="1332" t="e">
        <f>IF(OR(AXT5="SDF",AXU5="FERIADO"),"SDF","LV")</f>
        <v>#REF!</v>
      </c>
      <c r="AXT5" s="1330" t="str">
        <f>IF(OR(AXU4="SDF",AXV4="FERIADO"),"SDF","LV")</f>
        <v>LV</v>
      </c>
      <c r="AXU5" s="1331" t="e">
        <f>IF(OR(AXV5="SDF",AXW5="FERIADO"),"SDF","LV")</f>
        <v>#REF!</v>
      </c>
      <c r="AXV5" s="1332" t="e">
        <f>IF(OR(AXW5="SDF",AXX5="FERIADO"),"SDF","LV")</f>
        <v>#REF!</v>
      </c>
      <c r="AXW5" s="1330" t="str">
        <f>IF(OR(AXX4="SDF",AXY4="FERIADO"),"SDF","LV")</f>
        <v>LV</v>
      </c>
      <c r="AXX5" s="1331" t="e">
        <f>IF(OR(AXY5="SDF",#REF!="FERIADO"),"SDF","LV")</f>
        <v>#REF!</v>
      </c>
      <c r="AXY5" s="1332" t="e">
        <f>IF(OR(#REF!="SDF",#REF!="FERIADO"),"SDF","LV")</f>
        <v>#REF!</v>
      </c>
      <c r="AXZ5" s="1330" t="str">
        <f>IF(OR(AYA4="SDF",AYB4="FERIADO"),"SDF","LV")</f>
        <v>LV</v>
      </c>
      <c r="AYA5" s="1331" t="e">
        <f>IF(OR(AYB5="SDF",AYC5="FERIADO"),"SDF","LV")</f>
        <v>#REF!</v>
      </c>
      <c r="AYB5" s="1332" t="e">
        <f>IF(OR(AYC5="SDF",AYD5="FERIADO"),"SDF","LV")</f>
        <v>#REF!</v>
      </c>
      <c r="AYC5" s="1330" t="str">
        <f>IF(OR(AYD4="SDF",AYE4="FERIADO"),"SDF","LV")</f>
        <v>LV</v>
      </c>
      <c r="AYD5" s="1331" t="e">
        <f>IF(OR(AYE5="SDF",#REF!="FERIADO"),"SDF","LV")</f>
        <v>#REF!</v>
      </c>
      <c r="AYE5" s="1332" t="e">
        <f>IF(OR(#REF!="SDF",#REF!="FERIADO"),"SDF","LV")</f>
        <v>#REF!</v>
      </c>
      <c r="AYF5" s="1330" t="str">
        <f>IF(OR(AYG4="SDF",AYH4="FERIADO"),"SDF","LV")</f>
        <v>SDF</v>
      </c>
      <c r="AYG5" s="1331" t="e">
        <f>IF(OR(AYH5="SDF",AYI5="FERIADO"),"SDF","LV")</f>
        <v>#REF!</v>
      </c>
      <c r="AYH5" s="1332" t="e">
        <f>IF(OR(AYI5="SDF",AYJ5="FERIADO"),"SDF","LV")</f>
        <v>#REF!</v>
      </c>
      <c r="AYI5" s="1330" t="str">
        <f>IF(OR(AYJ4="SDF",AYK4="FERIADO"),"SDF","LV")</f>
        <v>SDF</v>
      </c>
      <c r="AYJ5" s="1331" t="e">
        <f>IF(OR(AYK5="SDF",#REF!="FERIADO"),"SDF","LV")</f>
        <v>#REF!</v>
      </c>
      <c r="AYK5" s="1332" t="e">
        <f>IF(OR(#REF!="SDF",#REF!="FERIADO"),"SDF","LV")</f>
        <v>#REF!</v>
      </c>
      <c r="AYL5" s="1330" t="str">
        <f>IF(OR(AYM4="SDF",AYN4="FERIADO"),"SDF","LV")</f>
        <v>LV</v>
      </c>
      <c r="AYM5" s="1331" t="e">
        <f>IF(OR(AYN5="SDF",AYO5="FERIADO"),"SDF","LV")</f>
        <v>#REF!</v>
      </c>
      <c r="AYN5" s="1332" t="e">
        <f>IF(OR(AYO5="SDF",AYP5="FERIADO"),"SDF","LV")</f>
        <v>#REF!</v>
      </c>
      <c r="AYO5" s="1330" t="str">
        <f>IF(OR(AYP4="SDF",AYQ4="FERIADO"),"SDF","LV")</f>
        <v>LV</v>
      </c>
      <c r="AYP5" s="1331" t="e">
        <f>IF(OR(AYQ5="SDF",AYR5="FERIADO"),"SDF","LV")</f>
        <v>#REF!</v>
      </c>
      <c r="AYQ5" s="1332" t="e">
        <f>IF(OR(AYR5="SDF",AYS5="FERIADO"),"SDF","LV")</f>
        <v>#REF!</v>
      </c>
      <c r="AYR5" s="1330" t="str">
        <f>IF(OR(AYS4="SDF",AYT4="FERIADO"),"SDF","LV")</f>
        <v>LV</v>
      </c>
      <c r="AYS5" s="1331" t="e">
        <f>IF(OR(AYT5="SDF",#REF!="FERIADO"),"SDF","LV")</f>
        <v>#REF!</v>
      </c>
      <c r="AYT5" s="1332" t="e">
        <f>IF(OR(#REF!="SDF",#REF!="FERIADO"),"SDF","LV")</f>
        <v>#REF!</v>
      </c>
      <c r="AYU5" s="1330" t="str">
        <f>IF(OR(AYV4="SDF",AYW4="FERIADO"),"SDF","LV")</f>
        <v>LV</v>
      </c>
      <c r="AYV5" s="1331" t="e">
        <f>IF(OR(AYW5="SDF",AYX5="FERIADO"),"SDF","LV")</f>
        <v>#REF!</v>
      </c>
      <c r="AYW5" s="1332" t="e">
        <f>IF(OR(AYX5="SDF",AYY5="FERIADO"),"SDF","LV")</f>
        <v>#REF!</v>
      </c>
      <c r="AYX5" s="1330" t="str">
        <f>IF(OR(AYY4="SDF",AYZ4="FERIADO"),"SDF","LV")</f>
        <v>LV</v>
      </c>
      <c r="AYY5" s="1331" t="e">
        <f>IF(OR(AYZ5="SDF",#REF!="FERIADO"),"SDF","LV")</f>
        <v>#REF!</v>
      </c>
      <c r="AYZ5" s="1332" t="e">
        <f>IF(OR(#REF!="SDF",#REF!="FERIADO"),"SDF","LV")</f>
        <v>#REF!</v>
      </c>
      <c r="AZA5" s="1330" t="str">
        <f>IF(OR(AZB4="SDF",AZC4="FERIADO"),"SDF","LV")</f>
        <v>SDF</v>
      </c>
      <c r="AZB5" s="1331" t="e">
        <f>IF(OR(AZC5="SDF",AZD5="FERIADO"),"SDF","LV")</f>
        <v>#REF!</v>
      </c>
      <c r="AZC5" s="1332" t="e">
        <f>IF(OR(AZD5="SDF",AZE5="FERIADO"),"SDF","LV")</f>
        <v>#REF!</v>
      </c>
      <c r="AZD5" s="1330" t="str">
        <f>IF(OR(AZE4="SDF",AZF4="FERIADO"),"SDF","LV")</f>
        <v>SDF</v>
      </c>
      <c r="AZE5" s="1331" t="e">
        <f>IF(OR(AZF5="SDF",#REF!="FERIADO"),"SDF","LV")</f>
        <v>#REF!</v>
      </c>
      <c r="AZF5" s="1332" t="e">
        <f>IF(OR(#REF!="SDF",#REF!="FERIADO"),"SDF","LV")</f>
        <v>#REF!</v>
      </c>
      <c r="AZG5" s="1330" t="str">
        <f>IF(OR(AZH4="SDF",AZI4="FERIADO"),"SDF","LV")</f>
        <v>LV</v>
      </c>
      <c r="AZH5" s="1331" t="e">
        <f>IF(OR(AZI5="SDF",AZJ5="FERIADO"),"SDF","LV")</f>
        <v>#REF!</v>
      </c>
      <c r="AZI5" s="1332" t="e">
        <f>IF(OR(AZJ5="SDF",AZK5="FERIADO"),"SDF","LV")</f>
        <v>#REF!</v>
      </c>
      <c r="AZJ5" s="1330" t="str">
        <f>IF(OR(AZK4="SDF",AZL4="FERIADO"),"SDF","LV")</f>
        <v>LV</v>
      </c>
      <c r="AZK5" s="1331" t="e">
        <f>IF(OR(AZL5="SDF",AZM5="FERIADO"),"SDF","LV")</f>
        <v>#REF!</v>
      </c>
      <c r="AZL5" s="1332" t="e">
        <f>IF(OR(AZM5="SDF",AZN5="FERIADO"),"SDF","LV")</f>
        <v>#REF!</v>
      </c>
      <c r="AZM5" s="1330" t="str">
        <f>IF(OR(AZN4="SDF",AZO4="FERIADO"),"SDF","LV")</f>
        <v>LV</v>
      </c>
      <c r="AZN5" s="1331" t="e">
        <f>IF(OR(AZO5="SDF",#REF!="FERIADO"),"SDF","LV")</f>
        <v>#REF!</v>
      </c>
      <c r="AZO5" s="1332" t="e">
        <f>IF(OR(#REF!="SDF",#REF!="FERIADO"),"SDF","LV")</f>
        <v>#REF!</v>
      </c>
      <c r="AZP5" s="1330" t="str">
        <f>IF(OR(AZQ4="SDF",AZR4="FERIADO"),"SDF","LV")</f>
        <v>LV</v>
      </c>
      <c r="AZQ5" s="1331" t="e">
        <f>IF(OR(AZR5="SDF",AZS5="FERIADO"),"SDF","LV")</f>
        <v>#REF!</v>
      </c>
      <c r="AZR5" s="1332" t="e">
        <f>IF(OR(AZS5="SDF",AZT5="FERIADO"),"SDF","LV")</f>
        <v>#REF!</v>
      </c>
      <c r="AZS5" s="1330" t="str">
        <f>IF(OR(AZT4="SDF",AZU4="FERIADO"),"SDF","LV")</f>
        <v>LV</v>
      </c>
      <c r="AZT5" s="1331" t="e">
        <f>IF(OR(AZU5="SDF",#REF!="FERIADO"),"SDF","LV")</f>
        <v>#REF!</v>
      </c>
      <c r="AZU5" s="1332" t="e">
        <f>IF(OR(#REF!="SDF",#REF!="FERIADO"),"SDF","LV")</f>
        <v>#REF!</v>
      </c>
      <c r="AZV5" s="1330" t="str">
        <f>IF(OR(AZW4="SDF",AZX4="FERIADO"),"SDF","LV")</f>
        <v>SDF</v>
      </c>
      <c r="AZW5" s="1331" t="e">
        <f>IF(OR(AZX5="SDF",AZY5="FERIADO"),"SDF","LV")</f>
        <v>#REF!</v>
      </c>
      <c r="AZX5" s="1332" t="e">
        <f>IF(OR(AZY5="SDF",AZZ5="FERIADO"),"SDF","LV")</f>
        <v>#REF!</v>
      </c>
      <c r="AZY5" s="1330" t="str">
        <f>IF(OR(AZZ4="SDF",BAA4="FERIADO"),"SDF","LV")</f>
        <v>SDF</v>
      </c>
      <c r="AZZ5" s="1331" t="e">
        <f>IF(OR(BAA5="SDF",#REF!="FERIADO"),"SDF","LV")</f>
        <v>#REF!</v>
      </c>
      <c r="BAA5" s="1332" t="e">
        <f>IF(OR(#REF!="SDF",#REF!="FERIADO"),"SDF","LV")</f>
        <v>#REF!</v>
      </c>
      <c r="BAB5" s="1330" t="str">
        <f>IF(OR(BAC4="SDF",BAD4="FERIADO"),"SDF","LV")</f>
        <v>LV</v>
      </c>
      <c r="BAC5" s="1331" t="e">
        <f>IF(OR(BAD5="SDF",BAE5="FERIADO"),"SDF","LV")</f>
        <v>#REF!</v>
      </c>
      <c r="BAD5" s="1332" t="e">
        <f>IF(OR(BAE5="SDF",BAF5="FERIADO"),"SDF","LV")</f>
        <v>#REF!</v>
      </c>
      <c r="BAE5" s="1330" t="str">
        <f>IF(OR(BAF4="SDF",BAG4="FERIADO"),"SDF","LV")</f>
        <v>LV</v>
      </c>
      <c r="BAF5" s="1331" t="e">
        <f>IF(OR(BAG5="SDF",BAH5="FERIADO"),"SDF","LV")</f>
        <v>#REF!</v>
      </c>
      <c r="BAG5" s="1332" t="e">
        <f>IF(OR(BAH5="SDF",BAI5="FERIADO"),"SDF","LV")</f>
        <v>#REF!</v>
      </c>
      <c r="BAH5" s="1330" t="str">
        <f>IF(OR(BAI4="SDF",BAJ4="FERIADO"),"SDF","LV")</f>
        <v>LV</v>
      </c>
      <c r="BAI5" s="1331" t="e">
        <f>IF(OR(BAJ5="SDF",#REF!="FERIADO"),"SDF","LV")</f>
        <v>#REF!</v>
      </c>
      <c r="BAJ5" s="1332" t="e">
        <f>IF(OR(#REF!="SDF",#REF!="FERIADO"),"SDF","LV")</f>
        <v>#REF!</v>
      </c>
    </row>
    <row r="6" spans="1:1388" ht="15" customHeight="1">
      <c r="B6" s="1422" t="s">
        <v>326</v>
      </c>
      <c r="C6" s="1423"/>
      <c r="D6" s="1424"/>
      <c r="E6" s="37" t="s">
        <v>327</v>
      </c>
      <c r="F6" s="1382" t="s">
        <v>20</v>
      </c>
      <c r="G6" s="1382"/>
      <c r="H6" s="1383"/>
      <c r="I6" s="1382">
        <v>38552</v>
      </c>
      <c r="J6" s="1382"/>
      <c r="K6" s="1383"/>
      <c r="L6" s="1382">
        <v>35493</v>
      </c>
      <c r="M6" s="1382"/>
      <c r="N6" s="1383"/>
      <c r="O6" s="1382">
        <v>41567</v>
      </c>
      <c r="P6" s="1382"/>
      <c r="Q6" s="1383"/>
      <c r="R6" s="1382">
        <v>46164</v>
      </c>
      <c r="S6" s="1382"/>
      <c r="T6" s="1383"/>
      <c r="U6" s="1382">
        <v>46423</v>
      </c>
      <c r="V6" s="1382"/>
      <c r="W6" s="1383"/>
      <c r="X6" s="1382">
        <v>46766</v>
      </c>
      <c r="Y6" s="1382"/>
      <c r="Z6" s="1383"/>
      <c r="AA6" s="1382">
        <v>40412</v>
      </c>
      <c r="AB6" s="1382"/>
      <c r="AC6" s="1383"/>
      <c r="AD6" s="1382">
        <v>41210</v>
      </c>
      <c r="AE6" s="1382"/>
      <c r="AF6" s="1383"/>
      <c r="AG6" s="1382">
        <v>21443</v>
      </c>
      <c r="AH6" s="1382"/>
      <c r="AI6" s="1383"/>
      <c r="AJ6" s="1382">
        <v>45884</v>
      </c>
      <c r="AK6" s="1382"/>
      <c r="AL6" s="1383"/>
      <c r="AM6" s="1382">
        <v>42115</v>
      </c>
      <c r="AN6" s="1382"/>
      <c r="AO6" s="1383"/>
      <c r="AP6" s="1382">
        <v>43474</v>
      </c>
      <c r="AQ6" s="1382"/>
      <c r="AR6" s="1383"/>
      <c r="AS6" s="1382">
        <v>42599</v>
      </c>
      <c r="AT6" s="1382"/>
      <c r="AU6" s="1383"/>
      <c r="AV6" s="1382">
        <v>40517</v>
      </c>
      <c r="AW6" s="1382"/>
      <c r="AX6" s="1383"/>
      <c r="AY6" s="1382">
        <v>38211</v>
      </c>
      <c r="AZ6" s="1382"/>
      <c r="BA6" s="1383"/>
      <c r="BB6" s="1382" t="s">
        <v>20</v>
      </c>
      <c r="BC6" s="1382"/>
      <c r="BD6" s="1383"/>
      <c r="BE6" s="1382">
        <v>42742</v>
      </c>
      <c r="BF6" s="1382"/>
      <c r="BG6" s="1383"/>
      <c r="BH6" s="1382">
        <v>42673</v>
      </c>
      <c r="BI6" s="1382"/>
      <c r="BJ6" s="1383"/>
      <c r="BK6" s="1382">
        <v>46896</v>
      </c>
      <c r="BL6" s="1382"/>
      <c r="BM6" s="1383"/>
      <c r="BN6" s="1382">
        <v>51652</v>
      </c>
      <c r="BO6" s="1382"/>
      <c r="BP6" s="1383"/>
      <c r="BQ6" s="1382">
        <v>45590</v>
      </c>
      <c r="BR6" s="1382"/>
      <c r="BS6" s="1383"/>
      <c r="BT6" s="1382">
        <v>41174</v>
      </c>
      <c r="BU6" s="1382"/>
      <c r="BV6" s="1383"/>
      <c r="BW6" s="1382">
        <v>41234</v>
      </c>
      <c r="BX6" s="1382"/>
      <c r="BY6" s="1383"/>
      <c r="BZ6" s="1382">
        <f>+BZ7+BZ8</f>
        <v>47255.3</v>
      </c>
      <c r="CA6" s="1382"/>
      <c r="CB6" s="1383"/>
      <c r="CC6" s="1382">
        <v>47315</v>
      </c>
      <c r="CD6" s="1382"/>
      <c r="CE6" s="1383"/>
      <c r="CF6" s="1382">
        <f>+CF7+CF8</f>
        <v>42000.3</v>
      </c>
      <c r="CG6" s="1382"/>
      <c r="CH6" s="1383"/>
      <c r="CI6" s="1382">
        <f>+CI7+CI8</f>
        <v>50423.5</v>
      </c>
      <c r="CJ6" s="1382"/>
      <c r="CK6" s="1383"/>
      <c r="CL6" s="1382">
        <v>41097</v>
      </c>
      <c r="CM6" s="1382"/>
      <c r="CN6" s="1383"/>
      <c r="CO6" s="1382">
        <v>0</v>
      </c>
      <c r="CP6" s="1382"/>
      <c r="CQ6" s="1383"/>
      <c r="CR6" s="1382">
        <f>+CR7+CR8</f>
        <v>18000.400000000001</v>
      </c>
      <c r="CS6" s="1382"/>
      <c r="CT6" s="1383"/>
      <c r="CU6" s="1382">
        <v>37408</v>
      </c>
      <c r="CV6" s="1382"/>
      <c r="CW6" s="1383"/>
      <c r="CX6" s="1382">
        <f>+CX7+CX8</f>
        <v>33173.199999999997</v>
      </c>
      <c r="CY6" s="1382"/>
      <c r="CZ6" s="1383"/>
      <c r="DA6" s="1382">
        <f>+DA7+DA8</f>
        <v>41925.9</v>
      </c>
      <c r="DB6" s="1382"/>
      <c r="DC6" s="1383"/>
      <c r="DD6" s="1382">
        <f>+DD7+DD8</f>
        <v>24217</v>
      </c>
      <c r="DE6" s="1382"/>
      <c r="DF6" s="1383"/>
      <c r="DG6" s="1382">
        <f>+DG7+DG8</f>
        <v>42917</v>
      </c>
      <c r="DH6" s="1382"/>
      <c r="DI6" s="1383"/>
      <c r="DJ6" s="1382">
        <f>+DJ7+DJ8</f>
        <v>39045</v>
      </c>
      <c r="DK6" s="1382"/>
      <c r="DL6" s="1383"/>
      <c r="DM6" s="1382">
        <v>0</v>
      </c>
      <c r="DN6" s="1382"/>
      <c r="DO6" s="1383"/>
      <c r="DP6" s="1382">
        <f>+DP7+DP8</f>
        <v>44914</v>
      </c>
      <c r="DQ6" s="1382"/>
      <c r="DR6" s="1383"/>
      <c r="DS6" s="1382">
        <f>+DS7+DS8</f>
        <v>36679.800000000003</v>
      </c>
      <c r="DT6" s="1382"/>
      <c r="DU6" s="1383"/>
      <c r="DV6" s="1382">
        <f t="shared" ref="DV6" si="1542">+DV7+DV8</f>
        <v>46606</v>
      </c>
      <c r="DW6" s="1382"/>
      <c r="DX6" s="1383"/>
      <c r="DY6" s="1382">
        <f t="shared" ref="DY6" si="1543">+DY7+DY8</f>
        <v>45453.4</v>
      </c>
      <c r="DZ6" s="1382"/>
      <c r="EA6" s="1383"/>
      <c r="EB6" s="1382">
        <f t="shared" ref="EB6" si="1544">+EB7+EB8</f>
        <v>44409</v>
      </c>
      <c r="EC6" s="1382"/>
      <c r="ED6" s="1383"/>
      <c r="EE6" s="1382">
        <f t="shared" ref="EE6" si="1545">+EE7+EE8</f>
        <v>42583.7</v>
      </c>
      <c r="EF6" s="1382"/>
      <c r="EG6" s="1383"/>
      <c r="EH6" s="1382">
        <v>0</v>
      </c>
      <c r="EI6" s="1382"/>
      <c r="EJ6" s="1383"/>
      <c r="EK6" s="1382">
        <f>+EK7+EK8</f>
        <v>43448</v>
      </c>
      <c r="EL6" s="1382"/>
      <c r="EM6" s="1383"/>
      <c r="EN6" s="1382">
        <f>+EN7+EN8</f>
        <v>45762</v>
      </c>
      <c r="EO6" s="1382"/>
      <c r="EP6" s="1383"/>
      <c r="EQ6" s="1382">
        <f>+EQ7+EQ8</f>
        <v>46856</v>
      </c>
      <c r="ER6" s="1382"/>
      <c r="ES6" s="1383"/>
      <c r="ET6" s="1382">
        <f>+ET7+ET8</f>
        <v>47945.2</v>
      </c>
      <c r="EU6" s="1382"/>
      <c r="EV6" s="1383"/>
      <c r="EW6" s="1382">
        <f>+EW7+EW8</f>
        <v>48011</v>
      </c>
      <c r="EX6" s="1382"/>
      <c r="EY6" s="1383"/>
      <c r="EZ6" s="1382">
        <f>+EZ7+EZ8</f>
        <v>40453</v>
      </c>
      <c r="FA6" s="1382"/>
      <c r="FB6" s="1383"/>
      <c r="FC6" s="1382">
        <f>+FC7+FC8</f>
        <v>45454</v>
      </c>
      <c r="FD6" s="1382"/>
      <c r="FE6" s="1383"/>
      <c r="FF6" s="1382">
        <f>+FF7+FF8</f>
        <v>38736.199999999997</v>
      </c>
      <c r="FG6" s="1382"/>
      <c r="FH6" s="1383"/>
      <c r="FI6" s="1382">
        <f>+FI7+FI8</f>
        <v>42476.1</v>
      </c>
      <c r="FJ6" s="1382"/>
      <c r="FK6" s="1383"/>
      <c r="FL6" s="1382">
        <f>+FL7+FL8</f>
        <v>44070</v>
      </c>
      <c r="FM6" s="1382"/>
      <c r="FN6" s="1383"/>
      <c r="FO6" s="1382">
        <f>+FO7+FO8</f>
        <v>44451.7</v>
      </c>
      <c r="FP6" s="1382"/>
      <c r="FQ6" s="1383"/>
      <c r="FR6" s="1382">
        <f>+FR7+FR8</f>
        <v>46454</v>
      </c>
      <c r="FS6" s="1382"/>
      <c r="FT6" s="1383"/>
      <c r="FU6" s="1382">
        <f>+FU7+FU8</f>
        <v>43806.9</v>
      </c>
      <c r="FV6" s="1382"/>
      <c r="FW6" s="1383"/>
      <c r="FX6" s="1382">
        <f>+FX7+FX8</f>
        <v>19066.310000000001</v>
      </c>
      <c r="FY6" s="1382"/>
      <c r="FZ6" s="1383"/>
      <c r="GA6" s="1382">
        <f>+GA7+GA8</f>
        <v>39845.5</v>
      </c>
      <c r="GB6" s="1382"/>
      <c r="GC6" s="1383"/>
      <c r="GD6" s="1382">
        <f>+GD7+GD8</f>
        <v>42984.1</v>
      </c>
      <c r="GE6" s="1382"/>
      <c r="GF6" s="1383"/>
      <c r="GG6" s="1382">
        <f>+GG7+GG8</f>
        <v>51975.3</v>
      </c>
      <c r="GH6" s="1382"/>
      <c r="GI6" s="1383"/>
      <c r="GJ6" s="1382">
        <f>+GJ7+GJ8</f>
        <v>46294.5</v>
      </c>
      <c r="GK6" s="1382"/>
      <c r="GL6" s="1383"/>
      <c r="GM6" s="1382">
        <f>+GM7+GM8</f>
        <v>44551.3</v>
      </c>
      <c r="GN6" s="1382"/>
      <c r="GO6" s="1383"/>
      <c r="GP6" s="1286">
        <v>0</v>
      </c>
      <c r="GQ6" s="1285"/>
      <c r="GR6" s="1287"/>
      <c r="GS6" s="1382">
        <f>+GS7+GS8</f>
        <v>20426</v>
      </c>
      <c r="GT6" s="1382"/>
      <c r="GU6" s="1383"/>
      <c r="GV6" s="1382">
        <f>+GV7+GV8</f>
        <v>40202</v>
      </c>
      <c r="GW6" s="1382"/>
      <c r="GX6" s="1383"/>
      <c r="GY6" s="1382">
        <f>+GY7+GY8</f>
        <v>47709.2</v>
      </c>
      <c r="GZ6" s="1382"/>
      <c r="HA6" s="1383"/>
      <c r="HB6" s="1382">
        <f>+HB7+HB8</f>
        <v>46818</v>
      </c>
      <c r="HC6" s="1382"/>
      <c r="HD6" s="1383"/>
      <c r="HE6" s="1382">
        <f>+HE7+HE8</f>
        <v>48856</v>
      </c>
      <c r="HF6" s="1382"/>
      <c r="HG6" s="1383"/>
      <c r="HH6" s="1382">
        <v>47462</v>
      </c>
      <c r="HI6" s="1382"/>
      <c r="HJ6" s="1383"/>
      <c r="HK6" s="1382">
        <f>+HK7+HK8</f>
        <v>41863</v>
      </c>
      <c r="HL6" s="1382"/>
      <c r="HM6" s="1383"/>
      <c r="HN6" s="1382">
        <f>+HN7+HN8</f>
        <v>31503</v>
      </c>
      <c r="HO6" s="1382"/>
      <c r="HP6" s="1383"/>
      <c r="HQ6" s="1382">
        <f>+HQ7+HQ8</f>
        <v>47538.7</v>
      </c>
      <c r="HR6" s="1382"/>
      <c r="HS6" s="1383"/>
      <c r="HT6" s="1382">
        <f>+HT7+HT8</f>
        <v>41688</v>
      </c>
      <c r="HU6" s="1382"/>
      <c r="HV6" s="1383"/>
      <c r="HW6" s="1382">
        <f>+HW7+HW8</f>
        <v>46511</v>
      </c>
      <c r="HX6" s="1382"/>
      <c r="HY6" s="1383"/>
      <c r="HZ6" s="1382">
        <f>+HZ7+HZ8</f>
        <v>48769</v>
      </c>
      <c r="IA6" s="1382"/>
      <c r="IB6" s="1383"/>
      <c r="IC6" s="1382">
        <v>0</v>
      </c>
      <c r="ID6" s="1382"/>
      <c r="IE6" s="1383"/>
      <c r="IF6" s="1382">
        <v>0</v>
      </c>
      <c r="IG6" s="1382"/>
      <c r="IH6" s="1383"/>
      <c r="II6" s="1382">
        <v>0</v>
      </c>
      <c r="IJ6" s="1382"/>
      <c r="IK6" s="1383"/>
      <c r="IL6" s="1382">
        <f>+IL7+IL8</f>
        <v>36904</v>
      </c>
      <c r="IM6" s="1382"/>
      <c r="IN6" s="1383"/>
      <c r="IO6" s="1382">
        <f>+IO7+IO8</f>
        <v>43590</v>
      </c>
      <c r="IP6" s="1382"/>
      <c r="IQ6" s="1383"/>
      <c r="IR6" s="1382">
        <f>+IR7+IR8</f>
        <v>47043.6</v>
      </c>
      <c r="IS6" s="1382"/>
      <c r="IT6" s="1383"/>
      <c r="IU6" s="1382">
        <f>+IU7+IU8</f>
        <v>49686.2</v>
      </c>
      <c r="IV6" s="1382"/>
      <c r="IW6" s="1383"/>
      <c r="IX6" s="1382">
        <f>+IX7+IX8</f>
        <v>50166.9</v>
      </c>
      <c r="IY6" s="1382"/>
      <c r="IZ6" s="1383"/>
      <c r="JA6" s="1382">
        <f>+JA7+JA8</f>
        <v>43653.399999999994</v>
      </c>
      <c r="JB6" s="1382"/>
      <c r="JC6" s="1383"/>
      <c r="JD6" s="1382">
        <f>+JD7+JD8</f>
        <v>24575.800000000003</v>
      </c>
      <c r="JE6" s="1382"/>
      <c r="JF6" s="1383"/>
      <c r="JG6" s="1382">
        <f>+JG7+JG8</f>
        <v>45527.4</v>
      </c>
      <c r="JH6" s="1382"/>
      <c r="JI6" s="1383"/>
      <c r="JJ6" s="1382">
        <f>+JJ7+JJ8</f>
        <v>43783</v>
      </c>
      <c r="JK6" s="1382"/>
      <c r="JL6" s="1383"/>
      <c r="JM6" s="1382">
        <f>+JM7+JM8</f>
        <v>46164.7</v>
      </c>
      <c r="JN6" s="1382"/>
      <c r="JO6" s="1383"/>
      <c r="JP6" s="1382">
        <v>0</v>
      </c>
      <c r="JQ6" s="1382"/>
      <c r="JR6" s="1383"/>
      <c r="JS6" s="1382">
        <f>+JS7+JS8</f>
        <v>45710</v>
      </c>
      <c r="JT6" s="1382"/>
      <c r="JU6" s="1383"/>
      <c r="JV6" s="1382">
        <f>+JV7+JV8</f>
        <v>40247.9</v>
      </c>
      <c r="JW6" s="1382"/>
      <c r="JX6" s="1383"/>
      <c r="JY6" s="1382">
        <v>0</v>
      </c>
      <c r="JZ6" s="1382"/>
      <c r="KA6" s="1383"/>
      <c r="KB6" s="1382">
        <f>+KB7+KB8</f>
        <v>42287</v>
      </c>
      <c r="KC6" s="1382"/>
      <c r="KD6" s="1383"/>
      <c r="KE6" s="1382">
        <f>+KE7+KE8</f>
        <v>39279</v>
      </c>
      <c r="KF6" s="1382"/>
      <c r="KG6" s="1383"/>
      <c r="KH6" s="1382">
        <f>+KH7+KH8</f>
        <v>37995.1</v>
      </c>
      <c r="KI6" s="1382"/>
      <c r="KJ6" s="1383"/>
      <c r="KK6" s="1382">
        <f>+KK7+KK8</f>
        <v>48110.600000000006</v>
      </c>
      <c r="KL6" s="1382"/>
      <c r="KM6" s="1383"/>
      <c r="KN6" s="1382">
        <f>+KN7+KN8</f>
        <v>49694</v>
      </c>
      <c r="KO6" s="1382"/>
      <c r="KP6" s="1383"/>
      <c r="KQ6" s="1382">
        <f>+KQ7+KQ8</f>
        <v>39961.199999999997</v>
      </c>
      <c r="KR6" s="1382"/>
      <c r="KS6" s="1383"/>
      <c r="KT6" s="1382">
        <f>+KT7+KT8</f>
        <v>39156</v>
      </c>
      <c r="KU6" s="1382"/>
      <c r="KV6" s="1383"/>
      <c r="KW6" s="1382">
        <f>+KW7+KW8</f>
        <v>39877</v>
      </c>
      <c r="KX6" s="1382"/>
      <c r="KY6" s="1383"/>
      <c r="KZ6" s="1382">
        <f>+KZ7+KZ8</f>
        <v>48133.8</v>
      </c>
      <c r="LA6" s="1382"/>
      <c r="LB6" s="1383"/>
      <c r="LC6" s="1382">
        <f>+LC7+LC8</f>
        <v>50027</v>
      </c>
      <c r="LD6" s="1382"/>
      <c r="LE6" s="1383"/>
      <c r="LF6" s="1382">
        <f>+LF7+LF8</f>
        <v>50171.5</v>
      </c>
      <c r="LG6" s="1382"/>
      <c r="LH6" s="1383"/>
      <c r="LI6" s="1382">
        <f>+LI7+LI8</f>
        <v>46633.4</v>
      </c>
      <c r="LJ6" s="1382"/>
      <c r="LK6" s="1383"/>
      <c r="LL6" s="1382">
        <v>0</v>
      </c>
      <c r="LM6" s="1382"/>
      <c r="LN6" s="1383"/>
      <c r="LO6" s="1382">
        <v>0</v>
      </c>
      <c r="LP6" s="1382"/>
      <c r="LQ6" s="1383"/>
      <c r="LR6" s="1382">
        <f>+LR7+LR8</f>
        <v>42842</v>
      </c>
      <c r="LS6" s="1382"/>
      <c r="LT6" s="1383"/>
      <c r="LU6" s="1382">
        <f>+LU7+LU8</f>
        <v>43874</v>
      </c>
      <c r="LV6" s="1382"/>
      <c r="LW6" s="1383"/>
      <c r="LX6" s="1382">
        <f>+LX7+LX8</f>
        <v>47167.6</v>
      </c>
      <c r="LY6" s="1382"/>
      <c r="LZ6" s="1383"/>
      <c r="MA6" s="1382">
        <f>+MA7+MA8</f>
        <v>49306</v>
      </c>
      <c r="MB6" s="1382"/>
      <c r="MC6" s="1383"/>
      <c r="MD6" s="1382">
        <f>+MD7+MD8</f>
        <v>50289</v>
      </c>
      <c r="ME6" s="1382"/>
      <c r="MF6" s="1383"/>
      <c r="MG6" s="1382">
        <f>+MG7+MG8</f>
        <v>45065.599999999999</v>
      </c>
      <c r="MH6" s="1382"/>
      <c r="MI6" s="1383"/>
      <c r="MJ6" s="1382">
        <v>0</v>
      </c>
      <c r="MK6" s="1382"/>
      <c r="ML6" s="1383"/>
      <c r="MM6" s="1382">
        <v>43437</v>
      </c>
      <c r="MN6" s="1382"/>
      <c r="MO6" s="1383"/>
      <c r="MP6" s="1382">
        <f>+MP7+MP8</f>
        <v>49796</v>
      </c>
      <c r="MQ6" s="1382"/>
      <c r="MR6" s="1383"/>
      <c r="MS6" s="1382">
        <f>+MS7+MS8</f>
        <v>44490.1</v>
      </c>
      <c r="MT6" s="1382"/>
      <c r="MU6" s="1383"/>
      <c r="MV6" s="1382">
        <f>+MV7+MV8</f>
        <v>47989.1</v>
      </c>
      <c r="MW6" s="1382"/>
      <c r="MX6" s="1383"/>
      <c r="MY6" s="1382">
        <f>+MY7+MY8</f>
        <v>46143.600000000006</v>
      </c>
      <c r="MZ6" s="1382"/>
      <c r="NA6" s="1383"/>
      <c r="NB6" s="1382">
        <v>0</v>
      </c>
      <c r="NC6" s="1382"/>
      <c r="ND6" s="1383"/>
      <c r="NE6" s="1382">
        <v>0</v>
      </c>
      <c r="NF6" s="1382"/>
      <c r="NG6" s="1383"/>
      <c r="NH6" s="1382">
        <f>+NH7+NH8</f>
        <v>48132.800000000003</v>
      </c>
      <c r="NI6" s="1382"/>
      <c r="NJ6" s="1383"/>
      <c r="NK6" s="1382">
        <f>+NK7+NK8</f>
        <v>50066.100000000006</v>
      </c>
      <c r="NL6" s="1382"/>
      <c r="NM6" s="1383"/>
      <c r="NN6" s="1382">
        <f>+NN7+NN8</f>
        <v>47338.3</v>
      </c>
      <c r="NO6" s="1382"/>
      <c r="NP6" s="1383"/>
      <c r="NQ6" s="1382">
        <f>+NQ7+NQ8</f>
        <v>47390</v>
      </c>
      <c r="NR6" s="1382"/>
      <c r="NS6" s="1383"/>
      <c r="NT6" s="1382">
        <f>+NT7+NT8</f>
        <v>47104.4</v>
      </c>
      <c r="NU6" s="1382"/>
      <c r="NV6" s="1383"/>
      <c r="NW6" s="1382">
        <v>0</v>
      </c>
      <c r="NX6" s="1382"/>
      <c r="NY6" s="1383"/>
      <c r="NZ6" s="1382">
        <v>0</v>
      </c>
      <c r="OA6" s="1382"/>
      <c r="OB6" s="1383"/>
      <c r="OC6" s="1382">
        <v>0</v>
      </c>
      <c r="OD6" s="1382"/>
      <c r="OE6" s="1383"/>
      <c r="OF6" s="1382">
        <f>+OF7+OF8</f>
        <v>50189.8</v>
      </c>
      <c r="OG6" s="1382"/>
      <c r="OH6" s="1383"/>
      <c r="OI6" s="1382">
        <f>+OI7+OI8</f>
        <v>43032.5</v>
      </c>
      <c r="OJ6" s="1382"/>
      <c r="OK6" s="1383"/>
      <c r="OL6" s="1382">
        <f>+OL7+OL8</f>
        <v>47961.8</v>
      </c>
      <c r="OM6" s="1382"/>
      <c r="ON6" s="1383"/>
      <c r="OO6" s="1382">
        <f>+OO7+OO8</f>
        <v>37779.199999999997</v>
      </c>
      <c r="OP6" s="1382"/>
      <c r="OQ6" s="1383"/>
      <c r="OR6" s="1382">
        <f>+OR7+OR8</f>
        <v>0</v>
      </c>
      <c r="OS6" s="1382"/>
      <c r="OT6" s="1383"/>
      <c r="OU6" s="1382">
        <f>+OU7+OU8</f>
        <v>0</v>
      </c>
      <c r="OV6" s="1382"/>
      <c r="OW6" s="1383"/>
      <c r="OX6" s="1382">
        <f>+OX7+OX8</f>
        <v>0</v>
      </c>
      <c r="OY6" s="1382"/>
      <c r="OZ6" s="1383"/>
      <c r="PA6" s="1382">
        <f>+PA7+PA8</f>
        <v>44309.899999999994</v>
      </c>
      <c r="PB6" s="1382"/>
      <c r="PC6" s="1383"/>
      <c r="PD6" s="1382">
        <f>+PD7+PD8</f>
        <v>40798.6</v>
      </c>
      <c r="PE6" s="1382"/>
      <c r="PF6" s="1383"/>
      <c r="PG6" s="1382">
        <f>+PG7+PG8</f>
        <v>45819.8</v>
      </c>
      <c r="PH6" s="1382"/>
      <c r="PI6" s="1383"/>
      <c r="PJ6" s="1382">
        <f>+PJ7+PJ8</f>
        <v>0</v>
      </c>
      <c r="PK6" s="1382"/>
      <c r="PL6" s="1383"/>
      <c r="PM6" s="1382">
        <f>+PM7+PM8</f>
        <v>0</v>
      </c>
      <c r="PN6" s="1382"/>
      <c r="PO6" s="1383"/>
      <c r="PP6" s="1382">
        <f>+PP7+PP8</f>
        <v>0</v>
      </c>
      <c r="PQ6" s="1382"/>
      <c r="PR6" s="1383"/>
      <c r="PS6" s="1382">
        <f>+PS7+PS8</f>
        <v>46880.399999999994</v>
      </c>
      <c r="PT6" s="1382"/>
      <c r="PU6" s="1383"/>
      <c r="PV6" s="1382">
        <f>+PV7+PV8</f>
        <v>17420.3</v>
      </c>
      <c r="PW6" s="1382"/>
      <c r="PX6" s="1383"/>
      <c r="PY6" s="1382">
        <f>+PY7+PY8</f>
        <v>23110.7</v>
      </c>
      <c r="PZ6" s="1382"/>
      <c r="QA6" s="1383"/>
      <c r="QB6" s="1382">
        <f>+QB7+QB8</f>
        <v>46990</v>
      </c>
      <c r="QC6" s="1382"/>
      <c r="QD6" s="1383"/>
      <c r="QE6" s="1382">
        <f>+QE7+QE8</f>
        <v>43721</v>
      </c>
      <c r="QF6" s="1382"/>
      <c r="QG6" s="1383"/>
      <c r="QH6" s="1382">
        <f>+QH7+QH8</f>
        <v>42126</v>
      </c>
      <c r="QI6" s="1382"/>
      <c r="QJ6" s="1383"/>
      <c r="QK6" s="1382">
        <f>+QK7+QK8</f>
        <v>0</v>
      </c>
      <c r="QL6" s="1382"/>
      <c r="QM6" s="1383"/>
      <c r="QN6" s="1382">
        <v>46199.635999999999</v>
      </c>
      <c r="QO6" s="1382"/>
      <c r="QP6" s="1383"/>
      <c r="QQ6" s="1382">
        <f>+QQ7+QQ8</f>
        <v>44814</v>
      </c>
      <c r="QR6" s="1382"/>
      <c r="QS6" s="1383"/>
      <c r="QT6" s="1382">
        <f>+QT7+QT8</f>
        <v>43458.8</v>
      </c>
      <c r="QU6" s="1382"/>
      <c r="QV6" s="1383"/>
      <c r="QW6" s="1382">
        <f>+QW7+QW8</f>
        <v>43272.3</v>
      </c>
      <c r="QX6" s="1382"/>
      <c r="QY6" s="1383"/>
      <c r="QZ6" s="1382">
        <f>+QZ7+QZ8</f>
        <v>47844</v>
      </c>
      <c r="RA6" s="1382"/>
      <c r="RB6" s="1383"/>
      <c r="RC6" s="1382">
        <f>+RC7+RC8</f>
        <v>0</v>
      </c>
      <c r="RD6" s="1382"/>
      <c r="RE6" s="1383"/>
      <c r="RF6" s="1382">
        <f>+RF7+RF8</f>
        <v>0</v>
      </c>
      <c r="RG6" s="1382"/>
      <c r="RH6" s="1383"/>
      <c r="RI6" s="1382">
        <f>+RI7+RI8</f>
        <v>42494.9</v>
      </c>
      <c r="RJ6" s="1382"/>
      <c r="RK6" s="1383"/>
      <c r="RL6" s="1382">
        <f>+RL7+RL8</f>
        <v>47778.400000000001</v>
      </c>
      <c r="RM6" s="1382"/>
      <c r="RN6" s="1383"/>
      <c r="RO6" s="1382">
        <f>+RO7+RO8</f>
        <v>47588.399999999994</v>
      </c>
      <c r="RP6" s="1382"/>
      <c r="RQ6" s="1383"/>
      <c r="RR6" s="1382">
        <f>+RR7+RR8</f>
        <v>42476.3</v>
      </c>
      <c r="RS6" s="1382"/>
      <c r="RT6" s="1383"/>
      <c r="RU6" s="1382">
        <f>+RU7+RU8</f>
        <v>44108.2</v>
      </c>
      <c r="RV6" s="1382"/>
      <c r="RW6" s="1383"/>
      <c r="RX6" s="1382">
        <f>+RX7+RX8</f>
        <v>0</v>
      </c>
      <c r="RY6" s="1382"/>
      <c r="RZ6" s="1383"/>
      <c r="SA6" s="1382">
        <f>+SA7+SA8</f>
        <v>0</v>
      </c>
      <c r="SB6" s="1382"/>
      <c r="SC6" s="1383"/>
      <c r="SD6" s="1382">
        <f>+SD7+SD8</f>
        <v>0</v>
      </c>
      <c r="SE6" s="1382"/>
      <c r="SF6" s="1383"/>
      <c r="SG6" s="1382">
        <f>+SG7+SG8</f>
        <v>33203.199999999997</v>
      </c>
      <c r="SH6" s="1382"/>
      <c r="SI6" s="1383"/>
      <c r="SJ6" s="1382">
        <f>+SJ7+SJ8</f>
        <v>41659.300000000003</v>
      </c>
      <c r="SK6" s="1382"/>
      <c r="SL6" s="1383"/>
      <c r="SM6" s="1382">
        <f>+SM7+SM8</f>
        <v>46622</v>
      </c>
      <c r="SN6" s="1382"/>
      <c r="SO6" s="1383"/>
      <c r="SP6" s="1382">
        <f>+SP7+SP8</f>
        <v>44269.5</v>
      </c>
      <c r="SQ6" s="1382"/>
      <c r="SR6" s="1383"/>
      <c r="SS6" s="1382">
        <f>+SS7+SS8</f>
        <v>38113.1</v>
      </c>
      <c r="ST6" s="1382"/>
      <c r="SU6" s="1383"/>
      <c r="SV6" s="1382">
        <f>+SV7+SV8</f>
        <v>40413.4</v>
      </c>
      <c r="SW6" s="1382"/>
      <c r="SX6" s="1383"/>
      <c r="SY6" s="1382">
        <f>+SY7+SY8</f>
        <v>39170.6</v>
      </c>
      <c r="SZ6" s="1382"/>
      <c r="TA6" s="1383"/>
      <c r="TB6" s="1382">
        <f>+TB7+TB8</f>
        <v>46949.899999999994</v>
      </c>
      <c r="TC6" s="1382"/>
      <c r="TD6" s="1383"/>
      <c r="TE6" s="1382">
        <f>+TE7+TE8</f>
        <v>45506.100000000006</v>
      </c>
      <c r="TF6" s="1382"/>
      <c r="TG6" s="1383"/>
      <c r="TH6" s="1382">
        <f>+TH7+TH8</f>
        <v>44724.9</v>
      </c>
      <c r="TI6" s="1382"/>
      <c r="TJ6" s="1383"/>
      <c r="TK6" s="1382">
        <f>+TK7+TK8</f>
        <v>46045.100000000006</v>
      </c>
      <c r="TL6" s="1382"/>
      <c r="TM6" s="1383"/>
      <c r="TN6" s="1382">
        <f>+TN7+TN8</f>
        <v>36809.100000000006</v>
      </c>
      <c r="TO6" s="1382"/>
      <c r="TP6" s="1383"/>
      <c r="TQ6" s="1382">
        <f>+TQ7+TQ8</f>
        <v>36827</v>
      </c>
      <c r="TR6" s="1382"/>
      <c r="TS6" s="1383"/>
      <c r="TT6" s="1382">
        <f>+TT7+TT8</f>
        <v>46058.3</v>
      </c>
      <c r="TU6" s="1382"/>
      <c r="TV6" s="1383"/>
      <c r="TW6" s="1382">
        <f>+TW7+TW8</f>
        <v>42300.5</v>
      </c>
      <c r="TX6" s="1382"/>
      <c r="TY6" s="1383"/>
      <c r="TZ6" s="1382">
        <f>+TZ7+TZ8</f>
        <v>42988.600000000006</v>
      </c>
      <c r="UA6" s="1382"/>
      <c r="UB6" s="1383"/>
      <c r="UC6" s="1382">
        <f>+UC7+UC8</f>
        <v>43964.9</v>
      </c>
      <c r="UD6" s="1382"/>
      <c r="UE6" s="1383"/>
      <c r="UF6" s="1382">
        <f>+UF7+UF8</f>
        <v>45027</v>
      </c>
      <c r="UG6" s="1382"/>
      <c r="UH6" s="1383"/>
      <c r="UI6" s="1382">
        <f>+UI7+UI8</f>
        <v>0</v>
      </c>
      <c r="UJ6" s="1382"/>
      <c r="UK6" s="1383"/>
      <c r="UL6" s="1382">
        <f>+UL7+UL8</f>
        <v>0</v>
      </c>
      <c r="UM6" s="1382"/>
      <c r="UN6" s="1383"/>
      <c r="UO6" s="1382">
        <f>+UO7+UO8</f>
        <v>45405.3</v>
      </c>
      <c r="UP6" s="1382"/>
      <c r="UQ6" s="1383"/>
      <c r="UR6" s="1382">
        <f>+UR7+UR8</f>
        <v>42867.199999999997</v>
      </c>
      <c r="US6" s="1382"/>
      <c r="UT6" s="1383"/>
      <c r="UU6" s="1382">
        <f>+UU7+UU8</f>
        <v>47119.3</v>
      </c>
      <c r="UV6" s="1382"/>
      <c r="UW6" s="1383"/>
      <c r="UX6" s="1382">
        <f>+UX7+UX8</f>
        <v>45908.3</v>
      </c>
      <c r="UY6" s="1382"/>
      <c r="UZ6" s="1383"/>
      <c r="VA6" s="1382">
        <f>+VA7+VA8</f>
        <v>48765.7</v>
      </c>
      <c r="VB6" s="1382"/>
      <c r="VC6" s="1383"/>
      <c r="VD6" s="1382">
        <f>+VD7+VD8</f>
        <v>0</v>
      </c>
      <c r="VE6" s="1382"/>
      <c r="VF6" s="1383"/>
      <c r="VG6" s="1382">
        <f>+VG7+VG8</f>
        <v>0</v>
      </c>
      <c r="VH6" s="1382"/>
      <c r="VI6" s="1383"/>
      <c r="VJ6" s="1382">
        <f>+VJ7+VJ8</f>
        <v>26391</v>
      </c>
      <c r="VK6" s="1382"/>
      <c r="VL6" s="1383"/>
      <c r="VM6" s="1382">
        <f>+VM7+VM8</f>
        <v>43737.899999999994</v>
      </c>
      <c r="VN6" s="1382"/>
      <c r="VO6" s="1383"/>
      <c r="VP6" s="1382">
        <f>+VP7+VP8</f>
        <v>43790.2</v>
      </c>
      <c r="VQ6" s="1382"/>
      <c r="VR6" s="1383"/>
      <c r="VS6" s="1382">
        <f>+VS7+VS8</f>
        <v>48520.100000000006</v>
      </c>
      <c r="VT6" s="1382"/>
      <c r="VU6" s="1383"/>
      <c r="VV6" s="1382">
        <f>+VV7+VV8</f>
        <v>47462.100000000006</v>
      </c>
      <c r="VW6" s="1382"/>
      <c r="VX6" s="1383"/>
      <c r="VY6" s="1382">
        <f>+VY7+VY8</f>
        <v>0</v>
      </c>
      <c r="VZ6" s="1382"/>
      <c r="WA6" s="1383"/>
      <c r="WB6" s="1382">
        <f>+WB7+WB8</f>
        <v>0</v>
      </c>
      <c r="WC6" s="1382"/>
      <c r="WD6" s="1383"/>
      <c r="WE6" s="1382">
        <f>+WE7+WE8</f>
        <v>43607.6</v>
      </c>
      <c r="WF6" s="1382"/>
      <c r="WG6" s="1383"/>
      <c r="WH6" s="1382">
        <f>+WH7+WH8</f>
        <v>47644.800000000003</v>
      </c>
      <c r="WI6" s="1382"/>
      <c r="WJ6" s="1383"/>
      <c r="WK6" s="1382">
        <f>+WK7+WK8</f>
        <v>48189</v>
      </c>
      <c r="WL6" s="1382"/>
      <c r="WM6" s="1383"/>
      <c r="WN6" s="1382">
        <f>+WN7+WN8</f>
        <v>46027.5</v>
      </c>
      <c r="WO6" s="1382"/>
      <c r="WP6" s="1383"/>
      <c r="WQ6" s="1382">
        <f>+WQ7+WQ8</f>
        <v>47568.9</v>
      </c>
      <c r="WR6" s="1382"/>
      <c r="WS6" s="1383"/>
      <c r="WT6" s="1382">
        <f>+WT7+WT8</f>
        <v>0</v>
      </c>
      <c r="WU6" s="1382"/>
      <c r="WV6" s="1383"/>
      <c r="WW6" s="1382">
        <f>+WW7+WW8</f>
        <v>0</v>
      </c>
      <c r="WX6" s="1382"/>
      <c r="WY6" s="1383"/>
      <c r="WZ6" s="1382">
        <f>+WZ7+WZ8</f>
        <v>43821.2</v>
      </c>
      <c r="XA6" s="1382"/>
      <c r="XB6" s="1383"/>
      <c r="XC6" s="1382">
        <f>+XC7+XC8</f>
        <v>48350.2</v>
      </c>
      <c r="XD6" s="1382"/>
      <c r="XE6" s="1383"/>
      <c r="XF6" s="1382">
        <f>+XF7+XF8</f>
        <v>48145.600000000006</v>
      </c>
      <c r="XG6" s="1382"/>
      <c r="XH6" s="1383"/>
      <c r="XI6" s="1382">
        <f>+XI7+XI8</f>
        <v>44280</v>
      </c>
      <c r="XJ6" s="1382"/>
      <c r="XK6" s="1383"/>
      <c r="XL6" s="1382">
        <f>+XL7+XL8</f>
        <v>44455.3</v>
      </c>
      <c r="XM6" s="1382"/>
      <c r="XN6" s="1383"/>
      <c r="XO6" s="1382">
        <f>+XO7+XO8</f>
        <v>0</v>
      </c>
      <c r="XP6" s="1382"/>
      <c r="XQ6" s="1383"/>
      <c r="XR6" s="1382">
        <f>+XR7+XR8</f>
        <v>0</v>
      </c>
      <c r="XS6" s="1382"/>
      <c r="XT6" s="1383"/>
      <c r="XU6" s="1382">
        <f>+XU7+XU8</f>
        <v>46289</v>
      </c>
      <c r="XV6" s="1382"/>
      <c r="XW6" s="1383"/>
      <c r="XX6" s="1382">
        <f>+XX7+XX8</f>
        <v>46852.800000000003</v>
      </c>
      <c r="XY6" s="1382"/>
      <c r="XZ6" s="1383"/>
      <c r="YA6" s="1382">
        <f>+YA7+YA8</f>
        <v>45897.1</v>
      </c>
      <c r="YB6" s="1382"/>
      <c r="YC6" s="1383"/>
      <c r="YD6" s="1382">
        <f>+YD7+YD8</f>
        <v>42075.8</v>
      </c>
      <c r="YE6" s="1382"/>
      <c r="YF6" s="1383"/>
      <c r="YG6" s="1382">
        <f>+YG7+YG8</f>
        <v>48819.3</v>
      </c>
      <c r="YH6" s="1382"/>
      <c r="YI6" s="1383"/>
      <c r="YJ6" s="1382">
        <f>+YJ7+YJ8</f>
        <v>0</v>
      </c>
      <c r="YK6" s="1382"/>
      <c r="YL6" s="1383"/>
      <c r="YM6" s="1382">
        <f>+YM7+YM8</f>
        <v>0</v>
      </c>
      <c r="YN6" s="1382"/>
      <c r="YO6" s="1383"/>
      <c r="YP6" s="1382">
        <f>+YP7+YP8</f>
        <v>47918.5</v>
      </c>
      <c r="YQ6" s="1382"/>
      <c r="YR6" s="1383"/>
      <c r="YS6" s="1382">
        <f>+YS7+YS8</f>
        <v>44203.8</v>
      </c>
      <c r="YT6" s="1382"/>
      <c r="YU6" s="1383"/>
      <c r="YV6" s="1382">
        <f>+YV7+YV8</f>
        <v>47139.5</v>
      </c>
      <c r="YW6" s="1382"/>
      <c r="YX6" s="1383"/>
      <c r="YY6" s="1382">
        <f>+YY7+YY8</f>
        <v>46011.1</v>
      </c>
      <c r="YZ6" s="1382"/>
      <c r="ZA6" s="1383"/>
      <c r="ZB6" s="1382">
        <f>+ZB7+ZB8</f>
        <v>46668.6</v>
      </c>
      <c r="ZC6" s="1382"/>
      <c r="ZD6" s="1383"/>
      <c r="ZE6" s="1382">
        <f>+ZE7+ZE8</f>
        <v>0</v>
      </c>
      <c r="ZF6" s="1382"/>
      <c r="ZG6" s="1383"/>
      <c r="ZH6" s="1382">
        <f>+ZH7+ZH8</f>
        <v>0</v>
      </c>
      <c r="ZI6" s="1382"/>
      <c r="ZJ6" s="1383"/>
      <c r="ZK6" s="1382">
        <f>+ZK7+ZK8</f>
        <v>40726.399999999994</v>
      </c>
      <c r="ZL6" s="1382"/>
      <c r="ZM6" s="1383"/>
      <c r="ZN6" s="1382">
        <f>+ZN7+ZN8</f>
        <v>41504</v>
      </c>
      <c r="ZO6" s="1382"/>
      <c r="ZP6" s="1383"/>
      <c r="ZQ6" s="1382">
        <f t="shared" ref="ZQ6" si="1546">+ZQ7+ZQ8</f>
        <v>38077.599999999999</v>
      </c>
      <c r="ZR6" s="1382"/>
      <c r="ZS6" s="1383"/>
      <c r="ZT6" s="1382">
        <f t="shared" ref="ZT6" si="1547">+ZT7+ZT8</f>
        <v>39439</v>
      </c>
      <c r="ZU6" s="1382"/>
      <c r="ZV6" s="1383"/>
      <c r="ZW6" s="1382">
        <f t="shared" ref="ZW6" si="1548">+ZW7+ZW8</f>
        <v>41309.5</v>
      </c>
      <c r="ZX6" s="1382"/>
      <c r="ZY6" s="1383"/>
      <c r="ZZ6" s="1382">
        <f t="shared" ref="ZZ6" si="1549">+ZZ7+ZZ8</f>
        <v>34236.400000000001</v>
      </c>
      <c r="AAA6" s="1382"/>
      <c r="AAB6" s="1383"/>
      <c r="AAC6" s="1382">
        <f>+AAC7+AAC8</f>
        <v>0</v>
      </c>
      <c r="AAD6" s="1382"/>
      <c r="AAE6" s="1383"/>
      <c r="AAF6" s="1382">
        <f t="shared" ref="AAF6" si="1550">+AAF7+AAF8</f>
        <v>38041.5</v>
      </c>
      <c r="AAG6" s="1382"/>
      <c r="AAH6" s="1383"/>
      <c r="AAI6" s="1382">
        <f t="shared" ref="AAI6" si="1551">+AAI7+AAI8</f>
        <v>43330.6</v>
      </c>
      <c r="AAJ6" s="1382"/>
      <c r="AAK6" s="1383"/>
      <c r="AAL6" s="1382">
        <f t="shared" ref="AAL6" si="1552">+AAL7+AAL8</f>
        <v>35262.300000000003</v>
      </c>
      <c r="AAM6" s="1382"/>
      <c r="AAN6" s="1383"/>
      <c r="AAO6" s="1382">
        <f t="shared" ref="AAO6" si="1553">+AAO7+AAO8</f>
        <v>40904.6</v>
      </c>
      <c r="AAP6" s="1382"/>
      <c r="AAQ6" s="1383"/>
      <c r="AAR6" s="1382">
        <f>+AAR7+AAR8</f>
        <v>39388</v>
      </c>
      <c r="AAS6" s="1382"/>
      <c r="AAT6" s="1383"/>
      <c r="AAU6" s="1382">
        <f>+AAU7+AAU8</f>
        <v>40640</v>
      </c>
      <c r="AAV6" s="1382"/>
      <c r="AAW6" s="1383"/>
      <c r="AAX6" s="1382">
        <f>+AAX7+AAX8</f>
        <v>0</v>
      </c>
      <c r="AAY6" s="1382"/>
      <c r="AAZ6" s="1383"/>
      <c r="ABA6" s="1382">
        <f>+ABA7+ABA8</f>
        <v>39859.300000000003</v>
      </c>
      <c r="ABB6" s="1382"/>
      <c r="ABC6" s="1383"/>
      <c r="ABD6" s="1382">
        <f>+ABD7+ABD8</f>
        <v>34730.6</v>
      </c>
      <c r="ABE6" s="1382"/>
      <c r="ABF6" s="1383"/>
      <c r="ABG6" s="1382">
        <f>+ABG7+ABG8</f>
        <v>42747.9</v>
      </c>
      <c r="ABH6" s="1382"/>
      <c r="ABI6" s="1383"/>
      <c r="ABJ6" s="1382">
        <f>+ABJ7+ABJ8</f>
        <v>35141</v>
      </c>
      <c r="ABK6" s="1382"/>
      <c r="ABL6" s="1383"/>
      <c r="ABM6" s="1382">
        <v>46583</v>
      </c>
      <c r="ABN6" s="1382"/>
      <c r="ABO6" s="1383"/>
      <c r="ABP6" s="1382">
        <f>+ABP7+ABP8</f>
        <v>39828</v>
      </c>
      <c r="ABQ6" s="1382"/>
      <c r="ABR6" s="1383"/>
      <c r="ABS6" s="1382">
        <f>+ABS7+ABS8</f>
        <v>0</v>
      </c>
      <c r="ABT6" s="1382"/>
      <c r="ABU6" s="1383"/>
      <c r="ABV6" s="1382">
        <f>+ABV7+ABV8</f>
        <v>41425.800000000003</v>
      </c>
      <c r="ABW6" s="1382"/>
      <c r="ABX6" s="1383"/>
      <c r="ABY6" s="1382">
        <f>+ABY7+ABY8</f>
        <v>44998.1</v>
      </c>
      <c r="ABZ6" s="1382"/>
      <c r="ACA6" s="1383"/>
      <c r="ACB6" s="1382">
        <f>+ACB7+ACB8</f>
        <v>46701.600000000006</v>
      </c>
      <c r="ACC6" s="1382"/>
      <c r="ACD6" s="1383"/>
      <c r="ACE6" s="1382">
        <f>+ACE7+ACE8</f>
        <v>39366.199999999997</v>
      </c>
      <c r="ACF6" s="1382"/>
      <c r="ACG6" s="1383"/>
      <c r="ACH6" s="1382">
        <f>+ACH7+ACH8</f>
        <v>35397.4</v>
      </c>
      <c r="ACI6" s="1382"/>
      <c r="ACJ6" s="1383"/>
      <c r="ACK6" s="1382">
        <f>+ACK7+ACK8</f>
        <v>0</v>
      </c>
      <c r="ACL6" s="1382"/>
      <c r="ACM6" s="1383"/>
      <c r="ACN6" s="1382">
        <f>+ACN7+ACN8</f>
        <v>0</v>
      </c>
      <c r="ACO6" s="1382"/>
      <c r="ACP6" s="1383"/>
      <c r="ACQ6" s="1382">
        <f>+ACQ7+ACQ8</f>
        <v>38636</v>
      </c>
      <c r="ACR6" s="1382"/>
      <c r="ACS6" s="1383"/>
      <c r="ACT6" s="1382">
        <f>+ACT7+ACT8</f>
        <v>41874.1</v>
      </c>
      <c r="ACU6" s="1382"/>
      <c r="ACV6" s="1383"/>
      <c r="ACW6" s="1382">
        <f>+ACW7+ACW8</f>
        <v>43340.800000000003</v>
      </c>
      <c r="ACX6" s="1382"/>
      <c r="ACY6" s="1383"/>
      <c r="ACZ6" s="1382">
        <f>+ACZ7+ACZ8</f>
        <v>42142.5</v>
      </c>
      <c r="ADA6" s="1382"/>
      <c r="ADB6" s="1383"/>
      <c r="ADC6" s="1382">
        <f>+ADC7+ADC8</f>
        <v>44172.5</v>
      </c>
      <c r="ADD6" s="1382"/>
      <c r="ADE6" s="1383"/>
      <c r="ADF6" s="1382">
        <f>+ADF7+ADF8</f>
        <v>20845.8</v>
      </c>
      <c r="ADG6" s="1382"/>
      <c r="ADH6" s="1383"/>
      <c r="ADI6" s="1382">
        <f>+ADI7+ADI8</f>
        <v>19659.2</v>
      </c>
      <c r="ADJ6" s="1382"/>
      <c r="ADK6" s="1383"/>
      <c r="ADL6" s="1382">
        <f>+ADL7+ADL8</f>
        <v>40700.400000000001</v>
      </c>
      <c r="ADM6" s="1382"/>
      <c r="ADN6" s="1383"/>
      <c r="ADO6" s="1382">
        <f>+ADO7+ADO8</f>
        <v>43271.6</v>
      </c>
      <c r="ADP6" s="1382"/>
      <c r="ADQ6" s="1383"/>
      <c r="ADR6" s="1382">
        <f>+ADR7+ADR8</f>
        <v>43335.3</v>
      </c>
      <c r="ADS6" s="1382"/>
      <c r="ADT6" s="1383"/>
      <c r="ADU6" s="1382">
        <f>+ADU7+ADU8</f>
        <v>44779</v>
      </c>
      <c r="ADV6" s="1382"/>
      <c r="ADW6" s="1383"/>
      <c r="ADX6" s="1382">
        <f>+ADX7+ADX8</f>
        <v>41385.699999999997</v>
      </c>
      <c r="ADY6" s="1382"/>
      <c r="ADZ6" s="1383"/>
      <c r="AEA6" s="1382">
        <f>+AEA7+AEA8</f>
        <v>14673</v>
      </c>
      <c r="AEB6" s="1382"/>
      <c r="AEC6" s="1383"/>
      <c r="AED6" s="1382">
        <f>+AED7+AED8</f>
        <v>19740.599999999999</v>
      </c>
      <c r="AEE6" s="1382"/>
      <c r="AEF6" s="1383"/>
      <c r="AEG6" s="1382">
        <f>+AEG7+AEG8</f>
        <v>40740.9</v>
      </c>
      <c r="AEH6" s="1382"/>
      <c r="AEI6" s="1383"/>
      <c r="AEJ6" s="1382">
        <f>+AEJ7+AEJ8</f>
        <v>42856.399999999994</v>
      </c>
      <c r="AEK6" s="1382"/>
      <c r="AEL6" s="1383"/>
      <c r="AEM6" s="1382">
        <f>+AEM7+AEM8</f>
        <v>43416.9</v>
      </c>
      <c r="AEN6" s="1382"/>
      <c r="AEO6" s="1383"/>
      <c r="AEP6" s="1382">
        <f>+AEP7+AEP8</f>
        <v>40174.699999999997</v>
      </c>
      <c r="AEQ6" s="1382"/>
      <c r="AER6" s="1383"/>
      <c r="AES6" s="1382">
        <f>+AES7+AES8</f>
        <v>41955.8</v>
      </c>
      <c r="AET6" s="1382"/>
      <c r="AEU6" s="1383"/>
      <c r="AEV6" s="1333">
        <f>+AEV7+AEV8</f>
        <v>17241.3</v>
      </c>
      <c r="AEW6" s="1333"/>
      <c r="AEX6" s="1334"/>
      <c r="AEY6" s="1333">
        <f>+AEY7+AEY8</f>
        <v>18510</v>
      </c>
      <c r="AEZ6" s="1333"/>
      <c r="AFA6" s="1334"/>
      <c r="AFB6" s="1333">
        <f>+AFB7+AFB8</f>
        <v>48271.5</v>
      </c>
      <c r="AFC6" s="1333"/>
      <c r="AFD6" s="1334"/>
      <c r="AFE6" s="1333">
        <f>+AFE7+AFE8</f>
        <v>45296.4</v>
      </c>
      <c r="AFF6" s="1333"/>
      <c r="AFG6" s="1334"/>
      <c r="AFH6" s="1333">
        <f>+AFH7+AFH8</f>
        <v>38697.800000000003</v>
      </c>
      <c r="AFI6" s="1333"/>
      <c r="AFJ6" s="1334"/>
      <c r="AFK6" s="1333">
        <f>+AFK7+AFK8</f>
        <v>45988.399999999994</v>
      </c>
      <c r="AFL6" s="1333"/>
      <c r="AFM6" s="1334"/>
      <c r="AFN6" s="1333">
        <f>+AFN7+AFN8</f>
        <v>46433.7</v>
      </c>
      <c r="AFO6" s="1333"/>
      <c r="AFP6" s="1334"/>
      <c r="AFQ6" s="1333">
        <f>+AFQ7+AFQ8</f>
        <v>0</v>
      </c>
      <c r="AFR6" s="1333"/>
      <c r="AFS6" s="1334"/>
      <c r="AFT6" s="1333">
        <f>+AFT7+AFT8</f>
        <v>0</v>
      </c>
      <c r="AFU6" s="1333"/>
      <c r="AFV6" s="1334"/>
      <c r="AFW6" s="1333">
        <f>+AFW7+AFW8</f>
        <v>42515.3</v>
      </c>
      <c r="AFX6" s="1333"/>
      <c r="AFY6" s="1334"/>
      <c r="AFZ6" s="1333">
        <f>+AFZ7+AFZ8</f>
        <v>41777.300000000003</v>
      </c>
      <c r="AGA6" s="1333"/>
      <c r="AGB6" s="1334"/>
      <c r="AGC6" s="1333">
        <f>+AGC7+AGC8</f>
        <v>43518.899999999994</v>
      </c>
      <c r="AGD6" s="1333"/>
      <c r="AGE6" s="1334"/>
      <c r="AGF6" s="1333">
        <f>+AGF7+AGF8</f>
        <v>43385.9</v>
      </c>
      <c r="AGG6" s="1333"/>
      <c r="AGH6" s="1334"/>
      <c r="AGI6" s="1333">
        <f>+AGI7+AGI8</f>
        <v>36714.800000000003</v>
      </c>
      <c r="AGJ6" s="1333"/>
      <c r="AGK6" s="1334"/>
      <c r="AGL6" s="1333">
        <f>+AGL7+AGL8</f>
        <v>19370.099999999999</v>
      </c>
      <c r="AGM6" s="1333"/>
      <c r="AGN6" s="1334"/>
      <c r="AGO6" s="1333">
        <f>+AGO7+AGO8</f>
        <v>19652.900000000001</v>
      </c>
      <c r="AGP6" s="1333"/>
      <c r="AGQ6" s="1334"/>
      <c r="AGR6" s="1333">
        <f>+AGR7+AGR8</f>
        <v>40957.199999999997</v>
      </c>
      <c r="AGS6" s="1333"/>
      <c r="AGT6" s="1334"/>
      <c r="AGU6" s="1333">
        <f>+AGU7+AGU8</f>
        <v>42414.2</v>
      </c>
      <c r="AGV6" s="1333"/>
      <c r="AGW6" s="1334"/>
      <c r="AGX6" s="1333">
        <f>+AGX7+AGX8</f>
        <v>46330.2</v>
      </c>
      <c r="AGY6" s="1333"/>
      <c r="AGZ6" s="1334"/>
      <c r="AHA6" s="1333">
        <f>+AHA7+AHA8</f>
        <v>46665.3</v>
      </c>
      <c r="AHB6" s="1333"/>
      <c r="AHC6" s="1334"/>
      <c r="AHD6" s="1333">
        <f>+AHD7+AHD8</f>
        <v>45278.3</v>
      </c>
      <c r="AHE6" s="1333"/>
      <c r="AHF6" s="1334"/>
      <c r="AHG6" s="1333">
        <f>+AHG7+AHG8</f>
        <v>40932.400000000001</v>
      </c>
      <c r="AHH6" s="1333"/>
      <c r="AHI6" s="1334"/>
      <c r="AHJ6" s="1333">
        <v>0</v>
      </c>
      <c r="AHK6" s="1333"/>
      <c r="AHL6" s="1334"/>
      <c r="AHM6" s="1333">
        <v>0</v>
      </c>
      <c r="AHN6" s="1333"/>
      <c r="AHO6" s="1334"/>
      <c r="AHP6" s="1333">
        <f>+AHP7+AHP8</f>
        <v>41256.699999999997</v>
      </c>
      <c r="AHQ6" s="1333"/>
      <c r="AHR6" s="1334"/>
      <c r="AHS6" s="1333">
        <f>+AHS7+AHS8</f>
        <v>46929</v>
      </c>
      <c r="AHT6" s="1333"/>
      <c r="AHU6" s="1334"/>
      <c r="AHV6" s="1333">
        <f>+AHV7+AHV8</f>
        <v>45358.8</v>
      </c>
      <c r="AHW6" s="1333"/>
      <c r="AHX6" s="1334"/>
      <c r="AHY6" s="1333">
        <f>+AHY7+AHY8</f>
        <v>43238.399999999994</v>
      </c>
      <c r="AHZ6" s="1333"/>
      <c r="AIA6" s="1334"/>
      <c r="AIB6" s="1333">
        <f>+AIB7+AIB8</f>
        <v>20549.900000000001</v>
      </c>
      <c r="AIC6" s="1333"/>
      <c r="AID6" s="1334"/>
      <c r="AIE6" s="1333">
        <f>+AIE7+AIE8</f>
        <v>17490</v>
      </c>
      <c r="AIF6" s="1333"/>
      <c r="AIG6" s="1334"/>
      <c r="AIH6" s="1333">
        <f>+AIH7+AIH8</f>
        <v>39998.9</v>
      </c>
      <c r="AII6" s="1333"/>
      <c r="AIJ6" s="1334"/>
      <c r="AIK6" s="1333">
        <f>+AIK7+AIK8</f>
        <v>45678.5</v>
      </c>
      <c r="AIL6" s="1333"/>
      <c r="AIM6" s="1334"/>
      <c r="AIN6" s="1333">
        <f>+AIN7+AIN8</f>
        <v>44754.899999999994</v>
      </c>
      <c r="AIO6" s="1333"/>
      <c r="AIP6" s="1334"/>
      <c r="AIQ6" s="1333">
        <f>+AIQ7+AIQ8</f>
        <v>46438.8</v>
      </c>
      <c r="AIR6" s="1333"/>
      <c r="AIS6" s="1334"/>
      <c r="AIT6" s="1333">
        <f>+AIT7+AIT8</f>
        <v>46496.800000000003</v>
      </c>
      <c r="AIU6" s="1333"/>
      <c r="AIV6" s="1334"/>
      <c r="AIW6" s="1333">
        <f>+AIW7+AIW8</f>
        <v>31609.600000000002</v>
      </c>
      <c r="AIX6" s="1333"/>
      <c r="AIY6" s="1334"/>
      <c r="AIZ6" s="1333">
        <f>+AIZ7+AIZ8</f>
        <v>0</v>
      </c>
      <c r="AJA6" s="1333"/>
      <c r="AJB6" s="1334"/>
      <c r="AJC6" s="1333">
        <f>+AJC7+AJC8</f>
        <v>0</v>
      </c>
      <c r="AJD6" s="1333"/>
      <c r="AJE6" s="1334"/>
      <c r="AJF6" s="1333">
        <f>+AJF7+AJF8</f>
        <v>42731.3</v>
      </c>
      <c r="AJG6" s="1333"/>
      <c r="AJH6" s="1334"/>
      <c r="AJI6" s="1333">
        <f>+AJI7+AJI8</f>
        <v>45494.899999999994</v>
      </c>
      <c r="AJJ6" s="1333"/>
      <c r="AJK6" s="1334"/>
      <c r="AJL6" s="1333">
        <f>+AJL7+AJL8</f>
        <v>36868.899999999994</v>
      </c>
      <c r="AJM6" s="1333"/>
      <c r="AJN6" s="1334"/>
      <c r="AJO6" s="1333">
        <f>+AJO7+AJO8</f>
        <v>44242.2</v>
      </c>
      <c r="AJP6" s="1333"/>
      <c r="AJQ6" s="1334"/>
      <c r="AJR6" s="1333">
        <f>+AJR7+AJR8</f>
        <v>39039.5</v>
      </c>
      <c r="AJS6" s="1333"/>
      <c r="AJT6" s="1334"/>
      <c r="AJU6" s="1333">
        <f>+AJU7+AJU8</f>
        <v>41424.800000000003</v>
      </c>
      <c r="AJV6" s="1333"/>
      <c r="AJW6" s="1334"/>
      <c r="AJX6" s="1333">
        <f>+AJX7+AJX8</f>
        <v>41931.4</v>
      </c>
      <c r="AJY6" s="1333"/>
      <c r="AJZ6" s="1334"/>
      <c r="AKA6" s="1333">
        <f>+AKA7+AKA8</f>
        <v>41715.4</v>
      </c>
      <c r="AKB6" s="1333"/>
      <c r="AKC6" s="1334"/>
      <c r="AKD6" s="1333">
        <f>+AKD7+AKD8</f>
        <v>36455.100000000006</v>
      </c>
      <c r="AKE6" s="1333"/>
      <c r="AKF6" s="1334"/>
      <c r="AKG6" s="1333">
        <f>+AKG7+AKG8</f>
        <v>44243.199999999997</v>
      </c>
      <c r="AKH6" s="1333"/>
      <c r="AKI6" s="1334"/>
      <c r="AKJ6" s="1333">
        <f>+AKJ7+AKJ8</f>
        <v>46317.2</v>
      </c>
      <c r="AKK6" s="1333"/>
      <c r="AKL6" s="1334"/>
      <c r="AKM6" s="1333">
        <f>+AKM7+AKM8</f>
        <v>29046.3</v>
      </c>
      <c r="AKN6" s="1333"/>
      <c r="AKO6" s="1334"/>
      <c r="AKP6" s="1333">
        <f>+AKP7+AKP8</f>
        <v>19684.3</v>
      </c>
      <c r="AKQ6" s="1333"/>
      <c r="AKR6" s="1334"/>
      <c r="AKS6" s="1333">
        <f>+AKS7+AKS8</f>
        <v>46197.4</v>
      </c>
      <c r="AKT6" s="1333"/>
      <c r="AKU6" s="1334"/>
      <c r="AKV6" s="1333">
        <f>+AKV7+AKV8</f>
        <v>42047.4</v>
      </c>
      <c r="AKW6" s="1333"/>
      <c r="AKX6" s="1334"/>
      <c r="AKY6" s="1333">
        <f>+AKY7+AKY8</f>
        <v>17395.400000000001</v>
      </c>
      <c r="AKZ6" s="1333"/>
      <c r="ALA6" s="1334"/>
      <c r="ALB6" s="1333">
        <f>+ALB7+ALB8</f>
        <v>0</v>
      </c>
      <c r="ALC6" s="1333"/>
      <c r="ALD6" s="1334"/>
      <c r="ALE6" s="1333">
        <f>+ALE7+ALE8</f>
        <v>40778.6</v>
      </c>
      <c r="ALF6" s="1333"/>
      <c r="ALG6" s="1334"/>
      <c r="ALH6" s="1333">
        <f>+ALH7+ALH8</f>
        <v>39160</v>
      </c>
      <c r="ALI6" s="1333"/>
      <c r="ALJ6" s="1334"/>
      <c r="ALK6" s="1333">
        <f>+ALK7+ALK8</f>
        <v>34329.4</v>
      </c>
      <c r="ALL6" s="1333"/>
      <c r="ALM6" s="1334"/>
      <c r="ALN6" s="1333">
        <f>+ALN7+ALN8</f>
        <v>42617.2</v>
      </c>
      <c r="ALO6" s="1333"/>
      <c r="ALP6" s="1334"/>
      <c r="ALQ6" s="1333">
        <f>+ALQ7+ALQ8</f>
        <v>43947.5</v>
      </c>
      <c r="ALR6" s="1333"/>
      <c r="ALS6" s="1334"/>
      <c r="ALT6" s="1333">
        <f>+ALT7+ALT8</f>
        <v>18994</v>
      </c>
      <c r="ALU6" s="1333"/>
      <c r="ALV6" s="1334"/>
      <c r="ALW6" s="1333">
        <f>+ALW7+ALW8</f>
        <v>0</v>
      </c>
      <c r="ALX6" s="1333"/>
      <c r="ALY6" s="1334"/>
      <c r="ALZ6" s="1333">
        <f>+ALZ7+ALZ8</f>
        <v>43671.199999999997</v>
      </c>
      <c r="AMA6" s="1333"/>
      <c r="AMB6" s="1334"/>
      <c r="AMC6" s="1333">
        <f>+AMC7+AMC8</f>
        <v>39910.199999999997</v>
      </c>
      <c r="AMD6" s="1333"/>
      <c r="AME6" s="1334"/>
      <c r="AMF6" s="1333">
        <f>+AMF7+AMF8</f>
        <v>0</v>
      </c>
      <c r="AMG6" s="1333"/>
      <c r="AMH6" s="1334"/>
      <c r="AMI6" s="1333">
        <f>+AMI7+AMI8</f>
        <v>41391</v>
      </c>
      <c r="AMJ6" s="1333"/>
      <c r="AMK6" s="1334"/>
      <c r="AML6" s="1333">
        <f>+AML7+AML8</f>
        <v>42478.399999999994</v>
      </c>
      <c r="AMM6" s="1333"/>
      <c r="AMN6" s="1334"/>
      <c r="AMO6" s="1333">
        <f>+AMO7+AMO8</f>
        <v>43901.8</v>
      </c>
      <c r="AMP6" s="1333"/>
      <c r="AMQ6" s="1334"/>
      <c r="AMR6" s="1333">
        <f>+AMR7+AMR8</f>
        <v>44204.2</v>
      </c>
      <c r="AMS6" s="1333"/>
      <c r="AMT6" s="1334"/>
      <c r="AMU6" s="1333">
        <f>+AMU7+AMU8</f>
        <v>41316.800000000003</v>
      </c>
      <c r="AMV6" s="1333"/>
      <c r="AMW6" s="1334"/>
      <c r="AMX6" s="1333">
        <f>+AMX7+AMX8</f>
        <v>37019.1</v>
      </c>
      <c r="AMY6" s="1333"/>
      <c r="AMZ6" s="1334"/>
      <c r="ANA6" s="1333">
        <f>+ANA7+ANA8</f>
        <v>38757.699999999997</v>
      </c>
      <c r="ANB6" s="1333"/>
      <c r="ANC6" s="1334"/>
      <c r="AND6" s="1333">
        <f>+AND7+AND8</f>
        <v>37443.300000000003</v>
      </c>
      <c r="ANE6" s="1333"/>
      <c r="ANF6" s="1334"/>
      <c r="ANG6" s="1333">
        <f>+ANG7+ANG8</f>
        <v>38487</v>
      </c>
      <c r="ANH6" s="1333"/>
      <c r="ANI6" s="1334"/>
      <c r="ANJ6" s="1333">
        <f>+ANJ7+ANJ8</f>
        <v>43897.899999999994</v>
      </c>
      <c r="ANK6" s="1333"/>
      <c r="ANL6" s="1334"/>
      <c r="ANM6" s="1333">
        <f>+ANM7+ANM8</f>
        <v>46252.3</v>
      </c>
      <c r="ANN6" s="1333"/>
      <c r="ANO6" s="1334"/>
      <c r="ANP6" s="1333">
        <f>+ANP7+ANP8</f>
        <v>45726.9</v>
      </c>
      <c r="ANQ6" s="1333"/>
      <c r="ANR6" s="1334"/>
      <c r="ANS6" s="1333">
        <f>+ANS7+ANS8</f>
        <v>42192.899999999994</v>
      </c>
      <c r="ANT6" s="1333"/>
      <c r="ANU6" s="1334"/>
      <c r="ANV6" s="1333">
        <f>+ANV7+ANV8</f>
        <v>0</v>
      </c>
      <c r="ANW6" s="1333"/>
      <c r="ANX6" s="1334"/>
      <c r="ANY6" s="1333">
        <f>+ANY7+ANY8</f>
        <v>45336.3</v>
      </c>
      <c r="ANZ6" s="1333"/>
      <c r="AOA6" s="1334"/>
      <c r="AOB6" s="1333">
        <f>+AOB7+AOB8</f>
        <v>47639.399999999994</v>
      </c>
      <c r="AOC6" s="1333"/>
      <c r="AOD6" s="1334"/>
      <c r="AOE6" s="1333">
        <f>+AOE7+AOE8</f>
        <v>41870.300000000003</v>
      </c>
      <c r="AOF6" s="1333"/>
      <c r="AOG6" s="1334"/>
      <c r="AOH6" s="1333">
        <f>+AOH7+AOH8</f>
        <v>47130.600000000006</v>
      </c>
      <c r="AOI6" s="1333"/>
      <c r="AOJ6" s="1334"/>
      <c r="AOK6" s="1333">
        <f>+AOK7+AOK8</f>
        <v>49985.599999999999</v>
      </c>
      <c r="AOL6" s="1333"/>
      <c r="AOM6" s="1334"/>
      <c r="AON6" s="1333">
        <f>+AON7+AON8</f>
        <v>40528.300000000003</v>
      </c>
      <c r="AOO6" s="1333"/>
      <c r="AOP6" s="1334"/>
      <c r="AOQ6" s="1333">
        <f>+AOQ7+AOQ8</f>
        <v>37952.585999999996</v>
      </c>
      <c r="AOR6" s="1333"/>
      <c r="AOS6" s="1334"/>
      <c r="AOT6" s="1333">
        <f>+AOT7+AOT8</f>
        <v>45782.7</v>
      </c>
      <c r="AOU6" s="1333"/>
      <c r="AOV6" s="1334"/>
      <c r="AOW6" s="1333">
        <f>+AOW7+AOW8</f>
        <v>39615</v>
      </c>
      <c r="AOX6" s="1333"/>
      <c r="AOY6" s="1334"/>
      <c r="AOZ6" s="1333">
        <f>+AOZ7+AOZ8</f>
        <v>49703.8</v>
      </c>
      <c r="APA6" s="1333"/>
      <c r="APB6" s="1334"/>
      <c r="APC6" s="1333">
        <f>+APC7+APC8</f>
        <v>43774.7</v>
      </c>
      <c r="APD6" s="1333"/>
      <c r="APE6" s="1334"/>
      <c r="APF6" s="1333">
        <f>+APF7+APF8</f>
        <v>47672.9</v>
      </c>
      <c r="APG6" s="1333"/>
      <c r="APH6" s="1334"/>
      <c r="API6" s="1333">
        <f>+API7+API8</f>
        <v>0</v>
      </c>
      <c r="APJ6" s="1333"/>
      <c r="APK6" s="1334"/>
      <c r="APL6" s="1333">
        <f>+APL7+APL8</f>
        <v>0</v>
      </c>
      <c r="APM6" s="1333"/>
      <c r="APN6" s="1334"/>
      <c r="APO6" s="1333">
        <f>+APO7+APO8</f>
        <v>42284.5</v>
      </c>
      <c r="APP6" s="1333"/>
      <c r="APQ6" s="1334"/>
      <c r="APR6" s="1333">
        <f>+APR7+APR8</f>
        <v>48061.3</v>
      </c>
      <c r="APS6" s="1333"/>
      <c r="APT6" s="1334"/>
      <c r="APU6" s="1333">
        <f>+APU7+APU8</f>
        <v>47062.5</v>
      </c>
      <c r="APV6" s="1333"/>
      <c r="APW6" s="1334"/>
      <c r="APX6" s="1333">
        <f>+APX7+APX8</f>
        <v>42822.400000000001</v>
      </c>
      <c r="APY6" s="1333"/>
      <c r="APZ6" s="1334"/>
      <c r="AQA6" s="1333">
        <f>+AQA7+AQA8</f>
        <v>45805.7</v>
      </c>
      <c r="AQB6" s="1333"/>
      <c r="AQC6" s="1334"/>
      <c r="AQD6" s="1333">
        <f>+AQD7+AQD8</f>
        <v>42327.7</v>
      </c>
      <c r="AQE6" s="1333"/>
      <c r="AQF6" s="1334"/>
      <c r="AQG6" s="1333">
        <f>+AQG7+AQG8</f>
        <v>42183</v>
      </c>
      <c r="AQH6" s="1333"/>
      <c r="AQI6" s="1334"/>
      <c r="AQJ6" s="1333">
        <f>+AQJ7+AQJ8</f>
        <v>46145</v>
      </c>
      <c r="AQK6" s="1333"/>
      <c r="AQL6" s="1334"/>
      <c r="AQM6" s="1333">
        <f>+AQM7+AQM8</f>
        <v>48183.7</v>
      </c>
      <c r="AQN6" s="1333"/>
      <c r="AQO6" s="1334"/>
      <c r="AQP6" s="1333">
        <f>+AQP7+AQP8</f>
        <v>46069.600000000006</v>
      </c>
      <c r="AQQ6" s="1333"/>
      <c r="AQR6" s="1334"/>
      <c r="AQS6" s="1333">
        <f>+AQS7+AQS8</f>
        <v>49186.5</v>
      </c>
      <c r="AQT6" s="1333"/>
      <c r="AQU6" s="1334"/>
      <c r="AQV6" s="1333">
        <f>+AQV7+AQV8</f>
        <v>47265.9</v>
      </c>
      <c r="AQW6" s="1333"/>
      <c r="AQX6" s="1334"/>
      <c r="AQY6" s="1333">
        <f>+AQY7+AQY8</f>
        <v>36911.599999999999</v>
      </c>
      <c r="AQZ6" s="1333"/>
      <c r="ARA6" s="1334"/>
      <c r="ARB6" s="1333">
        <f>+ARB7+ARB8</f>
        <v>0</v>
      </c>
      <c r="ARC6" s="1333"/>
      <c r="ARD6" s="1334"/>
      <c r="ARE6" s="1333">
        <f>+ARE7+ARE8</f>
        <v>0</v>
      </c>
      <c r="ARF6" s="1333"/>
      <c r="ARG6" s="1334"/>
      <c r="ARH6" s="1333">
        <f>+ARH7+ARH8</f>
        <v>38758.699999999997</v>
      </c>
      <c r="ARI6" s="1333"/>
      <c r="ARJ6" s="1334"/>
      <c r="ARK6" s="1333">
        <f>+ARK7+ARK8</f>
        <v>42056.7</v>
      </c>
      <c r="ARL6" s="1333"/>
      <c r="ARM6" s="1334"/>
      <c r="ARN6" s="1333">
        <f>+ARN7+ARN8</f>
        <v>44882.2</v>
      </c>
      <c r="ARO6" s="1333"/>
      <c r="ARP6" s="1334"/>
      <c r="ARQ6" s="1333">
        <f>+ARQ7+ARQ8</f>
        <v>45672.9</v>
      </c>
      <c r="ARR6" s="1333"/>
      <c r="ARS6" s="1334"/>
      <c r="ART6" s="1333">
        <f>+ART7+ART8</f>
        <v>40579.5</v>
      </c>
      <c r="ARU6" s="1333"/>
      <c r="ARV6" s="1334"/>
      <c r="ARW6" s="1333">
        <f>+ARW7+ARW8</f>
        <v>41837.899999999994</v>
      </c>
      <c r="ARX6" s="1333"/>
      <c r="ARY6" s="1334"/>
      <c r="ARZ6" s="1333">
        <f>+ARZ7+ARZ8</f>
        <v>47304.800000000003</v>
      </c>
      <c r="ASA6" s="1333"/>
      <c r="ASB6" s="1334"/>
      <c r="ASC6" s="1333">
        <f>+ASC7+ASC8</f>
        <v>46563.3</v>
      </c>
      <c r="ASD6" s="1333"/>
      <c r="ASE6" s="1334"/>
      <c r="ASF6" s="1333">
        <f>+ASF7+ASF8</f>
        <v>46648</v>
      </c>
      <c r="ASG6" s="1333"/>
      <c r="ASH6" s="1334"/>
      <c r="ASI6" s="1333">
        <f>+ASI7+ASI8</f>
        <v>44224.899999999994</v>
      </c>
      <c r="ASJ6" s="1333"/>
      <c r="ASK6" s="1334"/>
      <c r="ASL6" s="1333">
        <f>+ASL7+ASL8</f>
        <v>47893</v>
      </c>
      <c r="ASM6" s="1333"/>
      <c r="ASN6" s="1334"/>
      <c r="ASO6" s="1333">
        <f>+ASO7+ASO8</f>
        <v>0</v>
      </c>
      <c r="ASP6" s="1333"/>
      <c r="ASQ6" s="1333"/>
      <c r="ASR6" s="1371">
        <f>+ASR7+ASR8</f>
        <v>0</v>
      </c>
      <c r="ASS6" s="1333"/>
      <c r="AST6" s="1334"/>
      <c r="ASU6" s="1333">
        <f>+ASU7+ASU8</f>
        <v>45339.9</v>
      </c>
      <c r="ASV6" s="1333"/>
      <c r="ASW6" s="1334"/>
      <c r="ASX6" s="1333">
        <f>+ASX7+ASX8</f>
        <v>47127</v>
      </c>
      <c r="ASY6" s="1333"/>
      <c r="ASZ6" s="1334"/>
      <c r="ATA6" s="1333">
        <f>+ATA7+ATA8</f>
        <v>49330</v>
      </c>
      <c r="ATB6" s="1333"/>
      <c r="ATC6" s="1334"/>
      <c r="ATD6" s="1333">
        <f>+ATD7+ATD8</f>
        <v>47708.399999999994</v>
      </c>
      <c r="ATE6" s="1333"/>
      <c r="ATF6" s="1334"/>
      <c r="ATG6" s="1333">
        <f>+ATG7+ATG8</f>
        <v>45612.800000000003</v>
      </c>
      <c r="ATH6" s="1333"/>
      <c r="ATI6" s="1334"/>
      <c r="ATJ6" s="1333">
        <f>+ATJ7+ATJ8</f>
        <v>17718.2</v>
      </c>
      <c r="ATK6" s="1333"/>
      <c r="ATL6" s="1334"/>
      <c r="ATM6" s="1333">
        <f>+ATM7+ATM8</f>
        <v>24130.1</v>
      </c>
      <c r="ATN6" s="1333"/>
      <c r="ATO6" s="1334"/>
      <c r="ATP6" s="1333">
        <f>+ATP7+ATP8</f>
        <v>48267.199999999997</v>
      </c>
      <c r="ATQ6" s="1333"/>
      <c r="ATR6" s="1334"/>
      <c r="ATS6" s="1333">
        <f>+ATS7+ATS8</f>
        <v>43646.2</v>
      </c>
      <c r="ATT6" s="1333"/>
      <c r="ATU6" s="1334"/>
      <c r="ATV6" s="1333">
        <f>+ATV7+ATV8</f>
        <v>49471.9</v>
      </c>
      <c r="ATW6" s="1333"/>
      <c r="ATX6" s="1334"/>
      <c r="ATY6" s="1333">
        <f>+ATY7+ATY8</f>
        <v>44024.5</v>
      </c>
      <c r="ATZ6" s="1333"/>
      <c r="AUA6" s="1334"/>
      <c r="AUB6" s="1333">
        <f>+AUB7+AUB8</f>
        <v>51521.399999999994</v>
      </c>
      <c r="AUC6" s="1333"/>
      <c r="AUD6" s="1334"/>
      <c r="AUE6" s="1333">
        <f>+AUE7+AUE8</f>
        <v>0</v>
      </c>
      <c r="AUF6" s="1333"/>
      <c r="AUG6" s="1334"/>
      <c r="AUH6" s="1333">
        <f>+AUH7+AUH8</f>
        <v>20463.263999999999</v>
      </c>
      <c r="AUI6" s="1333"/>
      <c r="AUJ6" s="1334"/>
      <c r="AUK6" s="1333">
        <f>+AUK7+AUK8</f>
        <v>48009.899999999994</v>
      </c>
      <c r="AUL6" s="1333"/>
      <c r="AUM6" s="1334"/>
      <c r="AUN6" s="1333">
        <f>+AUN7+AUN8</f>
        <v>47761.599999999999</v>
      </c>
      <c r="AUO6" s="1333"/>
      <c r="AUP6" s="1334"/>
      <c r="AUQ6" s="1333">
        <f>+AUQ7+AUQ8</f>
        <v>47975.100000000006</v>
      </c>
      <c r="AUR6" s="1333"/>
      <c r="AUS6" s="1334"/>
      <c r="AUT6" s="1333">
        <f>+AUT7+AUT8</f>
        <v>45886.600000000006</v>
      </c>
      <c r="AUU6" s="1333"/>
      <c r="AUV6" s="1334"/>
      <c r="AUW6" s="1333">
        <f>+AUW7+AUW8</f>
        <v>50010.5</v>
      </c>
      <c r="AUX6" s="1333"/>
      <c r="AUY6" s="1334"/>
      <c r="AUZ6" s="1333">
        <f>+AUZ7+AUZ8</f>
        <v>39407.4</v>
      </c>
      <c r="AVA6" s="1333"/>
      <c r="AVB6" s="1334"/>
      <c r="AVC6" s="1333">
        <f>+AVC7+AVC8</f>
        <v>44483.3</v>
      </c>
      <c r="AVD6" s="1333"/>
      <c r="AVE6" s="1334"/>
      <c r="AVF6" s="1333">
        <f>+AVF7+AVF8</f>
        <v>42487.399999999994</v>
      </c>
      <c r="AVG6" s="1333"/>
      <c r="AVH6" s="1334"/>
      <c r="AVI6" s="1333">
        <f>+AVI7+AVI8</f>
        <v>50512.800000000003</v>
      </c>
      <c r="AVJ6" s="1333"/>
      <c r="AVK6" s="1334"/>
      <c r="AVL6" s="1333">
        <f>+AVL7+AVL8</f>
        <v>47126</v>
      </c>
      <c r="AVM6" s="1333"/>
      <c r="AVN6" s="1334"/>
      <c r="AVO6" s="1333">
        <f>+AVO7+AVO8</f>
        <v>47000</v>
      </c>
      <c r="AVP6" s="1333"/>
      <c r="AVQ6" s="1334"/>
      <c r="AVR6" s="1333">
        <f>+AVR7+AVR8</f>
        <v>0</v>
      </c>
      <c r="AVS6" s="1333"/>
      <c r="AVT6" s="1334"/>
      <c r="AVU6" s="1333">
        <f>+AVU7+AVU8</f>
        <v>0</v>
      </c>
      <c r="AVV6" s="1333"/>
      <c r="AVW6" s="1334"/>
      <c r="AVX6" s="1333">
        <f>+AVX7+AVX8</f>
        <v>0</v>
      </c>
      <c r="AVY6" s="1333"/>
      <c r="AVZ6" s="1334"/>
      <c r="AWA6" s="1333">
        <f>+AWA7+AWA8</f>
        <v>0</v>
      </c>
      <c r="AWB6" s="1333"/>
      <c r="AWC6" s="1334"/>
      <c r="AWD6" s="1333">
        <f>+AWD7+AWD8</f>
        <v>0</v>
      </c>
      <c r="AWE6" s="1333"/>
      <c r="AWF6" s="1334"/>
      <c r="AWG6" s="1333">
        <f>+AWG7+AWG8</f>
        <v>0</v>
      </c>
      <c r="AWH6" s="1333"/>
      <c r="AWI6" s="1334"/>
      <c r="AWJ6" s="1333">
        <f>+AWJ7+AWJ8</f>
        <v>0</v>
      </c>
      <c r="AWK6" s="1333"/>
      <c r="AWL6" s="1334"/>
      <c r="AWM6" s="1333">
        <f>+AWM7+AWM8</f>
        <v>0</v>
      </c>
      <c r="AWN6" s="1333"/>
      <c r="AWO6" s="1334"/>
      <c r="AWP6" s="1333">
        <f>+AWP7+AWP8</f>
        <v>0</v>
      </c>
      <c r="AWQ6" s="1333"/>
      <c r="AWR6" s="1334"/>
      <c r="AWS6" s="1333">
        <f>+AWS7+AWS8</f>
        <v>0</v>
      </c>
      <c r="AWT6" s="1333"/>
      <c r="AWU6" s="1334"/>
      <c r="AWV6" s="1333">
        <f>+AWV7+AWV8</f>
        <v>0</v>
      </c>
      <c r="AWW6" s="1333"/>
      <c r="AWX6" s="1334"/>
      <c r="AWY6" s="1333">
        <f>+AWY7+AWY8</f>
        <v>0</v>
      </c>
      <c r="AWZ6" s="1333"/>
      <c r="AXA6" s="1334"/>
      <c r="AXB6" s="1333">
        <f>+AXB7+AXB8</f>
        <v>0</v>
      </c>
      <c r="AXC6" s="1333"/>
      <c r="AXD6" s="1334"/>
      <c r="AXE6" s="1333">
        <f>+AXE7+AXE8</f>
        <v>0</v>
      </c>
      <c r="AXF6" s="1333"/>
      <c r="AXG6" s="1334"/>
      <c r="AXH6" s="1333">
        <f>+AXH7+AXH8</f>
        <v>0</v>
      </c>
      <c r="AXI6" s="1333"/>
      <c r="AXJ6" s="1334"/>
      <c r="AXK6" s="1333">
        <f>+AXK7+AXK8</f>
        <v>0</v>
      </c>
      <c r="AXL6" s="1333"/>
      <c r="AXM6" s="1334"/>
      <c r="AXN6" s="1333">
        <f>+AXN7+AXN8</f>
        <v>0</v>
      </c>
      <c r="AXO6" s="1333"/>
      <c r="AXP6" s="1334"/>
      <c r="AXQ6" s="1333">
        <f>+AXQ7+AXQ8</f>
        <v>0</v>
      </c>
      <c r="AXR6" s="1333"/>
      <c r="AXS6" s="1334"/>
      <c r="AXT6" s="1333">
        <f>+AXT7+AXT8</f>
        <v>0</v>
      </c>
      <c r="AXU6" s="1333"/>
      <c r="AXV6" s="1334"/>
      <c r="AXW6" s="1333">
        <f>+AXW7+AXW8</f>
        <v>0</v>
      </c>
      <c r="AXX6" s="1333"/>
      <c r="AXY6" s="1334"/>
      <c r="AXZ6" s="1333">
        <f>+AXZ7+AXZ8</f>
        <v>0</v>
      </c>
      <c r="AYA6" s="1333"/>
      <c r="AYB6" s="1334"/>
      <c r="AYC6" s="1333">
        <f>+AYC7+AYC8</f>
        <v>0</v>
      </c>
      <c r="AYD6" s="1333"/>
      <c r="AYE6" s="1334"/>
      <c r="AYF6" s="1333">
        <f>+AYF7+AYF8</f>
        <v>0</v>
      </c>
      <c r="AYG6" s="1333"/>
      <c r="AYH6" s="1334"/>
      <c r="AYI6" s="1333">
        <f>+AYI7+AYI8</f>
        <v>0</v>
      </c>
      <c r="AYJ6" s="1333"/>
      <c r="AYK6" s="1334"/>
      <c r="AYL6" s="1333">
        <f>+AYL7+AYL8</f>
        <v>0</v>
      </c>
      <c r="AYM6" s="1333"/>
      <c r="AYN6" s="1334"/>
      <c r="AYO6" s="1333">
        <f>+AYO7+AYO8</f>
        <v>0</v>
      </c>
      <c r="AYP6" s="1333"/>
      <c r="AYQ6" s="1334"/>
      <c r="AYR6" s="1333">
        <f>+AYR7+AYR8</f>
        <v>0</v>
      </c>
      <c r="AYS6" s="1333"/>
      <c r="AYT6" s="1334"/>
      <c r="AYU6" s="1333">
        <f>+AYU7+AYU8</f>
        <v>0</v>
      </c>
      <c r="AYV6" s="1333"/>
      <c r="AYW6" s="1334"/>
      <c r="AYX6" s="1333">
        <f>+AYX7+AYX8</f>
        <v>0</v>
      </c>
      <c r="AYY6" s="1333"/>
      <c r="AYZ6" s="1334"/>
      <c r="AZA6" s="1333">
        <f>+AZA7+AZA8</f>
        <v>0</v>
      </c>
      <c r="AZB6" s="1333"/>
      <c r="AZC6" s="1334"/>
      <c r="AZD6" s="1333">
        <f>+AZD7+AZD8</f>
        <v>0</v>
      </c>
      <c r="AZE6" s="1333"/>
      <c r="AZF6" s="1334"/>
      <c r="AZG6" s="1333">
        <f>+AZG7+AZG8</f>
        <v>0</v>
      </c>
      <c r="AZH6" s="1333"/>
      <c r="AZI6" s="1334"/>
      <c r="AZJ6" s="1333">
        <f>+AZJ7+AZJ8</f>
        <v>0</v>
      </c>
      <c r="AZK6" s="1333"/>
      <c r="AZL6" s="1334"/>
      <c r="AZM6" s="1333">
        <f>+AZM7+AZM8</f>
        <v>0</v>
      </c>
      <c r="AZN6" s="1333"/>
      <c r="AZO6" s="1334"/>
      <c r="AZP6" s="1333">
        <f>+AZP7+AZP8</f>
        <v>0</v>
      </c>
      <c r="AZQ6" s="1333"/>
      <c r="AZR6" s="1334"/>
      <c r="AZS6" s="1333">
        <f>+AZS7+AZS8</f>
        <v>0</v>
      </c>
      <c r="AZT6" s="1333"/>
      <c r="AZU6" s="1334"/>
      <c r="AZV6" s="1333">
        <f>+AZV7+AZV8</f>
        <v>0</v>
      </c>
      <c r="AZW6" s="1333"/>
      <c r="AZX6" s="1334"/>
      <c r="AZY6" s="1333">
        <f>+AZY7+AZY8</f>
        <v>0</v>
      </c>
      <c r="AZZ6" s="1333"/>
      <c r="BAA6" s="1334"/>
      <c r="BAB6" s="1333">
        <f>+BAB7+BAB8</f>
        <v>0</v>
      </c>
      <c r="BAC6" s="1333"/>
      <c r="BAD6" s="1334"/>
      <c r="BAE6" s="1333">
        <f>+BAE7+BAE8</f>
        <v>0</v>
      </c>
      <c r="BAF6" s="1333"/>
      <c r="BAG6" s="1334"/>
      <c r="BAH6" s="1333">
        <f>+BAH7+BAH8</f>
        <v>0</v>
      </c>
      <c r="BAI6" s="1333"/>
      <c r="BAJ6" s="1334"/>
    </row>
    <row r="7" spans="1:1388" ht="15" customHeight="1">
      <c r="B7" s="1419" t="s">
        <v>328</v>
      </c>
      <c r="C7" s="1420"/>
      <c r="D7" s="1421"/>
      <c r="E7" s="4" t="s">
        <v>327</v>
      </c>
      <c r="F7" s="1305" t="s">
        <v>20</v>
      </c>
      <c r="G7" s="1305"/>
      <c r="H7" s="1335"/>
      <c r="I7" s="1305">
        <v>21190</v>
      </c>
      <c r="J7" s="1305"/>
      <c r="K7" s="1335"/>
      <c r="L7" s="1305">
        <v>18822</v>
      </c>
      <c r="M7" s="1305"/>
      <c r="N7" s="1335"/>
      <c r="O7" s="1305">
        <v>19682</v>
      </c>
      <c r="P7" s="1305"/>
      <c r="Q7" s="1335"/>
      <c r="R7" s="1305">
        <v>20404</v>
      </c>
      <c r="S7" s="1305"/>
      <c r="T7" s="1335"/>
      <c r="U7" s="1305">
        <v>23531</v>
      </c>
      <c r="V7" s="1305"/>
      <c r="W7" s="1335"/>
      <c r="X7" s="1305">
        <v>24579</v>
      </c>
      <c r="Y7" s="1305"/>
      <c r="Z7" s="1335"/>
      <c r="AA7" s="1305">
        <v>20053</v>
      </c>
      <c r="AB7" s="1305"/>
      <c r="AC7" s="1335"/>
      <c r="AD7" s="1305">
        <v>18762</v>
      </c>
      <c r="AE7" s="1305"/>
      <c r="AF7" s="1335"/>
      <c r="AG7" s="1305">
        <v>0</v>
      </c>
      <c r="AH7" s="1305"/>
      <c r="AI7" s="1335"/>
      <c r="AJ7" s="1305">
        <v>23512</v>
      </c>
      <c r="AK7" s="1305"/>
      <c r="AL7" s="1335"/>
      <c r="AM7" s="1305">
        <v>18001</v>
      </c>
      <c r="AN7" s="1305"/>
      <c r="AO7" s="1335"/>
      <c r="AP7" s="1305">
        <v>20765</v>
      </c>
      <c r="AQ7" s="1305"/>
      <c r="AR7" s="1335"/>
      <c r="AS7" s="1305">
        <v>23321</v>
      </c>
      <c r="AT7" s="1305"/>
      <c r="AU7" s="1335"/>
      <c r="AV7" s="1305">
        <v>22713</v>
      </c>
      <c r="AW7" s="1305"/>
      <c r="AX7" s="1335"/>
      <c r="AY7" s="1305">
        <v>18974</v>
      </c>
      <c r="AZ7" s="1305"/>
      <c r="BA7" s="1335"/>
      <c r="BB7" s="1305" t="s">
        <v>20</v>
      </c>
      <c r="BC7" s="1305"/>
      <c r="BD7" s="1335"/>
      <c r="BE7" s="1305">
        <v>21265</v>
      </c>
      <c r="BF7" s="1305"/>
      <c r="BG7" s="1335"/>
      <c r="BH7" s="1305">
        <v>19848</v>
      </c>
      <c r="BI7" s="1305"/>
      <c r="BJ7" s="1335"/>
      <c r="BK7" s="1305">
        <v>24034.2</v>
      </c>
      <c r="BL7" s="1305"/>
      <c r="BM7" s="1335"/>
      <c r="BN7" s="1305">
        <v>26364</v>
      </c>
      <c r="BO7" s="1305"/>
      <c r="BP7" s="1335"/>
      <c r="BQ7" s="1305">
        <v>22623</v>
      </c>
      <c r="BR7" s="1305"/>
      <c r="BS7" s="1335"/>
      <c r="BT7" s="1305">
        <v>20859</v>
      </c>
      <c r="BU7" s="1305"/>
      <c r="BV7" s="1335"/>
      <c r="BW7" s="1305">
        <v>20583</v>
      </c>
      <c r="BX7" s="1305"/>
      <c r="BY7" s="1335"/>
      <c r="BZ7" s="1305">
        <v>23909.8</v>
      </c>
      <c r="CA7" s="1305"/>
      <c r="CB7" s="1335"/>
      <c r="CC7" s="1305">
        <v>23801</v>
      </c>
      <c r="CD7" s="1305"/>
      <c r="CE7" s="1335"/>
      <c r="CF7" s="1305">
        <v>17691.8</v>
      </c>
      <c r="CG7" s="1305"/>
      <c r="CH7" s="1335"/>
      <c r="CI7" s="1305">
        <v>25524.799999999999</v>
      </c>
      <c r="CJ7" s="1305"/>
      <c r="CK7" s="1335"/>
      <c r="CL7" s="1305">
        <v>24480</v>
      </c>
      <c r="CM7" s="1305"/>
      <c r="CN7" s="1335"/>
      <c r="CO7" s="1305" t="s">
        <v>20</v>
      </c>
      <c r="CP7" s="1305"/>
      <c r="CQ7" s="1335"/>
      <c r="CR7" s="1305">
        <v>0</v>
      </c>
      <c r="CS7" s="1305"/>
      <c r="CT7" s="1335"/>
      <c r="CU7" s="1305">
        <v>18198</v>
      </c>
      <c r="CV7" s="1305"/>
      <c r="CW7" s="1335"/>
      <c r="CX7" s="1305">
        <v>19950.099999999999</v>
      </c>
      <c r="CY7" s="1305"/>
      <c r="CZ7" s="1335"/>
      <c r="DA7" s="1305">
        <v>19630.400000000001</v>
      </c>
      <c r="DB7" s="1305"/>
      <c r="DC7" s="1335"/>
      <c r="DD7" s="1305">
        <v>11324</v>
      </c>
      <c r="DE7" s="1305"/>
      <c r="DF7" s="1335"/>
      <c r="DG7" s="1305">
        <v>23373</v>
      </c>
      <c r="DH7" s="1305"/>
      <c r="DI7" s="1335"/>
      <c r="DJ7" s="1305">
        <v>19606</v>
      </c>
      <c r="DK7" s="1305"/>
      <c r="DL7" s="1335"/>
      <c r="DM7" s="1305" t="s">
        <v>20</v>
      </c>
      <c r="DN7" s="1305"/>
      <c r="DO7" s="1335"/>
      <c r="DP7" s="1305">
        <v>20351</v>
      </c>
      <c r="DQ7" s="1305"/>
      <c r="DR7" s="1335"/>
      <c r="DS7" s="1305">
        <v>19666.599999999999</v>
      </c>
      <c r="DT7" s="1305"/>
      <c r="DU7" s="1335"/>
      <c r="DV7" s="1305">
        <v>24638</v>
      </c>
      <c r="DW7" s="1305"/>
      <c r="DX7" s="1335"/>
      <c r="DY7" s="1305">
        <v>23063.4</v>
      </c>
      <c r="DZ7" s="1305"/>
      <c r="EA7" s="1335"/>
      <c r="EB7" s="1305">
        <v>22196</v>
      </c>
      <c r="EC7" s="1305"/>
      <c r="ED7" s="1335"/>
      <c r="EE7" s="1305">
        <v>22972.7</v>
      </c>
      <c r="EF7" s="1305"/>
      <c r="EG7" s="1335"/>
      <c r="EH7" s="1305" t="s">
        <v>20</v>
      </c>
      <c r="EI7" s="1305"/>
      <c r="EJ7" s="1335"/>
      <c r="EK7" s="1305">
        <v>23659</v>
      </c>
      <c r="EL7" s="1305"/>
      <c r="EM7" s="1335"/>
      <c r="EN7" s="1305">
        <v>24233</v>
      </c>
      <c r="EO7" s="1305"/>
      <c r="EP7" s="1335"/>
      <c r="EQ7" s="1305">
        <v>23664</v>
      </c>
      <c r="ER7" s="1305"/>
      <c r="ES7" s="1335"/>
      <c r="ET7" s="1305">
        <v>24373.4</v>
      </c>
      <c r="EU7" s="1305"/>
      <c r="EV7" s="1335"/>
      <c r="EW7" s="1305">
        <v>24267</v>
      </c>
      <c r="EX7" s="1305"/>
      <c r="EY7" s="1335"/>
      <c r="EZ7" s="1305">
        <v>22077</v>
      </c>
      <c r="FA7" s="1305"/>
      <c r="FB7" s="1335"/>
      <c r="FC7" s="1305">
        <v>23164</v>
      </c>
      <c r="FD7" s="1305"/>
      <c r="FE7" s="1335"/>
      <c r="FF7" s="1305">
        <v>19197.2</v>
      </c>
      <c r="FG7" s="1305"/>
      <c r="FH7" s="1335"/>
      <c r="FI7" s="1305">
        <v>21265</v>
      </c>
      <c r="FJ7" s="1305"/>
      <c r="FK7" s="1335"/>
      <c r="FL7" s="1305">
        <v>23976</v>
      </c>
      <c r="FM7" s="1305"/>
      <c r="FN7" s="1335"/>
      <c r="FO7" s="1305">
        <v>22744.7</v>
      </c>
      <c r="FP7" s="1305"/>
      <c r="FQ7" s="1335"/>
      <c r="FR7" s="1305">
        <v>23506</v>
      </c>
      <c r="FS7" s="1305"/>
      <c r="FT7" s="1335"/>
      <c r="FU7" s="1305">
        <v>22220.5</v>
      </c>
      <c r="FV7" s="1305"/>
      <c r="FW7" s="1335"/>
      <c r="FX7" s="1305">
        <v>0</v>
      </c>
      <c r="FY7" s="1305"/>
      <c r="FZ7" s="1335"/>
      <c r="GA7" s="1305">
        <v>16564.5</v>
      </c>
      <c r="GB7" s="1305"/>
      <c r="GC7" s="1335"/>
      <c r="GD7" s="1305">
        <v>21028.1</v>
      </c>
      <c r="GE7" s="1305"/>
      <c r="GF7" s="1335"/>
      <c r="GG7" s="1305">
        <v>26324.6</v>
      </c>
      <c r="GH7" s="1305"/>
      <c r="GI7" s="1335"/>
      <c r="GJ7" s="1305">
        <v>24123.5</v>
      </c>
      <c r="GK7" s="1305"/>
      <c r="GL7" s="1335"/>
      <c r="GM7" s="1305">
        <v>22197.200000000001</v>
      </c>
      <c r="GN7" s="1305"/>
      <c r="GO7" s="1335"/>
      <c r="GP7" s="1285" t="s">
        <v>20</v>
      </c>
      <c r="GQ7" s="1285"/>
      <c r="GR7" s="1287"/>
      <c r="GS7" s="1305">
        <v>0</v>
      </c>
      <c r="GT7" s="1305"/>
      <c r="GU7" s="1335"/>
      <c r="GV7" s="1305">
        <v>19266</v>
      </c>
      <c r="GW7" s="1305"/>
      <c r="GX7" s="1335"/>
      <c r="GY7" s="1305">
        <v>25538.6</v>
      </c>
      <c r="GZ7" s="1305"/>
      <c r="HA7" s="1335"/>
      <c r="HB7" s="1305">
        <v>24989</v>
      </c>
      <c r="HC7" s="1305"/>
      <c r="HD7" s="1335"/>
      <c r="HE7" s="1305">
        <v>26273.9</v>
      </c>
      <c r="HF7" s="1305"/>
      <c r="HG7" s="1335"/>
      <c r="HH7" s="1305">
        <v>24310</v>
      </c>
      <c r="HI7" s="1305"/>
      <c r="HJ7" s="1335"/>
      <c r="HK7" s="1305">
        <v>21161</v>
      </c>
      <c r="HL7" s="1305"/>
      <c r="HM7" s="1335"/>
      <c r="HN7" s="1305">
        <v>13784</v>
      </c>
      <c r="HO7" s="1305"/>
      <c r="HP7" s="1335"/>
      <c r="HQ7" s="1305">
        <v>24018.1</v>
      </c>
      <c r="HR7" s="1305"/>
      <c r="HS7" s="1335"/>
      <c r="HT7" s="1305">
        <v>22884</v>
      </c>
      <c r="HU7" s="1305"/>
      <c r="HV7" s="1335"/>
      <c r="HW7" s="1305">
        <v>22123</v>
      </c>
      <c r="HX7" s="1305"/>
      <c r="HY7" s="1335"/>
      <c r="HZ7" s="1305">
        <v>24803</v>
      </c>
      <c r="IA7" s="1305"/>
      <c r="IB7" s="1335"/>
      <c r="IC7" s="1305" t="s">
        <v>20</v>
      </c>
      <c r="ID7" s="1305"/>
      <c r="IE7" s="1335"/>
      <c r="IF7" s="1305" t="s">
        <v>20</v>
      </c>
      <c r="IG7" s="1305"/>
      <c r="IH7" s="1335"/>
      <c r="II7" s="1305" t="s">
        <v>20</v>
      </c>
      <c r="IJ7" s="1305"/>
      <c r="IK7" s="1335"/>
      <c r="IL7" s="1305">
        <v>13071</v>
      </c>
      <c r="IM7" s="1305"/>
      <c r="IN7" s="1335"/>
      <c r="IO7" s="1305">
        <v>21648</v>
      </c>
      <c r="IP7" s="1305"/>
      <c r="IQ7" s="1335"/>
      <c r="IR7" s="1305">
        <v>24342.6</v>
      </c>
      <c r="IS7" s="1305"/>
      <c r="IT7" s="1335"/>
      <c r="IU7" s="1305">
        <v>25207.200000000001</v>
      </c>
      <c r="IV7" s="1305"/>
      <c r="IW7" s="1335"/>
      <c r="IX7" s="1305">
        <v>24792.2</v>
      </c>
      <c r="IY7" s="1305"/>
      <c r="IZ7" s="1335"/>
      <c r="JA7" s="1305">
        <v>22854.6</v>
      </c>
      <c r="JB7" s="1305"/>
      <c r="JC7" s="1335"/>
      <c r="JD7" s="1305">
        <v>20999.9</v>
      </c>
      <c r="JE7" s="1305"/>
      <c r="JF7" s="1335"/>
      <c r="JG7" s="1305">
        <v>21042.400000000001</v>
      </c>
      <c r="JH7" s="1305"/>
      <c r="JI7" s="1335"/>
      <c r="JJ7" s="1305">
        <v>22522</v>
      </c>
      <c r="JK7" s="1305"/>
      <c r="JL7" s="1335"/>
      <c r="JM7" s="1305">
        <v>23573.200000000001</v>
      </c>
      <c r="JN7" s="1305"/>
      <c r="JO7" s="1335"/>
      <c r="JP7" s="1305" t="s">
        <v>20</v>
      </c>
      <c r="JQ7" s="1305"/>
      <c r="JR7" s="1335"/>
      <c r="JS7" s="1305">
        <v>22552</v>
      </c>
      <c r="JT7" s="1305"/>
      <c r="JU7" s="1335"/>
      <c r="JV7" s="1305">
        <v>20425.900000000001</v>
      </c>
      <c r="JW7" s="1305"/>
      <c r="JX7" s="1335"/>
      <c r="JY7" s="1305" t="s">
        <v>20</v>
      </c>
      <c r="JZ7" s="1305"/>
      <c r="KA7" s="1335"/>
      <c r="KB7" s="1305">
        <v>19084</v>
      </c>
      <c r="KC7" s="1305"/>
      <c r="KD7" s="1335"/>
      <c r="KE7" s="1305">
        <v>15605.3</v>
      </c>
      <c r="KF7" s="1305"/>
      <c r="KG7" s="1335"/>
      <c r="KH7" s="1305">
        <v>14915.5</v>
      </c>
      <c r="KI7" s="1305"/>
      <c r="KJ7" s="1335"/>
      <c r="KK7" s="1305">
        <v>24207.7</v>
      </c>
      <c r="KL7" s="1305"/>
      <c r="KM7" s="1335"/>
      <c r="KN7" s="1305">
        <v>24580</v>
      </c>
      <c r="KO7" s="1305"/>
      <c r="KP7" s="1335"/>
      <c r="KQ7" s="1305">
        <v>20363.2</v>
      </c>
      <c r="KR7" s="1305"/>
      <c r="KS7" s="1335"/>
      <c r="KT7" s="1305">
        <v>19114.400000000001</v>
      </c>
      <c r="KU7" s="1305"/>
      <c r="KV7" s="1335"/>
      <c r="KW7" s="1305">
        <v>18683.900000000001</v>
      </c>
      <c r="KX7" s="1305"/>
      <c r="KY7" s="1335"/>
      <c r="KZ7" s="1305">
        <v>24526.799999999999</v>
      </c>
      <c r="LA7" s="1305"/>
      <c r="LB7" s="1335"/>
      <c r="LC7" s="1305">
        <v>27372</v>
      </c>
      <c r="LD7" s="1305"/>
      <c r="LE7" s="1335"/>
      <c r="LF7" s="1305">
        <v>25580.799999999999</v>
      </c>
      <c r="LG7" s="1305"/>
      <c r="LH7" s="1335"/>
      <c r="LI7" s="1305">
        <v>22433</v>
      </c>
      <c r="LJ7" s="1305"/>
      <c r="LK7" s="1335"/>
      <c r="LL7" s="1305" t="s">
        <v>20</v>
      </c>
      <c r="LM7" s="1305"/>
      <c r="LN7" s="1335"/>
      <c r="LO7" s="1305" t="s">
        <v>20</v>
      </c>
      <c r="LP7" s="1305"/>
      <c r="LQ7" s="1335"/>
      <c r="LR7" s="1305">
        <v>19394.2</v>
      </c>
      <c r="LS7" s="1305"/>
      <c r="LT7" s="1335"/>
      <c r="LU7" s="1305">
        <v>20616</v>
      </c>
      <c r="LV7" s="1305"/>
      <c r="LW7" s="1335"/>
      <c r="LX7" s="1305">
        <v>25272.5</v>
      </c>
      <c r="LY7" s="1305"/>
      <c r="LZ7" s="1335"/>
      <c r="MA7" s="1305">
        <v>24699</v>
      </c>
      <c r="MB7" s="1305"/>
      <c r="MC7" s="1335"/>
      <c r="MD7" s="1305">
        <v>25824</v>
      </c>
      <c r="ME7" s="1305"/>
      <c r="MF7" s="1335"/>
      <c r="MG7" s="1305">
        <v>22344</v>
      </c>
      <c r="MH7" s="1305"/>
      <c r="MI7" s="1335"/>
      <c r="MJ7" s="1305" t="s">
        <v>20</v>
      </c>
      <c r="MK7" s="1305"/>
      <c r="ML7" s="1335"/>
      <c r="MM7" s="1305">
        <v>20707</v>
      </c>
      <c r="MN7" s="1305"/>
      <c r="MO7" s="1335"/>
      <c r="MP7" s="1305">
        <v>26312</v>
      </c>
      <c r="MQ7" s="1305"/>
      <c r="MR7" s="1335"/>
      <c r="MS7" s="1305">
        <v>23719</v>
      </c>
      <c r="MT7" s="1305"/>
      <c r="MU7" s="1335"/>
      <c r="MV7" s="1305">
        <v>24775.5</v>
      </c>
      <c r="MW7" s="1305"/>
      <c r="MX7" s="1335"/>
      <c r="MY7" s="1305">
        <v>20833.2</v>
      </c>
      <c r="MZ7" s="1305"/>
      <c r="NA7" s="1335"/>
      <c r="NB7" s="1305" t="s">
        <v>20</v>
      </c>
      <c r="NC7" s="1305"/>
      <c r="ND7" s="1335"/>
      <c r="NE7" s="1305" t="s">
        <v>20</v>
      </c>
      <c r="NF7" s="1305"/>
      <c r="NG7" s="1335"/>
      <c r="NH7" s="1305">
        <v>24442.6</v>
      </c>
      <c r="NI7" s="1305"/>
      <c r="NJ7" s="1335"/>
      <c r="NK7" s="1305">
        <v>25961.7</v>
      </c>
      <c r="NL7" s="1305"/>
      <c r="NM7" s="1335"/>
      <c r="NN7" s="1305">
        <v>25338</v>
      </c>
      <c r="NO7" s="1305"/>
      <c r="NP7" s="1335"/>
      <c r="NQ7" s="1305">
        <v>22716</v>
      </c>
      <c r="NR7" s="1305"/>
      <c r="NS7" s="1335"/>
      <c r="NT7" s="1305">
        <v>23137.5</v>
      </c>
      <c r="NU7" s="1305"/>
      <c r="NV7" s="1335"/>
      <c r="NW7" s="1305" t="s">
        <v>20</v>
      </c>
      <c r="NX7" s="1305"/>
      <c r="NY7" s="1335"/>
      <c r="NZ7" s="1305" t="s">
        <v>20</v>
      </c>
      <c r="OA7" s="1305"/>
      <c r="OB7" s="1335"/>
      <c r="OC7" s="1305" t="s">
        <v>20</v>
      </c>
      <c r="OD7" s="1305"/>
      <c r="OE7" s="1335"/>
      <c r="OF7" s="1305">
        <v>25498.1</v>
      </c>
      <c r="OG7" s="1305"/>
      <c r="OH7" s="1335"/>
      <c r="OI7" s="1305">
        <v>22218.1</v>
      </c>
      <c r="OJ7" s="1305"/>
      <c r="OK7" s="1335"/>
      <c r="OL7" s="1305">
        <v>24986.400000000001</v>
      </c>
      <c r="OM7" s="1305"/>
      <c r="ON7" s="1335"/>
      <c r="OO7" s="1305">
        <v>21063.7</v>
      </c>
      <c r="OP7" s="1305"/>
      <c r="OQ7" s="1335"/>
      <c r="OR7" s="1305">
        <v>0</v>
      </c>
      <c r="OS7" s="1305"/>
      <c r="OT7" s="1335"/>
      <c r="OU7" s="1305">
        <v>0</v>
      </c>
      <c r="OV7" s="1305"/>
      <c r="OW7" s="1335"/>
      <c r="OX7" s="1305">
        <v>0</v>
      </c>
      <c r="OY7" s="1305"/>
      <c r="OZ7" s="1335"/>
      <c r="PA7" s="1305">
        <v>21961.8</v>
      </c>
      <c r="PB7" s="1305"/>
      <c r="PC7" s="1335"/>
      <c r="PD7" s="1305">
        <v>19732.8</v>
      </c>
      <c r="PE7" s="1305"/>
      <c r="PF7" s="1335"/>
      <c r="PG7" s="1305">
        <v>22023.599999999999</v>
      </c>
      <c r="PH7" s="1305"/>
      <c r="PI7" s="1335"/>
      <c r="PJ7" s="1305">
        <v>0</v>
      </c>
      <c r="PK7" s="1305"/>
      <c r="PL7" s="1335"/>
      <c r="PM7" s="1305">
        <v>0</v>
      </c>
      <c r="PN7" s="1305"/>
      <c r="PO7" s="1335"/>
      <c r="PP7" s="1305">
        <v>0</v>
      </c>
      <c r="PQ7" s="1305"/>
      <c r="PR7" s="1335"/>
      <c r="PS7" s="1305">
        <v>24089.3</v>
      </c>
      <c r="PT7" s="1305"/>
      <c r="PU7" s="1335"/>
      <c r="PV7" s="1305">
        <v>17420.3</v>
      </c>
      <c r="PW7" s="1305"/>
      <c r="PX7" s="1335"/>
      <c r="PY7" s="1305">
        <v>0</v>
      </c>
      <c r="PZ7" s="1305"/>
      <c r="QA7" s="1335"/>
      <c r="QB7" s="1305">
        <v>25155</v>
      </c>
      <c r="QC7" s="1305"/>
      <c r="QD7" s="1335"/>
      <c r="QE7" s="1305">
        <v>23962.5</v>
      </c>
      <c r="QF7" s="1305"/>
      <c r="QG7" s="1335"/>
      <c r="QH7" s="1305">
        <v>21560.400000000001</v>
      </c>
      <c r="QI7" s="1305"/>
      <c r="QJ7" s="1335"/>
      <c r="QK7" s="1305">
        <v>0</v>
      </c>
      <c r="QL7" s="1305"/>
      <c r="QM7" s="1335"/>
      <c r="QN7" s="1305">
        <v>23021.1</v>
      </c>
      <c r="QO7" s="1305"/>
      <c r="QP7" s="1335"/>
      <c r="QQ7" s="1305">
        <v>24717.7</v>
      </c>
      <c r="QR7" s="1305"/>
      <c r="QS7" s="1335"/>
      <c r="QT7" s="1305">
        <v>21608.400000000001</v>
      </c>
      <c r="QU7" s="1305"/>
      <c r="QV7" s="1335"/>
      <c r="QW7" s="1305">
        <v>25006.2</v>
      </c>
      <c r="QX7" s="1305"/>
      <c r="QY7" s="1335"/>
      <c r="QZ7" s="1305">
        <v>23209</v>
      </c>
      <c r="RA7" s="1305"/>
      <c r="RB7" s="1335"/>
      <c r="RC7" s="1305">
        <v>0</v>
      </c>
      <c r="RD7" s="1305"/>
      <c r="RE7" s="1335"/>
      <c r="RF7" s="1305">
        <v>0</v>
      </c>
      <c r="RG7" s="1305"/>
      <c r="RH7" s="1335"/>
      <c r="RI7" s="1305">
        <v>23001.9</v>
      </c>
      <c r="RJ7" s="1305"/>
      <c r="RK7" s="1335"/>
      <c r="RL7" s="1305">
        <v>23554.7</v>
      </c>
      <c r="RM7" s="1305"/>
      <c r="RN7" s="1335"/>
      <c r="RO7" s="1305">
        <v>23359.3</v>
      </c>
      <c r="RP7" s="1305"/>
      <c r="RQ7" s="1335"/>
      <c r="RR7" s="1305">
        <v>18036.8</v>
      </c>
      <c r="RS7" s="1305"/>
      <c r="RT7" s="1335"/>
      <c r="RU7" s="1305">
        <v>25201.200000000001</v>
      </c>
      <c r="RV7" s="1305"/>
      <c r="RW7" s="1335"/>
      <c r="RX7" s="1305">
        <v>0</v>
      </c>
      <c r="RY7" s="1305"/>
      <c r="RZ7" s="1335"/>
      <c r="SA7" s="1305">
        <v>0</v>
      </c>
      <c r="SB7" s="1305"/>
      <c r="SC7" s="1335"/>
      <c r="SD7" s="1305">
        <v>0</v>
      </c>
      <c r="SE7" s="1305"/>
      <c r="SF7" s="1335"/>
      <c r="SG7" s="1305">
        <v>13802.8</v>
      </c>
      <c r="SH7" s="1305"/>
      <c r="SI7" s="1335"/>
      <c r="SJ7" s="1305">
        <v>22506.5</v>
      </c>
      <c r="SK7" s="1305"/>
      <c r="SL7" s="1335"/>
      <c r="SM7" s="1305">
        <v>24126</v>
      </c>
      <c r="SN7" s="1305"/>
      <c r="SO7" s="1335"/>
      <c r="SP7" s="1305">
        <v>21490.5</v>
      </c>
      <c r="SQ7" s="1305"/>
      <c r="SR7" s="1335"/>
      <c r="SS7" s="1305">
        <v>17627.3</v>
      </c>
      <c r="ST7" s="1305"/>
      <c r="SU7" s="1335"/>
      <c r="SV7" s="1305">
        <v>20729</v>
      </c>
      <c r="SW7" s="1305"/>
      <c r="SX7" s="1335"/>
      <c r="SY7" s="1305">
        <v>20955.5</v>
      </c>
      <c r="SZ7" s="1305"/>
      <c r="TA7" s="1335"/>
      <c r="TB7" s="1305">
        <v>24812.1</v>
      </c>
      <c r="TC7" s="1305"/>
      <c r="TD7" s="1335"/>
      <c r="TE7" s="1305">
        <v>24317.200000000001</v>
      </c>
      <c r="TF7" s="1305"/>
      <c r="TG7" s="1335"/>
      <c r="TH7" s="1305">
        <v>23401.9</v>
      </c>
      <c r="TI7" s="1305"/>
      <c r="TJ7" s="1335"/>
      <c r="TK7" s="1305">
        <v>23896.400000000001</v>
      </c>
      <c r="TL7" s="1305"/>
      <c r="TM7" s="1335"/>
      <c r="TN7" s="1305">
        <v>20031.900000000001</v>
      </c>
      <c r="TO7" s="1305"/>
      <c r="TP7" s="1335"/>
      <c r="TQ7" s="1305">
        <v>17326.400000000001</v>
      </c>
      <c r="TR7" s="1305"/>
      <c r="TS7" s="1335"/>
      <c r="TT7" s="1305">
        <v>23763.4</v>
      </c>
      <c r="TU7" s="1305"/>
      <c r="TV7" s="1335"/>
      <c r="TW7" s="1305">
        <v>21288.2</v>
      </c>
      <c r="TX7" s="1305"/>
      <c r="TY7" s="1335"/>
      <c r="TZ7" s="1305">
        <v>20935.7</v>
      </c>
      <c r="UA7" s="1305"/>
      <c r="UB7" s="1335"/>
      <c r="UC7" s="1305">
        <v>23311.9</v>
      </c>
      <c r="UD7" s="1305"/>
      <c r="UE7" s="1335"/>
      <c r="UF7" s="1305">
        <v>22716.2</v>
      </c>
      <c r="UG7" s="1305"/>
      <c r="UH7" s="1335"/>
      <c r="UI7" s="1305">
        <v>0</v>
      </c>
      <c r="UJ7" s="1305"/>
      <c r="UK7" s="1335"/>
      <c r="UL7" s="1305">
        <v>0</v>
      </c>
      <c r="UM7" s="1305"/>
      <c r="UN7" s="1335"/>
      <c r="UO7" s="1305">
        <v>23573</v>
      </c>
      <c r="UP7" s="1305"/>
      <c r="UQ7" s="1335"/>
      <c r="UR7" s="1305">
        <v>20728.099999999999</v>
      </c>
      <c r="US7" s="1305"/>
      <c r="UT7" s="1335"/>
      <c r="UU7" s="1305">
        <v>23743.599999999999</v>
      </c>
      <c r="UV7" s="1305"/>
      <c r="UW7" s="1335"/>
      <c r="UX7" s="1305">
        <v>23815.9</v>
      </c>
      <c r="UY7" s="1305"/>
      <c r="UZ7" s="1335"/>
      <c r="VA7" s="1305">
        <v>24343</v>
      </c>
      <c r="VB7" s="1305"/>
      <c r="VC7" s="1335"/>
      <c r="VD7" s="1305">
        <v>0</v>
      </c>
      <c r="VE7" s="1305"/>
      <c r="VF7" s="1335"/>
      <c r="VG7" s="1305">
        <v>0</v>
      </c>
      <c r="VH7" s="1305"/>
      <c r="VI7" s="1335"/>
      <c r="VJ7" s="1305">
        <v>3667.6</v>
      </c>
      <c r="VK7" s="1305"/>
      <c r="VL7" s="1335"/>
      <c r="VM7" s="1305">
        <v>21597.1</v>
      </c>
      <c r="VN7" s="1305"/>
      <c r="VO7" s="1335"/>
      <c r="VP7" s="1305">
        <v>23500.3</v>
      </c>
      <c r="VQ7" s="1305"/>
      <c r="VR7" s="1335"/>
      <c r="VS7" s="1305">
        <v>24856.2</v>
      </c>
      <c r="VT7" s="1305"/>
      <c r="VU7" s="1335"/>
      <c r="VV7" s="1305">
        <v>24678.7</v>
      </c>
      <c r="VW7" s="1305"/>
      <c r="VX7" s="1335"/>
      <c r="VY7" s="1305">
        <v>0</v>
      </c>
      <c r="VZ7" s="1305"/>
      <c r="WA7" s="1335"/>
      <c r="WB7" s="1305">
        <v>0</v>
      </c>
      <c r="WC7" s="1305"/>
      <c r="WD7" s="1335"/>
      <c r="WE7" s="1305">
        <v>19263.599999999999</v>
      </c>
      <c r="WF7" s="1305"/>
      <c r="WG7" s="1335"/>
      <c r="WH7" s="1305">
        <v>24676.9</v>
      </c>
      <c r="WI7" s="1305"/>
      <c r="WJ7" s="1335"/>
      <c r="WK7" s="1305">
        <v>24602.6</v>
      </c>
      <c r="WL7" s="1305"/>
      <c r="WM7" s="1335"/>
      <c r="WN7" s="1305">
        <v>23380.7</v>
      </c>
      <c r="WO7" s="1305"/>
      <c r="WP7" s="1335"/>
      <c r="WQ7" s="1305">
        <v>24766.9</v>
      </c>
      <c r="WR7" s="1305"/>
      <c r="WS7" s="1335"/>
      <c r="WT7" s="1305">
        <v>0</v>
      </c>
      <c r="WU7" s="1305"/>
      <c r="WV7" s="1335"/>
      <c r="WW7" s="1305">
        <v>0</v>
      </c>
      <c r="WX7" s="1305"/>
      <c r="WY7" s="1335"/>
      <c r="WZ7" s="1305">
        <v>20635.8</v>
      </c>
      <c r="XA7" s="1305"/>
      <c r="XB7" s="1335"/>
      <c r="XC7" s="1305">
        <v>24214</v>
      </c>
      <c r="XD7" s="1305"/>
      <c r="XE7" s="1335"/>
      <c r="XF7" s="1305">
        <v>24748.7</v>
      </c>
      <c r="XG7" s="1305"/>
      <c r="XH7" s="1335"/>
      <c r="XI7" s="1305">
        <v>22144</v>
      </c>
      <c r="XJ7" s="1305"/>
      <c r="XK7" s="1335"/>
      <c r="XL7" s="1305">
        <v>22332.7</v>
      </c>
      <c r="XM7" s="1305"/>
      <c r="XN7" s="1335"/>
      <c r="XO7" s="1305">
        <v>0</v>
      </c>
      <c r="XP7" s="1305"/>
      <c r="XQ7" s="1335"/>
      <c r="XR7" s="1305">
        <v>0</v>
      </c>
      <c r="XS7" s="1305"/>
      <c r="XT7" s="1335"/>
      <c r="XU7" s="1305">
        <v>22463.8</v>
      </c>
      <c r="XV7" s="1305"/>
      <c r="XW7" s="1335"/>
      <c r="XX7" s="1305">
        <v>25113.200000000001</v>
      </c>
      <c r="XY7" s="1305"/>
      <c r="XZ7" s="1335"/>
      <c r="YA7" s="1305">
        <v>22271.3</v>
      </c>
      <c r="YB7" s="1305"/>
      <c r="YC7" s="1335"/>
      <c r="YD7" s="1305">
        <v>22448.9</v>
      </c>
      <c r="YE7" s="1305"/>
      <c r="YF7" s="1335"/>
      <c r="YG7" s="1305">
        <v>24624.9</v>
      </c>
      <c r="YH7" s="1305"/>
      <c r="YI7" s="1335"/>
      <c r="YJ7" s="1305">
        <v>0</v>
      </c>
      <c r="YK7" s="1305"/>
      <c r="YL7" s="1335"/>
      <c r="YM7" s="1305">
        <v>0</v>
      </c>
      <c r="YN7" s="1305"/>
      <c r="YO7" s="1335"/>
      <c r="YP7" s="1305">
        <v>25629.5</v>
      </c>
      <c r="YQ7" s="1305"/>
      <c r="YR7" s="1335"/>
      <c r="YS7" s="1305">
        <v>22946</v>
      </c>
      <c r="YT7" s="1305"/>
      <c r="YU7" s="1335"/>
      <c r="YV7" s="1305">
        <v>26058.400000000001</v>
      </c>
      <c r="YW7" s="1305"/>
      <c r="YX7" s="1335"/>
      <c r="YY7" s="1305">
        <v>23449</v>
      </c>
      <c r="YZ7" s="1305"/>
      <c r="ZA7" s="1335"/>
      <c r="ZB7" s="1305">
        <v>23049.1</v>
      </c>
      <c r="ZC7" s="1305"/>
      <c r="ZD7" s="1335"/>
      <c r="ZE7" s="1305">
        <v>0</v>
      </c>
      <c r="ZF7" s="1305"/>
      <c r="ZG7" s="1335"/>
      <c r="ZH7" s="1305">
        <v>0</v>
      </c>
      <c r="ZI7" s="1305"/>
      <c r="ZJ7" s="1335"/>
      <c r="ZK7" s="1305">
        <v>20515.8</v>
      </c>
      <c r="ZL7" s="1305"/>
      <c r="ZM7" s="1335"/>
      <c r="ZN7" s="1305">
        <v>20553.3</v>
      </c>
      <c r="ZO7" s="1305"/>
      <c r="ZP7" s="1335"/>
      <c r="ZQ7" s="1305">
        <v>19860</v>
      </c>
      <c r="ZR7" s="1305"/>
      <c r="ZS7" s="1335"/>
      <c r="ZT7" s="1305">
        <v>20025.599999999999</v>
      </c>
      <c r="ZU7" s="1305"/>
      <c r="ZV7" s="1335"/>
      <c r="ZW7" s="1305">
        <v>18261.3</v>
      </c>
      <c r="ZX7" s="1305"/>
      <c r="ZY7" s="1335"/>
      <c r="ZZ7" s="1305">
        <v>17246.2</v>
      </c>
      <c r="AAA7" s="1305"/>
      <c r="AAB7" s="1335"/>
      <c r="AAC7" s="1305">
        <v>0</v>
      </c>
      <c r="AAD7" s="1305"/>
      <c r="AAE7" s="1335"/>
      <c r="AAF7" s="1305">
        <v>19843.5</v>
      </c>
      <c r="AAG7" s="1305"/>
      <c r="AAH7" s="1335"/>
      <c r="AAI7" s="1305">
        <v>21458</v>
      </c>
      <c r="AAJ7" s="1305"/>
      <c r="AAK7" s="1335"/>
      <c r="AAL7" s="1305">
        <v>18632.2</v>
      </c>
      <c r="AAM7" s="1305"/>
      <c r="AAN7" s="1335"/>
      <c r="AAO7" s="1305">
        <v>19165.099999999999</v>
      </c>
      <c r="AAP7" s="1305"/>
      <c r="AAQ7" s="1335"/>
      <c r="AAR7" s="1305">
        <v>19885</v>
      </c>
      <c r="AAS7" s="1305"/>
      <c r="AAT7" s="1335"/>
      <c r="AAU7" s="1305">
        <v>20092</v>
      </c>
      <c r="AAV7" s="1305"/>
      <c r="AAW7" s="1335"/>
      <c r="AAX7" s="1305">
        <v>0</v>
      </c>
      <c r="AAY7" s="1305"/>
      <c r="AAZ7" s="1335"/>
      <c r="ABA7" s="1305">
        <v>22800.2</v>
      </c>
      <c r="ABB7" s="1305"/>
      <c r="ABC7" s="1335"/>
      <c r="ABD7" s="1305">
        <v>16664</v>
      </c>
      <c r="ABE7" s="1305"/>
      <c r="ABF7" s="1335"/>
      <c r="ABG7" s="1305">
        <v>21833.200000000001</v>
      </c>
      <c r="ABH7" s="1305"/>
      <c r="ABI7" s="1335"/>
      <c r="ABJ7" s="1305">
        <v>14896.5</v>
      </c>
      <c r="ABK7" s="1305"/>
      <c r="ABL7" s="1335"/>
      <c r="ABM7" s="1305">
        <v>22727.8</v>
      </c>
      <c r="ABN7" s="1305"/>
      <c r="ABO7" s="1335"/>
      <c r="ABP7" s="1305">
        <v>19517.599999999999</v>
      </c>
      <c r="ABQ7" s="1305"/>
      <c r="ABR7" s="1335"/>
      <c r="ABS7" s="1305">
        <v>0</v>
      </c>
      <c r="ABT7" s="1305"/>
      <c r="ABU7" s="1335"/>
      <c r="ABV7" s="1305">
        <v>19570.2</v>
      </c>
      <c r="ABW7" s="1305"/>
      <c r="ABX7" s="1335"/>
      <c r="ABY7" s="1305">
        <v>23296.5</v>
      </c>
      <c r="ABZ7" s="1305"/>
      <c r="ACA7" s="1335"/>
      <c r="ACB7" s="1305">
        <v>23850.2</v>
      </c>
      <c r="ACC7" s="1305"/>
      <c r="ACD7" s="1335"/>
      <c r="ACE7" s="1305">
        <v>23044.400000000001</v>
      </c>
      <c r="ACF7" s="1305"/>
      <c r="ACG7" s="1335"/>
      <c r="ACH7" s="1305">
        <v>18279.5</v>
      </c>
      <c r="ACI7" s="1305"/>
      <c r="ACJ7" s="1335"/>
      <c r="ACK7" s="1305">
        <v>0</v>
      </c>
      <c r="ACL7" s="1305"/>
      <c r="ACM7" s="1335"/>
      <c r="ACN7" s="1305">
        <v>0</v>
      </c>
      <c r="ACO7" s="1305"/>
      <c r="ACP7" s="1335"/>
      <c r="ACQ7" s="1305">
        <v>16797.900000000001</v>
      </c>
      <c r="ACR7" s="1305"/>
      <c r="ACS7" s="1335"/>
      <c r="ACT7" s="1305">
        <v>19954.5</v>
      </c>
      <c r="ACU7" s="1305"/>
      <c r="ACV7" s="1335"/>
      <c r="ACW7" s="1305">
        <v>23170.3</v>
      </c>
      <c r="ACX7" s="1305"/>
      <c r="ACY7" s="1335"/>
      <c r="ACZ7" s="1305">
        <v>22135.9</v>
      </c>
      <c r="ADA7" s="1305"/>
      <c r="ADB7" s="1335"/>
      <c r="ADC7" s="1305">
        <v>21711.5</v>
      </c>
      <c r="ADD7" s="1305"/>
      <c r="ADE7" s="1335"/>
      <c r="ADF7" s="1305">
        <v>20845.8</v>
      </c>
      <c r="ADG7" s="1305"/>
      <c r="ADH7" s="1335"/>
      <c r="ADI7" s="1305">
        <v>0</v>
      </c>
      <c r="ADJ7" s="1305"/>
      <c r="ADK7" s="1335"/>
      <c r="ADL7" s="1305">
        <v>20666.7</v>
      </c>
      <c r="ADM7" s="1305"/>
      <c r="ADN7" s="1335"/>
      <c r="ADO7" s="1305">
        <v>21979.1</v>
      </c>
      <c r="ADP7" s="1305"/>
      <c r="ADQ7" s="1335"/>
      <c r="ADR7" s="1305">
        <v>22576.7</v>
      </c>
      <c r="ADS7" s="1305"/>
      <c r="ADT7" s="1335"/>
      <c r="ADU7" s="1305">
        <v>23037.4</v>
      </c>
      <c r="ADV7" s="1305"/>
      <c r="ADW7" s="1335"/>
      <c r="ADX7" s="1305">
        <v>20724.5</v>
      </c>
      <c r="ADY7" s="1305"/>
      <c r="ADZ7" s="1335"/>
      <c r="AEA7" s="1305">
        <v>14673</v>
      </c>
      <c r="AEB7" s="1305"/>
      <c r="AEC7" s="1335"/>
      <c r="AED7" s="1305">
        <v>0</v>
      </c>
      <c r="AEE7" s="1305"/>
      <c r="AEF7" s="1335"/>
      <c r="AEG7" s="1305">
        <v>20843.2</v>
      </c>
      <c r="AEH7" s="1305"/>
      <c r="AEI7" s="1335"/>
      <c r="AEJ7" s="1305">
        <v>22118.6</v>
      </c>
      <c r="AEK7" s="1305"/>
      <c r="AEL7" s="1335"/>
      <c r="AEM7" s="1305">
        <v>23391.4</v>
      </c>
      <c r="AEN7" s="1305"/>
      <c r="AEO7" s="1335"/>
      <c r="AEP7" s="1305">
        <v>19781</v>
      </c>
      <c r="AEQ7" s="1305"/>
      <c r="AER7" s="1335"/>
      <c r="AES7" s="1305">
        <v>21672.400000000001</v>
      </c>
      <c r="AET7" s="1305"/>
      <c r="AEU7" s="1335"/>
      <c r="AEV7" s="1305">
        <v>17241.3</v>
      </c>
      <c r="AEW7" s="1305"/>
      <c r="AEX7" s="1335"/>
      <c r="AEY7" s="1305">
        <v>0</v>
      </c>
      <c r="AEZ7" s="1305"/>
      <c r="AFA7" s="1335"/>
      <c r="AFB7" s="1305">
        <v>23978.6</v>
      </c>
      <c r="AFC7" s="1305"/>
      <c r="AFD7" s="1335"/>
      <c r="AFE7" s="1305">
        <v>24871.200000000001</v>
      </c>
      <c r="AFF7" s="1305"/>
      <c r="AFG7" s="1335"/>
      <c r="AFH7" s="1305">
        <v>16219.3</v>
      </c>
      <c r="AFI7" s="1305"/>
      <c r="AFJ7" s="1335"/>
      <c r="AFK7" s="1305">
        <v>21383.1</v>
      </c>
      <c r="AFL7" s="1305"/>
      <c r="AFM7" s="1335"/>
      <c r="AFN7" s="1305">
        <v>23054.9</v>
      </c>
      <c r="AFO7" s="1305"/>
      <c r="AFP7" s="1335"/>
      <c r="AFQ7" s="1305">
        <v>0</v>
      </c>
      <c r="AFR7" s="1305"/>
      <c r="AFS7" s="1335"/>
      <c r="AFT7" s="1305">
        <v>0</v>
      </c>
      <c r="AFU7" s="1305"/>
      <c r="AFV7" s="1335"/>
      <c r="AFW7" s="1305">
        <v>22751.9</v>
      </c>
      <c r="AFX7" s="1305"/>
      <c r="AFY7" s="1335"/>
      <c r="AFZ7" s="1305">
        <v>19743.8</v>
      </c>
      <c r="AGA7" s="1305"/>
      <c r="AGB7" s="1335"/>
      <c r="AGC7" s="1305">
        <v>18984.599999999999</v>
      </c>
      <c r="AGD7" s="1305"/>
      <c r="AGE7" s="1335"/>
      <c r="AGF7" s="1305">
        <v>19618.900000000001</v>
      </c>
      <c r="AGG7" s="1305"/>
      <c r="AGH7" s="1335"/>
      <c r="AGI7" s="1305">
        <v>14973.8</v>
      </c>
      <c r="AGJ7" s="1305"/>
      <c r="AGK7" s="1335"/>
      <c r="AGL7" s="1305">
        <v>19370.099999999999</v>
      </c>
      <c r="AGM7" s="1305"/>
      <c r="AGN7" s="1335"/>
      <c r="AGO7" s="1305">
        <v>0</v>
      </c>
      <c r="AGP7" s="1305"/>
      <c r="AGQ7" s="1335"/>
      <c r="AGR7" s="1305">
        <v>20850.3</v>
      </c>
      <c r="AGS7" s="1305"/>
      <c r="AGT7" s="1335"/>
      <c r="AGU7" s="1305">
        <v>21606.9</v>
      </c>
      <c r="AGV7" s="1305"/>
      <c r="AGW7" s="1335"/>
      <c r="AGX7" s="1305">
        <v>22355.200000000001</v>
      </c>
      <c r="AGY7" s="1305"/>
      <c r="AGZ7" s="1335"/>
      <c r="AHA7" s="1305">
        <v>23783.5</v>
      </c>
      <c r="AHB7" s="1305"/>
      <c r="AHC7" s="1335"/>
      <c r="AHD7" s="1305">
        <v>21774.799999999999</v>
      </c>
      <c r="AHE7" s="1305"/>
      <c r="AHF7" s="1335"/>
      <c r="AHG7" s="1305">
        <v>19909.2</v>
      </c>
      <c r="AHH7" s="1305"/>
      <c r="AHI7" s="1335"/>
      <c r="AHJ7" s="1305">
        <v>0</v>
      </c>
      <c r="AHK7" s="1305"/>
      <c r="AHL7" s="1335"/>
      <c r="AHM7" s="1305">
        <v>0</v>
      </c>
      <c r="AHN7" s="1305"/>
      <c r="AHO7" s="1335"/>
      <c r="AHP7" s="1305">
        <v>21002.400000000001</v>
      </c>
      <c r="AHQ7" s="1305"/>
      <c r="AHR7" s="1335"/>
      <c r="AHS7" s="1305">
        <v>22624.7</v>
      </c>
      <c r="AHT7" s="1305"/>
      <c r="AHU7" s="1335"/>
      <c r="AHV7" s="1305">
        <v>21578</v>
      </c>
      <c r="AHW7" s="1305"/>
      <c r="AHX7" s="1335"/>
      <c r="AHY7" s="1305">
        <v>21053.8</v>
      </c>
      <c r="AHZ7" s="1305"/>
      <c r="AIA7" s="1335"/>
      <c r="AIB7" s="1305">
        <v>20549.900000000001</v>
      </c>
      <c r="AIC7" s="1305"/>
      <c r="AID7" s="1335"/>
      <c r="AIE7" s="1305">
        <v>0</v>
      </c>
      <c r="AIF7" s="1305"/>
      <c r="AIG7" s="1335"/>
      <c r="AIH7" s="1305">
        <v>17377</v>
      </c>
      <c r="AII7" s="1305"/>
      <c r="AIJ7" s="1335"/>
      <c r="AIK7" s="1305">
        <v>23565.3</v>
      </c>
      <c r="AIL7" s="1305"/>
      <c r="AIM7" s="1335"/>
      <c r="AIN7" s="1305">
        <v>21562.3</v>
      </c>
      <c r="AIO7" s="1305"/>
      <c r="AIP7" s="1335"/>
      <c r="AIQ7" s="1305">
        <v>22747.3</v>
      </c>
      <c r="AIR7" s="1305"/>
      <c r="AIS7" s="1335"/>
      <c r="AIT7" s="1305">
        <v>23009.4</v>
      </c>
      <c r="AIU7" s="1305"/>
      <c r="AIV7" s="1335"/>
      <c r="AIW7" s="1305">
        <v>11541.2</v>
      </c>
      <c r="AIX7" s="1305"/>
      <c r="AIY7" s="1335"/>
      <c r="AIZ7" s="1305">
        <v>0</v>
      </c>
      <c r="AJA7" s="1305"/>
      <c r="AJB7" s="1335"/>
      <c r="AJC7" s="1305">
        <v>0</v>
      </c>
      <c r="AJD7" s="1305"/>
      <c r="AJE7" s="1335"/>
      <c r="AJF7" s="1305">
        <v>21477</v>
      </c>
      <c r="AJG7" s="1305"/>
      <c r="AJH7" s="1335"/>
      <c r="AJI7" s="1305">
        <v>23972.1</v>
      </c>
      <c r="AJJ7" s="1305"/>
      <c r="AJK7" s="1335"/>
      <c r="AJL7" s="1305">
        <v>22245.599999999999</v>
      </c>
      <c r="AJM7" s="1305"/>
      <c r="AJN7" s="1335"/>
      <c r="AJO7" s="1305">
        <v>21019.599999999999</v>
      </c>
      <c r="AJP7" s="1305"/>
      <c r="AJQ7" s="1335"/>
      <c r="AJR7" s="1305">
        <v>19287.900000000001</v>
      </c>
      <c r="AJS7" s="1305"/>
      <c r="AJT7" s="1335"/>
      <c r="AJU7" s="1305">
        <v>21900.1</v>
      </c>
      <c r="AJV7" s="1305"/>
      <c r="AJW7" s="1335"/>
      <c r="AJX7" s="1305">
        <v>18973</v>
      </c>
      <c r="AJY7" s="1305"/>
      <c r="AJZ7" s="1335"/>
      <c r="AKA7" s="1305">
        <v>22455</v>
      </c>
      <c r="AKB7" s="1305"/>
      <c r="AKC7" s="1335"/>
      <c r="AKD7" s="1305">
        <v>14116.2</v>
      </c>
      <c r="AKE7" s="1305"/>
      <c r="AKF7" s="1335"/>
      <c r="AKG7" s="1305">
        <v>20149.7</v>
      </c>
      <c r="AKH7" s="1305"/>
      <c r="AKI7" s="1335"/>
      <c r="AKJ7" s="1305">
        <v>22066.5</v>
      </c>
      <c r="AKK7" s="1305"/>
      <c r="AKL7" s="1335"/>
      <c r="AKM7" s="1305">
        <v>17333.5</v>
      </c>
      <c r="AKN7" s="1305"/>
      <c r="AKO7" s="1335"/>
      <c r="AKP7" s="1305">
        <v>0</v>
      </c>
      <c r="AKQ7" s="1305"/>
      <c r="AKR7" s="1335"/>
      <c r="AKS7" s="1305">
        <v>23549.4</v>
      </c>
      <c r="AKT7" s="1305"/>
      <c r="AKU7" s="1335"/>
      <c r="AKV7" s="1305">
        <v>20515.2</v>
      </c>
      <c r="AKW7" s="1305"/>
      <c r="AKX7" s="1335"/>
      <c r="AKY7" s="1305">
        <v>17395.400000000001</v>
      </c>
      <c r="AKZ7" s="1305"/>
      <c r="ALA7" s="1335"/>
      <c r="ALB7" s="1305">
        <v>0</v>
      </c>
      <c r="ALC7" s="1305"/>
      <c r="ALD7" s="1335"/>
      <c r="ALE7" s="1305">
        <v>18995.099999999999</v>
      </c>
      <c r="ALF7" s="1305"/>
      <c r="ALG7" s="1335"/>
      <c r="ALH7" s="1305">
        <v>19546</v>
      </c>
      <c r="ALI7" s="1305"/>
      <c r="ALJ7" s="1335"/>
      <c r="ALK7" s="1305">
        <v>19295.3</v>
      </c>
      <c r="ALL7" s="1305"/>
      <c r="ALM7" s="1335"/>
      <c r="ALN7" s="1305">
        <v>19657.900000000001</v>
      </c>
      <c r="ALO7" s="1305"/>
      <c r="ALP7" s="1335"/>
      <c r="ALQ7" s="1305">
        <v>21641.9</v>
      </c>
      <c r="ALR7" s="1305"/>
      <c r="ALS7" s="1335"/>
      <c r="ALT7" s="1305">
        <v>18994</v>
      </c>
      <c r="ALU7" s="1305"/>
      <c r="ALV7" s="1335"/>
      <c r="ALW7" s="1305">
        <v>0</v>
      </c>
      <c r="ALX7" s="1305"/>
      <c r="ALY7" s="1335"/>
      <c r="ALZ7" s="1305">
        <v>21596.5</v>
      </c>
      <c r="AMA7" s="1305"/>
      <c r="AMB7" s="1335"/>
      <c r="AMC7" s="1305">
        <v>20077.400000000001</v>
      </c>
      <c r="AMD7" s="1305"/>
      <c r="AME7" s="1335"/>
      <c r="AMF7" s="1305">
        <v>0</v>
      </c>
      <c r="AMG7" s="1305"/>
      <c r="AMH7" s="1335"/>
      <c r="AMI7" s="1305">
        <v>19164.7</v>
      </c>
      <c r="AMJ7" s="1305"/>
      <c r="AMK7" s="1335"/>
      <c r="AML7" s="1305">
        <v>19445.099999999999</v>
      </c>
      <c r="AMM7" s="1305"/>
      <c r="AMN7" s="1335"/>
      <c r="AMO7" s="1305">
        <v>20189.5</v>
      </c>
      <c r="AMP7" s="1305"/>
      <c r="AMQ7" s="1335"/>
      <c r="AMR7" s="1305">
        <v>20432.3</v>
      </c>
      <c r="AMS7" s="1305"/>
      <c r="AMT7" s="1335"/>
      <c r="AMU7" s="1305">
        <v>20171</v>
      </c>
      <c r="AMV7" s="1305"/>
      <c r="AMW7" s="1335"/>
      <c r="AMX7" s="1305">
        <v>18842.3</v>
      </c>
      <c r="AMY7" s="1305"/>
      <c r="AMZ7" s="1335"/>
      <c r="ANA7" s="1305">
        <v>19431.3</v>
      </c>
      <c r="ANB7" s="1305"/>
      <c r="ANC7" s="1335"/>
      <c r="AND7" s="1305">
        <v>18672.5</v>
      </c>
      <c r="ANE7" s="1305"/>
      <c r="ANF7" s="1335"/>
      <c r="ANG7" s="1305">
        <v>15570.4</v>
      </c>
      <c r="ANH7" s="1305"/>
      <c r="ANI7" s="1335"/>
      <c r="ANJ7" s="1305">
        <v>19672.3</v>
      </c>
      <c r="ANK7" s="1305"/>
      <c r="ANL7" s="1335"/>
      <c r="ANM7" s="1305">
        <v>21138.1</v>
      </c>
      <c r="ANN7" s="1305"/>
      <c r="ANO7" s="1335"/>
      <c r="ANP7" s="1305">
        <v>22561.200000000001</v>
      </c>
      <c r="ANQ7" s="1305"/>
      <c r="ANR7" s="1335"/>
      <c r="ANS7" s="1305">
        <v>20813.3</v>
      </c>
      <c r="ANT7" s="1305"/>
      <c r="ANU7" s="1335"/>
      <c r="ANV7" s="1305">
        <v>0</v>
      </c>
      <c r="ANW7" s="1305"/>
      <c r="ANX7" s="1335"/>
      <c r="ANY7" s="1305">
        <v>21387.5</v>
      </c>
      <c r="ANZ7" s="1305"/>
      <c r="AOA7" s="1335"/>
      <c r="AOB7" s="1305">
        <v>23744.799999999999</v>
      </c>
      <c r="AOC7" s="1305"/>
      <c r="AOD7" s="1335"/>
      <c r="AOE7" s="1305">
        <v>23346.5</v>
      </c>
      <c r="AOF7" s="1305"/>
      <c r="AOG7" s="1335"/>
      <c r="AOH7" s="1305">
        <v>23184.9</v>
      </c>
      <c r="AOI7" s="1305"/>
      <c r="AOJ7" s="1335"/>
      <c r="AOK7" s="1305">
        <v>25625.1</v>
      </c>
      <c r="AOL7" s="1305"/>
      <c r="AOM7" s="1335"/>
      <c r="AON7" s="1305">
        <v>19443.5</v>
      </c>
      <c r="AOO7" s="1305"/>
      <c r="AOP7" s="1335"/>
      <c r="AOQ7" s="1305">
        <v>20001.385999999999</v>
      </c>
      <c r="AOR7" s="1305"/>
      <c r="AOS7" s="1335"/>
      <c r="AOT7" s="1305">
        <v>24384.5</v>
      </c>
      <c r="AOU7" s="1305"/>
      <c r="AOV7" s="1335"/>
      <c r="AOW7" s="1305">
        <v>18671.599999999999</v>
      </c>
      <c r="AOX7" s="1305"/>
      <c r="AOY7" s="1335"/>
      <c r="AOZ7" s="1305">
        <v>24167.9</v>
      </c>
      <c r="APA7" s="1305"/>
      <c r="APB7" s="1335"/>
      <c r="APC7" s="1305">
        <v>24806.6</v>
      </c>
      <c r="APD7" s="1305"/>
      <c r="APE7" s="1335"/>
      <c r="APF7" s="1305">
        <v>23124.9</v>
      </c>
      <c r="APG7" s="1305"/>
      <c r="APH7" s="1335"/>
      <c r="API7" s="1305">
        <v>0</v>
      </c>
      <c r="APJ7" s="1305"/>
      <c r="APK7" s="1335"/>
      <c r="APL7" s="1305">
        <v>0</v>
      </c>
      <c r="APM7" s="1305"/>
      <c r="APN7" s="1335"/>
      <c r="APO7" s="1305">
        <v>19282</v>
      </c>
      <c r="APP7" s="1305"/>
      <c r="APQ7" s="1335"/>
      <c r="APR7" s="1305">
        <v>23571.599999999999</v>
      </c>
      <c r="APS7" s="1305"/>
      <c r="APT7" s="1335"/>
      <c r="APU7" s="1305">
        <v>23552.799999999999</v>
      </c>
      <c r="APV7" s="1305"/>
      <c r="APW7" s="1335"/>
      <c r="APX7" s="1305">
        <v>20727.5</v>
      </c>
      <c r="APY7" s="1305"/>
      <c r="APZ7" s="1335"/>
      <c r="AQA7" s="1305">
        <v>21560.6</v>
      </c>
      <c r="AQB7" s="1305"/>
      <c r="AQC7" s="1335"/>
      <c r="AQD7" s="1305">
        <v>22272.5</v>
      </c>
      <c r="AQE7" s="1305"/>
      <c r="AQF7" s="1335"/>
      <c r="AQG7" s="1305">
        <v>21776.5</v>
      </c>
      <c r="AQH7" s="1305"/>
      <c r="AQI7" s="1335"/>
      <c r="AQJ7" s="1305">
        <v>22133.200000000001</v>
      </c>
      <c r="AQK7" s="1305"/>
      <c r="AQL7" s="1335"/>
      <c r="AQM7" s="1305">
        <v>23819.3</v>
      </c>
      <c r="AQN7" s="1305"/>
      <c r="AQO7" s="1335"/>
      <c r="AQP7" s="1305">
        <v>23415.9</v>
      </c>
      <c r="AQQ7" s="1305"/>
      <c r="AQR7" s="1335"/>
      <c r="AQS7" s="1305">
        <v>24224.3</v>
      </c>
      <c r="AQT7" s="1305"/>
      <c r="AQU7" s="1335"/>
      <c r="AQV7" s="1305">
        <v>23163.4</v>
      </c>
      <c r="AQW7" s="1305"/>
      <c r="AQX7" s="1335"/>
      <c r="AQY7" s="1305">
        <v>18664.8</v>
      </c>
      <c r="AQZ7" s="1305"/>
      <c r="ARA7" s="1335"/>
      <c r="ARB7" s="1305">
        <v>0</v>
      </c>
      <c r="ARC7" s="1305"/>
      <c r="ARD7" s="1335"/>
      <c r="ARE7" s="1305">
        <v>0</v>
      </c>
      <c r="ARF7" s="1305"/>
      <c r="ARG7" s="1335"/>
      <c r="ARH7" s="1305">
        <v>17676.7</v>
      </c>
      <c r="ARI7" s="1305"/>
      <c r="ARJ7" s="1335"/>
      <c r="ARK7" s="1305">
        <v>20310.900000000001</v>
      </c>
      <c r="ARL7" s="1305"/>
      <c r="ARM7" s="1335"/>
      <c r="ARN7" s="1305">
        <v>21992.2</v>
      </c>
      <c r="ARO7" s="1305"/>
      <c r="ARP7" s="1335"/>
      <c r="ARQ7" s="1305">
        <v>22197.7</v>
      </c>
      <c r="ARR7" s="1305"/>
      <c r="ARS7" s="1335"/>
      <c r="ART7" s="1305">
        <v>21641.9</v>
      </c>
      <c r="ARU7" s="1305"/>
      <c r="ARV7" s="1335"/>
      <c r="ARW7" s="1305">
        <v>20778.599999999999</v>
      </c>
      <c r="ARX7" s="1305"/>
      <c r="ARY7" s="1335"/>
      <c r="ARZ7" s="1305">
        <v>25145.3</v>
      </c>
      <c r="ASA7" s="1305"/>
      <c r="ASB7" s="1335"/>
      <c r="ASC7" s="1305">
        <v>23905.200000000001</v>
      </c>
      <c r="ASD7" s="1305"/>
      <c r="ASE7" s="1335"/>
      <c r="ASF7" s="1305">
        <v>24564.3</v>
      </c>
      <c r="ASG7" s="1305"/>
      <c r="ASH7" s="1335"/>
      <c r="ASI7" s="1305">
        <v>21909.3</v>
      </c>
      <c r="ASJ7" s="1305"/>
      <c r="ASK7" s="1335"/>
      <c r="ASL7" s="1305">
        <v>23828.1</v>
      </c>
      <c r="ASM7" s="1305"/>
      <c r="ASN7" s="1335"/>
      <c r="ASO7" s="1305">
        <v>0</v>
      </c>
      <c r="ASP7" s="1305"/>
      <c r="ASQ7" s="1305"/>
      <c r="ASR7" s="1304">
        <v>0</v>
      </c>
      <c r="ASS7" s="1305"/>
      <c r="AST7" s="1335"/>
      <c r="ASU7" s="1305">
        <v>22027.4</v>
      </c>
      <c r="ASV7" s="1305"/>
      <c r="ASW7" s="1335"/>
      <c r="ASX7" s="1305">
        <v>23183.9</v>
      </c>
      <c r="ASY7" s="1305"/>
      <c r="ASZ7" s="1335"/>
      <c r="ATA7" s="1305">
        <v>25523.599999999999</v>
      </c>
      <c r="ATB7" s="1305"/>
      <c r="ATC7" s="1335"/>
      <c r="ATD7" s="1305">
        <v>23699.8</v>
      </c>
      <c r="ATE7" s="1305"/>
      <c r="ATF7" s="1335"/>
      <c r="ATG7" s="1305">
        <v>23427.9</v>
      </c>
      <c r="ATH7" s="1305"/>
      <c r="ATI7" s="1335"/>
      <c r="ATJ7" s="1305">
        <v>17718.2</v>
      </c>
      <c r="ATK7" s="1305"/>
      <c r="ATL7" s="1335"/>
      <c r="ATM7" s="1305">
        <v>0</v>
      </c>
      <c r="ATN7" s="1305"/>
      <c r="ATO7" s="1335"/>
      <c r="ATP7" s="1305">
        <v>24373.599999999999</v>
      </c>
      <c r="ATQ7" s="1305"/>
      <c r="ATR7" s="1335"/>
      <c r="ATS7" s="1305">
        <v>22266.9</v>
      </c>
      <c r="ATT7" s="1305"/>
      <c r="ATU7" s="1335"/>
      <c r="ATV7" s="1305">
        <v>26289.4</v>
      </c>
      <c r="ATW7" s="1305"/>
      <c r="ATX7" s="1335"/>
      <c r="ATY7" s="1305">
        <v>19682.5</v>
      </c>
      <c r="ATZ7" s="1305"/>
      <c r="AUA7" s="1335"/>
      <c r="AUB7" s="1305">
        <v>26883.3</v>
      </c>
      <c r="AUC7" s="1305"/>
      <c r="AUD7" s="1335"/>
      <c r="AUE7" s="1305">
        <v>0</v>
      </c>
      <c r="AUF7" s="1305"/>
      <c r="AUG7" s="1335"/>
      <c r="AUH7" s="1305">
        <v>0</v>
      </c>
      <c r="AUI7" s="1305"/>
      <c r="AUJ7" s="1335"/>
      <c r="AUK7" s="1305">
        <v>24263.1</v>
      </c>
      <c r="AUL7" s="1305"/>
      <c r="AUM7" s="1335"/>
      <c r="AUN7" s="1305">
        <v>23334.799999999999</v>
      </c>
      <c r="AUO7" s="1305"/>
      <c r="AUP7" s="1335"/>
      <c r="AUQ7" s="1305">
        <v>24266.7</v>
      </c>
      <c r="AUR7" s="1305"/>
      <c r="AUS7" s="1335"/>
      <c r="AUT7" s="1305">
        <v>22950.9</v>
      </c>
      <c r="AUU7" s="1305"/>
      <c r="AUV7" s="1335"/>
      <c r="AUW7" s="1305">
        <v>25684.799999999999</v>
      </c>
      <c r="AUX7" s="1305"/>
      <c r="AUY7" s="1335"/>
      <c r="AUZ7" s="1305">
        <v>19607.400000000001</v>
      </c>
      <c r="AVA7" s="1305"/>
      <c r="AVB7" s="1335"/>
      <c r="AVC7" s="1305">
        <v>22797.4</v>
      </c>
      <c r="AVD7" s="1305"/>
      <c r="AVE7" s="1335"/>
      <c r="AVF7" s="1305">
        <v>20716.599999999999</v>
      </c>
      <c r="AVG7" s="1305"/>
      <c r="AVH7" s="1335"/>
      <c r="AVI7" s="1305">
        <v>23474.9</v>
      </c>
      <c r="AVJ7" s="1305"/>
      <c r="AVK7" s="1335"/>
      <c r="AVL7" s="1305">
        <v>23996.9</v>
      </c>
      <c r="AVM7" s="1305"/>
      <c r="AVN7" s="1335"/>
      <c r="AVO7" s="1305">
        <v>23600</v>
      </c>
      <c r="AVP7" s="1305"/>
      <c r="AVQ7" s="1335"/>
      <c r="AVR7" s="1305">
        <v>0</v>
      </c>
      <c r="AVS7" s="1305"/>
      <c r="AVT7" s="1335"/>
      <c r="AVU7" s="1305">
        <v>0</v>
      </c>
      <c r="AVV7" s="1305"/>
      <c r="AVW7" s="1335"/>
      <c r="AVX7" s="1305">
        <v>0</v>
      </c>
      <c r="AVY7" s="1305"/>
      <c r="AVZ7" s="1335"/>
      <c r="AWA7" s="1305">
        <v>0</v>
      </c>
      <c r="AWB7" s="1305"/>
      <c r="AWC7" s="1335"/>
      <c r="AWD7" s="1305">
        <v>0</v>
      </c>
      <c r="AWE7" s="1305"/>
      <c r="AWF7" s="1335"/>
      <c r="AWG7" s="1305">
        <v>0</v>
      </c>
      <c r="AWH7" s="1305"/>
      <c r="AWI7" s="1335"/>
      <c r="AWJ7" s="1305">
        <v>0</v>
      </c>
      <c r="AWK7" s="1305"/>
      <c r="AWL7" s="1335"/>
      <c r="AWM7" s="1305">
        <v>0</v>
      </c>
      <c r="AWN7" s="1305"/>
      <c r="AWO7" s="1335"/>
      <c r="AWP7" s="1305">
        <v>0</v>
      </c>
      <c r="AWQ7" s="1305"/>
      <c r="AWR7" s="1335"/>
      <c r="AWS7" s="1305">
        <v>0</v>
      </c>
      <c r="AWT7" s="1305"/>
      <c r="AWU7" s="1335"/>
      <c r="AWV7" s="1305">
        <v>0</v>
      </c>
      <c r="AWW7" s="1305"/>
      <c r="AWX7" s="1335"/>
      <c r="AWY7" s="1305">
        <v>0</v>
      </c>
      <c r="AWZ7" s="1305"/>
      <c r="AXA7" s="1335"/>
      <c r="AXB7" s="1305">
        <v>0</v>
      </c>
      <c r="AXC7" s="1305"/>
      <c r="AXD7" s="1335"/>
      <c r="AXE7" s="1305">
        <v>0</v>
      </c>
      <c r="AXF7" s="1305"/>
      <c r="AXG7" s="1335"/>
      <c r="AXH7" s="1305">
        <v>0</v>
      </c>
      <c r="AXI7" s="1305"/>
      <c r="AXJ7" s="1335"/>
      <c r="AXK7" s="1305">
        <v>0</v>
      </c>
      <c r="AXL7" s="1305"/>
      <c r="AXM7" s="1335"/>
      <c r="AXN7" s="1305">
        <v>0</v>
      </c>
      <c r="AXO7" s="1305"/>
      <c r="AXP7" s="1335"/>
      <c r="AXQ7" s="1305">
        <v>0</v>
      </c>
      <c r="AXR7" s="1305"/>
      <c r="AXS7" s="1335"/>
      <c r="AXT7" s="1305">
        <v>0</v>
      </c>
      <c r="AXU7" s="1305"/>
      <c r="AXV7" s="1335"/>
      <c r="AXW7" s="1305">
        <v>0</v>
      </c>
      <c r="AXX7" s="1305"/>
      <c r="AXY7" s="1335"/>
      <c r="AXZ7" s="1305">
        <v>0</v>
      </c>
      <c r="AYA7" s="1305"/>
      <c r="AYB7" s="1335"/>
      <c r="AYC7" s="1305">
        <v>0</v>
      </c>
      <c r="AYD7" s="1305"/>
      <c r="AYE7" s="1335"/>
      <c r="AYF7" s="1305">
        <v>0</v>
      </c>
      <c r="AYG7" s="1305"/>
      <c r="AYH7" s="1335"/>
      <c r="AYI7" s="1305">
        <v>0</v>
      </c>
      <c r="AYJ7" s="1305"/>
      <c r="AYK7" s="1335"/>
      <c r="AYL7" s="1305">
        <v>0</v>
      </c>
      <c r="AYM7" s="1305"/>
      <c r="AYN7" s="1335"/>
      <c r="AYO7" s="1305">
        <v>0</v>
      </c>
      <c r="AYP7" s="1305"/>
      <c r="AYQ7" s="1335"/>
      <c r="AYR7" s="1305">
        <v>0</v>
      </c>
      <c r="AYS7" s="1305"/>
      <c r="AYT7" s="1335"/>
      <c r="AYU7" s="1305">
        <v>0</v>
      </c>
      <c r="AYV7" s="1305"/>
      <c r="AYW7" s="1335"/>
      <c r="AYX7" s="1305">
        <v>0</v>
      </c>
      <c r="AYY7" s="1305"/>
      <c r="AYZ7" s="1335"/>
      <c r="AZA7" s="1305">
        <v>0</v>
      </c>
      <c r="AZB7" s="1305"/>
      <c r="AZC7" s="1335"/>
      <c r="AZD7" s="1305">
        <v>0</v>
      </c>
      <c r="AZE7" s="1305"/>
      <c r="AZF7" s="1335"/>
      <c r="AZG7" s="1305">
        <v>0</v>
      </c>
      <c r="AZH7" s="1305"/>
      <c r="AZI7" s="1335"/>
      <c r="AZJ7" s="1305">
        <v>0</v>
      </c>
      <c r="AZK7" s="1305"/>
      <c r="AZL7" s="1335"/>
      <c r="AZM7" s="1305">
        <v>0</v>
      </c>
      <c r="AZN7" s="1305"/>
      <c r="AZO7" s="1335"/>
      <c r="AZP7" s="1305">
        <v>0</v>
      </c>
      <c r="AZQ7" s="1305"/>
      <c r="AZR7" s="1335"/>
      <c r="AZS7" s="1305">
        <v>0</v>
      </c>
      <c r="AZT7" s="1305"/>
      <c r="AZU7" s="1335"/>
      <c r="AZV7" s="1305">
        <v>0</v>
      </c>
      <c r="AZW7" s="1305"/>
      <c r="AZX7" s="1335"/>
      <c r="AZY7" s="1305">
        <v>0</v>
      </c>
      <c r="AZZ7" s="1305"/>
      <c r="BAA7" s="1335"/>
      <c r="BAB7" s="1305">
        <v>0</v>
      </c>
      <c r="BAC7" s="1305"/>
      <c r="BAD7" s="1335"/>
      <c r="BAE7" s="1305">
        <v>0</v>
      </c>
      <c r="BAF7" s="1305"/>
      <c r="BAG7" s="1335"/>
      <c r="BAH7" s="1305">
        <v>0</v>
      </c>
      <c r="BAI7" s="1305"/>
      <c r="BAJ7" s="1335"/>
    </row>
    <row r="8" spans="1:1388" ht="15" customHeight="1">
      <c r="B8" s="1419" t="s">
        <v>329</v>
      </c>
      <c r="C8" s="1420"/>
      <c r="D8" s="1421"/>
      <c r="E8" s="4" t="s">
        <v>327</v>
      </c>
      <c r="F8" s="1305" t="s">
        <v>20</v>
      </c>
      <c r="G8" s="1305"/>
      <c r="H8" s="1335"/>
      <c r="I8" s="1305">
        <v>17362</v>
      </c>
      <c r="J8" s="1305"/>
      <c r="K8" s="1335"/>
      <c r="L8" s="1305">
        <v>16672</v>
      </c>
      <c r="M8" s="1305"/>
      <c r="N8" s="1335"/>
      <c r="O8" s="1305">
        <v>21885</v>
      </c>
      <c r="P8" s="1305"/>
      <c r="Q8" s="1335"/>
      <c r="R8" s="1305">
        <v>25760</v>
      </c>
      <c r="S8" s="1305"/>
      <c r="T8" s="1335"/>
      <c r="U8" s="1305">
        <v>22892</v>
      </c>
      <c r="V8" s="1305"/>
      <c r="W8" s="1335"/>
      <c r="X8" s="1305">
        <v>22187</v>
      </c>
      <c r="Y8" s="1305"/>
      <c r="Z8" s="1335"/>
      <c r="AA8" s="1305">
        <v>20359</v>
      </c>
      <c r="AB8" s="1305"/>
      <c r="AC8" s="1335"/>
      <c r="AD8" s="1305">
        <v>22449</v>
      </c>
      <c r="AE8" s="1305"/>
      <c r="AF8" s="1335"/>
      <c r="AG8" s="1305">
        <v>21443</v>
      </c>
      <c r="AH8" s="1305"/>
      <c r="AI8" s="1335"/>
      <c r="AJ8" s="1305">
        <v>22371</v>
      </c>
      <c r="AK8" s="1305"/>
      <c r="AL8" s="1335"/>
      <c r="AM8" s="1305">
        <v>24115</v>
      </c>
      <c r="AN8" s="1305"/>
      <c r="AO8" s="1335"/>
      <c r="AP8" s="1305">
        <v>22709</v>
      </c>
      <c r="AQ8" s="1305"/>
      <c r="AR8" s="1335"/>
      <c r="AS8" s="1305">
        <v>19279</v>
      </c>
      <c r="AT8" s="1305"/>
      <c r="AU8" s="1335"/>
      <c r="AV8" s="1305">
        <v>17804</v>
      </c>
      <c r="AW8" s="1305"/>
      <c r="AX8" s="1335"/>
      <c r="AY8" s="1305">
        <v>19237</v>
      </c>
      <c r="AZ8" s="1305"/>
      <c r="BA8" s="1335"/>
      <c r="BB8" s="1305" t="s">
        <v>20</v>
      </c>
      <c r="BC8" s="1305"/>
      <c r="BD8" s="1335"/>
      <c r="BE8" s="1305">
        <v>21478</v>
      </c>
      <c r="BF8" s="1305"/>
      <c r="BG8" s="1335"/>
      <c r="BH8" s="1305">
        <v>22825</v>
      </c>
      <c r="BI8" s="1305"/>
      <c r="BJ8" s="1335"/>
      <c r="BK8" s="1305">
        <v>22862</v>
      </c>
      <c r="BL8" s="1305"/>
      <c r="BM8" s="1335"/>
      <c r="BN8" s="1305">
        <v>25288</v>
      </c>
      <c r="BO8" s="1305"/>
      <c r="BP8" s="1335"/>
      <c r="BQ8" s="1305">
        <v>22967</v>
      </c>
      <c r="BR8" s="1305"/>
      <c r="BS8" s="1335"/>
      <c r="BT8" s="1305">
        <v>20315</v>
      </c>
      <c r="BU8" s="1305"/>
      <c r="BV8" s="1335"/>
      <c r="BW8" s="1305">
        <v>20651</v>
      </c>
      <c r="BX8" s="1305"/>
      <c r="BY8" s="1335"/>
      <c r="BZ8" s="1305">
        <v>23345.5</v>
      </c>
      <c r="CA8" s="1305"/>
      <c r="CB8" s="1335"/>
      <c r="CC8" s="1305">
        <v>23514</v>
      </c>
      <c r="CD8" s="1305"/>
      <c r="CE8" s="1335"/>
      <c r="CF8" s="1305">
        <v>24308.5</v>
      </c>
      <c r="CG8" s="1305"/>
      <c r="CH8" s="1335"/>
      <c r="CI8" s="1305">
        <v>24898.7</v>
      </c>
      <c r="CJ8" s="1305"/>
      <c r="CK8" s="1335"/>
      <c r="CL8" s="1305">
        <v>16617</v>
      </c>
      <c r="CM8" s="1305"/>
      <c r="CN8" s="1335"/>
      <c r="CO8" s="1305" t="s">
        <v>20</v>
      </c>
      <c r="CP8" s="1305"/>
      <c r="CQ8" s="1335"/>
      <c r="CR8" s="1305">
        <v>18000.400000000001</v>
      </c>
      <c r="CS8" s="1305"/>
      <c r="CT8" s="1335"/>
      <c r="CU8" s="1305">
        <v>19211</v>
      </c>
      <c r="CV8" s="1305"/>
      <c r="CW8" s="1335"/>
      <c r="CX8" s="1305">
        <v>13223.1</v>
      </c>
      <c r="CY8" s="1305"/>
      <c r="CZ8" s="1335"/>
      <c r="DA8" s="1305">
        <v>22295.5</v>
      </c>
      <c r="DB8" s="1305"/>
      <c r="DC8" s="1335"/>
      <c r="DD8" s="1305">
        <v>12893</v>
      </c>
      <c r="DE8" s="1305"/>
      <c r="DF8" s="1335"/>
      <c r="DG8" s="1305">
        <v>19544</v>
      </c>
      <c r="DH8" s="1305"/>
      <c r="DI8" s="1335"/>
      <c r="DJ8" s="1305">
        <v>19439</v>
      </c>
      <c r="DK8" s="1305"/>
      <c r="DL8" s="1335"/>
      <c r="DM8" s="1305" t="s">
        <v>20</v>
      </c>
      <c r="DN8" s="1305"/>
      <c r="DO8" s="1335"/>
      <c r="DP8" s="1305">
        <v>24563</v>
      </c>
      <c r="DQ8" s="1305"/>
      <c r="DR8" s="1335"/>
      <c r="DS8" s="1305">
        <v>17013.2</v>
      </c>
      <c r="DT8" s="1305"/>
      <c r="DU8" s="1335"/>
      <c r="DV8" s="1305">
        <v>21968</v>
      </c>
      <c r="DW8" s="1305"/>
      <c r="DX8" s="1335"/>
      <c r="DY8" s="1305">
        <v>22390</v>
      </c>
      <c r="DZ8" s="1305"/>
      <c r="EA8" s="1335"/>
      <c r="EB8" s="1305">
        <v>22213</v>
      </c>
      <c r="EC8" s="1305"/>
      <c r="ED8" s="1335"/>
      <c r="EE8" s="1305">
        <v>19611</v>
      </c>
      <c r="EF8" s="1305"/>
      <c r="EG8" s="1335"/>
      <c r="EH8" s="1305" t="s">
        <v>20</v>
      </c>
      <c r="EI8" s="1305"/>
      <c r="EJ8" s="1335"/>
      <c r="EK8" s="1305">
        <v>19789</v>
      </c>
      <c r="EL8" s="1305"/>
      <c r="EM8" s="1335"/>
      <c r="EN8" s="1305">
        <v>21529</v>
      </c>
      <c r="EO8" s="1305"/>
      <c r="EP8" s="1335"/>
      <c r="EQ8" s="1305">
        <v>23192</v>
      </c>
      <c r="ER8" s="1305"/>
      <c r="ES8" s="1335"/>
      <c r="ET8" s="1305">
        <v>23571.8</v>
      </c>
      <c r="EU8" s="1305"/>
      <c r="EV8" s="1335"/>
      <c r="EW8" s="1305">
        <v>23744</v>
      </c>
      <c r="EX8" s="1305"/>
      <c r="EY8" s="1335"/>
      <c r="EZ8" s="1305">
        <v>18376</v>
      </c>
      <c r="FA8" s="1305"/>
      <c r="FB8" s="1335"/>
      <c r="FC8" s="1305">
        <v>22290</v>
      </c>
      <c r="FD8" s="1305"/>
      <c r="FE8" s="1335"/>
      <c r="FF8" s="1305">
        <v>19539</v>
      </c>
      <c r="FG8" s="1305"/>
      <c r="FH8" s="1335"/>
      <c r="FI8" s="1305">
        <v>21211.1</v>
      </c>
      <c r="FJ8" s="1305"/>
      <c r="FK8" s="1335"/>
      <c r="FL8" s="1305">
        <v>20094</v>
      </c>
      <c r="FM8" s="1305"/>
      <c r="FN8" s="1335"/>
      <c r="FO8" s="1305">
        <v>21707</v>
      </c>
      <c r="FP8" s="1305"/>
      <c r="FQ8" s="1335"/>
      <c r="FR8" s="1305">
        <v>22948</v>
      </c>
      <c r="FS8" s="1305"/>
      <c r="FT8" s="1335"/>
      <c r="FU8" s="1305">
        <v>21586.400000000001</v>
      </c>
      <c r="FV8" s="1305"/>
      <c r="FW8" s="1335"/>
      <c r="FX8" s="1305">
        <v>19066.310000000001</v>
      </c>
      <c r="FY8" s="1305"/>
      <c r="FZ8" s="1335"/>
      <c r="GA8" s="1305">
        <v>23281</v>
      </c>
      <c r="GB8" s="1305"/>
      <c r="GC8" s="1335"/>
      <c r="GD8" s="1305">
        <v>21956</v>
      </c>
      <c r="GE8" s="1305"/>
      <c r="GF8" s="1335"/>
      <c r="GG8" s="1305">
        <v>25650.7</v>
      </c>
      <c r="GH8" s="1305"/>
      <c r="GI8" s="1335"/>
      <c r="GJ8" s="1305">
        <v>22171</v>
      </c>
      <c r="GK8" s="1305"/>
      <c r="GL8" s="1335"/>
      <c r="GM8" s="1305">
        <v>22354.1</v>
      </c>
      <c r="GN8" s="1305"/>
      <c r="GO8" s="1335"/>
      <c r="GP8" s="1285" t="s">
        <v>20</v>
      </c>
      <c r="GQ8" s="1285"/>
      <c r="GR8" s="1287"/>
      <c r="GS8" s="1305">
        <v>20426</v>
      </c>
      <c r="GT8" s="1305"/>
      <c r="GU8" s="1335"/>
      <c r="GV8" s="1305">
        <v>20936</v>
      </c>
      <c r="GW8" s="1305"/>
      <c r="GX8" s="1335"/>
      <c r="GY8" s="1305">
        <v>22170.6</v>
      </c>
      <c r="GZ8" s="1305"/>
      <c r="HA8" s="1335"/>
      <c r="HB8" s="1305">
        <v>21829</v>
      </c>
      <c r="HC8" s="1305"/>
      <c r="HD8" s="1335"/>
      <c r="HE8" s="1305">
        <v>22582.1</v>
      </c>
      <c r="HF8" s="1305"/>
      <c r="HG8" s="1335"/>
      <c r="HH8" s="1305">
        <v>23152</v>
      </c>
      <c r="HI8" s="1305"/>
      <c r="HJ8" s="1335"/>
      <c r="HK8" s="1305">
        <v>20702</v>
      </c>
      <c r="HL8" s="1305"/>
      <c r="HM8" s="1335"/>
      <c r="HN8" s="1305">
        <v>17719</v>
      </c>
      <c r="HO8" s="1305"/>
      <c r="HP8" s="1335"/>
      <c r="HQ8" s="1305">
        <v>23520.6</v>
      </c>
      <c r="HR8" s="1305"/>
      <c r="HS8" s="1335"/>
      <c r="HT8" s="1305">
        <v>18804</v>
      </c>
      <c r="HU8" s="1305"/>
      <c r="HV8" s="1335"/>
      <c r="HW8" s="1305">
        <v>24388</v>
      </c>
      <c r="HX8" s="1305"/>
      <c r="HY8" s="1335"/>
      <c r="HZ8" s="1305">
        <v>23966</v>
      </c>
      <c r="IA8" s="1305"/>
      <c r="IB8" s="1335"/>
      <c r="IC8" s="1305" t="s">
        <v>20</v>
      </c>
      <c r="ID8" s="1305"/>
      <c r="IE8" s="1335"/>
      <c r="IF8" s="1305" t="s">
        <v>20</v>
      </c>
      <c r="IG8" s="1305"/>
      <c r="IH8" s="1335"/>
      <c r="II8" s="1305" t="s">
        <v>20</v>
      </c>
      <c r="IJ8" s="1305"/>
      <c r="IK8" s="1335"/>
      <c r="IL8" s="1305">
        <v>23833</v>
      </c>
      <c r="IM8" s="1305"/>
      <c r="IN8" s="1335"/>
      <c r="IO8" s="1305">
        <v>21942</v>
      </c>
      <c r="IP8" s="1305"/>
      <c r="IQ8" s="1335"/>
      <c r="IR8" s="1305">
        <v>22701</v>
      </c>
      <c r="IS8" s="1305"/>
      <c r="IT8" s="1335"/>
      <c r="IU8" s="1305">
        <v>24479</v>
      </c>
      <c r="IV8" s="1305"/>
      <c r="IW8" s="1335"/>
      <c r="IX8" s="1305">
        <v>25374.7</v>
      </c>
      <c r="IY8" s="1305"/>
      <c r="IZ8" s="1335"/>
      <c r="JA8" s="1305">
        <v>20798.8</v>
      </c>
      <c r="JB8" s="1305"/>
      <c r="JC8" s="1335"/>
      <c r="JD8" s="1305">
        <v>3575.9</v>
      </c>
      <c r="JE8" s="1305"/>
      <c r="JF8" s="1335"/>
      <c r="JG8" s="1305">
        <v>24485</v>
      </c>
      <c r="JH8" s="1305"/>
      <c r="JI8" s="1335"/>
      <c r="JJ8" s="1305">
        <v>21261</v>
      </c>
      <c r="JK8" s="1305"/>
      <c r="JL8" s="1335"/>
      <c r="JM8" s="1305">
        <v>22591.5</v>
      </c>
      <c r="JN8" s="1305"/>
      <c r="JO8" s="1335"/>
      <c r="JP8" s="1305" t="s">
        <v>20</v>
      </c>
      <c r="JQ8" s="1305"/>
      <c r="JR8" s="1335"/>
      <c r="JS8" s="1305">
        <v>23158</v>
      </c>
      <c r="JT8" s="1305"/>
      <c r="JU8" s="1335"/>
      <c r="JV8" s="1305">
        <v>19822</v>
      </c>
      <c r="JW8" s="1305"/>
      <c r="JX8" s="1335"/>
      <c r="JY8" s="1305" t="s">
        <v>20</v>
      </c>
      <c r="JZ8" s="1305"/>
      <c r="KA8" s="1335"/>
      <c r="KB8" s="1305">
        <v>23203</v>
      </c>
      <c r="KC8" s="1305"/>
      <c r="KD8" s="1335"/>
      <c r="KE8" s="1305">
        <v>23673.7</v>
      </c>
      <c r="KF8" s="1305"/>
      <c r="KG8" s="1335"/>
      <c r="KH8" s="1305">
        <v>23079.599999999999</v>
      </c>
      <c r="KI8" s="1305"/>
      <c r="KJ8" s="1335"/>
      <c r="KK8" s="1305">
        <v>23902.9</v>
      </c>
      <c r="KL8" s="1305"/>
      <c r="KM8" s="1335"/>
      <c r="KN8" s="1305">
        <v>25114</v>
      </c>
      <c r="KO8" s="1305"/>
      <c r="KP8" s="1335"/>
      <c r="KQ8" s="1305">
        <v>19598</v>
      </c>
      <c r="KR8" s="1305"/>
      <c r="KS8" s="1335"/>
      <c r="KT8" s="1305">
        <v>20041.599999999999</v>
      </c>
      <c r="KU8" s="1305"/>
      <c r="KV8" s="1335"/>
      <c r="KW8" s="1305">
        <v>21193.1</v>
      </c>
      <c r="KX8" s="1305"/>
      <c r="KY8" s="1335"/>
      <c r="KZ8" s="1305">
        <v>23607</v>
      </c>
      <c r="LA8" s="1305"/>
      <c r="LB8" s="1335"/>
      <c r="LC8" s="1305">
        <v>22655</v>
      </c>
      <c r="LD8" s="1305"/>
      <c r="LE8" s="1335"/>
      <c r="LF8" s="1305">
        <v>24590.7</v>
      </c>
      <c r="LG8" s="1305"/>
      <c r="LH8" s="1335"/>
      <c r="LI8" s="1305">
        <v>24200.400000000001</v>
      </c>
      <c r="LJ8" s="1305"/>
      <c r="LK8" s="1335"/>
      <c r="LL8" s="1305" t="s">
        <v>20</v>
      </c>
      <c r="LM8" s="1305"/>
      <c r="LN8" s="1335"/>
      <c r="LO8" s="1305" t="s">
        <v>20</v>
      </c>
      <c r="LP8" s="1305"/>
      <c r="LQ8" s="1335"/>
      <c r="LR8" s="1305">
        <v>23447.8</v>
      </c>
      <c r="LS8" s="1305"/>
      <c r="LT8" s="1335"/>
      <c r="LU8" s="1305">
        <v>23258</v>
      </c>
      <c r="LV8" s="1305"/>
      <c r="LW8" s="1335"/>
      <c r="LX8" s="1305">
        <v>21895.1</v>
      </c>
      <c r="LY8" s="1305"/>
      <c r="LZ8" s="1335"/>
      <c r="MA8" s="1305">
        <v>24607</v>
      </c>
      <c r="MB8" s="1305"/>
      <c r="MC8" s="1335"/>
      <c r="MD8" s="1305">
        <v>24465</v>
      </c>
      <c r="ME8" s="1305"/>
      <c r="MF8" s="1335"/>
      <c r="MG8" s="1305">
        <v>22721.599999999999</v>
      </c>
      <c r="MH8" s="1305"/>
      <c r="MI8" s="1335"/>
      <c r="MJ8" s="1305" t="s">
        <v>20</v>
      </c>
      <c r="MK8" s="1305"/>
      <c r="ML8" s="1335"/>
      <c r="MM8" s="1305">
        <v>22730</v>
      </c>
      <c r="MN8" s="1305"/>
      <c r="MO8" s="1335"/>
      <c r="MP8" s="1305">
        <v>23484</v>
      </c>
      <c r="MQ8" s="1305"/>
      <c r="MR8" s="1335"/>
      <c r="MS8" s="1305">
        <v>20771.099999999999</v>
      </c>
      <c r="MT8" s="1305"/>
      <c r="MU8" s="1335"/>
      <c r="MV8" s="1305">
        <v>23213.599999999999</v>
      </c>
      <c r="MW8" s="1305"/>
      <c r="MX8" s="1335"/>
      <c r="MY8" s="1305">
        <v>25310.400000000001</v>
      </c>
      <c r="MZ8" s="1305"/>
      <c r="NA8" s="1335"/>
      <c r="NB8" s="1305" t="s">
        <v>20</v>
      </c>
      <c r="NC8" s="1305"/>
      <c r="ND8" s="1335"/>
      <c r="NE8" s="1305" t="s">
        <v>20</v>
      </c>
      <c r="NF8" s="1305"/>
      <c r="NG8" s="1335"/>
      <c r="NH8" s="1305">
        <v>23690.2</v>
      </c>
      <c r="NI8" s="1305"/>
      <c r="NJ8" s="1335"/>
      <c r="NK8" s="1305">
        <v>24104.400000000001</v>
      </c>
      <c r="NL8" s="1305"/>
      <c r="NM8" s="1335"/>
      <c r="NN8" s="1305">
        <v>22000.3</v>
      </c>
      <c r="NO8" s="1305"/>
      <c r="NP8" s="1335"/>
      <c r="NQ8" s="1305">
        <v>24674</v>
      </c>
      <c r="NR8" s="1305"/>
      <c r="NS8" s="1335"/>
      <c r="NT8" s="1305">
        <v>23966.9</v>
      </c>
      <c r="NU8" s="1305"/>
      <c r="NV8" s="1335"/>
      <c r="NW8" s="1305" t="s">
        <v>20</v>
      </c>
      <c r="NX8" s="1305"/>
      <c r="NY8" s="1335"/>
      <c r="NZ8" s="1305" t="s">
        <v>20</v>
      </c>
      <c r="OA8" s="1305"/>
      <c r="OB8" s="1335"/>
      <c r="OC8" s="1305" t="s">
        <v>20</v>
      </c>
      <c r="OD8" s="1305"/>
      <c r="OE8" s="1335"/>
      <c r="OF8" s="1305">
        <v>24691.7</v>
      </c>
      <c r="OG8" s="1305"/>
      <c r="OH8" s="1335"/>
      <c r="OI8" s="1305">
        <v>20814.400000000001</v>
      </c>
      <c r="OJ8" s="1305"/>
      <c r="OK8" s="1335"/>
      <c r="OL8" s="1305">
        <v>22975.4</v>
      </c>
      <c r="OM8" s="1305"/>
      <c r="ON8" s="1335"/>
      <c r="OO8" s="1305">
        <v>16715.5</v>
      </c>
      <c r="OP8" s="1305"/>
      <c r="OQ8" s="1335"/>
      <c r="OR8" s="1305">
        <v>0</v>
      </c>
      <c r="OS8" s="1305"/>
      <c r="OT8" s="1335"/>
      <c r="OU8" s="1305">
        <v>0</v>
      </c>
      <c r="OV8" s="1305"/>
      <c r="OW8" s="1335"/>
      <c r="OX8" s="1305">
        <v>0</v>
      </c>
      <c r="OY8" s="1305"/>
      <c r="OZ8" s="1335"/>
      <c r="PA8" s="1305">
        <v>22348.1</v>
      </c>
      <c r="PB8" s="1305"/>
      <c r="PC8" s="1335"/>
      <c r="PD8" s="1305">
        <v>21065.8</v>
      </c>
      <c r="PE8" s="1305"/>
      <c r="PF8" s="1335"/>
      <c r="PG8" s="1305">
        <v>23796.2</v>
      </c>
      <c r="PH8" s="1305"/>
      <c r="PI8" s="1335"/>
      <c r="PJ8" s="1305">
        <v>0</v>
      </c>
      <c r="PK8" s="1305"/>
      <c r="PL8" s="1335"/>
      <c r="PM8" s="1305">
        <v>0</v>
      </c>
      <c r="PN8" s="1305"/>
      <c r="PO8" s="1335"/>
      <c r="PP8" s="1305">
        <v>0</v>
      </c>
      <c r="PQ8" s="1305"/>
      <c r="PR8" s="1335"/>
      <c r="PS8" s="1305">
        <v>22791.1</v>
      </c>
      <c r="PT8" s="1305"/>
      <c r="PU8" s="1335"/>
      <c r="PV8" s="1305">
        <v>0</v>
      </c>
      <c r="PW8" s="1305"/>
      <c r="PX8" s="1335"/>
      <c r="PY8" s="1305">
        <v>23110.7</v>
      </c>
      <c r="PZ8" s="1305"/>
      <c r="QA8" s="1335"/>
      <c r="QB8" s="1305">
        <v>21835</v>
      </c>
      <c r="QC8" s="1305"/>
      <c r="QD8" s="1335"/>
      <c r="QE8" s="1305">
        <v>19758.5</v>
      </c>
      <c r="QF8" s="1305"/>
      <c r="QG8" s="1335"/>
      <c r="QH8" s="1305">
        <v>20565.599999999999</v>
      </c>
      <c r="QI8" s="1305"/>
      <c r="QJ8" s="1335"/>
      <c r="QK8" s="1305">
        <v>0</v>
      </c>
      <c r="QL8" s="1305"/>
      <c r="QM8" s="1335"/>
      <c r="QN8" s="1305">
        <v>23178.6</v>
      </c>
      <c r="QO8" s="1305"/>
      <c r="QP8" s="1335"/>
      <c r="QQ8" s="1305">
        <v>20096.3</v>
      </c>
      <c r="QR8" s="1305"/>
      <c r="QS8" s="1335"/>
      <c r="QT8" s="1305">
        <v>21850.400000000001</v>
      </c>
      <c r="QU8" s="1305"/>
      <c r="QV8" s="1335"/>
      <c r="QW8" s="1305">
        <v>18266.099999999999</v>
      </c>
      <c r="QX8" s="1305"/>
      <c r="QY8" s="1335"/>
      <c r="QZ8" s="1305">
        <v>24635</v>
      </c>
      <c r="RA8" s="1305"/>
      <c r="RB8" s="1335"/>
      <c r="RC8" s="1305">
        <v>0</v>
      </c>
      <c r="RD8" s="1305"/>
      <c r="RE8" s="1335"/>
      <c r="RF8" s="1305">
        <v>0</v>
      </c>
      <c r="RG8" s="1305"/>
      <c r="RH8" s="1335"/>
      <c r="RI8" s="1305">
        <v>19493</v>
      </c>
      <c r="RJ8" s="1305"/>
      <c r="RK8" s="1335"/>
      <c r="RL8" s="1305">
        <v>24223.7</v>
      </c>
      <c r="RM8" s="1305"/>
      <c r="RN8" s="1335"/>
      <c r="RO8" s="1305">
        <v>24229.1</v>
      </c>
      <c r="RP8" s="1305"/>
      <c r="RQ8" s="1335"/>
      <c r="RR8" s="1305">
        <v>24439.5</v>
      </c>
      <c r="RS8" s="1305"/>
      <c r="RT8" s="1335"/>
      <c r="RU8" s="1305">
        <v>18907</v>
      </c>
      <c r="RV8" s="1305"/>
      <c r="RW8" s="1335"/>
      <c r="RX8" s="1305">
        <v>0</v>
      </c>
      <c r="RY8" s="1305"/>
      <c r="RZ8" s="1335"/>
      <c r="SA8" s="1305">
        <v>0</v>
      </c>
      <c r="SB8" s="1305"/>
      <c r="SC8" s="1335"/>
      <c r="SD8" s="1305">
        <v>0</v>
      </c>
      <c r="SE8" s="1305"/>
      <c r="SF8" s="1335"/>
      <c r="SG8" s="1305">
        <v>19400.400000000001</v>
      </c>
      <c r="SH8" s="1305"/>
      <c r="SI8" s="1335"/>
      <c r="SJ8" s="1305">
        <v>19152.8</v>
      </c>
      <c r="SK8" s="1305"/>
      <c r="SL8" s="1335"/>
      <c r="SM8" s="1305">
        <v>22496</v>
      </c>
      <c r="SN8" s="1305"/>
      <c r="SO8" s="1335"/>
      <c r="SP8" s="1305">
        <v>22779</v>
      </c>
      <c r="SQ8" s="1305"/>
      <c r="SR8" s="1335"/>
      <c r="SS8" s="1305">
        <v>20485.8</v>
      </c>
      <c r="ST8" s="1305"/>
      <c r="SU8" s="1335"/>
      <c r="SV8" s="1305">
        <v>19684.400000000001</v>
      </c>
      <c r="SW8" s="1305"/>
      <c r="SX8" s="1335"/>
      <c r="SY8" s="1305">
        <v>18215.099999999999</v>
      </c>
      <c r="SZ8" s="1305"/>
      <c r="TA8" s="1335"/>
      <c r="TB8" s="1305">
        <v>22137.8</v>
      </c>
      <c r="TC8" s="1305"/>
      <c r="TD8" s="1335"/>
      <c r="TE8" s="1305">
        <v>21188.9</v>
      </c>
      <c r="TF8" s="1305"/>
      <c r="TG8" s="1335"/>
      <c r="TH8" s="1305">
        <v>21323</v>
      </c>
      <c r="TI8" s="1305"/>
      <c r="TJ8" s="1335"/>
      <c r="TK8" s="1305">
        <v>22148.7</v>
      </c>
      <c r="TL8" s="1305"/>
      <c r="TM8" s="1335"/>
      <c r="TN8" s="1305">
        <v>16777.2</v>
      </c>
      <c r="TO8" s="1305"/>
      <c r="TP8" s="1335"/>
      <c r="TQ8" s="1305">
        <v>19500.599999999999</v>
      </c>
      <c r="TR8" s="1305"/>
      <c r="TS8" s="1335"/>
      <c r="TT8" s="1305">
        <v>22294.9</v>
      </c>
      <c r="TU8" s="1305"/>
      <c r="TV8" s="1335"/>
      <c r="TW8" s="1305">
        <v>21012.3</v>
      </c>
      <c r="TX8" s="1305"/>
      <c r="TY8" s="1335"/>
      <c r="TZ8" s="1305">
        <v>22052.9</v>
      </c>
      <c r="UA8" s="1305"/>
      <c r="UB8" s="1335"/>
      <c r="UC8" s="1305">
        <v>20653</v>
      </c>
      <c r="UD8" s="1305"/>
      <c r="UE8" s="1335"/>
      <c r="UF8" s="1305">
        <v>22310.799999999999</v>
      </c>
      <c r="UG8" s="1305"/>
      <c r="UH8" s="1335"/>
      <c r="UI8" s="1305">
        <v>0</v>
      </c>
      <c r="UJ8" s="1305"/>
      <c r="UK8" s="1335"/>
      <c r="UL8" s="1305">
        <v>0</v>
      </c>
      <c r="UM8" s="1305"/>
      <c r="UN8" s="1335"/>
      <c r="UO8" s="1305">
        <v>21832.3</v>
      </c>
      <c r="UP8" s="1305"/>
      <c r="UQ8" s="1335"/>
      <c r="UR8" s="1305">
        <v>22139.1</v>
      </c>
      <c r="US8" s="1305"/>
      <c r="UT8" s="1335"/>
      <c r="UU8" s="1305">
        <v>23375.7</v>
      </c>
      <c r="UV8" s="1305"/>
      <c r="UW8" s="1335"/>
      <c r="UX8" s="1305">
        <v>22092.400000000001</v>
      </c>
      <c r="UY8" s="1305"/>
      <c r="UZ8" s="1335"/>
      <c r="VA8" s="1305">
        <v>24422.7</v>
      </c>
      <c r="VB8" s="1305"/>
      <c r="VC8" s="1335"/>
      <c r="VD8" s="1305">
        <v>0</v>
      </c>
      <c r="VE8" s="1305"/>
      <c r="VF8" s="1335"/>
      <c r="VG8" s="1305">
        <v>0</v>
      </c>
      <c r="VH8" s="1305"/>
      <c r="VI8" s="1335"/>
      <c r="VJ8" s="1305">
        <v>22723.4</v>
      </c>
      <c r="VK8" s="1305"/>
      <c r="VL8" s="1335"/>
      <c r="VM8" s="1305">
        <v>22140.799999999999</v>
      </c>
      <c r="VN8" s="1305"/>
      <c r="VO8" s="1335"/>
      <c r="VP8" s="1305">
        <v>20289.900000000001</v>
      </c>
      <c r="VQ8" s="1305"/>
      <c r="VR8" s="1335"/>
      <c r="VS8" s="1305">
        <v>23663.9</v>
      </c>
      <c r="VT8" s="1305"/>
      <c r="VU8" s="1335"/>
      <c r="VV8" s="1305">
        <v>22783.4</v>
      </c>
      <c r="VW8" s="1305"/>
      <c r="VX8" s="1335"/>
      <c r="VY8" s="1305">
        <v>0</v>
      </c>
      <c r="VZ8" s="1305"/>
      <c r="WA8" s="1335"/>
      <c r="WB8" s="1305">
        <v>0</v>
      </c>
      <c r="WC8" s="1305"/>
      <c r="WD8" s="1335"/>
      <c r="WE8" s="1305">
        <v>24344</v>
      </c>
      <c r="WF8" s="1305"/>
      <c r="WG8" s="1335"/>
      <c r="WH8" s="1305">
        <v>22967.9</v>
      </c>
      <c r="WI8" s="1305"/>
      <c r="WJ8" s="1335"/>
      <c r="WK8" s="1305">
        <v>23586.400000000001</v>
      </c>
      <c r="WL8" s="1305"/>
      <c r="WM8" s="1335"/>
      <c r="WN8" s="1305">
        <v>22646.799999999999</v>
      </c>
      <c r="WO8" s="1305"/>
      <c r="WP8" s="1335"/>
      <c r="WQ8" s="1305">
        <v>22802</v>
      </c>
      <c r="WR8" s="1305"/>
      <c r="WS8" s="1335"/>
      <c r="WT8" s="1305">
        <v>0</v>
      </c>
      <c r="WU8" s="1305"/>
      <c r="WV8" s="1335"/>
      <c r="WW8" s="1305">
        <v>0</v>
      </c>
      <c r="WX8" s="1305"/>
      <c r="WY8" s="1335"/>
      <c r="WZ8" s="1305">
        <v>23185.4</v>
      </c>
      <c r="XA8" s="1305"/>
      <c r="XB8" s="1335"/>
      <c r="XC8" s="1305">
        <v>24136.2</v>
      </c>
      <c r="XD8" s="1305"/>
      <c r="XE8" s="1335"/>
      <c r="XF8" s="1305">
        <v>23396.9</v>
      </c>
      <c r="XG8" s="1305"/>
      <c r="XH8" s="1335"/>
      <c r="XI8" s="1305">
        <v>22136</v>
      </c>
      <c r="XJ8" s="1305"/>
      <c r="XK8" s="1335"/>
      <c r="XL8" s="1305">
        <v>22122.6</v>
      </c>
      <c r="XM8" s="1305"/>
      <c r="XN8" s="1335"/>
      <c r="XO8" s="1305">
        <v>0</v>
      </c>
      <c r="XP8" s="1305"/>
      <c r="XQ8" s="1335"/>
      <c r="XR8" s="1305">
        <v>0</v>
      </c>
      <c r="XS8" s="1305"/>
      <c r="XT8" s="1335"/>
      <c r="XU8" s="1305">
        <v>23825.200000000001</v>
      </c>
      <c r="XV8" s="1305"/>
      <c r="XW8" s="1335"/>
      <c r="XX8" s="1305">
        <v>21739.599999999999</v>
      </c>
      <c r="XY8" s="1305"/>
      <c r="XZ8" s="1335"/>
      <c r="YA8" s="1305">
        <v>23625.8</v>
      </c>
      <c r="YB8" s="1305"/>
      <c r="YC8" s="1335"/>
      <c r="YD8" s="1305">
        <v>19626.900000000001</v>
      </c>
      <c r="YE8" s="1305"/>
      <c r="YF8" s="1335"/>
      <c r="YG8" s="1305">
        <v>24194.400000000001</v>
      </c>
      <c r="YH8" s="1305"/>
      <c r="YI8" s="1335"/>
      <c r="YJ8" s="1305">
        <v>0</v>
      </c>
      <c r="YK8" s="1305"/>
      <c r="YL8" s="1335"/>
      <c r="YM8" s="1305">
        <v>0</v>
      </c>
      <c r="YN8" s="1305"/>
      <c r="YO8" s="1335"/>
      <c r="YP8" s="1305">
        <v>22289</v>
      </c>
      <c r="YQ8" s="1305"/>
      <c r="YR8" s="1335"/>
      <c r="YS8" s="1305">
        <v>21257.8</v>
      </c>
      <c r="YT8" s="1305"/>
      <c r="YU8" s="1335"/>
      <c r="YV8" s="1305">
        <v>21081.1</v>
      </c>
      <c r="YW8" s="1305"/>
      <c r="YX8" s="1335"/>
      <c r="YY8" s="1305">
        <v>22562.1</v>
      </c>
      <c r="YZ8" s="1305"/>
      <c r="ZA8" s="1335"/>
      <c r="ZB8" s="1305">
        <v>23619.5</v>
      </c>
      <c r="ZC8" s="1305"/>
      <c r="ZD8" s="1335"/>
      <c r="ZE8" s="1305">
        <v>0</v>
      </c>
      <c r="ZF8" s="1305"/>
      <c r="ZG8" s="1335"/>
      <c r="ZH8" s="1305">
        <v>0</v>
      </c>
      <c r="ZI8" s="1305"/>
      <c r="ZJ8" s="1335"/>
      <c r="ZK8" s="1305">
        <v>20210.599999999999</v>
      </c>
      <c r="ZL8" s="1305"/>
      <c r="ZM8" s="1335"/>
      <c r="ZN8" s="1305">
        <v>20950.7</v>
      </c>
      <c r="ZO8" s="1305"/>
      <c r="ZP8" s="1335"/>
      <c r="ZQ8" s="1305">
        <v>18217.599999999999</v>
      </c>
      <c r="ZR8" s="1305"/>
      <c r="ZS8" s="1335"/>
      <c r="ZT8" s="1305">
        <v>19413.400000000001</v>
      </c>
      <c r="ZU8" s="1305"/>
      <c r="ZV8" s="1335"/>
      <c r="ZW8" s="1305">
        <v>23048.2</v>
      </c>
      <c r="ZX8" s="1305"/>
      <c r="ZY8" s="1335"/>
      <c r="ZZ8" s="1305">
        <v>16990.2</v>
      </c>
      <c r="AAA8" s="1305"/>
      <c r="AAB8" s="1335"/>
      <c r="AAC8" s="1305">
        <v>0</v>
      </c>
      <c r="AAD8" s="1305"/>
      <c r="AAE8" s="1335"/>
      <c r="AAF8" s="1305">
        <v>18198</v>
      </c>
      <c r="AAG8" s="1305"/>
      <c r="AAH8" s="1335"/>
      <c r="AAI8" s="1305">
        <v>21872.6</v>
      </c>
      <c r="AAJ8" s="1305"/>
      <c r="AAK8" s="1335"/>
      <c r="AAL8" s="1305">
        <v>16630.099999999999</v>
      </c>
      <c r="AAM8" s="1305"/>
      <c r="AAN8" s="1335"/>
      <c r="AAO8" s="1305">
        <v>21739.5</v>
      </c>
      <c r="AAP8" s="1305"/>
      <c r="AAQ8" s="1335"/>
      <c r="AAR8" s="1305">
        <v>19503</v>
      </c>
      <c r="AAS8" s="1305"/>
      <c r="AAT8" s="1335"/>
      <c r="AAU8" s="1305">
        <v>20548</v>
      </c>
      <c r="AAV8" s="1305"/>
      <c r="AAW8" s="1335"/>
      <c r="AAX8" s="1305">
        <v>0</v>
      </c>
      <c r="AAY8" s="1305"/>
      <c r="AAZ8" s="1335"/>
      <c r="ABA8" s="1305">
        <v>17059.099999999999</v>
      </c>
      <c r="ABB8" s="1305"/>
      <c r="ABC8" s="1335"/>
      <c r="ABD8" s="1305">
        <v>18066.599999999999</v>
      </c>
      <c r="ABE8" s="1305"/>
      <c r="ABF8" s="1335"/>
      <c r="ABG8" s="1305">
        <v>20914.7</v>
      </c>
      <c r="ABH8" s="1305"/>
      <c r="ABI8" s="1335"/>
      <c r="ABJ8" s="1305">
        <v>20244.5</v>
      </c>
      <c r="ABK8" s="1305"/>
      <c r="ABL8" s="1335"/>
      <c r="ABM8" s="1305">
        <v>23855.200000000001</v>
      </c>
      <c r="ABN8" s="1305"/>
      <c r="ABO8" s="1335"/>
      <c r="ABP8" s="1305">
        <v>20310.400000000001</v>
      </c>
      <c r="ABQ8" s="1305"/>
      <c r="ABR8" s="1335"/>
      <c r="ABS8" s="1305">
        <v>0</v>
      </c>
      <c r="ABT8" s="1305"/>
      <c r="ABU8" s="1335"/>
      <c r="ABV8" s="1305">
        <v>21855.599999999999</v>
      </c>
      <c r="ABW8" s="1305"/>
      <c r="ABX8" s="1335"/>
      <c r="ABY8" s="1305">
        <v>21701.599999999999</v>
      </c>
      <c r="ABZ8" s="1305"/>
      <c r="ACA8" s="1335"/>
      <c r="ACB8" s="1305">
        <v>22851.4</v>
      </c>
      <c r="ACC8" s="1305"/>
      <c r="ACD8" s="1335"/>
      <c r="ACE8" s="1305">
        <v>16321.8</v>
      </c>
      <c r="ACF8" s="1305"/>
      <c r="ACG8" s="1335"/>
      <c r="ACH8" s="1305">
        <v>17117.900000000001</v>
      </c>
      <c r="ACI8" s="1305"/>
      <c r="ACJ8" s="1335"/>
      <c r="ACK8" s="1305">
        <v>0</v>
      </c>
      <c r="ACL8" s="1305"/>
      <c r="ACM8" s="1335"/>
      <c r="ACN8" s="1305">
        <v>0</v>
      </c>
      <c r="ACO8" s="1305"/>
      <c r="ACP8" s="1335"/>
      <c r="ACQ8" s="1305">
        <v>21838.1</v>
      </c>
      <c r="ACR8" s="1305"/>
      <c r="ACS8" s="1335"/>
      <c r="ACT8" s="1305">
        <v>21919.599999999999</v>
      </c>
      <c r="ACU8" s="1305"/>
      <c r="ACV8" s="1335"/>
      <c r="ACW8" s="1305">
        <v>20170.5</v>
      </c>
      <c r="ACX8" s="1305"/>
      <c r="ACY8" s="1335"/>
      <c r="ACZ8" s="1305">
        <v>20006.599999999999</v>
      </c>
      <c r="ADA8" s="1305"/>
      <c r="ADB8" s="1335"/>
      <c r="ADC8" s="1305">
        <v>22461</v>
      </c>
      <c r="ADD8" s="1305"/>
      <c r="ADE8" s="1335"/>
      <c r="ADF8" s="1305">
        <v>0</v>
      </c>
      <c r="ADG8" s="1305"/>
      <c r="ADH8" s="1335"/>
      <c r="ADI8" s="1305">
        <v>19659.2</v>
      </c>
      <c r="ADJ8" s="1305"/>
      <c r="ADK8" s="1335"/>
      <c r="ADL8" s="1305">
        <v>20033.7</v>
      </c>
      <c r="ADM8" s="1305"/>
      <c r="ADN8" s="1335"/>
      <c r="ADO8" s="1305">
        <v>21292.5</v>
      </c>
      <c r="ADP8" s="1305"/>
      <c r="ADQ8" s="1335"/>
      <c r="ADR8" s="1305">
        <v>20758.599999999999</v>
      </c>
      <c r="ADS8" s="1305"/>
      <c r="ADT8" s="1335"/>
      <c r="ADU8" s="1305">
        <v>21741.599999999999</v>
      </c>
      <c r="ADV8" s="1305"/>
      <c r="ADW8" s="1335"/>
      <c r="ADX8" s="1305">
        <v>20661.2</v>
      </c>
      <c r="ADY8" s="1305"/>
      <c r="ADZ8" s="1335"/>
      <c r="AEA8" s="1305">
        <v>0</v>
      </c>
      <c r="AEB8" s="1305"/>
      <c r="AEC8" s="1335"/>
      <c r="AED8" s="1305">
        <v>19740.599999999999</v>
      </c>
      <c r="AEE8" s="1305"/>
      <c r="AEF8" s="1335"/>
      <c r="AEG8" s="1305">
        <v>19897.7</v>
      </c>
      <c r="AEH8" s="1305"/>
      <c r="AEI8" s="1335"/>
      <c r="AEJ8" s="1305">
        <v>20737.8</v>
      </c>
      <c r="AEK8" s="1305"/>
      <c r="AEL8" s="1335"/>
      <c r="AEM8" s="1305">
        <v>20025.5</v>
      </c>
      <c r="AEN8" s="1305"/>
      <c r="AEO8" s="1335"/>
      <c r="AEP8" s="1305">
        <v>20393.7</v>
      </c>
      <c r="AEQ8" s="1305"/>
      <c r="AER8" s="1335"/>
      <c r="AES8" s="1305">
        <v>20283.400000000001</v>
      </c>
      <c r="AET8" s="1305"/>
      <c r="AEU8" s="1335"/>
      <c r="AEV8" s="1305">
        <v>0</v>
      </c>
      <c r="AEW8" s="1305"/>
      <c r="AEX8" s="1335"/>
      <c r="AEY8" s="1305">
        <v>18510</v>
      </c>
      <c r="AEZ8" s="1305"/>
      <c r="AFA8" s="1335"/>
      <c r="AFB8" s="1305">
        <v>24292.9</v>
      </c>
      <c r="AFC8" s="1305"/>
      <c r="AFD8" s="1335"/>
      <c r="AFE8" s="1305">
        <v>20425.2</v>
      </c>
      <c r="AFF8" s="1305"/>
      <c r="AFG8" s="1335"/>
      <c r="AFH8" s="1305">
        <v>22478.5</v>
      </c>
      <c r="AFI8" s="1305"/>
      <c r="AFJ8" s="1335"/>
      <c r="AFK8" s="1305">
        <v>24605.3</v>
      </c>
      <c r="AFL8" s="1305"/>
      <c r="AFM8" s="1335"/>
      <c r="AFN8" s="1305">
        <v>23378.799999999999</v>
      </c>
      <c r="AFO8" s="1305"/>
      <c r="AFP8" s="1335"/>
      <c r="AFQ8" s="1305">
        <v>0</v>
      </c>
      <c r="AFR8" s="1305"/>
      <c r="AFS8" s="1335"/>
      <c r="AFT8" s="1305">
        <v>0</v>
      </c>
      <c r="AFU8" s="1305"/>
      <c r="AFV8" s="1335"/>
      <c r="AFW8" s="1305">
        <v>19763.400000000001</v>
      </c>
      <c r="AFX8" s="1305"/>
      <c r="AFY8" s="1335"/>
      <c r="AFZ8" s="1305">
        <v>22033.5</v>
      </c>
      <c r="AGA8" s="1305"/>
      <c r="AGB8" s="1335"/>
      <c r="AGC8" s="1305">
        <v>24534.3</v>
      </c>
      <c r="AGD8" s="1305"/>
      <c r="AGE8" s="1335"/>
      <c r="AGF8" s="1305">
        <v>23767</v>
      </c>
      <c r="AGG8" s="1305"/>
      <c r="AGH8" s="1335"/>
      <c r="AGI8" s="1305">
        <v>21741</v>
      </c>
      <c r="AGJ8" s="1305"/>
      <c r="AGK8" s="1335"/>
      <c r="AGL8" s="1305">
        <v>0</v>
      </c>
      <c r="AGM8" s="1305"/>
      <c r="AGN8" s="1335"/>
      <c r="AGO8" s="1305">
        <v>19652.900000000001</v>
      </c>
      <c r="AGP8" s="1305"/>
      <c r="AGQ8" s="1335"/>
      <c r="AGR8" s="1305">
        <v>20106.900000000001</v>
      </c>
      <c r="AGS8" s="1305"/>
      <c r="AGT8" s="1335"/>
      <c r="AGU8" s="1305">
        <v>20807.3</v>
      </c>
      <c r="AGV8" s="1305"/>
      <c r="AGW8" s="1335"/>
      <c r="AGX8" s="1305">
        <v>23975</v>
      </c>
      <c r="AGY8" s="1305"/>
      <c r="AGZ8" s="1335"/>
      <c r="AHA8" s="1305">
        <v>22881.8</v>
      </c>
      <c r="AHB8" s="1305"/>
      <c r="AHC8" s="1335"/>
      <c r="AHD8" s="1305">
        <v>23503.5</v>
      </c>
      <c r="AHE8" s="1305"/>
      <c r="AHF8" s="1335"/>
      <c r="AHG8" s="1305">
        <v>21023.200000000001</v>
      </c>
      <c r="AHH8" s="1305"/>
      <c r="AHI8" s="1335"/>
      <c r="AHJ8" s="1305">
        <v>0</v>
      </c>
      <c r="AHK8" s="1305"/>
      <c r="AHL8" s="1335"/>
      <c r="AHM8" s="1305">
        <v>0</v>
      </c>
      <c r="AHN8" s="1305"/>
      <c r="AHO8" s="1335"/>
      <c r="AHP8" s="1305">
        <v>20254.3</v>
      </c>
      <c r="AHQ8" s="1305"/>
      <c r="AHR8" s="1335"/>
      <c r="AHS8" s="1305">
        <v>24304.3</v>
      </c>
      <c r="AHT8" s="1305"/>
      <c r="AHU8" s="1335"/>
      <c r="AHV8" s="1305">
        <v>23780.799999999999</v>
      </c>
      <c r="AHW8" s="1305"/>
      <c r="AHX8" s="1335"/>
      <c r="AHY8" s="1305">
        <v>22184.6</v>
      </c>
      <c r="AHZ8" s="1305"/>
      <c r="AIA8" s="1335"/>
      <c r="AIB8" s="1305">
        <v>0</v>
      </c>
      <c r="AIC8" s="1305"/>
      <c r="AID8" s="1335"/>
      <c r="AIE8" s="1305">
        <v>17490</v>
      </c>
      <c r="AIF8" s="1305"/>
      <c r="AIG8" s="1335"/>
      <c r="AIH8" s="1305">
        <v>22621.9</v>
      </c>
      <c r="AII8" s="1305"/>
      <c r="AIJ8" s="1335"/>
      <c r="AIK8" s="1305">
        <v>22113.200000000001</v>
      </c>
      <c r="AIL8" s="1305"/>
      <c r="AIM8" s="1335"/>
      <c r="AIN8" s="1305">
        <v>23192.6</v>
      </c>
      <c r="AIO8" s="1305"/>
      <c r="AIP8" s="1335"/>
      <c r="AIQ8" s="1305">
        <v>23691.5</v>
      </c>
      <c r="AIR8" s="1305"/>
      <c r="AIS8" s="1335"/>
      <c r="AIT8" s="1305">
        <v>23487.4</v>
      </c>
      <c r="AIU8" s="1305"/>
      <c r="AIV8" s="1335"/>
      <c r="AIW8" s="1305">
        <v>20068.400000000001</v>
      </c>
      <c r="AIX8" s="1305"/>
      <c r="AIY8" s="1335"/>
      <c r="AIZ8" s="1305">
        <v>0</v>
      </c>
      <c r="AJA8" s="1305"/>
      <c r="AJB8" s="1335"/>
      <c r="AJC8" s="1305">
        <v>0</v>
      </c>
      <c r="AJD8" s="1305"/>
      <c r="AJE8" s="1335"/>
      <c r="AJF8" s="1305">
        <v>21254.3</v>
      </c>
      <c r="AJG8" s="1305"/>
      <c r="AJH8" s="1335"/>
      <c r="AJI8" s="1305">
        <v>21522.799999999999</v>
      </c>
      <c r="AJJ8" s="1305"/>
      <c r="AJK8" s="1335"/>
      <c r="AJL8" s="1305">
        <v>14623.3</v>
      </c>
      <c r="AJM8" s="1305"/>
      <c r="AJN8" s="1335"/>
      <c r="AJO8" s="1305">
        <v>23222.6</v>
      </c>
      <c r="AJP8" s="1305"/>
      <c r="AJQ8" s="1335"/>
      <c r="AJR8" s="1305">
        <v>19751.599999999999</v>
      </c>
      <c r="AJS8" s="1305"/>
      <c r="AJT8" s="1335"/>
      <c r="AJU8" s="1305">
        <v>19524.7</v>
      </c>
      <c r="AJV8" s="1305"/>
      <c r="AJW8" s="1335"/>
      <c r="AJX8" s="1305">
        <v>22958.400000000001</v>
      </c>
      <c r="AJY8" s="1305"/>
      <c r="AJZ8" s="1335"/>
      <c r="AKA8" s="1305">
        <v>19260.400000000001</v>
      </c>
      <c r="AKB8" s="1305"/>
      <c r="AKC8" s="1335"/>
      <c r="AKD8" s="1305">
        <v>22338.9</v>
      </c>
      <c r="AKE8" s="1305"/>
      <c r="AKF8" s="1335"/>
      <c r="AKG8" s="1305">
        <v>24093.5</v>
      </c>
      <c r="AKH8" s="1305"/>
      <c r="AKI8" s="1335"/>
      <c r="AKJ8" s="1305">
        <v>24250.7</v>
      </c>
      <c r="AKK8" s="1305"/>
      <c r="AKL8" s="1335"/>
      <c r="AKM8" s="1305">
        <v>11712.8</v>
      </c>
      <c r="AKN8" s="1305"/>
      <c r="AKO8" s="1335"/>
      <c r="AKP8" s="1305">
        <v>19684.3</v>
      </c>
      <c r="AKQ8" s="1305"/>
      <c r="AKR8" s="1335"/>
      <c r="AKS8" s="1305">
        <v>22648</v>
      </c>
      <c r="AKT8" s="1305"/>
      <c r="AKU8" s="1335"/>
      <c r="AKV8" s="1305">
        <v>21532.2</v>
      </c>
      <c r="AKW8" s="1305"/>
      <c r="AKX8" s="1335"/>
      <c r="AKY8" s="1305">
        <v>0</v>
      </c>
      <c r="AKZ8" s="1305"/>
      <c r="ALA8" s="1335"/>
      <c r="ALB8" s="1305">
        <v>0</v>
      </c>
      <c r="ALC8" s="1305"/>
      <c r="ALD8" s="1335"/>
      <c r="ALE8" s="1305">
        <v>21783.5</v>
      </c>
      <c r="ALF8" s="1305"/>
      <c r="ALG8" s="1335"/>
      <c r="ALH8" s="1305">
        <v>19614</v>
      </c>
      <c r="ALI8" s="1305"/>
      <c r="ALJ8" s="1335"/>
      <c r="ALK8" s="1305">
        <v>15034.1</v>
      </c>
      <c r="ALL8" s="1305"/>
      <c r="ALM8" s="1335"/>
      <c r="ALN8" s="1305">
        <v>22959.3</v>
      </c>
      <c r="ALO8" s="1305"/>
      <c r="ALP8" s="1335"/>
      <c r="ALQ8" s="1305">
        <v>22305.599999999999</v>
      </c>
      <c r="ALR8" s="1305"/>
      <c r="ALS8" s="1335"/>
      <c r="ALT8" s="1305">
        <v>0</v>
      </c>
      <c r="ALU8" s="1305"/>
      <c r="ALV8" s="1335"/>
      <c r="ALW8" s="1305">
        <v>0</v>
      </c>
      <c r="ALX8" s="1305"/>
      <c r="ALY8" s="1335"/>
      <c r="ALZ8" s="1305">
        <v>22074.7</v>
      </c>
      <c r="AMA8" s="1305"/>
      <c r="AMB8" s="1335"/>
      <c r="AMC8" s="1305">
        <v>19832.8</v>
      </c>
      <c r="AMD8" s="1305"/>
      <c r="AME8" s="1335"/>
      <c r="AMF8" s="1305">
        <v>0</v>
      </c>
      <c r="AMG8" s="1305"/>
      <c r="AMH8" s="1335"/>
      <c r="AMI8" s="1305">
        <v>22226.3</v>
      </c>
      <c r="AMJ8" s="1305"/>
      <c r="AMK8" s="1335"/>
      <c r="AML8" s="1305">
        <v>23033.3</v>
      </c>
      <c r="AMM8" s="1305"/>
      <c r="AMN8" s="1335"/>
      <c r="AMO8" s="1305">
        <v>23712.3</v>
      </c>
      <c r="AMP8" s="1305"/>
      <c r="AMQ8" s="1335"/>
      <c r="AMR8" s="1305">
        <v>23771.9</v>
      </c>
      <c r="AMS8" s="1305"/>
      <c r="AMT8" s="1335"/>
      <c r="AMU8" s="1305">
        <v>21145.8</v>
      </c>
      <c r="AMV8" s="1305"/>
      <c r="AMW8" s="1335"/>
      <c r="AMX8" s="1305">
        <v>18176.8</v>
      </c>
      <c r="AMY8" s="1305"/>
      <c r="AMZ8" s="1335"/>
      <c r="ANA8" s="1305">
        <v>19326.400000000001</v>
      </c>
      <c r="ANB8" s="1305"/>
      <c r="ANC8" s="1335"/>
      <c r="AND8" s="1305">
        <v>18770.8</v>
      </c>
      <c r="ANE8" s="1305"/>
      <c r="ANF8" s="1335"/>
      <c r="ANG8" s="1305">
        <v>22916.6</v>
      </c>
      <c r="ANH8" s="1305"/>
      <c r="ANI8" s="1335"/>
      <c r="ANJ8" s="1305">
        <v>24225.599999999999</v>
      </c>
      <c r="ANK8" s="1305"/>
      <c r="ANL8" s="1335"/>
      <c r="ANM8" s="1305">
        <v>25114.2</v>
      </c>
      <c r="ANN8" s="1305"/>
      <c r="ANO8" s="1335"/>
      <c r="ANP8" s="1305">
        <v>23165.7</v>
      </c>
      <c r="ANQ8" s="1305"/>
      <c r="ANR8" s="1335"/>
      <c r="ANS8" s="1305">
        <v>21379.599999999999</v>
      </c>
      <c r="ANT8" s="1305"/>
      <c r="ANU8" s="1335"/>
      <c r="ANV8" s="1305">
        <v>0</v>
      </c>
      <c r="ANW8" s="1305"/>
      <c r="ANX8" s="1335"/>
      <c r="ANY8" s="1305">
        <v>23948.799999999999</v>
      </c>
      <c r="ANZ8" s="1305"/>
      <c r="AOA8" s="1335"/>
      <c r="AOB8" s="1305">
        <v>23894.6</v>
      </c>
      <c r="AOC8" s="1305"/>
      <c r="AOD8" s="1335"/>
      <c r="AOE8" s="1305">
        <v>18523.8</v>
      </c>
      <c r="AOF8" s="1305"/>
      <c r="AOG8" s="1335"/>
      <c r="AOH8" s="1305">
        <v>23945.7</v>
      </c>
      <c r="AOI8" s="1305"/>
      <c r="AOJ8" s="1335"/>
      <c r="AOK8" s="1305">
        <v>24360.5</v>
      </c>
      <c r="AOL8" s="1305"/>
      <c r="AOM8" s="1335"/>
      <c r="AON8" s="1305">
        <v>21084.799999999999</v>
      </c>
      <c r="AOO8" s="1305"/>
      <c r="AOP8" s="1335"/>
      <c r="AOQ8" s="1305">
        <v>17951.2</v>
      </c>
      <c r="AOR8" s="1305"/>
      <c r="AOS8" s="1335"/>
      <c r="AOT8" s="1305">
        <v>21398.2</v>
      </c>
      <c r="AOU8" s="1305"/>
      <c r="AOV8" s="1335"/>
      <c r="AOW8" s="1305">
        <v>20943.400000000001</v>
      </c>
      <c r="AOX8" s="1305"/>
      <c r="AOY8" s="1335"/>
      <c r="AOZ8" s="1305">
        <v>25535.9</v>
      </c>
      <c r="APA8" s="1305"/>
      <c r="APB8" s="1335"/>
      <c r="APC8" s="1305">
        <v>18968.099999999999</v>
      </c>
      <c r="APD8" s="1305"/>
      <c r="APE8" s="1335"/>
      <c r="APF8" s="1305">
        <v>24548</v>
      </c>
      <c r="APG8" s="1305"/>
      <c r="APH8" s="1335"/>
      <c r="API8" s="1305">
        <v>0</v>
      </c>
      <c r="APJ8" s="1305"/>
      <c r="APK8" s="1335"/>
      <c r="APL8" s="1305">
        <v>0</v>
      </c>
      <c r="APM8" s="1305"/>
      <c r="APN8" s="1335"/>
      <c r="APO8" s="1305">
        <v>23002.5</v>
      </c>
      <c r="APP8" s="1305"/>
      <c r="APQ8" s="1335"/>
      <c r="APR8" s="1305">
        <v>24489.7</v>
      </c>
      <c r="APS8" s="1305"/>
      <c r="APT8" s="1335"/>
      <c r="APU8" s="1305">
        <v>23509.7</v>
      </c>
      <c r="APV8" s="1305"/>
      <c r="APW8" s="1335"/>
      <c r="APX8" s="1305">
        <v>22094.9</v>
      </c>
      <c r="APY8" s="1305"/>
      <c r="APZ8" s="1335"/>
      <c r="AQA8" s="1305">
        <v>24245.1</v>
      </c>
      <c r="AQB8" s="1305"/>
      <c r="AQC8" s="1335"/>
      <c r="AQD8" s="1305">
        <v>20055.2</v>
      </c>
      <c r="AQE8" s="1305"/>
      <c r="AQF8" s="1335"/>
      <c r="AQG8" s="1305">
        <v>20406.5</v>
      </c>
      <c r="AQH8" s="1305"/>
      <c r="AQI8" s="1335"/>
      <c r="AQJ8" s="1305">
        <v>24011.8</v>
      </c>
      <c r="AQK8" s="1305"/>
      <c r="AQL8" s="1335"/>
      <c r="AQM8" s="1305">
        <v>24364.400000000001</v>
      </c>
      <c r="AQN8" s="1305"/>
      <c r="AQO8" s="1335"/>
      <c r="AQP8" s="1305">
        <v>22653.7</v>
      </c>
      <c r="AQQ8" s="1305"/>
      <c r="AQR8" s="1335"/>
      <c r="AQS8" s="1305">
        <v>24962.2</v>
      </c>
      <c r="AQT8" s="1305"/>
      <c r="AQU8" s="1335"/>
      <c r="AQV8" s="1305">
        <v>24102.5</v>
      </c>
      <c r="AQW8" s="1305"/>
      <c r="AQX8" s="1335"/>
      <c r="AQY8" s="1305">
        <v>18246.8</v>
      </c>
      <c r="AQZ8" s="1305"/>
      <c r="ARA8" s="1335"/>
      <c r="ARB8" s="1305">
        <v>0</v>
      </c>
      <c r="ARC8" s="1305"/>
      <c r="ARD8" s="1335"/>
      <c r="ARE8" s="1305">
        <v>0</v>
      </c>
      <c r="ARF8" s="1305"/>
      <c r="ARG8" s="1335"/>
      <c r="ARH8" s="1305">
        <v>21082</v>
      </c>
      <c r="ARI8" s="1305"/>
      <c r="ARJ8" s="1335"/>
      <c r="ARK8" s="1305">
        <v>21745.8</v>
      </c>
      <c r="ARL8" s="1305"/>
      <c r="ARM8" s="1335"/>
      <c r="ARN8" s="1305">
        <v>22890</v>
      </c>
      <c r="ARO8" s="1305"/>
      <c r="ARP8" s="1335"/>
      <c r="ARQ8" s="1305">
        <v>23475.200000000001</v>
      </c>
      <c r="ARR8" s="1305"/>
      <c r="ARS8" s="1335"/>
      <c r="ART8" s="1305">
        <v>18937.599999999999</v>
      </c>
      <c r="ARU8" s="1305"/>
      <c r="ARV8" s="1335"/>
      <c r="ARW8" s="1305">
        <v>21059.3</v>
      </c>
      <c r="ARX8" s="1305"/>
      <c r="ARY8" s="1335"/>
      <c r="ARZ8" s="1305">
        <v>22159.5</v>
      </c>
      <c r="ASA8" s="1305"/>
      <c r="ASB8" s="1335"/>
      <c r="ASC8" s="1305">
        <v>22658.1</v>
      </c>
      <c r="ASD8" s="1305"/>
      <c r="ASE8" s="1335"/>
      <c r="ASF8" s="1305">
        <v>22083.7</v>
      </c>
      <c r="ASG8" s="1305"/>
      <c r="ASH8" s="1335"/>
      <c r="ASI8" s="1305">
        <v>22315.599999999999</v>
      </c>
      <c r="ASJ8" s="1305"/>
      <c r="ASK8" s="1335"/>
      <c r="ASL8" s="1305">
        <v>24064.9</v>
      </c>
      <c r="ASM8" s="1305"/>
      <c r="ASN8" s="1335"/>
      <c r="ASO8" s="1305">
        <v>0</v>
      </c>
      <c r="ASP8" s="1305"/>
      <c r="ASQ8" s="1305"/>
      <c r="ASR8" s="1304">
        <v>0</v>
      </c>
      <c r="ASS8" s="1305"/>
      <c r="AST8" s="1335"/>
      <c r="ASU8" s="1305">
        <v>23312.5</v>
      </c>
      <c r="ASV8" s="1305"/>
      <c r="ASW8" s="1335"/>
      <c r="ASX8" s="1305">
        <v>23943.1</v>
      </c>
      <c r="ASY8" s="1305"/>
      <c r="ASZ8" s="1335"/>
      <c r="ATA8" s="1305">
        <v>23806.400000000001</v>
      </c>
      <c r="ATB8" s="1305"/>
      <c r="ATC8" s="1335"/>
      <c r="ATD8" s="1305">
        <v>24008.6</v>
      </c>
      <c r="ATE8" s="1305"/>
      <c r="ATF8" s="1335"/>
      <c r="ATG8" s="1305">
        <v>22184.9</v>
      </c>
      <c r="ATH8" s="1305"/>
      <c r="ATI8" s="1335"/>
      <c r="ATJ8" s="1305">
        <v>0</v>
      </c>
      <c r="ATK8" s="1305"/>
      <c r="ATL8" s="1335"/>
      <c r="ATM8" s="1305">
        <v>24130.1</v>
      </c>
      <c r="ATN8" s="1305"/>
      <c r="ATO8" s="1335"/>
      <c r="ATP8" s="1305">
        <v>23893.599999999999</v>
      </c>
      <c r="ATQ8" s="1305"/>
      <c r="ATR8" s="1335"/>
      <c r="ATS8" s="1305">
        <v>21379.3</v>
      </c>
      <c r="ATT8" s="1305"/>
      <c r="ATU8" s="1335"/>
      <c r="ATV8" s="1305">
        <v>23182.5</v>
      </c>
      <c r="ATW8" s="1305"/>
      <c r="ATX8" s="1335"/>
      <c r="ATY8" s="1305">
        <v>24342</v>
      </c>
      <c r="ATZ8" s="1305"/>
      <c r="AUA8" s="1335"/>
      <c r="AUB8" s="1305">
        <v>24638.1</v>
      </c>
      <c r="AUC8" s="1305"/>
      <c r="AUD8" s="1335"/>
      <c r="AUE8" s="1305">
        <v>0</v>
      </c>
      <c r="AUF8" s="1305"/>
      <c r="AUG8" s="1335"/>
      <c r="AUH8" s="1305">
        <v>20463.263999999999</v>
      </c>
      <c r="AUI8" s="1305"/>
      <c r="AUJ8" s="1335"/>
      <c r="AUK8" s="1305">
        <v>23746.799999999999</v>
      </c>
      <c r="AUL8" s="1305"/>
      <c r="AUM8" s="1335"/>
      <c r="AUN8" s="1305">
        <v>24426.799999999999</v>
      </c>
      <c r="AUO8" s="1305"/>
      <c r="AUP8" s="1335"/>
      <c r="AUQ8" s="1305">
        <v>23708.400000000001</v>
      </c>
      <c r="AUR8" s="1305"/>
      <c r="AUS8" s="1335"/>
      <c r="AUT8" s="1305">
        <v>22935.7</v>
      </c>
      <c r="AUU8" s="1305"/>
      <c r="AUV8" s="1335"/>
      <c r="AUW8" s="1305">
        <v>24325.7</v>
      </c>
      <c r="AUX8" s="1305"/>
      <c r="AUY8" s="1335"/>
      <c r="AUZ8" s="1305">
        <v>19800</v>
      </c>
      <c r="AVA8" s="1305"/>
      <c r="AVB8" s="1335"/>
      <c r="AVC8" s="1305">
        <v>21685.9</v>
      </c>
      <c r="AVD8" s="1305"/>
      <c r="AVE8" s="1335"/>
      <c r="AVF8" s="1305">
        <v>21770.799999999999</v>
      </c>
      <c r="AVG8" s="1305"/>
      <c r="AVH8" s="1335"/>
      <c r="AVI8" s="1305">
        <v>27037.9</v>
      </c>
      <c r="AVJ8" s="1305"/>
      <c r="AVK8" s="1335"/>
      <c r="AVL8" s="1305">
        <v>23129.1</v>
      </c>
      <c r="AVM8" s="1305"/>
      <c r="AVN8" s="1335"/>
      <c r="AVO8" s="1305">
        <v>23400</v>
      </c>
      <c r="AVP8" s="1305"/>
      <c r="AVQ8" s="1335"/>
      <c r="AVR8" s="1305">
        <v>0</v>
      </c>
      <c r="AVS8" s="1305"/>
      <c r="AVT8" s="1335"/>
      <c r="AVU8" s="1305">
        <v>0</v>
      </c>
      <c r="AVV8" s="1305"/>
      <c r="AVW8" s="1335"/>
      <c r="AVX8" s="1305">
        <v>0</v>
      </c>
      <c r="AVY8" s="1305"/>
      <c r="AVZ8" s="1335"/>
      <c r="AWA8" s="1305">
        <v>0</v>
      </c>
      <c r="AWB8" s="1305"/>
      <c r="AWC8" s="1335"/>
      <c r="AWD8" s="1305">
        <v>0</v>
      </c>
      <c r="AWE8" s="1305"/>
      <c r="AWF8" s="1335"/>
      <c r="AWG8" s="1305">
        <v>0</v>
      </c>
      <c r="AWH8" s="1305"/>
      <c r="AWI8" s="1335"/>
      <c r="AWJ8" s="1305">
        <v>0</v>
      </c>
      <c r="AWK8" s="1305"/>
      <c r="AWL8" s="1335"/>
      <c r="AWM8" s="1305">
        <v>0</v>
      </c>
      <c r="AWN8" s="1305"/>
      <c r="AWO8" s="1335"/>
      <c r="AWP8" s="1305">
        <v>0</v>
      </c>
      <c r="AWQ8" s="1305"/>
      <c r="AWR8" s="1335"/>
      <c r="AWS8" s="1305">
        <v>0</v>
      </c>
      <c r="AWT8" s="1305"/>
      <c r="AWU8" s="1335"/>
      <c r="AWV8" s="1305">
        <v>0</v>
      </c>
      <c r="AWW8" s="1305"/>
      <c r="AWX8" s="1335"/>
      <c r="AWY8" s="1305">
        <v>0</v>
      </c>
      <c r="AWZ8" s="1305"/>
      <c r="AXA8" s="1335"/>
      <c r="AXB8" s="1305">
        <v>0</v>
      </c>
      <c r="AXC8" s="1305"/>
      <c r="AXD8" s="1335"/>
      <c r="AXE8" s="1305">
        <v>0</v>
      </c>
      <c r="AXF8" s="1305"/>
      <c r="AXG8" s="1335"/>
      <c r="AXH8" s="1305">
        <v>0</v>
      </c>
      <c r="AXI8" s="1305"/>
      <c r="AXJ8" s="1335"/>
      <c r="AXK8" s="1305">
        <v>0</v>
      </c>
      <c r="AXL8" s="1305"/>
      <c r="AXM8" s="1335"/>
      <c r="AXN8" s="1305">
        <v>0</v>
      </c>
      <c r="AXO8" s="1305"/>
      <c r="AXP8" s="1335"/>
      <c r="AXQ8" s="1305">
        <v>0</v>
      </c>
      <c r="AXR8" s="1305"/>
      <c r="AXS8" s="1335"/>
      <c r="AXT8" s="1305">
        <v>0</v>
      </c>
      <c r="AXU8" s="1305"/>
      <c r="AXV8" s="1335"/>
      <c r="AXW8" s="1305">
        <v>0</v>
      </c>
      <c r="AXX8" s="1305"/>
      <c r="AXY8" s="1335"/>
      <c r="AXZ8" s="1305">
        <v>0</v>
      </c>
      <c r="AYA8" s="1305"/>
      <c r="AYB8" s="1335"/>
      <c r="AYC8" s="1305">
        <v>0</v>
      </c>
      <c r="AYD8" s="1305"/>
      <c r="AYE8" s="1335"/>
      <c r="AYF8" s="1305">
        <v>0</v>
      </c>
      <c r="AYG8" s="1305"/>
      <c r="AYH8" s="1335"/>
      <c r="AYI8" s="1305">
        <v>0</v>
      </c>
      <c r="AYJ8" s="1305"/>
      <c r="AYK8" s="1335"/>
      <c r="AYL8" s="1305">
        <v>0</v>
      </c>
      <c r="AYM8" s="1305"/>
      <c r="AYN8" s="1335"/>
      <c r="AYO8" s="1305">
        <v>0</v>
      </c>
      <c r="AYP8" s="1305"/>
      <c r="AYQ8" s="1335"/>
      <c r="AYR8" s="1305">
        <v>0</v>
      </c>
      <c r="AYS8" s="1305"/>
      <c r="AYT8" s="1335"/>
      <c r="AYU8" s="1305">
        <v>0</v>
      </c>
      <c r="AYV8" s="1305"/>
      <c r="AYW8" s="1335"/>
      <c r="AYX8" s="1305">
        <v>0</v>
      </c>
      <c r="AYY8" s="1305"/>
      <c r="AYZ8" s="1335"/>
      <c r="AZA8" s="1305">
        <v>0</v>
      </c>
      <c r="AZB8" s="1305"/>
      <c r="AZC8" s="1335"/>
      <c r="AZD8" s="1305">
        <v>0</v>
      </c>
      <c r="AZE8" s="1305"/>
      <c r="AZF8" s="1335"/>
      <c r="AZG8" s="1305">
        <v>0</v>
      </c>
      <c r="AZH8" s="1305"/>
      <c r="AZI8" s="1335"/>
      <c r="AZJ8" s="1305">
        <v>0</v>
      </c>
      <c r="AZK8" s="1305"/>
      <c r="AZL8" s="1335"/>
      <c r="AZM8" s="1305">
        <v>0</v>
      </c>
      <c r="AZN8" s="1305"/>
      <c r="AZO8" s="1335"/>
      <c r="AZP8" s="1305">
        <v>0</v>
      </c>
      <c r="AZQ8" s="1305"/>
      <c r="AZR8" s="1335"/>
      <c r="AZS8" s="1305">
        <v>0</v>
      </c>
      <c r="AZT8" s="1305"/>
      <c r="AZU8" s="1335"/>
      <c r="AZV8" s="1305">
        <v>0</v>
      </c>
      <c r="AZW8" s="1305"/>
      <c r="AZX8" s="1335"/>
      <c r="AZY8" s="1305">
        <v>0</v>
      </c>
      <c r="AZZ8" s="1305"/>
      <c r="BAA8" s="1335"/>
      <c r="BAB8" s="1305">
        <v>0</v>
      </c>
      <c r="BAC8" s="1305"/>
      <c r="BAD8" s="1335"/>
      <c r="BAE8" s="1305">
        <v>0</v>
      </c>
      <c r="BAF8" s="1305"/>
      <c r="BAG8" s="1335"/>
      <c r="BAH8" s="1305">
        <v>0</v>
      </c>
      <c r="BAI8" s="1305"/>
      <c r="BAJ8" s="1335"/>
    </row>
    <row r="9" spans="1:1388" ht="15" customHeight="1">
      <c r="B9" s="1422" t="s">
        <v>330</v>
      </c>
      <c r="C9" s="1423"/>
      <c r="D9" s="1424"/>
      <c r="E9" s="37" t="s">
        <v>327</v>
      </c>
      <c r="F9" s="1321" t="s">
        <v>20</v>
      </c>
      <c r="G9" s="1321"/>
      <c r="H9" s="1350"/>
      <c r="I9" s="1321">
        <v>80</v>
      </c>
      <c r="J9" s="1321"/>
      <c r="K9" s="1350"/>
      <c r="L9" s="1321">
        <v>76</v>
      </c>
      <c r="M9" s="1321"/>
      <c r="N9" s="1350"/>
      <c r="O9" s="1321">
        <v>74</v>
      </c>
      <c r="P9" s="1321"/>
      <c r="Q9" s="1350"/>
      <c r="R9" s="1321">
        <v>80</v>
      </c>
      <c r="S9" s="1321"/>
      <c r="T9" s="1350"/>
      <c r="U9" s="1321">
        <v>81</v>
      </c>
      <c r="V9" s="1321"/>
      <c r="W9" s="1350"/>
      <c r="X9" s="1321">
        <v>83</v>
      </c>
      <c r="Y9" s="1321"/>
      <c r="Z9" s="1350"/>
      <c r="AA9" s="1321">
        <v>72</v>
      </c>
      <c r="AB9" s="1321"/>
      <c r="AC9" s="1350"/>
      <c r="AD9" s="1321">
        <v>82</v>
      </c>
      <c r="AE9" s="1321"/>
      <c r="AF9" s="1350"/>
      <c r="AG9" s="1321">
        <v>92</v>
      </c>
      <c r="AH9" s="1321"/>
      <c r="AI9" s="1350"/>
      <c r="AJ9" s="1321">
        <v>83</v>
      </c>
      <c r="AK9" s="1321"/>
      <c r="AL9" s="1350"/>
      <c r="AM9" s="1321">
        <v>76</v>
      </c>
      <c r="AN9" s="1321"/>
      <c r="AO9" s="1350"/>
      <c r="AP9" s="1321">
        <v>76</v>
      </c>
      <c r="AQ9" s="1321"/>
      <c r="AR9" s="1350"/>
      <c r="AS9" s="1321">
        <v>77</v>
      </c>
      <c r="AT9" s="1321"/>
      <c r="AU9" s="1350"/>
      <c r="AV9" s="1321">
        <v>74</v>
      </c>
      <c r="AW9" s="1321"/>
      <c r="AX9" s="1350"/>
      <c r="AY9" s="1321">
        <v>78</v>
      </c>
      <c r="AZ9" s="1321"/>
      <c r="BA9" s="1350"/>
      <c r="BB9" s="1321" t="s">
        <v>20</v>
      </c>
      <c r="BC9" s="1321"/>
      <c r="BD9" s="1350"/>
      <c r="BE9" s="1321">
        <v>78</v>
      </c>
      <c r="BF9" s="1321"/>
      <c r="BG9" s="1350"/>
      <c r="BH9" s="1321">
        <v>75</v>
      </c>
      <c r="BI9" s="1321"/>
      <c r="BJ9" s="1350"/>
      <c r="BK9" s="1321">
        <v>83</v>
      </c>
      <c r="BL9" s="1321"/>
      <c r="BM9" s="1350"/>
      <c r="BN9" s="1321">
        <v>91</v>
      </c>
      <c r="BO9" s="1321"/>
      <c r="BP9" s="1350"/>
      <c r="BQ9" s="1321">
        <v>81</v>
      </c>
      <c r="BR9" s="1321"/>
      <c r="BS9" s="1350"/>
      <c r="BT9" s="1321">
        <v>84</v>
      </c>
      <c r="BU9" s="1321"/>
      <c r="BV9" s="1350"/>
      <c r="BW9" s="1321">
        <v>90</v>
      </c>
      <c r="BX9" s="1321"/>
      <c r="BY9" s="1350"/>
      <c r="BZ9" s="1321">
        <v>84</v>
      </c>
      <c r="CA9" s="1321"/>
      <c r="CB9" s="1350"/>
      <c r="CC9" s="1321">
        <v>83</v>
      </c>
      <c r="CD9" s="1321"/>
      <c r="CE9" s="1350"/>
      <c r="CF9" s="1321">
        <v>79</v>
      </c>
      <c r="CG9" s="1321"/>
      <c r="CH9" s="1350"/>
      <c r="CI9" s="1321">
        <v>86</v>
      </c>
      <c r="CJ9" s="1321"/>
      <c r="CK9" s="1350"/>
      <c r="CL9" s="1321">
        <v>68</v>
      </c>
      <c r="CM9" s="1321"/>
      <c r="CN9" s="1350"/>
      <c r="CO9" s="1321" t="s">
        <v>20</v>
      </c>
      <c r="CP9" s="1321"/>
      <c r="CQ9" s="1350"/>
      <c r="CR9" s="1321">
        <v>68</v>
      </c>
      <c r="CS9" s="1321"/>
      <c r="CT9" s="1350"/>
      <c r="CU9" s="1321">
        <v>81</v>
      </c>
      <c r="CV9" s="1321"/>
      <c r="CW9" s="1350"/>
      <c r="CX9" s="1321">
        <v>72</v>
      </c>
      <c r="CY9" s="1321"/>
      <c r="CZ9" s="1350"/>
      <c r="DA9" s="1321">
        <v>77</v>
      </c>
      <c r="DB9" s="1321"/>
      <c r="DC9" s="1350"/>
      <c r="DD9" s="1321">
        <v>47</v>
      </c>
      <c r="DE9" s="1321"/>
      <c r="DF9" s="1350"/>
      <c r="DG9" s="1321">
        <v>77</v>
      </c>
      <c r="DH9" s="1321"/>
      <c r="DI9" s="1350"/>
      <c r="DJ9" s="1321">
        <v>80</v>
      </c>
      <c r="DK9" s="1321"/>
      <c r="DL9" s="1350"/>
      <c r="DM9" s="1321" t="s">
        <v>20</v>
      </c>
      <c r="DN9" s="1321"/>
      <c r="DO9" s="1350"/>
      <c r="DP9" s="1321">
        <v>81</v>
      </c>
      <c r="DQ9" s="1321"/>
      <c r="DR9" s="1350"/>
      <c r="DS9" s="1321">
        <v>69</v>
      </c>
      <c r="DT9" s="1321"/>
      <c r="DU9" s="1350"/>
      <c r="DV9" s="1321">
        <v>82</v>
      </c>
      <c r="DW9" s="1321"/>
      <c r="DX9" s="1350"/>
      <c r="DY9" s="1321">
        <v>85</v>
      </c>
      <c r="DZ9" s="1321"/>
      <c r="EA9" s="1350"/>
      <c r="EB9" s="1321">
        <v>78</v>
      </c>
      <c r="EC9" s="1321"/>
      <c r="ED9" s="1350"/>
      <c r="EE9" s="1321">
        <v>83</v>
      </c>
      <c r="EF9" s="1321"/>
      <c r="EG9" s="1350"/>
      <c r="EH9" s="1321" t="s">
        <v>20</v>
      </c>
      <c r="EI9" s="1321"/>
      <c r="EJ9" s="1350"/>
      <c r="EK9" s="1321">
        <v>78</v>
      </c>
      <c r="EL9" s="1321"/>
      <c r="EM9" s="1350"/>
      <c r="EN9" s="1321">
        <v>80</v>
      </c>
      <c r="EO9" s="1321"/>
      <c r="EP9" s="1350"/>
      <c r="EQ9" s="1321">
        <v>85</v>
      </c>
      <c r="ER9" s="1321"/>
      <c r="ES9" s="1350"/>
      <c r="ET9" s="1321">
        <v>85</v>
      </c>
      <c r="EU9" s="1321"/>
      <c r="EV9" s="1350"/>
      <c r="EW9" s="1321">
        <v>85</v>
      </c>
      <c r="EX9" s="1321"/>
      <c r="EY9" s="1350"/>
      <c r="EZ9" s="1321">
        <v>82</v>
      </c>
      <c r="FA9" s="1321"/>
      <c r="FB9" s="1350"/>
      <c r="FC9" s="1321">
        <v>91</v>
      </c>
      <c r="FD9" s="1321"/>
      <c r="FE9" s="1350"/>
      <c r="FF9" s="1321">
        <v>80</v>
      </c>
      <c r="FG9" s="1321"/>
      <c r="FH9" s="1350"/>
      <c r="FI9" s="1321">
        <v>80</v>
      </c>
      <c r="FJ9" s="1321"/>
      <c r="FK9" s="1350"/>
      <c r="FL9" s="1321">
        <v>79</v>
      </c>
      <c r="FM9" s="1321"/>
      <c r="FN9" s="1350"/>
      <c r="FO9" s="1321">
        <v>80</v>
      </c>
      <c r="FP9" s="1321"/>
      <c r="FQ9" s="1350"/>
      <c r="FR9" s="1321">
        <v>83</v>
      </c>
      <c r="FS9" s="1321"/>
      <c r="FT9" s="1350"/>
      <c r="FU9" s="1321">
        <v>89</v>
      </c>
      <c r="FV9" s="1321"/>
      <c r="FW9" s="1350"/>
      <c r="FX9" s="1321">
        <v>74</v>
      </c>
      <c r="FY9" s="1321"/>
      <c r="FZ9" s="1350"/>
      <c r="GA9" s="1321">
        <v>72</v>
      </c>
      <c r="GB9" s="1321"/>
      <c r="GC9" s="1350"/>
      <c r="GD9" s="1321">
        <v>75</v>
      </c>
      <c r="GE9" s="1321"/>
      <c r="GF9" s="1350"/>
      <c r="GG9" s="1321">
        <v>91</v>
      </c>
      <c r="GH9" s="1321"/>
      <c r="GI9" s="1350"/>
      <c r="GJ9" s="1321">
        <v>85</v>
      </c>
      <c r="GK9" s="1321"/>
      <c r="GL9" s="1350"/>
      <c r="GM9" s="1321">
        <v>80</v>
      </c>
      <c r="GN9" s="1321"/>
      <c r="GO9" s="1350"/>
      <c r="GP9" s="1321" t="s">
        <v>20</v>
      </c>
      <c r="GQ9" s="1321"/>
      <c r="GR9" s="1350"/>
      <c r="GS9" s="1321">
        <v>88</v>
      </c>
      <c r="GT9" s="1321"/>
      <c r="GU9" s="1350"/>
      <c r="GV9" s="1321">
        <v>75</v>
      </c>
      <c r="GW9" s="1321"/>
      <c r="GX9" s="1350"/>
      <c r="GY9" s="1321">
        <v>84</v>
      </c>
      <c r="GZ9" s="1321"/>
      <c r="HA9" s="1350"/>
      <c r="HB9" s="1321">
        <v>81</v>
      </c>
      <c r="HC9" s="1321"/>
      <c r="HD9" s="1350"/>
      <c r="HE9" s="1321">
        <v>88</v>
      </c>
      <c r="HF9" s="1321"/>
      <c r="HG9" s="1350"/>
      <c r="HH9" s="1321">
        <v>84</v>
      </c>
      <c r="HI9" s="1321"/>
      <c r="HJ9" s="1350"/>
      <c r="HK9" s="1321">
        <v>83</v>
      </c>
      <c r="HL9" s="1321"/>
      <c r="HM9" s="1350"/>
      <c r="HN9" s="1321">
        <v>65</v>
      </c>
      <c r="HO9" s="1321"/>
      <c r="HP9" s="1350"/>
      <c r="HQ9" s="1321">
        <v>83</v>
      </c>
      <c r="HR9" s="1321"/>
      <c r="HS9" s="1350"/>
      <c r="HT9" s="1321">
        <v>77</v>
      </c>
      <c r="HU9" s="1321"/>
      <c r="HV9" s="1350"/>
      <c r="HW9" s="1321">
        <v>81</v>
      </c>
      <c r="HX9" s="1321"/>
      <c r="HY9" s="1350"/>
      <c r="HZ9" s="1321">
        <v>85</v>
      </c>
      <c r="IA9" s="1321"/>
      <c r="IB9" s="1350"/>
      <c r="IC9" s="1321" t="s">
        <v>20</v>
      </c>
      <c r="ID9" s="1321"/>
      <c r="IE9" s="1350"/>
      <c r="IF9" s="1321" t="s">
        <v>20</v>
      </c>
      <c r="IG9" s="1321"/>
      <c r="IH9" s="1350"/>
      <c r="II9" s="1321" t="s">
        <v>20</v>
      </c>
      <c r="IJ9" s="1321"/>
      <c r="IK9" s="1350"/>
      <c r="IL9" s="1321">
        <v>63</v>
      </c>
      <c r="IM9" s="1321"/>
      <c r="IN9" s="1350"/>
      <c r="IO9" s="1321">
        <v>84</v>
      </c>
      <c r="IP9" s="1321"/>
      <c r="IQ9" s="1350"/>
      <c r="IR9" s="1321">
        <v>83</v>
      </c>
      <c r="IS9" s="1321"/>
      <c r="IT9" s="1350"/>
      <c r="IU9" s="1321">
        <v>87</v>
      </c>
      <c r="IV9" s="1321"/>
      <c r="IW9" s="1350"/>
      <c r="IX9" s="1321">
        <v>88</v>
      </c>
      <c r="IY9" s="1321"/>
      <c r="IZ9" s="1350"/>
      <c r="JA9" s="1321">
        <v>87</v>
      </c>
      <c r="JB9" s="1321"/>
      <c r="JC9" s="1350"/>
      <c r="JD9" s="1321">
        <v>56</v>
      </c>
      <c r="JE9" s="1321"/>
      <c r="JF9" s="1350"/>
      <c r="JG9" s="1321">
        <v>81</v>
      </c>
      <c r="JH9" s="1321"/>
      <c r="JI9" s="1350"/>
      <c r="JJ9" s="1321">
        <v>80</v>
      </c>
      <c r="JK9" s="1321"/>
      <c r="JL9" s="1350"/>
      <c r="JM9" s="1321">
        <v>86</v>
      </c>
      <c r="JN9" s="1321"/>
      <c r="JO9" s="1350"/>
      <c r="JP9" s="1321" t="s">
        <v>20</v>
      </c>
      <c r="JQ9" s="1321"/>
      <c r="JR9" s="1350"/>
      <c r="JS9" s="1321">
        <v>82</v>
      </c>
      <c r="JT9" s="1321"/>
      <c r="JU9" s="1350"/>
      <c r="JV9" s="1321">
        <v>80</v>
      </c>
      <c r="JW9" s="1321"/>
      <c r="JX9" s="1350"/>
      <c r="JY9" s="1321" t="s">
        <v>20</v>
      </c>
      <c r="JZ9" s="1321"/>
      <c r="KA9" s="1350"/>
      <c r="KB9" s="1321">
        <v>76</v>
      </c>
      <c r="KC9" s="1321"/>
      <c r="KD9" s="1350"/>
      <c r="KE9" s="1321">
        <v>70</v>
      </c>
      <c r="KF9" s="1321"/>
      <c r="KG9" s="1350"/>
      <c r="KH9" s="1321">
        <v>68</v>
      </c>
      <c r="KI9" s="1321"/>
      <c r="KJ9" s="1350"/>
      <c r="KK9" s="1321">
        <v>88</v>
      </c>
      <c r="KL9" s="1321"/>
      <c r="KM9" s="1350"/>
      <c r="KN9" s="1321">
        <v>86</v>
      </c>
      <c r="KO9" s="1321"/>
      <c r="KP9" s="1350"/>
      <c r="KQ9" s="1321">
        <v>81</v>
      </c>
      <c r="KR9" s="1321"/>
      <c r="KS9" s="1350"/>
      <c r="KT9" s="1321">
        <v>85</v>
      </c>
      <c r="KU9" s="1321"/>
      <c r="KV9" s="1350"/>
      <c r="KW9" s="1321">
        <v>76</v>
      </c>
      <c r="KX9" s="1321"/>
      <c r="KY9" s="1350"/>
      <c r="KZ9" s="1321">
        <v>87</v>
      </c>
      <c r="LA9" s="1321"/>
      <c r="LB9" s="1350"/>
      <c r="LC9" s="1321">
        <v>84</v>
      </c>
      <c r="LD9" s="1321"/>
      <c r="LE9" s="1350"/>
      <c r="LF9" s="1321">
        <v>84</v>
      </c>
      <c r="LG9" s="1321"/>
      <c r="LH9" s="1350"/>
      <c r="LI9" s="1321">
        <v>85</v>
      </c>
      <c r="LJ9" s="1321"/>
      <c r="LK9" s="1350"/>
      <c r="LL9" s="1321" t="s">
        <v>20</v>
      </c>
      <c r="LM9" s="1321"/>
      <c r="LN9" s="1350"/>
      <c r="LO9" s="1321" t="s">
        <v>20</v>
      </c>
      <c r="LP9" s="1321"/>
      <c r="LQ9" s="1350"/>
      <c r="LR9" s="1321">
        <v>81</v>
      </c>
      <c r="LS9" s="1321"/>
      <c r="LT9" s="1350"/>
      <c r="LU9" s="1321">
        <v>79</v>
      </c>
      <c r="LV9" s="1321"/>
      <c r="LW9" s="1350"/>
      <c r="LX9" s="1321">
        <v>82</v>
      </c>
      <c r="LY9" s="1321"/>
      <c r="LZ9" s="1350"/>
      <c r="MA9" s="1321">
        <v>87</v>
      </c>
      <c r="MB9" s="1321"/>
      <c r="MC9" s="1350"/>
      <c r="MD9" s="1321">
        <v>88</v>
      </c>
      <c r="ME9" s="1321"/>
      <c r="MF9" s="1350"/>
      <c r="MG9" s="1321">
        <v>89</v>
      </c>
      <c r="MH9" s="1321"/>
      <c r="MI9" s="1350"/>
      <c r="MJ9" s="1321" t="s">
        <v>20</v>
      </c>
      <c r="MK9" s="1321"/>
      <c r="ML9" s="1350"/>
      <c r="MM9" s="1321">
        <v>83</v>
      </c>
      <c r="MN9" s="1321"/>
      <c r="MO9" s="1350"/>
      <c r="MP9" s="1321">
        <v>85</v>
      </c>
      <c r="MQ9" s="1321"/>
      <c r="MR9" s="1350"/>
      <c r="MS9" s="1321">
        <v>83</v>
      </c>
      <c r="MT9" s="1321"/>
      <c r="MU9" s="1350"/>
      <c r="MV9" s="1321">
        <v>83</v>
      </c>
      <c r="MW9" s="1321"/>
      <c r="MX9" s="1350"/>
      <c r="MY9" s="1321">
        <v>83</v>
      </c>
      <c r="MZ9" s="1321"/>
      <c r="NA9" s="1350"/>
      <c r="NB9" s="1321" t="s">
        <v>20</v>
      </c>
      <c r="NC9" s="1321"/>
      <c r="ND9" s="1350"/>
      <c r="NE9" s="1321" t="s">
        <v>20</v>
      </c>
      <c r="NF9" s="1321"/>
      <c r="NG9" s="1350"/>
      <c r="NH9" s="1321">
        <v>87</v>
      </c>
      <c r="NI9" s="1321"/>
      <c r="NJ9" s="1350"/>
      <c r="NK9" s="1321">
        <v>89</v>
      </c>
      <c r="NL9" s="1321"/>
      <c r="NM9" s="1350"/>
      <c r="NN9" s="1321">
        <v>82</v>
      </c>
      <c r="NO9" s="1321"/>
      <c r="NP9" s="1350"/>
      <c r="NQ9" s="1321">
        <v>87</v>
      </c>
      <c r="NR9" s="1321"/>
      <c r="NS9" s="1350"/>
      <c r="NT9" s="1321">
        <v>83</v>
      </c>
      <c r="NU9" s="1321"/>
      <c r="NV9" s="1350"/>
      <c r="NW9" s="1321" t="s">
        <v>20</v>
      </c>
      <c r="NX9" s="1321"/>
      <c r="NY9" s="1350"/>
      <c r="NZ9" s="1321" t="s">
        <v>20</v>
      </c>
      <c r="OA9" s="1321"/>
      <c r="OB9" s="1350"/>
      <c r="OC9" s="1321" t="s">
        <v>20</v>
      </c>
      <c r="OD9" s="1321"/>
      <c r="OE9" s="1350"/>
      <c r="OF9" s="1321">
        <v>88</v>
      </c>
      <c r="OG9" s="1321"/>
      <c r="OH9" s="1350"/>
      <c r="OI9" s="1321">
        <v>76</v>
      </c>
      <c r="OJ9" s="1321"/>
      <c r="OK9" s="1350"/>
      <c r="OL9" s="1321">
        <v>84</v>
      </c>
      <c r="OM9" s="1321"/>
      <c r="ON9" s="1350"/>
      <c r="OO9" s="1321">
        <v>67</v>
      </c>
      <c r="OP9" s="1321"/>
      <c r="OQ9" s="1350"/>
      <c r="OR9" s="1321">
        <v>0</v>
      </c>
      <c r="OS9" s="1321"/>
      <c r="OT9" s="1350"/>
      <c r="OU9" s="1321">
        <v>0</v>
      </c>
      <c r="OV9" s="1321"/>
      <c r="OW9" s="1350"/>
      <c r="OX9" s="1321">
        <v>0</v>
      </c>
      <c r="OY9" s="1321"/>
      <c r="OZ9" s="1350"/>
      <c r="PA9" s="1321">
        <v>78</v>
      </c>
      <c r="PB9" s="1321"/>
      <c r="PC9" s="1350"/>
      <c r="PD9" s="1321">
        <v>73</v>
      </c>
      <c r="PE9" s="1321"/>
      <c r="PF9" s="1350"/>
      <c r="PG9" s="1321">
        <v>87</v>
      </c>
      <c r="PH9" s="1321"/>
      <c r="PI9" s="1350"/>
      <c r="PJ9" s="1321">
        <v>0</v>
      </c>
      <c r="PK9" s="1321"/>
      <c r="PL9" s="1350"/>
      <c r="PM9" s="1321">
        <v>0</v>
      </c>
      <c r="PN9" s="1321"/>
      <c r="PO9" s="1350"/>
      <c r="PP9" s="1321">
        <v>0</v>
      </c>
      <c r="PQ9" s="1321"/>
      <c r="PR9" s="1350"/>
      <c r="PS9" s="1321">
        <v>82</v>
      </c>
      <c r="PT9" s="1321"/>
      <c r="PU9" s="1350"/>
      <c r="PV9" s="1321">
        <v>63</v>
      </c>
      <c r="PW9" s="1321"/>
      <c r="PX9" s="1350"/>
      <c r="PY9" s="1321">
        <v>86</v>
      </c>
      <c r="PZ9" s="1321"/>
      <c r="QA9" s="1350"/>
      <c r="QB9" s="1321">
        <v>84</v>
      </c>
      <c r="QC9" s="1321"/>
      <c r="QD9" s="1350"/>
      <c r="QE9" s="1321">
        <v>75</v>
      </c>
      <c r="QF9" s="1321"/>
      <c r="QG9" s="1350"/>
      <c r="QH9" s="1321">
        <v>86</v>
      </c>
      <c r="QI9" s="1321"/>
      <c r="QJ9" s="1350"/>
      <c r="QK9" s="1321">
        <v>0</v>
      </c>
      <c r="QL9" s="1321"/>
      <c r="QM9" s="1350"/>
      <c r="QN9" s="1321">
        <v>85</v>
      </c>
      <c r="QO9" s="1321"/>
      <c r="QP9" s="1350"/>
      <c r="QQ9" s="1321">
        <v>81</v>
      </c>
      <c r="QR9" s="1321"/>
      <c r="QS9" s="1350"/>
      <c r="QT9" s="1321">
        <v>81</v>
      </c>
      <c r="QU9" s="1321"/>
      <c r="QV9" s="1350"/>
      <c r="QW9" s="1321">
        <v>77</v>
      </c>
      <c r="QX9" s="1321"/>
      <c r="QY9" s="1350"/>
      <c r="QZ9" s="1321">
        <v>82</v>
      </c>
      <c r="RA9" s="1321"/>
      <c r="RB9" s="1350"/>
      <c r="RC9" s="1321">
        <v>0</v>
      </c>
      <c r="RD9" s="1321"/>
      <c r="RE9" s="1350"/>
      <c r="RF9" s="1321">
        <v>0</v>
      </c>
      <c r="RG9" s="1321"/>
      <c r="RH9" s="1350"/>
      <c r="RI9" s="1321">
        <v>79</v>
      </c>
      <c r="RJ9" s="1321"/>
      <c r="RK9" s="1350"/>
      <c r="RL9" s="1321">
        <v>85</v>
      </c>
      <c r="RM9" s="1321"/>
      <c r="RN9" s="1350"/>
      <c r="RO9" s="1321">
        <v>84</v>
      </c>
      <c r="RP9" s="1321"/>
      <c r="RQ9" s="1350"/>
      <c r="RR9" s="1321">
        <v>72</v>
      </c>
      <c r="RS9" s="1321"/>
      <c r="RT9" s="1350"/>
      <c r="RU9" s="1321">
        <v>81</v>
      </c>
      <c r="RV9" s="1321"/>
      <c r="RW9" s="1350"/>
      <c r="RX9" s="1321">
        <v>0</v>
      </c>
      <c r="RY9" s="1321"/>
      <c r="RZ9" s="1350"/>
      <c r="SA9" s="1321">
        <v>0</v>
      </c>
      <c r="SB9" s="1321"/>
      <c r="SC9" s="1350"/>
      <c r="SD9" s="1321">
        <v>0</v>
      </c>
      <c r="SE9" s="1321"/>
      <c r="SF9" s="1350"/>
      <c r="SG9" s="1321">
        <v>60</v>
      </c>
      <c r="SH9" s="1321"/>
      <c r="SI9" s="1350"/>
      <c r="SJ9" s="1321">
        <v>74</v>
      </c>
      <c r="SK9" s="1321"/>
      <c r="SL9" s="1350"/>
      <c r="SM9" s="1321">
        <v>83</v>
      </c>
      <c r="SN9" s="1321"/>
      <c r="SO9" s="1350"/>
      <c r="SP9" s="1321">
        <v>80</v>
      </c>
      <c r="SQ9" s="1321"/>
      <c r="SR9" s="1350"/>
      <c r="SS9" s="1321">
        <v>80</v>
      </c>
      <c r="ST9" s="1321"/>
      <c r="SU9" s="1350"/>
      <c r="SV9" s="1321">
        <v>87</v>
      </c>
      <c r="SW9" s="1321"/>
      <c r="SX9" s="1350"/>
      <c r="SY9" s="1321">
        <v>76</v>
      </c>
      <c r="SZ9" s="1321"/>
      <c r="TA9" s="1350"/>
      <c r="TB9" s="1321">
        <v>82</v>
      </c>
      <c r="TC9" s="1321"/>
      <c r="TD9" s="1350"/>
      <c r="TE9" s="1321">
        <v>82</v>
      </c>
      <c r="TF9" s="1321"/>
      <c r="TG9" s="1350"/>
      <c r="TH9" s="1321">
        <v>82</v>
      </c>
      <c r="TI9" s="1321"/>
      <c r="TJ9" s="1350"/>
      <c r="TK9" s="1321">
        <v>79</v>
      </c>
      <c r="TL9" s="1321"/>
      <c r="TM9" s="1350"/>
      <c r="TN9" s="1321">
        <v>78</v>
      </c>
      <c r="TO9" s="1321"/>
      <c r="TP9" s="1350"/>
      <c r="TQ9" s="1321">
        <v>81</v>
      </c>
      <c r="TR9" s="1321"/>
      <c r="TS9" s="1350"/>
      <c r="TT9" s="1321">
        <v>79</v>
      </c>
      <c r="TU9" s="1321"/>
      <c r="TV9" s="1350"/>
      <c r="TW9" s="1321">
        <v>80</v>
      </c>
      <c r="TX9" s="1321"/>
      <c r="TY9" s="1350"/>
      <c r="TZ9" s="1321">
        <v>77</v>
      </c>
      <c r="UA9" s="1321"/>
      <c r="UB9" s="1350"/>
      <c r="UC9" s="1321">
        <v>80</v>
      </c>
      <c r="UD9" s="1321"/>
      <c r="UE9" s="1350"/>
      <c r="UF9" s="1321">
        <v>80</v>
      </c>
      <c r="UG9" s="1321"/>
      <c r="UH9" s="1350"/>
      <c r="UI9" s="1321">
        <v>0</v>
      </c>
      <c r="UJ9" s="1321"/>
      <c r="UK9" s="1350"/>
      <c r="UL9" s="1321">
        <v>0</v>
      </c>
      <c r="UM9" s="1321"/>
      <c r="UN9" s="1350"/>
      <c r="UO9" s="1321">
        <v>79</v>
      </c>
      <c r="UP9" s="1321"/>
      <c r="UQ9" s="1350"/>
      <c r="UR9" s="1321">
        <v>84</v>
      </c>
      <c r="US9" s="1321"/>
      <c r="UT9" s="1350"/>
      <c r="UU9" s="1321">
        <v>81</v>
      </c>
      <c r="UV9" s="1321"/>
      <c r="UW9" s="1350"/>
      <c r="UX9" s="1321">
        <v>82</v>
      </c>
      <c r="UY9" s="1321"/>
      <c r="UZ9" s="1350"/>
      <c r="VA9" s="1321">
        <v>82</v>
      </c>
      <c r="VB9" s="1321"/>
      <c r="VC9" s="1350"/>
      <c r="VD9" s="1321">
        <v>0</v>
      </c>
      <c r="VE9" s="1321"/>
      <c r="VF9" s="1350"/>
      <c r="VG9" s="1321">
        <v>0</v>
      </c>
      <c r="VH9" s="1321"/>
      <c r="VI9" s="1350"/>
      <c r="VJ9" s="1321">
        <v>48</v>
      </c>
      <c r="VK9" s="1321"/>
      <c r="VL9" s="1350"/>
      <c r="VM9" s="1321">
        <v>81</v>
      </c>
      <c r="VN9" s="1321"/>
      <c r="VO9" s="1350"/>
      <c r="VP9" s="1321">
        <v>80</v>
      </c>
      <c r="VQ9" s="1321"/>
      <c r="VR9" s="1350"/>
      <c r="VS9" s="1321">
        <v>87</v>
      </c>
      <c r="VT9" s="1321"/>
      <c r="VU9" s="1350"/>
      <c r="VV9" s="1321">
        <v>82</v>
      </c>
      <c r="VW9" s="1321"/>
      <c r="VX9" s="1350"/>
      <c r="VY9" s="1321">
        <v>0</v>
      </c>
      <c r="VZ9" s="1321"/>
      <c r="WA9" s="1350"/>
      <c r="WB9" s="1321">
        <v>0</v>
      </c>
      <c r="WC9" s="1321"/>
      <c r="WD9" s="1350"/>
      <c r="WE9" s="1321">
        <v>84</v>
      </c>
      <c r="WF9" s="1321"/>
      <c r="WG9" s="1350"/>
      <c r="WH9" s="1321">
        <v>84</v>
      </c>
      <c r="WI9" s="1321"/>
      <c r="WJ9" s="1350"/>
      <c r="WK9" s="1321">
        <v>86</v>
      </c>
      <c r="WL9" s="1321"/>
      <c r="WM9" s="1350"/>
      <c r="WN9" s="1321">
        <v>82</v>
      </c>
      <c r="WO9" s="1321"/>
      <c r="WP9" s="1350"/>
      <c r="WQ9" s="1321">
        <v>83</v>
      </c>
      <c r="WR9" s="1321"/>
      <c r="WS9" s="1350"/>
      <c r="WT9" s="1321">
        <v>0</v>
      </c>
      <c r="WU9" s="1321"/>
      <c r="WV9" s="1350"/>
      <c r="WW9" s="1321">
        <v>0</v>
      </c>
      <c r="WX9" s="1321"/>
      <c r="WY9" s="1350"/>
      <c r="WZ9" s="1321">
        <v>79</v>
      </c>
      <c r="XA9" s="1321"/>
      <c r="XB9" s="1350"/>
      <c r="XC9" s="1321">
        <v>86</v>
      </c>
      <c r="XD9" s="1321"/>
      <c r="XE9" s="1350"/>
      <c r="XF9" s="1321">
        <v>84</v>
      </c>
      <c r="XG9" s="1321"/>
      <c r="XH9" s="1350"/>
      <c r="XI9" s="1321">
        <v>85</v>
      </c>
      <c r="XJ9" s="1321"/>
      <c r="XK9" s="1350"/>
      <c r="XL9" s="1321">
        <v>77</v>
      </c>
      <c r="XM9" s="1321"/>
      <c r="XN9" s="1350"/>
      <c r="XO9" s="1321">
        <v>0</v>
      </c>
      <c r="XP9" s="1321"/>
      <c r="XQ9" s="1350"/>
      <c r="XR9" s="1321">
        <v>0</v>
      </c>
      <c r="XS9" s="1321"/>
      <c r="XT9" s="1350"/>
      <c r="XU9" s="1321">
        <v>84</v>
      </c>
      <c r="XV9" s="1321"/>
      <c r="XW9" s="1350"/>
      <c r="XX9" s="1321">
        <v>82</v>
      </c>
      <c r="XY9" s="1321"/>
      <c r="XZ9" s="1350"/>
      <c r="YA9" s="1321">
        <v>87</v>
      </c>
      <c r="YB9" s="1321"/>
      <c r="YC9" s="1350"/>
      <c r="YD9" s="1321">
        <v>73</v>
      </c>
      <c r="YE9" s="1321"/>
      <c r="YF9" s="1350"/>
      <c r="YG9" s="1321">
        <v>84</v>
      </c>
      <c r="YH9" s="1321"/>
      <c r="YI9" s="1350"/>
      <c r="YJ9" s="1321">
        <v>0</v>
      </c>
      <c r="YK9" s="1321"/>
      <c r="YL9" s="1350"/>
      <c r="YM9" s="1321">
        <v>0</v>
      </c>
      <c r="YN9" s="1321"/>
      <c r="YO9" s="1350"/>
      <c r="YP9" s="1321">
        <v>84</v>
      </c>
      <c r="YQ9" s="1321"/>
      <c r="YR9" s="1350"/>
      <c r="YS9" s="1321">
        <v>81</v>
      </c>
      <c r="YT9" s="1321"/>
      <c r="YU9" s="1350"/>
      <c r="YV9" s="1321">
        <v>83</v>
      </c>
      <c r="YW9" s="1321"/>
      <c r="YX9" s="1350"/>
      <c r="YY9" s="1321">
        <v>84</v>
      </c>
      <c r="YZ9" s="1321"/>
      <c r="ZA9" s="1350"/>
      <c r="ZB9" s="1321">
        <v>83</v>
      </c>
      <c r="ZC9" s="1321"/>
      <c r="ZD9" s="1350"/>
      <c r="ZE9" s="1321">
        <v>0</v>
      </c>
      <c r="ZF9" s="1321"/>
      <c r="ZG9" s="1350"/>
      <c r="ZH9" s="1321">
        <v>0</v>
      </c>
      <c r="ZI9" s="1321"/>
      <c r="ZJ9" s="1350"/>
      <c r="ZK9" s="1321">
        <v>71</v>
      </c>
      <c r="ZL9" s="1321"/>
      <c r="ZM9" s="1350"/>
      <c r="ZN9" s="1321">
        <v>75</v>
      </c>
      <c r="ZO9" s="1321"/>
      <c r="ZP9" s="1350"/>
      <c r="ZQ9" s="1321">
        <v>71</v>
      </c>
      <c r="ZR9" s="1321"/>
      <c r="ZS9" s="1350"/>
      <c r="ZT9" s="1321">
        <v>69</v>
      </c>
      <c r="ZU9" s="1321"/>
      <c r="ZV9" s="1350"/>
      <c r="ZW9" s="1321">
        <v>73</v>
      </c>
      <c r="ZX9" s="1321"/>
      <c r="ZY9" s="1350"/>
      <c r="ZZ9" s="1321">
        <v>71</v>
      </c>
      <c r="AAA9" s="1321"/>
      <c r="AAB9" s="1350"/>
      <c r="AAC9" s="1321">
        <v>0</v>
      </c>
      <c r="AAD9" s="1321"/>
      <c r="AAE9" s="1350"/>
      <c r="AAF9" s="1321">
        <v>69</v>
      </c>
      <c r="AAG9" s="1321"/>
      <c r="AAH9" s="1350"/>
      <c r="AAI9" s="1321">
        <v>82</v>
      </c>
      <c r="AAJ9" s="1321"/>
      <c r="AAK9" s="1350"/>
      <c r="AAL9" s="1321">
        <v>64</v>
      </c>
      <c r="AAM9" s="1321"/>
      <c r="AAN9" s="1350"/>
      <c r="AAO9" s="1321">
        <v>71</v>
      </c>
      <c r="AAP9" s="1321"/>
      <c r="AAQ9" s="1350"/>
      <c r="AAR9" s="1321">
        <v>69</v>
      </c>
      <c r="AAS9" s="1321"/>
      <c r="AAT9" s="1350"/>
      <c r="AAU9" s="1321">
        <v>82</v>
      </c>
      <c r="AAV9" s="1321"/>
      <c r="AAW9" s="1350"/>
      <c r="AAX9" s="1321">
        <v>0</v>
      </c>
      <c r="AAY9" s="1321"/>
      <c r="AAZ9" s="1350"/>
      <c r="ABA9" s="1321">
        <v>71</v>
      </c>
      <c r="ABB9" s="1321"/>
      <c r="ABC9" s="1350"/>
      <c r="ABD9" s="1321">
        <v>62</v>
      </c>
      <c r="ABE9" s="1321"/>
      <c r="ABF9" s="1350"/>
      <c r="ABG9" s="1321">
        <v>75</v>
      </c>
      <c r="ABH9" s="1321"/>
      <c r="ABI9" s="1350"/>
      <c r="ABJ9" s="1321">
        <v>64</v>
      </c>
      <c r="ABK9" s="1321"/>
      <c r="ABL9" s="1350"/>
      <c r="ABM9" s="1321">
        <v>83</v>
      </c>
      <c r="ABN9" s="1321"/>
      <c r="ABO9" s="1350"/>
      <c r="ABP9" s="1321">
        <v>81</v>
      </c>
      <c r="ABQ9" s="1321"/>
      <c r="ABR9" s="1350"/>
      <c r="ABS9" s="1321">
        <v>0</v>
      </c>
      <c r="ABT9" s="1321"/>
      <c r="ABU9" s="1350"/>
      <c r="ABV9" s="1321">
        <v>74</v>
      </c>
      <c r="ABW9" s="1321"/>
      <c r="ABX9" s="1350"/>
      <c r="ABY9" s="1321">
        <v>81</v>
      </c>
      <c r="ABZ9" s="1321"/>
      <c r="ACA9" s="1350"/>
      <c r="ACB9" s="1321">
        <v>83</v>
      </c>
      <c r="ACC9" s="1321"/>
      <c r="ACD9" s="1350"/>
      <c r="ACE9" s="1321">
        <v>71</v>
      </c>
      <c r="ACF9" s="1321"/>
      <c r="ACG9" s="1350"/>
      <c r="ACH9" s="1321">
        <v>79</v>
      </c>
      <c r="ACI9" s="1321"/>
      <c r="ACJ9" s="1350"/>
      <c r="ACK9" s="1321">
        <v>0</v>
      </c>
      <c r="ACL9" s="1321"/>
      <c r="ACM9" s="1350"/>
      <c r="ACN9" s="1321">
        <v>0</v>
      </c>
      <c r="ACO9" s="1321"/>
      <c r="ACP9" s="1350"/>
      <c r="ACQ9" s="1321">
        <v>67</v>
      </c>
      <c r="ACR9" s="1321"/>
      <c r="ACS9" s="1350"/>
      <c r="ACT9" s="1321">
        <v>76</v>
      </c>
      <c r="ACU9" s="1321"/>
      <c r="ACV9" s="1350"/>
      <c r="ACW9" s="1321">
        <v>76</v>
      </c>
      <c r="ACX9" s="1321"/>
      <c r="ACY9" s="1350"/>
      <c r="ACZ9" s="1321">
        <v>76</v>
      </c>
      <c r="ADA9" s="1321"/>
      <c r="ADB9" s="1350"/>
      <c r="ADC9" s="1321">
        <v>78</v>
      </c>
      <c r="ADD9" s="1321"/>
      <c r="ADE9" s="1350"/>
      <c r="ADF9" s="1321">
        <v>94</v>
      </c>
      <c r="ADG9" s="1321"/>
      <c r="ADH9" s="1350"/>
      <c r="ADI9" s="1321">
        <v>74</v>
      </c>
      <c r="ADJ9" s="1321"/>
      <c r="ADK9" s="1350"/>
      <c r="ADL9" s="1321">
        <v>74</v>
      </c>
      <c r="ADM9" s="1321"/>
      <c r="ADN9" s="1350"/>
      <c r="ADO9" s="1321">
        <v>77</v>
      </c>
      <c r="ADP9" s="1321"/>
      <c r="ADQ9" s="1350"/>
      <c r="ADR9" s="1321">
        <v>80</v>
      </c>
      <c r="ADS9" s="1321"/>
      <c r="ADT9" s="1350"/>
      <c r="ADU9" s="1321">
        <v>79</v>
      </c>
      <c r="ADV9" s="1321"/>
      <c r="ADW9" s="1350"/>
      <c r="ADX9" s="1321">
        <v>71</v>
      </c>
      <c r="ADY9" s="1321"/>
      <c r="ADZ9" s="1350"/>
      <c r="AEA9" s="1321">
        <v>65</v>
      </c>
      <c r="AEB9" s="1321"/>
      <c r="AEC9" s="1350"/>
      <c r="AED9" s="1321">
        <v>85</v>
      </c>
      <c r="AEE9" s="1321"/>
      <c r="AEF9" s="1350"/>
      <c r="AEG9" s="1321">
        <v>72</v>
      </c>
      <c r="AEH9" s="1321"/>
      <c r="AEI9" s="1350"/>
      <c r="AEJ9" s="1321">
        <v>76</v>
      </c>
      <c r="AEK9" s="1321"/>
      <c r="AEL9" s="1350"/>
      <c r="AEM9" s="1321">
        <v>80</v>
      </c>
      <c r="AEN9" s="1321"/>
      <c r="AEO9" s="1350"/>
      <c r="AEP9" s="1321">
        <v>77</v>
      </c>
      <c r="AEQ9" s="1321"/>
      <c r="AER9" s="1350"/>
      <c r="AES9" s="1321">
        <v>74</v>
      </c>
      <c r="AET9" s="1321"/>
      <c r="AEU9" s="1350"/>
      <c r="AEV9" s="1326">
        <v>71</v>
      </c>
      <c r="AEW9" s="1326"/>
      <c r="AEX9" s="1327"/>
      <c r="AEY9" s="1326">
        <v>80</v>
      </c>
      <c r="AEZ9" s="1326"/>
      <c r="AFA9" s="1327"/>
      <c r="AFB9" s="1326">
        <v>82</v>
      </c>
      <c r="AFC9" s="1326"/>
      <c r="AFD9" s="1327"/>
      <c r="AFE9" s="1326">
        <v>83</v>
      </c>
      <c r="AFF9" s="1326"/>
      <c r="AFG9" s="1327"/>
      <c r="AFH9" s="1326">
        <v>70</v>
      </c>
      <c r="AFI9" s="1326"/>
      <c r="AFJ9" s="1327"/>
      <c r="AFK9" s="1326">
        <v>83</v>
      </c>
      <c r="AFL9" s="1326"/>
      <c r="AFM9" s="1327"/>
      <c r="AFN9" s="1326">
        <v>81</v>
      </c>
      <c r="AFO9" s="1326"/>
      <c r="AFP9" s="1327"/>
      <c r="AFQ9" s="1326">
        <v>0</v>
      </c>
      <c r="AFR9" s="1326"/>
      <c r="AFS9" s="1327"/>
      <c r="AFT9" s="1326">
        <v>0</v>
      </c>
      <c r="AFU9" s="1326"/>
      <c r="AFV9" s="1327"/>
      <c r="AFW9" s="1326">
        <v>73</v>
      </c>
      <c r="AFX9" s="1326"/>
      <c r="AFY9" s="1327"/>
      <c r="AFZ9" s="1326">
        <v>76</v>
      </c>
      <c r="AGA9" s="1326"/>
      <c r="AGB9" s="1327"/>
      <c r="AGC9" s="1326">
        <v>74</v>
      </c>
      <c r="AGD9" s="1326"/>
      <c r="AGE9" s="1327"/>
      <c r="AGF9" s="1326">
        <v>78</v>
      </c>
      <c r="AGG9" s="1326"/>
      <c r="AGH9" s="1327"/>
      <c r="AGI9" s="1326">
        <v>68</v>
      </c>
      <c r="AGJ9" s="1326"/>
      <c r="AGK9" s="1327"/>
      <c r="AGL9" s="1326">
        <v>91</v>
      </c>
      <c r="AGM9" s="1326"/>
      <c r="AGN9" s="1327"/>
      <c r="AGO9" s="1326">
        <v>81</v>
      </c>
      <c r="AGP9" s="1326"/>
      <c r="AGQ9" s="1327"/>
      <c r="AGR9" s="1326">
        <v>72</v>
      </c>
      <c r="AGS9" s="1326"/>
      <c r="AGT9" s="1327"/>
      <c r="AGU9" s="1326">
        <v>74</v>
      </c>
      <c r="AGV9" s="1326"/>
      <c r="AGW9" s="1327"/>
      <c r="AGX9" s="1326">
        <v>81</v>
      </c>
      <c r="AGY9" s="1326"/>
      <c r="AGZ9" s="1327"/>
      <c r="AHA9" s="1326">
        <v>84</v>
      </c>
      <c r="AHB9" s="1326"/>
      <c r="AHC9" s="1327"/>
      <c r="AHD9" s="1326">
        <v>80</v>
      </c>
      <c r="AHE9" s="1326"/>
      <c r="AHF9" s="1327"/>
      <c r="AHG9" s="1326">
        <v>80</v>
      </c>
      <c r="AHH9" s="1326"/>
      <c r="AHI9" s="1327"/>
      <c r="AHJ9" s="1326">
        <v>0</v>
      </c>
      <c r="AHK9" s="1326"/>
      <c r="AHL9" s="1327"/>
      <c r="AHM9" s="1326">
        <v>0</v>
      </c>
      <c r="AHN9" s="1326"/>
      <c r="AHO9" s="1327"/>
      <c r="AHP9" s="1326">
        <v>81</v>
      </c>
      <c r="AHQ9" s="1326"/>
      <c r="AHR9" s="1327"/>
      <c r="AHS9" s="1326">
        <v>84</v>
      </c>
      <c r="AHT9" s="1326"/>
      <c r="AHU9" s="1327"/>
      <c r="AHV9" s="1326">
        <v>83</v>
      </c>
      <c r="AHW9" s="1326"/>
      <c r="AHX9" s="1327"/>
      <c r="AHY9" s="1326">
        <v>81</v>
      </c>
      <c r="AHZ9" s="1326"/>
      <c r="AIA9" s="1327"/>
      <c r="AIB9" s="1326">
        <v>87</v>
      </c>
      <c r="AIC9" s="1326"/>
      <c r="AID9" s="1327"/>
      <c r="AIE9" s="1326">
        <v>76</v>
      </c>
      <c r="AIF9" s="1326"/>
      <c r="AIG9" s="1327"/>
      <c r="AIH9" s="1326">
        <v>69</v>
      </c>
      <c r="AII9" s="1326"/>
      <c r="AIJ9" s="1327"/>
      <c r="AIK9" s="1326">
        <v>84</v>
      </c>
      <c r="AIL9" s="1326"/>
      <c r="AIM9" s="1327"/>
      <c r="AIN9" s="1326">
        <v>80</v>
      </c>
      <c r="AIO9" s="1326"/>
      <c r="AIP9" s="1327"/>
      <c r="AIQ9" s="1326">
        <v>84</v>
      </c>
      <c r="AIR9" s="1326"/>
      <c r="AIS9" s="1327"/>
      <c r="AIT9" s="1326">
        <v>81</v>
      </c>
      <c r="AIU9" s="1326"/>
      <c r="AIV9" s="1327"/>
      <c r="AIW9" s="1326">
        <v>63</v>
      </c>
      <c r="AIX9" s="1326"/>
      <c r="AIY9" s="1327"/>
      <c r="AIZ9" s="1326">
        <v>0</v>
      </c>
      <c r="AJA9" s="1326"/>
      <c r="AJB9" s="1327"/>
      <c r="AJC9" s="1326">
        <v>0</v>
      </c>
      <c r="AJD9" s="1326"/>
      <c r="AJE9" s="1327"/>
      <c r="AJF9" s="1326">
        <v>76</v>
      </c>
      <c r="AJG9" s="1326"/>
      <c r="AJH9" s="1327"/>
      <c r="AJI9" s="1326">
        <v>79</v>
      </c>
      <c r="AJJ9" s="1326"/>
      <c r="AJK9" s="1327"/>
      <c r="AJL9" s="1326">
        <v>69</v>
      </c>
      <c r="AJM9" s="1326"/>
      <c r="AJN9" s="1327"/>
      <c r="AJO9" s="1326">
        <v>80</v>
      </c>
      <c r="AJP9" s="1326"/>
      <c r="AJQ9" s="1327"/>
      <c r="AJR9" s="1326">
        <v>79</v>
      </c>
      <c r="AJS9" s="1326"/>
      <c r="AJT9" s="1327"/>
      <c r="AJU9" s="1326">
        <v>84</v>
      </c>
      <c r="AJV9" s="1326"/>
      <c r="AJW9" s="1327"/>
      <c r="AJX9" s="1326">
        <v>80</v>
      </c>
      <c r="AJY9" s="1326"/>
      <c r="AJZ9" s="1327"/>
      <c r="AKA9" s="1326">
        <v>74</v>
      </c>
      <c r="AKB9" s="1326"/>
      <c r="AKC9" s="1327"/>
      <c r="AKD9" s="1326">
        <v>62</v>
      </c>
      <c r="AKE9" s="1326"/>
      <c r="AKF9" s="1327"/>
      <c r="AKG9" s="1326">
        <v>77</v>
      </c>
      <c r="AKH9" s="1326"/>
      <c r="AKI9" s="1327"/>
      <c r="AKJ9" s="1326">
        <v>81</v>
      </c>
      <c r="AKK9" s="1326"/>
      <c r="AKL9" s="1327"/>
      <c r="AKM9" s="1326">
        <v>61</v>
      </c>
      <c r="AKN9" s="1326"/>
      <c r="AKO9" s="1327"/>
      <c r="AKP9" s="1326">
        <v>80</v>
      </c>
      <c r="AKQ9" s="1326"/>
      <c r="AKR9" s="1327"/>
      <c r="AKS9" s="1326">
        <v>82</v>
      </c>
      <c r="AKT9" s="1326"/>
      <c r="AKU9" s="1327"/>
      <c r="AKV9" s="1326">
        <v>73</v>
      </c>
      <c r="AKW9" s="1326"/>
      <c r="AKX9" s="1327"/>
      <c r="AKY9" s="1326">
        <v>81</v>
      </c>
      <c r="AKZ9" s="1326"/>
      <c r="ALA9" s="1327"/>
      <c r="ALB9" s="1326">
        <v>0</v>
      </c>
      <c r="ALC9" s="1326"/>
      <c r="ALD9" s="1327"/>
      <c r="ALE9" s="1326">
        <v>72</v>
      </c>
      <c r="ALF9" s="1326"/>
      <c r="ALG9" s="1327"/>
      <c r="ALH9" s="1326">
        <v>79</v>
      </c>
      <c r="ALI9" s="1326"/>
      <c r="ALJ9" s="1327"/>
      <c r="ALK9" s="1326">
        <v>75</v>
      </c>
      <c r="ALL9" s="1326"/>
      <c r="ALM9" s="1327"/>
      <c r="ALN9" s="1326">
        <v>80</v>
      </c>
      <c r="ALO9" s="1326"/>
      <c r="ALP9" s="1327"/>
      <c r="ALQ9" s="1326">
        <v>79</v>
      </c>
      <c r="ALR9" s="1326"/>
      <c r="ALS9" s="1327"/>
      <c r="ALT9" s="1326">
        <v>83</v>
      </c>
      <c r="ALU9" s="1326"/>
      <c r="ALV9" s="1327"/>
      <c r="ALW9" s="1326">
        <v>0</v>
      </c>
      <c r="ALX9" s="1326"/>
      <c r="ALY9" s="1327"/>
      <c r="ALZ9" s="1326">
        <v>79</v>
      </c>
      <c r="AMA9" s="1326"/>
      <c r="AMB9" s="1327"/>
      <c r="AMC9" s="1326">
        <v>79</v>
      </c>
      <c r="AMD9" s="1326"/>
      <c r="AME9" s="1327"/>
      <c r="AMF9" s="1326">
        <v>0</v>
      </c>
      <c r="AMG9" s="1326"/>
      <c r="AMH9" s="1327"/>
      <c r="AMI9" s="1326">
        <v>75</v>
      </c>
      <c r="AMJ9" s="1326"/>
      <c r="AMK9" s="1327"/>
      <c r="AML9" s="1326">
        <v>76</v>
      </c>
      <c r="AMM9" s="1326"/>
      <c r="AMN9" s="1327"/>
      <c r="AMO9" s="1326">
        <v>77</v>
      </c>
      <c r="AMP9" s="1326"/>
      <c r="AMQ9" s="1327"/>
      <c r="AMR9" s="1326">
        <v>76</v>
      </c>
      <c r="AMS9" s="1326"/>
      <c r="AMT9" s="1327"/>
      <c r="AMU9" s="1326">
        <v>75</v>
      </c>
      <c r="AMV9" s="1326"/>
      <c r="AMW9" s="1327"/>
      <c r="AMX9" s="1326">
        <v>76</v>
      </c>
      <c r="AMY9" s="1326"/>
      <c r="AMZ9" s="1327"/>
      <c r="ANA9" s="1326">
        <v>81</v>
      </c>
      <c r="ANB9" s="1326"/>
      <c r="ANC9" s="1327"/>
      <c r="AND9" s="1326">
        <v>66</v>
      </c>
      <c r="ANE9" s="1326"/>
      <c r="ANF9" s="1327"/>
      <c r="ANG9" s="1326">
        <v>67</v>
      </c>
      <c r="ANH9" s="1326"/>
      <c r="ANI9" s="1327"/>
      <c r="ANJ9" s="1326">
        <v>80</v>
      </c>
      <c r="ANK9" s="1326"/>
      <c r="ANL9" s="1327"/>
      <c r="ANM9" s="1326">
        <v>82</v>
      </c>
      <c r="ANN9" s="1326"/>
      <c r="ANO9" s="1327"/>
      <c r="ANP9" s="1326">
        <v>82</v>
      </c>
      <c r="ANQ9" s="1326"/>
      <c r="ANR9" s="1327"/>
      <c r="ANS9" s="1326">
        <v>84</v>
      </c>
      <c r="ANT9" s="1326"/>
      <c r="ANU9" s="1327"/>
      <c r="ANV9" s="1326">
        <v>0</v>
      </c>
      <c r="ANW9" s="1326"/>
      <c r="ANX9" s="1327"/>
      <c r="ANY9" s="1326">
        <v>82</v>
      </c>
      <c r="ANZ9" s="1326"/>
      <c r="AOA9" s="1327"/>
      <c r="AOB9" s="1326">
        <v>81</v>
      </c>
      <c r="AOC9" s="1326"/>
      <c r="AOD9" s="1327"/>
      <c r="AOE9" s="1326">
        <v>74</v>
      </c>
      <c r="AOF9" s="1326"/>
      <c r="AOG9" s="1327"/>
      <c r="AOH9" s="1326">
        <v>86</v>
      </c>
      <c r="AOI9" s="1326"/>
      <c r="AOJ9" s="1327"/>
      <c r="AOK9" s="1326">
        <v>89</v>
      </c>
      <c r="AOL9" s="1326"/>
      <c r="AOM9" s="1327"/>
      <c r="AON9" s="1326">
        <v>82</v>
      </c>
      <c r="AOO9" s="1326"/>
      <c r="AOP9" s="1327"/>
      <c r="AOQ9" s="1326">
        <v>78</v>
      </c>
      <c r="AOR9" s="1326"/>
      <c r="AOS9" s="1327"/>
      <c r="AOT9" s="1326">
        <v>82</v>
      </c>
      <c r="AOU9" s="1326"/>
      <c r="AOV9" s="1327"/>
      <c r="AOW9" s="1326">
        <v>75</v>
      </c>
      <c r="AOX9" s="1326"/>
      <c r="AOY9" s="1327"/>
      <c r="AOZ9" s="1326">
        <v>86</v>
      </c>
      <c r="APA9" s="1326"/>
      <c r="APB9" s="1327"/>
      <c r="APC9" s="1326">
        <v>80</v>
      </c>
      <c r="APD9" s="1326"/>
      <c r="APE9" s="1327"/>
      <c r="APF9" s="1326">
        <v>86</v>
      </c>
      <c r="APG9" s="1326"/>
      <c r="APH9" s="1327"/>
      <c r="API9" s="1326">
        <v>0</v>
      </c>
      <c r="APJ9" s="1326"/>
      <c r="APK9" s="1327"/>
      <c r="APL9" s="1326">
        <v>0</v>
      </c>
      <c r="APM9" s="1326"/>
      <c r="APN9" s="1327"/>
      <c r="APO9" s="1326">
        <v>78</v>
      </c>
      <c r="APP9" s="1326"/>
      <c r="APQ9" s="1327"/>
      <c r="APR9" s="1326">
        <v>86</v>
      </c>
      <c r="APS9" s="1326"/>
      <c r="APT9" s="1327"/>
      <c r="APU9" s="1326">
        <v>85</v>
      </c>
      <c r="APV9" s="1326"/>
      <c r="APW9" s="1327"/>
      <c r="APX9" s="1326">
        <v>74</v>
      </c>
      <c r="APY9" s="1326"/>
      <c r="APZ9" s="1327"/>
      <c r="AQA9" s="1326">
        <v>82</v>
      </c>
      <c r="AQB9" s="1326"/>
      <c r="AQC9" s="1327"/>
      <c r="AQD9" s="1326">
        <v>86</v>
      </c>
      <c r="AQE9" s="1326"/>
      <c r="AQF9" s="1327"/>
      <c r="AQG9" s="1326">
        <v>90</v>
      </c>
      <c r="AQH9" s="1326"/>
      <c r="AQI9" s="1327"/>
      <c r="AQJ9" s="1326">
        <v>81</v>
      </c>
      <c r="AQK9" s="1326"/>
      <c r="AQL9" s="1327"/>
      <c r="AQM9" s="1326">
        <v>87</v>
      </c>
      <c r="AQN9" s="1326"/>
      <c r="AQO9" s="1327"/>
      <c r="AQP9" s="1326">
        <v>81</v>
      </c>
      <c r="AQQ9" s="1326"/>
      <c r="AQR9" s="1327"/>
      <c r="AQS9" s="1326">
        <v>85</v>
      </c>
      <c r="AQT9" s="1326"/>
      <c r="AQU9" s="1327"/>
      <c r="AQV9" s="1326">
        <v>83</v>
      </c>
      <c r="AQW9" s="1326"/>
      <c r="AQX9" s="1327"/>
      <c r="AQY9" s="1326">
        <v>77</v>
      </c>
      <c r="AQZ9" s="1326"/>
      <c r="ARA9" s="1327"/>
      <c r="ARB9" s="1326">
        <v>0</v>
      </c>
      <c r="ARC9" s="1326"/>
      <c r="ARD9" s="1327"/>
      <c r="ARE9" s="1326">
        <v>0</v>
      </c>
      <c r="ARF9" s="1326"/>
      <c r="ARG9" s="1327"/>
      <c r="ARH9" s="1326">
        <v>81</v>
      </c>
      <c r="ARI9" s="1326"/>
      <c r="ARJ9" s="1327"/>
      <c r="ARK9" s="1326">
        <v>85</v>
      </c>
      <c r="ARL9" s="1326"/>
      <c r="ARM9" s="1327"/>
      <c r="ARN9" s="1326">
        <v>79</v>
      </c>
      <c r="ARO9" s="1326"/>
      <c r="ARP9" s="1327"/>
      <c r="ARQ9" s="1326">
        <v>82</v>
      </c>
      <c r="ARR9" s="1326"/>
      <c r="ARS9" s="1327"/>
      <c r="ART9" s="1326">
        <v>81</v>
      </c>
      <c r="ARU9" s="1326"/>
      <c r="ARV9" s="1327"/>
      <c r="ARW9" s="1326">
        <v>90</v>
      </c>
      <c r="ARX9" s="1326"/>
      <c r="ARY9" s="1327"/>
      <c r="ARZ9" s="1326">
        <v>84</v>
      </c>
      <c r="ASA9" s="1326"/>
      <c r="ASB9" s="1327"/>
      <c r="ASC9" s="1326">
        <v>85</v>
      </c>
      <c r="ASD9" s="1326"/>
      <c r="ASE9" s="1327"/>
      <c r="ASF9" s="1326">
        <v>85</v>
      </c>
      <c r="ASG9" s="1326"/>
      <c r="ASH9" s="1327"/>
      <c r="ASI9" s="1326">
        <v>82</v>
      </c>
      <c r="ASJ9" s="1326"/>
      <c r="ASK9" s="1327"/>
      <c r="ASL9" s="1326">
        <v>88</v>
      </c>
      <c r="ASM9" s="1326"/>
      <c r="ASN9" s="1327"/>
      <c r="ASO9" s="1326">
        <v>0</v>
      </c>
      <c r="ASP9" s="1326"/>
      <c r="ASQ9" s="1326"/>
      <c r="ASR9" s="1368">
        <v>0</v>
      </c>
      <c r="ASS9" s="1326"/>
      <c r="AST9" s="1327"/>
      <c r="ASU9" s="1326">
        <v>82</v>
      </c>
      <c r="ASV9" s="1326"/>
      <c r="ASW9" s="1327"/>
      <c r="ASX9" s="1326">
        <v>84</v>
      </c>
      <c r="ASY9" s="1326"/>
      <c r="ASZ9" s="1327"/>
      <c r="ATA9" s="1326">
        <v>84</v>
      </c>
      <c r="ATB9" s="1326"/>
      <c r="ATC9" s="1327"/>
      <c r="ATD9" s="1326">
        <v>87</v>
      </c>
      <c r="ATE9" s="1326"/>
      <c r="ATF9" s="1327"/>
      <c r="ATG9" s="1326">
        <v>83</v>
      </c>
      <c r="ATH9" s="1326"/>
      <c r="ATI9" s="1327"/>
      <c r="ATJ9" s="1326">
        <v>71</v>
      </c>
      <c r="ATK9" s="1326"/>
      <c r="ATL9" s="1327"/>
      <c r="ATM9" s="1326">
        <v>98</v>
      </c>
      <c r="ATN9" s="1326"/>
      <c r="ATO9" s="1327"/>
      <c r="ATP9" s="1326">
        <v>86</v>
      </c>
      <c r="ATQ9" s="1326"/>
      <c r="ATR9" s="1327"/>
      <c r="ATS9" s="1326">
        <v>83</v>
      </c>
      <c r="ATT9" s="1326"/>
      <c r="ATU9" s="1327"/>
      <c r="ATV9" s="1326">
        <v>88</v>
      </c>
      <c r="ATW9" s="1326"/>
      <c r="ATX9" s="1327"/>
      <c r="ATY9" s="1326">
        <v>76</v>
      </c>
      <c r="ATZ9" s="1326"/>
      <c r="AUA9" s="1327"/>
      <c r="AUB9" s="1326">
        <v>92</v>
      </c>
      <c r="AUC9" s="1326"/>
      <c r="AUD9" s="1327"/>
      <c r="AUE9" s="1326">
        <v>0</v>
      </c>
      <c r="AUF9" s="1326"/>
      <c r="AUG9" s="1327"/>
      <c r="AUH9" s="1326">
        <v>90</v>
      </c>
      <c r="AUI9" s="1326"/>
      <c r="AUJ9" s="1327"/>
      <c r="AUK9" s="1326">
        <v>84</v>
      </c>
      <c r="AUL9" s="1326"/>
      <c r="AUM9" s="1327"/>
      <c r="AUN9" s="1326">
        <v>82</v>
      </c>
      <c r="AUO9" s="1326"/>
      <c r="AUP9" s="1327"/>
      <c r="AUQ9" s="1326">
        <v>90</v>
      </c>
      <c r="AUR9" s="1326"/>
      <c r="AUS9" s="1327"/>
      <c r="AUT9" s="1326">
        <v>82</v>
      </c>
      <c r="AUU9" s="1326"/>
      <c r="AUV9" s="1327"/>
      <c r="AUW9" s="1326">
        <v>87</v>
      </c>
      <c r="AUX9" s="1326"/>
      <c r="AUY9" s="1327"/>
      <c r="AUZ9" s="1326">
        <v>81</v>
      </c>
      <c r="AVA9" s="1326"/>
      <c r="AVB9" s="1327"/>
      <c r="AVC9" s="1326">
        <v>93</v>
      </c>
      <c r="AVD9" s="1326"/>
      <c r="AVE9" s="1327"/>
      <c r="AVF9" s="1326">
        <v>81</v>
      </c>
      <c r="AVG9" s="1326"/>
      <c r="AVH9" s="1327"/>
      <c r="AVI9" s="1326">
        <v>92</v>
      </c>
      <c r="AVJ9" s="1326"/>
      <c r="AVK9" s="1327"/>
      <c r="AVL9" s="1326">
        <v>81</v>
      </c>
      <c r="AVM9" s="1326"/>
      <c r="AVN9" s="1327"/>
      <c r="AVO9" s="1326">
        <v>83</v>
      </c>
      <c r="AVP9" s="1326"/>
      <c r="AVQ9" s="1327"/>
      <c r="AVR9" s="1326">
        <v>0</v>
      </c>
      <c r="AVS9" s="1326"/>
      <c r="AVT9" s="1327"/>
      <c r="AVU9" s="1326">
        <v>0</v>
      </c>
      <c r="AVV9" s="1326"/>
      <c r="AVW9" s="1327"/>
      <c r="AVX9" s="1326">
        <v>0</v>
      </c>
      <c r="AVY9" s="1326"/>
      <c r="AVZ9" s="1327"/>
      <c r="AWA9" s="1326">
        <v>0</v>
      </c>
      <c r="AWB9" s="1326"/>
      <c r="AWC9" s="1327"/>
      <c r="AWD9" s="1326">
        <v>0</v>
      </c>
      <c r="AWE9" s="1326"/>
      <c r="AWF9" s="1327"/>
      <c r="AWG9" s="1326">
        <v>0</v>
      </c>
      <c r="AWH9" s="1326"/>
      <c r="AWI9" s="1327"/>
      <c r="AWJ9" s="1326">
        <v>0</v>
      </c>
      <c r="AWK9" s="1326"/>
      <c r="AWL9" s="1327"/>
      <c r="AWM9" s="1326">
        <v>0</v>
      </c>
      <c r="AWN9" s="1326"/>
      <c r="AWO9" s="1327"/>
      <c r="AWP9" s="1326">
        <v>0</v>
      </c>
      <c r="AWQ9" s="1326"/>
      <c r="AWR9" s="1327"/>
      <c r="AWS9" s="1326">
        <v>0</v>
      </c>
      <c r="AWT9" s="1326"/>
      <c r="AWU9" s="1327"/>
      <c r="AWV9" s="1326">
        <v>0</v>
      </c>
      <c r="AWW9" s="1326"/>
      <c r="AWX9" s="1327"/>
      <c r="AWY9" s="1326">
        <v>0</v>
      </c>
      <c r="AWZ9" s="1326"/>
      <c r="AXA9" s="1327"/>
      <c r="AXB9" s="1326">
        <v>0</v>
      </c>
      <c r="AXC9" s="1326"/>
      <c r="AXD9" s="1327"/>
      <c r="AXE9" s="1326">
        <v>0</v>
      </c>
      <c r="AXF9" s="1326"/>
      <c r="AXG9" s="1327"/>
      <c r="AXH9" s="1326">
        <v>0</v>
      </c>
      <c r="AXI9" s="1326"/>
      <c r="AXJ9" s="1327"/>
      <c r="AXK9" s="1326">
        <v>0</v>
      </c>
      <c r="AXL9" s="1326"/>
      <c r="AXM9" s="1327"/>
      <c r="AXN9" s="1326">
        <v>0</v>
      </c>
      <c r="AXO9" s="1326"/>
      <c r="AXP9" s="1327"/>
      <c r="AXQ9" s="1326">
        <v>0</v>
      </c>
      <c r="AXR9" s="1326"/>
      <c r="AXS9" s="1327"/>
      <c r="AXT9" s="1326">
        <v>0</v>
      </c>
      <c r="AXU9" s="1326"/>
      <c r="AXV9" s="1327"/>
      <c r="AXW9" s="1326">
        <v>0</v>
      </c>
      <c r="AXX9" s="1326"/>
      <c r="AXY9" s="1327"/>
      <c r="AXZ9" s="1326">
        <v>0</v>
      </c>
      <c r="AYA9" s="1326"/>
      <c r="AYB9" s="1327"/>
      <c r="AYC9" s="1326">
        <v>0</v>
      </c>
      <c r="AYD9" s="1326"/>
      <c r="AYE9" s="1327"/>
      <c r="AYF9" s="1326">
        <v>0</v>
      </c>
      <c r="AYG9" s="1326"/>
      <c r="AYH9" s="1327"/>
      <c r="AYI9" s="1326">
        <v>0</v>
      </c>
      <c r="AYJ9" s="1326"/>
      <c r="AYK9" s="1327"/>
      <c r="AYL9" s="1326">
        <v>0</v>
      </c>
      <c r="AYM9" s="1326"/>
      <c r="AYN9" s="1327"/>
      <c r="AYO9" s="1326">
        <v>0</v>
      </c>
      <c r="AYP9" s="1326"/>
      <c r="AYQ9" s="1327"/>
      <c r="AYR9" s="1326">
        <v>0</v>
      </c>
      <c r="AYS9" s="1326"/>
      <c r="AYT9" s="1327"/>
      <c r="AYU9" s="1326">
        <v>0</v>
      </c>
      <c r="AYV9" s="1326"/>
      <c r="AYW9" s="1327"/>
      <c r="AYX9" s="1326">
        <v>0</v>
      </c>
      <c r="AYY9" s="1326"/>
      <c r="AYZ9" s="1327"/>
      <c r="AZA9" s="1326">
        <v>0</v>
      </c>
      <c r="AZB9" s="1326"/>
      <c r="AZC9" s="1327"/>
      <c r="AZD9" s="1326">
        <v>0</v>
      </c>
      <c r="AZE9" s="1326"/>
      <c r="AZF9" s="1327"/>
      <c r="AZG9" s="1326">
        <v>0</v>
      </c>
      <c r="AZH9" s="1326"/>
      <c r="AZI9" s="1327"/>
      <c r="AZJ9" s="1326">
        <v>0</v>
      </c>
      <c r="AZK9" s="1326"/>
      <c r="AZL9" s="1327"/>
      <c r="AZM9" s="1326">
        <v>0</v>
      </c>
      <c r="AZN9" s="1326"/>
      <c r="AZO9" s="1327"/>
      <c r="AZP9" s="1326">
        <v>0</v>
      </c>
      <c r="AZQ9" s="1326"/>
      <c r="AZR9" s="1327"/>
      <c r="AZS9" s="1326">
        <v>0</v>
      </c>
      <c r="AZT9" s="1326"/>
      <c r="AZU9" s="1327"/>
      <c r="AZV9" s="1326">
        <v>0</v>
      </c>
      <c r="AZW9" s="1326"/>
      <c r="AZX9" s="1327"/>
      <c r="AZY9" s="1326">
        <v>0</v>
      </c>
      <c r="AZZ9" s="1326"/>
      <c r="BAA9" s="1327"/>
      <c r="BAB9" s="1326">
        <v>0</v>
      </c>
      <c r="BAC9" s="1326"/>
      <c r="BAD9" s="1327"/>
      <c r="BAE9" s="1326">
        <v>0</v>
      </c>
      <c r="BAF9" s="1326"/>
      <c r="BAG9" s="1327"/>
      <c r="BAH9" s="1326">
        <v>0</v>
      </c>
      <c r="BAI9" s="1326"/>
      <c r="BAJ9" s="1327"/>
    </row>
    <row r="10" spans="1:1388" ht="15" customHeight="1">
      <c r="B10" s="1419" t="s">
        <v>331</v>
      </c>
      <c r="C10" s="1420"/>
      <c r="D10" s="1421"/>
      <c r="E10" s="4" t="s">
        <v>327</v>
      </c>
      <c r="F10" s="1285" t="s">
        <v>20</v>
      </c>
      <c r="G10" s="1285"/>
      <c r="H10" s="1287"/>
      <c r="I10" s="1285">
        <v>94</v>
      </c>
      <c r="J10" s="1285"/>
      <c r="K10" s="1287"/>
      <c r="L10" s="1285">
        <v>81</v>
      </c>
      <c r="M10" s="1285"/>
      <c r="N10" s="1287"/>
      <c r="O10" s="1285">
        <v>74</v>
      </c>
      <c r="P10" s="1285"/>
      <c r="Q10" s="1287"/>
      <c r="R10" s="1285">
        <v>75</v>
      </c>
      <c r="S10" s="1285"/>
      <c r="T10" s="1287"/>
      <c r="U10" s="1285">
        <v>85</v>
      </c>
      <c r="V10" s="1285"/>
      <c r="W10" s="1287"/>
      <c r="X10" s="1285">
        <v>89</v>
      </c>
      <c r="Y10" s="1285"/>
      <c r="Z10" s="1287"/>
      <c r="AA10" s="1285">
        <v>71</v>
      </c>
      <c r="AB10" s="1285"/>
      <c r="AC10" s="1287"/>
      <c r="AD10" s="1285">
        <v>80</v>
      </c>
      <c r="AE10" s="1285"/>
      <c r="AF10" s="1287"/>
      <c r="AG10" s="1285" t="s">
        <v>20</v>
      </c>
      <c r="AH10" s="1285"/>
      <c r="AI10" s="1287"/>
      <c r="AJ10" s="1285">
        <v>88</v>
      </c>
      <c r="AK10" s="1285"/>
      <c r="AL10" s="1287"/>
      <c r="AM10" s="1285">
        <v>67</v>
      </c>
      <c r="AN10" s="1285"/>
      <c r="AO10" s="1287"/>
      <c r="AP10" s="1285">
        <v>77</v>
      </c>
      <c r="AQ10" s="1285"/>
      <c r="AR10" s="1287"/>
      <c r="AS10" s="1285">
        <v>82</v>
      </c>
      <c r="AT10" s="1285"/>
      <c r="AU10" s="1287"/>
      <c r="AV10" s="1285">
        <v>82</v>
      </c>
      <c r="AW10" s="1285"/>
      <c r="AX10" s="1287"/>
      <c r="AY10" s="1285">
        <v>83</v>
      </c>
      <c r="AZ10" s="1285"/>
      <c r="BA10" s="1287"/>
      <c r="BB10" s="1285" t="s">
        <v>20</v>
      </c>
      <c r="BC10" s="1285"/>
      <c r="BD10" s="1287"/>
      <c r="BE10" s="1285">
        <v>79</v>
      </c>
      <c r="BF10" s="1285"/>
      <c r="BG10" s="1287"/>
      <c r="BH10" s="1285">
        <v>69</v>
      </c>
      <c r="BI10" s="1285"/>
      <c r="BJ10" s="1287"/>
      <c r="BK10" s="1285">
        <v>86</v>
      </c>
      <c r="BL10" s="1285"/>
      <c r="BM10" s="1287"/>
      <c r="BN10" s="1285">
        <v>94</v>
      </c>
      <c r="BO10" s="1285"/>
      <c r="BP10" s="1287"/>
      <c r="BQ10" s="1285">
        <v>82</v>
      </c>
      <c r="BR10" s="1285"/>
      <c r="BS10" s="1287"/>
      <c r="BT10" s="1285">
        <v>92</v>
      </c>
      <c r="BU10" s="1285"/>
      <c r="BV10" s="1287"/>
      <c r="BW10" s="1285">
        <v>91</v>
      </c>
      <c r="BX10" s="1285"/>
      <c r="BY10" s="1287"/>
      <c r="BZ10" s="1285">
        <v>86</v>
      </c>
      <c r="CA10" s="1285"/>
      <c r="CB10" s="1287"/>
      <c r="CC10" s="1285">
        <v>83</v>
      </c>
      <c r="CD10" s="1285"/>
      <c r="CE10" s="1287"/>
      <c r="CF10" s="1285">
        <v>67</v>
      </c>
      <c r="CG10" s="1285"/>
      <c r="CH10" s="1287"/>
      <c r="CI10" s="1285">
        <v>84</v>
      </c>
      <c r="CJ10" s="1285"/>
      <c r="CK10" s="1287"/>
      <c r="CL10" s="1285">
        <v>82</v>
      </c>
      <c r="CM10" s="1285"/>
      <c r="CN10" s="1287"/>
      <c r="CO10" s="1285" t="s">
        <v>20</v>
      </c>
      <c r="CP10" s="1285"/>
      <c r="CQ10" s="1287"/>
      <c r="CR10" s="1285" t="s">
        <v>20</v>
      </c>
      <c r="CS10" s="1285"/>
      <c r="CT10" s="1287"/>
      <c r="CU10" s="1285">
        <v>76</v>
      </c>
      <c r="CV10" s="1285"/>
      <c r="CW10" s="1287"/>
      <c r="CX10" s="1285">
        <v>87</v>
      </c>
      <c r="CY10" s="1285"/>
      <c r="CZ10" s="1287"/>
      <c r="DA10" s="1285">
        <v>75</v>
      </c>
      <c r="DB10" s="1285"/>
      <c r="DC10" s="1287"/>
      <c r="DD10" s="1285">
        <v>44</v>
      </c>
      <c r="DE10" s="1285"/>
      <c r="DF10" s="1287"/>
      <c r="DG10" s="1285">
        <v>79</v>
      </c>
      <c r="DH10" s="1285"/>
      <c r="DI10" s="1287"/>
      <c r="DJ10" s="1285">
        <v>87</v>
      </c>
      <c r="DK10" s="1285"/>
      <c r="DL10" s="1287"/>
      <c r="DM10" s="1285" t="s">
        <v>20</v>
      </c>
      <c r="DN10" s="1285"/>
      <c r="DO10" s="1287"/>
      <c r="DP10" s="1285">
        <v>77</v>
      </c>
      <c r="DQ10" s="1285"/>
      <c r="DR10" s="1287"/>
      <c r="DS10" s="1285">
        <v>79</v>
      </c>
      <c r="DT10" s="1285"/>
      <c r="DU10" s="1287"/>
      <c r="DV10" s="1285">
        <v>88</v>
      </c>
      <c r="DW10" s="1285"/>
      <c r="DX10" s="1287"/>
      <c r="DY10" s="1285">
        <v>88</v>
      </c>
      <c r="DZ10" s="1285"/>
      <c r="EA10" s="1287"/>
      <c r="EB10" s="1285">
        <v>76</v>
      </c>
      <c r="EC10" s="1285"/>
      <c r="ED10" s="1287"/>
      <c r="EE10" s="1285">
        <v>92</v>
      </c>
      <c r="EF10" s="1285"/>
      <c r="EG10" s="1287"/>
      <c r="EH10" s="1285" t="s">
        <v>20</v>
      </c>
      <c r="EI10" s="1285"/>
      <c r="EJ10" s="1287"/>
      <c r="EK10" s="1285">
        <v>84</v>
      </c>
      <c r="EL10" s="1285"/>
      <c r="EM10" s="1287"/>
      <c r="EN10" s="1285">
        <v>86</v>
      </c>
      <c r="EO10" s="1285"/>
      <c r="EP10" s="1287"/>
      <c r="EQ10" s="1285">
        <v>84</v>
      </c>
      <c r="ER10" s="1285"/>
      <c r="ES10" s="1287"/>
      <c r="ET10" s="1285">
        <v>88</v>
      </c>
      <c r="EU10" s="1285"/>
      <c r="EV10" s="1287"/>
      <c r="EW10" s="1285">
        <v>87</v>
      </c>
      <c r="EX10" s="1285"/>
      <c r="EY10" s="1287"/>
      <c r="EZ10" s="1285">
        <v>95</v>
      </c>
      <c r="FA10" s="1285"/>
      <c r="FB10" s="1287"/>
      <c r="FC10" s="1285">
        <v>97</v>
      </c>
      <c r="FD10" s="1285"/>
      <c r="FE10" s="1287"/>
      <c r="FF10" s="1285">
        <v>75</v>
      </c>
      <c r="FG10" s="1285"/>
      <c r="FH10" s="1287"/>
      <c r="FI10" s="1285">
        <v>81</v>
      </c>
      <c r="FJ10" s="1285"/>
      <c r="FK10" s="1287"/>
      <c r="FL10" s="1285">
        <v>86</v>
      </c>
      <c r="FM10" s="1285"/>
      <c r="FN10" s="1287"/>
      <c r="FO10" s="1285">
        <v>81</v>
      </c>
      <c r="FP10" s="1285"/>
      <c r="FQ10" s="1287"/>
      <c r="FR10" s="1285">
        <v>86</v>
      </c>
      <c r="FS10" s="1285"/>
      <c r="FT10" s="1287"/>
      <c r="FU10" s="1285">
        <v>96</v>
      </c>
      <c r="FV10" s="1285"/>
      <c r="FW10" s="1287"/>
      <c r="FX10" s="1285">
        <v>0</v>
      </c>
      <c r="FY10" s="1285"/>
      <c r="FZ10" s="1287"/>
      <c r="GA10" s="1285">
        <v>61</v>
      </c>
      <c r="GB10" s="1285"/>
      <c r="GC10" s="1287"/>
      <c r="GD10" s="1285">
        <v>74</v>
      </c>
      <c r="GE10" s="1285"/>
      <c r="GF10" s="1287"/>
      <c r="GG10" s="1285">
        <v>94</v>
      </c>
      <c r="GH10" s="1285"/>
      <c r="GI10" s="1287"/>
      <c r="GJ10" s="1285">
        <v>91</v>
      </c>
      <c r="GK10" s="1285"/>
      <c r="GL10" s="1287"/>
      <c r="GM10" s="1285">
        <v>79</v>
      </c>
      <c r="GN10" s="1285"/>
      <c r="GO10" s="1287"/>
      <c r="GP10" s="1285" t="s">
        <v>20</v>
      </c>
      <c r="GQ10" s="1285"/>
      <c r="GR10" s="1287"/>
      <c r="GS10" s="1285" t="s">
        <v>20</v>
      </c>
      <c r="GT10" s="1285"/>
      <c r="GU10" s="1287"/>
      <c r="GV10" s="1285">
        <v>79</v>
      </c>
      <c r="GW10" s="1285"/>
      <c r="GX10" s="1287"/>
      <c r="GY10" s="1285">
        <v>89</v>
      </c>
      <c r="GZ10" s="1285"/>
      <c r="HA10" s="1287"/>
      <c r="HB10" s="1285">
        <v>86</v>
      </c>
      <c r="HC10" s="1285"/>
      <c r="HD10" s="1287"/>
      <c r="HE10" s="1285">
        <v>91</v>
      </c>
      <c r="HF10" s="1285"/>
      <c r="HG10" s="1287"/>
      <c r="HH10" s="1285">
        <v>86</v>
      </c>
      <c r="HI10" s="1285"/>
      <c r="HJ10" s="1287"/>
      <c r="HK10" s="1285">
        <v>87</v>
      </c>
      <c r="HL10" s="1285"/>
      <c r="HM10" s="1287"/>
      <c r="HN10" s="1285">
        <v>62</v>
      </c>
      <c r="HO10" s="1285"/>
      <c r="HP10" s="1287"/>
      <c r="HQ10" s="1285">
        <v>84</v>
      </c>
      <c r="HR10" s="1285"/>
      <c r="HS10" s="1287"/>
      <c r="HT10" s="1285">
        <v>86</v>
      </c>
      <c r="HU10" s="1285"/>
      <c r="HV10" s="1287"/>
      <c r="HW10" s="1285">
        <v>78</v>
      </c>
      <c r="HX10" s="1285"/>
      <c r="HY10" s="1287"/>
      <c r="HZ10" s="1285">
        <v>88</v>
      </c>
      <c r="IA10" s="1285"/>
      <c r="IB10" s="1287"/>
      <c r="IC10" s="1285" t="s">
        <v>20</v>
      </c>
      <c r="ID10" s="1285"/>
      <c r="IE10" s="1287"/>
      <c r="IF10" s="1285" t="s">
        <v>20</v>
      </c>
      <c r="IG10" s="1285"/>
      <c r="IH10" s="1287"/>
      <c r="II10" s="1285" t="s">
        <v>20</v>
      </c>
      <c r="IJ10" s="1285"/>
      <c r="IK10" s="1287"/>
      <c r="IL10" s="1285">
        <v>46</v>
      </c>
      <c r="IM10" s="1285"/>
      <c r="IN10" s="1287"/>
      <c r="IO10" s="1285">
        <v>88</v>
      </c>
      <c r="IP10" s="1285"/>
      <c r="IQ10" s="1287"/>
      <c r="IR10" s="1285">
        <v>85</v>
      </c>
      <c r="IS10" s="1285"/>
      <c r="IT10" s="1287"/>
      <c r="IU10" s="1285">
        <v>89</v>
      </c>
      <c r="IV10" s="1285"/>
      <c r="IW10" s="1287"/>
      <c r="IX10" s="1285">
        <v>86</v>
      </c>
      <c r="IY10" s="1285"/>
      <c r="IZ10" s="1287"/>
      <c r="JA10" s="1285">
        <v>96</v>
      </c>
      <c r="JB10" s="1285"/>
      <c r="JC10" s="1287"/>
      <c r="JD10" s="1285">
        <v>96</v>
      </c>
      <c r="JE10" s="1285"/>
      <c r="JF10" s="1287"/>
      <c r="JG10" s="1285">
        <v>80</v>
      </c>
      <c r="JH10" s="1285"/>
      <c r="JI10" s="1287"/>
      <c r="JJ10" s="1285">
        <v>83</v>
      </c>
      <c r="JK10" s="1285"/>
      <c r="JL10" s="1287"/>
      <c r="JM10" s="1285">
        <v>89</v>
      </c>
      <c r="JN10" s="1285"/>
      <c r="JO10" s="1287"/>
      <c r="JP10" s="1285" t="s">
        <v>20</v>
      </c>
      <c r="JQ10" s="1285"/>
      <c r="JR10" s="1287"/>
      <c r="JS10" s="1285">
        <v>78</v>
      </c>
      <c r="JT10" s="1285"/>
      <c r="JU10" s="1287"/>
      <c r="JV10" s="1285">
        <v>86</v>
      </c>
      <c r="JW10" s="1285"/>
      <c r="JX10" s="1287"/>
      <c r="JY10" s="1285" t="s">
        <v>20</v>
      </c>
      <c r="JZ10" s="1285"/>
      <c r="KA10" s="1287"/>
      <c r="KB10" s="1285">
        <v>70</v>
      </c>
      <c r="KC10" s="1285"/>
      <c r="KD10" s="1287"/>
      <c r="KE10" s="1285">
        <v>62</v>
      </c>
      <c r="KF10" s="1285"/>
      <c r="KG10" s="1287"/>
      <c r="KH10" s="1285">
        <v>55</v>
      </c>
      <c r="KI10" s="1285"/>
      <c r="KJ10" s="1287"/>
      <c r="KK10" s="1285">
        <v>89</v>
      </c>
      <c r="KL10" s="1285"/>
      <c r="KM10" s="1287"/>
      <c r="KN10" s="1285">
        <v>85</v>
      </c>
      <c r="KO10" s="1285"/>
      <c r="KP10" s="1287"/>
      <c r="KQ10" s="1285">
        <v>89</v>
      </c>
      <c r="KR10" s="1285"/>
      <c r="KS10" s="1287"/>
      <c r="KT10" s="1285">
        <v>84</v>
      </c>
      <c r="KU10" s="1285"/>
      <c r="KV10" s="1287"/>
      <c r="KW10" s="1285">
        <v>76</v>
      </c>
      <c r="KX10" s="1285"/>
      <c r="KY10" s="1287"/>
      <c r="KZ10" s="1285">
        <v>91</v>
      </c>
      <c r="LA10" s="1285"/>
      <c r="LB10" s="1287"/>
      <c r="LC10" s="1285">
        <v>89</v>
      </c>
      <c r="LD10" s="1285"/>
      <c r="LE10" s="1287"/>
      <c r="LF10" s="1285">
        <v>87</v>
      </c>
      <c r="LG10" s="1285"/>
      <c r="LH10" s="1287"/>
      <c r="LI10" s="1285">
        <v>84</v>
      </c>
      <c r="LJ10" s="1285"/>
      <c r="LK10" s="1287"/>
      <c r="LL10" s="1285" t="s">
        <v>20</v>
      </c>
      <c r="LM10" s="1285"/>
      <c r="LN10" s="1287"/>
      <c r="LO10" s="1285" t="s">
        <v>20</v>
      </c>
      <c r="LP10" s="1285"/>
      <c r="LQ10" s="1287"/>
      <c r="LR10" s="1285">
        <v>71</v>
      </c>
      <c r="LS10" s="1285"/>
      <c r="LT10" s="1287"/>
      <c r="LU10" s="1285">
        <v>75</v>
      </c>
      <c r="LV10" s="1285"/>
      <c r="LW10" s="1287"/>
      <c r="LX10" s="1285">
        <v>87</v>
      </c>
      <c r="LY10" s="1285"/>
      <c r="LZ10" s="1287"/>
      <c r="MA10" s="1285">
        <v>91</v>
      </c>
      <c r="MB10" s="1285"/>
      <c r="MC10" s="1287"/>
      <c r="MD10" s="1285">
        <v>91</v>
      </c>
      <c r="ME10" s="1285"/>
      <c r="MF10" s="1287"/>
      <c r="MG10" s="1285">
        <v>92</v>
      </c>
      <c r="MH10" s="1285"/>
      <c r="MI10" s="1287"/>
      <c r="MJ10" s="1285" t="s">
        <v>20</v>
      </c>
      <c r="MK10" s="1285"/>
      <c r="ML10" s="1287"/>
      <c r="MM10" s="1285">
        <v>84</v>
      </c>
      <c r="MN10" s="1285"/>
      <c r="MO10" s="1287"/>
      <c r="MP10" s="1285">
        <v>86</v>
      </c>
      <c r="MQ10" s="1285"/>
      <c r="MR10" s="1287"/>
      <c r="MS10" s="1285">
        <v>88</v>
      </c>
      <c r="MT10" s="1285"/>
      <c r="MU10" s="1287"/>
      <c r="MV10" s="1285">
        <v>88</v>
      </c>
      <c r="MW10" s="1285"/>
      <c r="MX10" s="1287"/>
      <c r="MY10" s="1285">
        <v>77</v>
      </c>
      <c r="MZ10" s="1285"/>
      <c r="NA10" s="1287"/>
      <c r="NB10" s="1285" t="s">
        <v>20</v>
      </c>
      <c r="NC10" s="1285"/>
      <c r="ND10" s="1287"/>
      <c r="NE10" s="1285" t="s">
        <v>20</v>
      </c>
      <c r="NF10" s="1285"/>
      <c r="NG10" s="1287"/>
      <c r="NH10" s="1285">
        <v>91</v>
      </c>
      <c r="NI10" s="1285"/>
      <c r="NJ10" s="1287"/>
      <c r="NK10" s="1285">
        <v>90</v>
      </c>
      <c r="NL10" s="1285"/>
      <c r="NM10" s="1287"/>
      <c r="NN10" s="1285">
        <v>91</v>
      </c>
      <c r="NO10" s="1285"/>
      <c r="NP10" s="1287"/>
      <c r="NQ10" s="1285">
        <v>86</v>
      </c>
      <c r="NR10" s="1285"/>
      <c r="NS10" s="1287"/>
      <c r="NT10" s="1285">
        <v>84</v>
      </c>
      <c r="NU10" s="1285"/>
      <c r="NV10" s="1287"/>
      <c r="NW10" s="1285" t="s">
        <v>20</v>
      </c>
      <c r="NX10" s="1285"/>
      <c r="NY10" s="1287"/>
      <c r="NZ10" s="1285" t="s">
        <v>20</v>
      </c>
      <c r="OA10" s="1285"/>
      <c r="OB10" s="1287"/>
      <c r="OC10" s="1285" t="s">
        <v>20</v>
      </c>
      <c r="OD10" s="1285"/>
      <c r="OE10" s="1287"/>
      <c r="OF10" s="1285">
        <v>88</v>
      </c>
      <c r="OG10" s="1285"/>
      <c r="OH10" s="1287"/>
      <c r="OI10" s="1285">
        <v>86</v>
      </c>
      <c r="OJ10" s="1285"/>
      <c r="OK10" s="1287"/>
      <c r="OL10" s="1285">
        <v>87</v>
      </c>
      <c r="OM10" s="1285"/>
      <c r="ON10" s="1287"/>
      <c r="OO10" s="1285">
        <v>78</v>
      </c>
      <c r="OP10" s="1285"/>
      <c r="OQ10" s="1287"/>
      <c r="OR10" s="1285">
        <v>0</v>
      </c>
      <c r="OS10" s="1285"/>
      <c r="OT10" s="1287"/>
      <c r="OU10" s="1285">
        <v>0</v>
      </c>
      <c r="OV10" s="1285"/>
      <c r="OW10" s="1287"/>
      <c r="OX10" s="1285">
        <v>0</v>
      </c>
      <c r="OY10" s="1285"/>
      <c r="OZ10" s="1287"/>
      <c r="PA10" s="1285">
        <v>80</v>
      </c>
      <c r="PB10" s="1285"/>
      <c r="PC10" s="1287"/>
      <c r="PD10" s="1285">
        <v>72</v>
      </c>
      <c r="PE10" s="1285"/>
      <c r="PF10" s="1287"/>
      <c r="PG10" s="1285">
        <v>87</v>
      </c>
      <c r="PH10" s="1285"/>
      <c r="PI10" s="1287"/>
      <c r="PJ10" s="1285">
        <v>0</v>
      </c>
      <c r="PK10" s="1285"/>
      <c r="PL10" s="1287"/>
      <c r="PM10" s="1285">
        <v>0</v>
      </c>
      <c r="PN10" s="1285"/>
      <c r="PO10" s="1287"/>
      <c r="PP10" s="1285">
        <v>0</v>
      </c>
      <c r="PQ10" s="1285"/>
      <c r="PR10" s="1287"/>
      <c r="PS10" s="1285">
        <v>84</v>
      </c>
      <c r="PT10" s="1285"/>
      <c r="PU10" s="1287"/>
      <c r="PV10" s="1285">
        <v>63</v>
      </c>
      <c r="PW10" s="1285"/>
      <c r="PX10" s="1287"/>
      <c r="PY10" s="1285">
        <v>0</v>
      </c>
      <c r="PZ10" s="1285"/>
      <c r="QA10" s="1287"/>
      <c r="QB10" s="1285">
        <v>90</v>
      </c>
      <c r="QC10" s="1285"/>
      <c r="QD10" s="1287"/>
      <c r="QE10" s="1285">
        <v>83</v>
      </c>
      <c r="QF10" s="1285"/>
      <c r="QG10" s="1287"/>
      <c r="QH10" s="1285">
        <v>94</v>
      </c>
      <c r="QI10" s="1285"/>
      <c r="QJ10" s="1287"/>
      <c r="QK10" s="1285">
        <v>0</v>
      </c>
      <c r="QL10" s="1285"/>
      <c r="QM10" s="1287"/>
      <c r="QN10" s="1285">
        <v>84</v>
      </c>
      <c r="QO10" s="1285"/>
      <c r="QP10" s="1287"/>
      <c r="QQ10" s="1285">
        <v>89</v>
      </c>
      <c r="QR10" s="1285"/>
      <c r="QS10" s="1287"/>
      <c r="QT10" s="1285">
        <v>84</v>
      </c>
      <c r="QU10" s="1285"/>
      <c r="QV10" s="1287"/>
      <c r="QW10" s="1285">
        <v>93</v>
      </c>
      <c r="QX10" s="1285"/>
      <c r="QY10" s="1287"/>
      <c r="QZ10" s="1285">
        <v>82</v>
      </c>
      <c r="RA10" s="1285"/>
      <c r="RB10" s="1287"/>
      <c r="RC10" s="1285">
        <v>0</v>
      </c>
      <c r="RD10" s="1285"/>
      <c r="RE10" s="1287"/>
      <c r="RF10" s="1285">
        <v>0</v>
      </c>
      <c r="RG10" s="1285"/>
      <c r="RH10" s="1287"/>
      <c r="RI10" s="1285">
        <v>87</v>
      </c>
      <c r="RJ10" s="1285"/>
      <c r="RK10" s="1287"/>
      <c r="RL10" s="1285">
        <v>88</v>
      </c>
      <c r="RM10" s="1285"/>
      <c r="RN10" s="1287"/>
      <c r="RO10" s="1285">
        <v>85</v>
      </c>
      <c r="RP10" s="1285"/>
      <c r="RQ10" s="1287"/>
      <c r="RR10" s="1285">
        <v>64</v>
      </c>
      <c r="RS10" s="1285"/>
      <c r="RT10" s="1287"/>
      <c r="RU10" s="1285">
        <v>90</v>
      </c>
      <c r="RV10" s="1285"/>
      <c r="RW10" s="1287"/>
      <c r="RX10" s="1285">
        <v>0</v>
      </c>
      <c r="RY10" s="1285"/>
      <c r="RZ10" s="1287"/>
      <c r="SA10" s="1285">
        <v>0</v>
      </c>
      <c r="SB10" s="1285"/>
      <c r="SC10" s="1287"/>
      <c r="SD10" s="1285">
        <v>0</v>
      </c>
      <c r="SE10" s="1285"/>
      <c r="SF10" s="1287"/>
      <c r="SG10" s="1285">
        <v>48</v>
      </c>
      <c r="SH10" s="1285"/>
      <c r="SI10" s="1287"/>
      <c r="SJ10" s="1285">
        <v>84</v>
      </c>
      <c r="SK10" s="1285"/>
      <c r="SL10" s="1287"/>
      <c r="SM10" s="1285">
        <v>87</v>
      </c>
      <c r="SN10" s="1285"/>
      <c r="SO10" s="1287"/>
      <c r="SP10" s="1285">
        <v>80</v>
      </c>
      <c r="SQ10" s="1285"/>
      <c r="SR10" s="1287"/>
      <c r="SS10" s="1285">
        <v>83</v>
      </c>
      <c r="ST10" s="1285"/>
      <c r="SU10" s="1287"/>
      <c r="SV10" s="1285">
        <v>92</v>
      </c>
      <c r="SW10" s="1285"/>
      <c r="SX10" s="1287"/>
      <c r="SY10" s="1285">
        <v>88</v>
      </c>
      <c r="SZ10" s="1285"/>
      <c r="TA10" s="1287"/>
      <c r="TB10" s="1285">
        <v>86</v>
      </c>
      <c r="TC10" s="1285"/>
      <c r="TD10" s="1287"/>
      <c r="TE10" s="1285">
        <v>89</v>
      </c>
      <c r="TF10" s="1285"/>
      <c r="TG10" s="1287"/>
      <c r="TH10" s="1285">
        <v>87</v>
      </c>
      <c r="TI10" s="1285"/>
      <c r="TJ10" s="1287"/>
      <c r="TK10" s="1285">
        <v>84</v>
      </c>
      <c r="TL10" s="1285"/>
      <c r="TM10" s="1287"/>
      <c r="TN10" s="1285">
        <v>93</v>
      </c>
      <c r="TO10" s="1285"/>
      <c r="TP10" s="1287"/>
      <c r="TQ10" s="1285">
        <v>79</v>
      </c>
      <c r="TR10" s="1285"/>
      <c r="TS10" s="1287"/>
      <c r="TT10" s="1285">
        <v>79</v>
      </c>
      <c r="TU10" s="1285"/>
      <c r="TV10" s="1287"/>
      <c r="TW10" s="1285">
        <v>86</v>
      </c>
      <c r="TX10" s="1285"/>
      <c r="TY10" s="1287"/>
      <c r="TZ10" s="1285">
        <v>71</v>
      </c>
      <c r="UA10" s="1285"/>
      <c r="UB10" s="1287"/>
      <c r="UC10" s="1285">
        <v>85</v>
      </c>
      <c r="UD10" s="1285"/>
      <c r="UE10" s="1287"/>
      <c r="UF10" s="1285">
        <v>84</v>
      </c>
      <c r="UG10" s="1285"/>
      <c r="UH10" s="1287"/>
      <c r="UI10" s="1285">
        <v>0</v>
      </c>
      <c r="UJ10" s="1285"/>
      <c r="UK10" s="1287"/>
      <c r="UL10" s="1285">
        <v>0</v>
      </c>
      <c r="UM10" s="1285"/>
      <c r="UN10" s="1287"/>
      <c r="UO10" s="1285">
        <v>82</v>
      </c>
      <c r="UP10" s="1285"/>
      <c r="UQ10" s="1287"/>
      <c r="UR10" s="1285">
        <v>84</v>
      </c>
      <c r="US10" s="1285"/>
      <c r="UT10" s="1287"/>
      <c r="UU10" s="1285">
        <v>80</v>
      </c>
      <c r="UV10" s="1285"/>
      <c r="UW10" s="1287"/>
      <c r="UX10" s="1285">
        <v>86</v>
      </c>
      <c r="UY10" s="1285"/>
      <c r="UZ10" s="1287"/>
      <c r="VA10" s="1285">
        <v>82</v>
      </c>
      <c r="VB10" s="1285"/>
      <c r="VC10" s="1287"/>
      <c r="VD10" s="1285">
        <v>0</v>
      </c>
      <c r="VE10" s="1285"/>
      <c r="VF10" s="1287"/>
      <c r="VG10" s="1285">
        <v>0</v>
      </c>
      <c r="VH10" s="1285"/>
      <c r="VI10" s="1287"/>
      <c r="VJ10" s="1285">
        <v>13</v>
      </c>
      <c r="VK10" s="1285"/>
      <c r="VL10" s="1287"/>
      <c r="VM10" s="1285">
        <v>84</v>
      </c>
      <c r="VN10" s="1285"/>
      <c r="VO10" s="1287"/>
      <c r="VP10" s="1285">
        <v>84</v>
      </c>
      <c r="VQ10" s="1285"/>
      <c r="VR10" s="1287"/>
      <c r="VS10" s="1285">
        <v>90</v>
      </c>
      <c r="VT10" s="1285"/>
      <c r="VU10" s="1287"/>
      <c r="VV10" s="1285">
        <v>87</v>
      </c>
      <c r="VW10" s="1285"/>
      <c r="VX10" s="1287"/>
      <c r="VY10" s="1285">
        <v>0</v>
      </c>
      <c r="VZ10" s="1285"/>
      <c r="WA10" s="1287"/>
      <c r="WB10" s="1285">
        <v>0</v>
      </c>
      <c r="WC10" s="1285"/>
      <c r="WD10" s="1287"/>
      <c r="WE10" s="1285">
        <v>79</v>
      </c>
      <c r="WF10" s="1285"/>
      <c r="WG10" s="1287"/>
      <c r="WH10" s="1285">
        <v>89</v>
      </c>
      <c r="WI10" s="1285"/>
      <c r="WJ10" s="1287"/>
      <c r="WK10" s="1285">
        <v>87</v>
      </c>
      <c r="WL10" s="1285"/>
      <c r="WM10" s="1287"/>
      <c r="WN10" s="1285">
        <v>86</v>
      </c>
      <c r="WO10" s="1285"/>
      <c r="WP10" s="1287"/>
      <c r="WQ10" s="1285">
        <v>90</v>
      </c>
      <c r="WR10" s="1285"/>
      <c r="WS10" s="1287"/>
      <c r="WT10" s="1285">
        <v>0</v>
      </c>
      <c r="WU10" s="1285"/>
      <c r="WV10" s="1287"/>
      <c r="WW10" s="1285">
        <v>0</v>
      </c>
      <c r="WX10" s="1285"/>
      <c r="WY10" s="1287"/>
      <c r="WZ10" s="1285">
        <v>70</v>
      </c>
      <c r="XA10" s="1285"/>
      <c r="XB10" s="1287"/>
      <c r="XC10" s="1285">
        <v>87</v>
      </c>
      <c r="XD10" s="1285"/>
      <c r="XE10" s="1287"/>
      <c r="XF10" s="1285">
        <v>83</v>
      </c>
      <c r="XG10" s="1285"/>
      <c r="XH10" s="1287"/>
      <c r="XI10" s="1285">
        <v>90</v>
      </c>
      <c r="XJ10" s="1285"/>
      <c r="XK10" s="1287"/>
      <c r="XL10" s="1285">
        <v>76</v>
      </c>
      <c r="XM10" s="1285"/>
      <c r="XN10" s="1287"/>
      <c r="XO10" s="1285">
        <v>0</v>
      </c>
      <c r="XP10" s="1285"/>
      <c r="XQ10" s="1287"/>
      <c r="XR10" s="1285">
        <v>0</v>
      </c>
      <c r="XS10" s="1285"/>
      <c r="XT10" s="1287"/>
      <c r="XU10" s="1285">
        <v>79</v>
      </c>
      <c r="XV10" s="1285"/>
      <c r="XW10" s="1287"/>
      <c r="XX10" s="1285">
        <v>90</v>
      </c>
      <c r="XY10" s="1285"/>
      <c r="XZ10" s="1287"/>
      <c r="YA10" s="1285">
        <v>89</v>
      </c>
      <c r="YB10" s="1285"/>
      <c r="YC10" s="1287"/>
      <c r="YD10" s="1285">
        <v>78</v>
      </c>
      <c r="YE10" s="1285"/>
      <c r="YF10" s="1287"/>
      <c r="YG10" s="1285">
        <v>86</v>
      </c>
      <c r="YH10" s="1285"/>
      <c r="YI10" s="1287"/>
      <c r="YJ10" s="1285">
        <v>0</v>
      </c>
      <c r="YK10" s="1285"/>
      <c r="YL10" s="1287"/>
      <c r="YM10" s="1285">
        <v>0</v>
      </c>
      <c r="YN10" s="1285"/>
      <c r="YO10" s="1287"/>
      <c r="YP10" s="1285">
        <v>88</v>
      </c>
      <c r="YQ10" s="1285"/>
      <c r="YR10" s="1287"/>
      <c r="YS10" s="1285">
        <v>85</v>
      </c>
      <c r="YT10" s="1285"/>
      <c r="YU10" s="1287"/>
      <c r="YV10" s="1285">
        <v>90</v>
      </c>
      <c r="YW10" s="1285"/>
      <c r="YX10" s="1287"/>
      <c r="YY10" s="1285">
        <v>87</v>
      </c>
      <c r="YZ10" s="1285"/>
      <c r="ZA10" s="1287"/>
      <c r="ZB10" s="1285">
        <v>83</v>
      </c>
      <c r="ZC10" s="1285"/>
      <c r="ZD10" s="1287"/>
      <c r="ZE10" s="1285">
        <v>0</v>
      </c>
      <c r="ZF10" s="1285"/>
      <c r="ZG10" s="1287"/>
      <c r="ZH10" s="1285">
        <v>0</v>
      </c>
      <c r="ZI10" s="1285"/>
      <c r="ZJ10" s="1287"/>
      <c r="ZK10" s="1285">
        <v>72</v>
      </c>
      <c r="ZL10" s="1285"/>
      <c r="ZM10" s="1287"/>
      <c r="ZN10" s="1286">
        <v>73</v>
      </c>
      <c r="ZO10" s="1285"/>
      <c r="ZP10" s="1287"/>
      <c r="ZQ10" s="1285">
        <v>76</v>
      </c>
      <c r="ZR10" s="1285"/>
      <c r="ZS10" s="1287"/>
      <c r="ZT10" s="1285">
        <v>71</v>
      </c>
      <c r="ZU10" s="1285"/>
      <c r="ZV10" s="1287"/>
      <c r="ZW10" s="1285">
        <v>66</v>
      </c>
      <c r="ZX10" s="1285"/>
      <c r="ZY10" s="1287"/>
      <c r="ZZ10" s="1285">
        <v>78</v>
      </c>
      <c r="AAA10" s="1285"/>
      <c r="AAB10" s="1287"/>
      <c r="AAC10" s="1285">
        <v>0</v>
      </c>
      <c r="AAD10" s="1285"/>
      <c r="AAE10" s="1287"/>
      <c r="AAF10" s="1285">
        <v>71</v>
      </c>
      <c r="AAG10" s="1285"/>
      <c r="AAH10" s="1287"/>
      <c r="AAI10" s="1285">
        <v>84</v>
      </c>
      <c r="AAJ10" s="1285"/>
      <c r="AAK10" s="1287"/>
      <c r="AAL10" s="1285">
        <v>67</v>
      </c>
      <c r="AAM10" s="1285"/>
      <c r="AAN10" s="1287"/>
      <c r="AAO10" s="1285">
        <v>70</v>
      </c>
      <c r="AAP10" s="1285"/>
      <c r="AAQ10" s="1287"/>
      <c r="AAR10" s="1285">
        <v>74</v>
      </c>
      <c r="AAS10" s="1285"/>
      <c r="AAT10" s="1287"/>
      <c r="AAU10" s="1285">
        <v>87</v>
      </c>
      <c r="AAV10" s="1285"/>
      <c r="AAW10" s="1287"/>
      <c r="AAX10" s="1285">
        <v>0</v>
      </c>
      <c r="AAY10" s="1285"/>
      <c r="AAZ10" s="1287"/>
      <c r="ABA10" s="1285">
        <v>79</v>
      </c>
      <c r="ABB10" s="1285"/>
      <c r="ABC10" s="1287"/>
      <c r="ABD10" s="1285">
        <v>61</v>
      </c>
      <c r="ABE10" s="1285"/>
      <c r="ABF10" s="1287"/>
      <c r="ABG10" s="1285">
        <v>75</v>
      </c>
      <c r="ABH10" s="1285"/>
      <c r="ABI10" s="1287"/>
      <c r="ABJ10" s="1285">
        <v>53</v>
      </c>
      <c r="ABK10" s="1285"/>
      <c r="ABL10" s="1287"/>
      <c r="ABM10" s="1285">
        <v>84</v>
      </c>
      <c r="ABN10" s="1285"/>
      <c r="ABO10" s="1287"/>
      <c r="ABP10" s="1285">
        <v>85</v>
      </c>
      <c r="ABQ10" s="1285"/>
      <c r="ABR10" s="1287"/>
      <c r="ABS10" s="1285">
        <v>0</v>
      </c>
      <c r="ABT10" s="1285"/>
      <c r="ABU10" s="1287"/>
      <c r="ABV10" s="1285">
        <v>68</v>
      </c>
      <c r="ABW10" s="1285"/>
      <c r="ABX10" s="1287"/>
      <c r="ABY10" s="1285">
        <v>79</v>
      </c>
      <c r="ABZ10" s="1285"/>
      <c r="ACA10" s="1287"/>
      <c r="ACB10" s="1285">
        <v>85</v>
      </c>
      <c r="ACC10" s="1285"/>
      <c r="ACD10" s="1287"/>
      <c r="ACE10" s="1285">
        <v>85</v>
      </c>
      <c r="ACF10" s="1285"/>
      <c r="ACG10" s="1287"/>
      <c r="ACH10" s="1285">
        <v>83</v>
      </c>
      <c r="ACI10" s="1285"/>
      <c r="ACJ10" s="1287"/>
      <c r="ACK10" s="1285">
        <v>0</v>
      </c>
      <c r="ACL10" s="1285"/>
      <c r="ACM10" s="1287"/>
      <c r="ACN10" s="1285">
        <v>0</v>
      </c>
      <c r="ACO10" s="1285"/>
      <c r="ACP10" s="1287"/>
      <c r="ACQ10" s="1285">
        <v>58</v>
      </c>
      <c r="ACR10" s="1285"/>
      <c r="ACS10" s="1287"/>
      <c r="ACT10" s="1285">
        <v>69</v>
      </c>
      <c r="ACU10" s="1285"/>
      <c r="ACV10" s="1287"/>
      <c r="ACW10" s="1285">
        <v>84</v>
      </c>
      <c r="ACX10" s="1285"/>
      <c r="ACY10" s="1287"/>
      <c r="ACZ10" s="1285">
        <v>81</v>
      </c>
      <c r="ADA10" s="1285"/>
      <c r="ADB10" s="1287"/>
      <c r="ADC10" s="1285">
        <v>78</v>
      </c>
      <c r="ADD10" s="1285"/>
      <c r="ADE10" s="1287"/>
      <c r="ADF10" s="1285">
        <v>94</v>
      </c>
      <c r="ADG10" s="1285"/>
      <c r="ADH10" s="1287"/>
      <c r="ADI10" s="1285">
        <v>0</v>
      </c>
      <c r="ADJ10" s="1285"/>
      <c r="ADK10" s="1287"/>
      <c r="ADL10" s="1285">
        <v>70</v>
      </c>
      <c r="ADM10" s="1285"/>
      <c r="ADN10" s="1287"/>
      <c r="ADO10" s="1285">
        <v>77</v>
      </c>
      <c r="ADP10" s="1285"/>
      <c r="ADQ10" s="1287"/>
      <c r="ADR10" s="1285">
        <v>86</v>
      </c>
      <c r="ADS10" s="1285"/>
      <c r="ADT10" s="1287"/>
      <c r="ADU10" s="1285">
        <v>77</v>
      </c>
      <c r="ADV10" s="1285"/>
      <c r="ADW10" s="1287"/>
      <c r="ADX10" s="1285">
        <v>72</v>
      </c>
      <c r="ADY10" s="1285"/>
      <c r="ADZ10" s="1287"/>
      <c r="AEA10" s="1285">
        <v>65</v>
      </c>
      <c r="AEB10" s="1285"/>
      <c r="AEC10" s="1287"/>
      <c r="AED10" s="1285"/>
      <c r="AEE10" s="1285"/>
      <c r="AEF10" s="1287"/>
      <c r="AEG10" s="1285">
        <v>75</v>
      </c>
      <c r="AEH10" s="1285"/>
      <c r="AEI10" s="1287"/>
      <c r="AEJ10" s="1285">
        <v>76</v>
      </c>
      <c r="AEK10" s="1285"/>
      <c r="AEL10" s="1287"/>
      <c r="AEM10" s="1285">
        <v>85</v>
      </c>
      <c r="AEN10" s="1285"/>
      <c r="AEO10" s="1287"/>
      <c r="AEP10" s="1285">
        <v>80</v>
      </c>
      <c r="AEQ10" s="1285"/>
      <c r="AER10" s="1287"/>
      <c r="AES10" s="1285">
        <v>77</v>
      </c>
      <c r="AET10" s="1285"/>
      <c r="AEU10" s="1287"/>
      <c r="AEV10" s="1285">
        <v>71</v>
      </c>
      <c r="AEW10" s="1285"/>
      <c r="AEX10" s="1287"/>
      <c r="AEY10" s="1285">
        <v>0</v>
      </c>
      <c r="AEZ10" s="1285"/>
      <c r="AFA10" s="1287"/>
      <c r="AFB10" s="1285">
        <v>82</v>
      </c>
      <c r="AFC10" s="1285"/>
      <c r="AFD10" s="1287"/>
      <c r="AFE10" s="1285">
        <v>90</v>
      </c>
      <c r="AFF10" s="1285"/>
      <c r="AFG10" s="1287"/>
      <c r="AFH10" s="1285">
        <v>60</v>
      </c>
      <c r="AFI10" s="1285"/>
      <c r="AFJ10" s="1287"/>
      <c r="AFK10" s="1285">
        <v>80</v>
      </c>
      <c r="AFL10" s="1285"/>
      <c r="AFM10" s="1287"/>
      <c r="AFN10" s="1285">
        <v>84</v>
      </c>
      <c r="AFO10" s="1285"/>
      <c r="AFP10" s="1287"/>
      <c r="AFQ10" s="1285">
        <v>0</v>
      </c>
      <c r="AFR10" s="1285"/>
      <c r="AFS10" s="1287"/>
      <c r="AFT10" s="1285">
        <v>0</v>
      </c>
      <c r="AFU10" s="1285"/>
      <c r="AFV10" s="1287"/>
      <c r="AFW10" s="1285">
        <v>74</v>
      </c>
      <c r="AFX10" s="1285"/>
      <c r="AFY10" s="1287"/>
      <c r="AFZ10" s="1285">
        <v>74</v>
      </c>
      <c r="AGA10" s="1285"/>
      <c r="AGB10" s="1287"/>
      <c r="AGC10" s="1285">
        <v>69</v>
      </c>
      <c r="AGD10" s="1285"/>
      <c r="AGE10" s="1287"/>
      <c r="AGF10" s="1285">
        <v>72</v>
      </c>
      <c r="AGG10" s="1285"/>
      <c r="AGH10" s="1287"/>
      <c r="AGI10" s="1285">
        <v>54</v>
      </c>
      <c r="AGJ10" s="1285"/>
      <c r="AGK10" s="1287"/>
      <c r="AGL10" s="1285">
        <v>91</v>
      </c>
      <c r="AGM10" s="1285"/>
      <c r="AGN10" s="1287"/>
      <c r="AGO10" s="1285">
        <v>0</v>
      </c>
      <c r="AGP10" s="1285"/>
      <c r="AGQ10" s="1287"/>
      <c r="AGR10" s="1285">
        <v>71</v>
      </c>
      <c r="AGS10" s="1285"/>
      <c r="AGT10" s="1287"/>
      <c r="AGU10" s="1285">
        <v>73</v>
      </c>
      <c r="AGV10" s="1285"/>
      <c r="AGW10" s="1287"/>
      <c r="AGX10" s="1285">
        <v>81</v>
      </c>
      <c r="AGY10" s="1285"/>
      <c r="AGZ10" s="1287"/>
      <c r="AHA10" s="1285">
        <v>86</v>
      </c>
      <c r="AHB10" s="1285"/>
      <c r="AHC10" s="1287"/>
      <c r="AHD10" s="1285">
        <v>75</v>
      </c>
      <c r="AHE10" s="1285"/>
      <c r="AHF10" s="1287"/>
      <c r="AHG10" s="1285">
        <v>80</v>
      </c>
      <c r="AHH10" s="1285"/>
      <c r="AHI10" s="1287"/>
      <c r="AHJ10" s="1285">
        <v>0</v>
      </c>
      <c r="AHK10" s="1285"/>
      <c r="AHL10" s="1287"/>
      <c r="AHM10" s="1285">
        <v>0</v>
      </c>
      <c r="AHN10" s="1285"/>
      <c r="AHO10" s="1287"/>
      <c r="AHP10" s="1285">
        <v>87</v>
      </c>
      <c r="AHQ10" s="1285"/>
      <c r="AHR10" s="1287"/>
      <c r="AHS10" s="1285">
        <v>80</v>
      </c>
      <c r="AHT10" s="1285"/>
      <c r="AHU10" s="1287"/>
      <c r="AHV10" s="1285">
        <v>76</v>
      </c>
      <c r="AHW10" s="1285"/>
      <c r="AHX10" s="1287"/>
      <c r="AHY10" s="1285">
        <v>76</v>
      </c>
      <c r="AHZ10" s="1285"/>
      <c r="AIA10" s="1287"/>
      <c r="AIB10" s="1285">
        <v>87</v>
      </c>
      <c r="AIC10" s="1285"/>
      <c r="AID10" s="1287"/>
      <c r="AIE10" s="1285">
        <v>0</v>
      </c>
      <c r="AIF10" s="1285"/>
      <c r="AIG10" s="1287"/>
      <c r="AIH10" s="1285">
        <v>58</v>
      </c>
      <c r="AII10" s="1285"/>
      <c r="AIJ10" s="1287"/>
      <c r="AIK10" s="1285">
        <v>84</v>
      </c>
      <c r="AIL10" s="1285"/>
      <c r="AIM10" s="1287"/>
      <c r="AIN10" s="1285">
        <v>80</v>
      </c>
      <c r="AIO10" s="1285"/>
      <c r="AIP10" s="1287"/>
      <c r="AIQ10" s="1285">
        <v>84</v>
      </c>
      <c r="AIR10" s="1285"/>
      <c r="AIS10" s="1287"/>
      <c r="AIT10" s="1285">
        <v>82</v>
      </c>
      <c r="AIU10" s="1285"/>
      <c r="AIV10" s="1287"/>
      <c r="AIW10" s="1285">
        <v>49</v>
      </c>
      <c r="AIX10" s="1285"/>
      <c r="AIY10" s="1287"/>
      <c r="AIZ10" s="1285">
        <v>0</v>
      </c>
      <c r="AJA10" s="1285"/>
      <c r="AJB10" s="1287"/>
      <c r="AJC10" s="1285">
        <v>0</v>
      </c>
      <c r="AJD10" s="1285"/>
      <c r="AJE10" s="1287"/>
      <c r="AJF10" s="1285">
        <v>76</v>
      </c>
      <c r="AJG10" s="1285"/>
      <c r="AJH10" s="1287"/>
      <c r="AJI10" s="1285">
        <v>83</v>
      </c>
      <c r="AJJ10" s="1285"/>
      <c r="AJK10" s="1287"/>
      <c r="AJL10" s="1285">
        <v>81</v>
      </c>
      <c r="AJM10" s="1285"/>
      <c r="AJN10" s="1287"/>
      <c r="AJO10" s="1285">
        <v>76</v>
      </c>
      <c r="AJP10" s="1285"/>
      <c r="AJQ10" s="1287"/>
      <c r="AJR10" s="1285">
        <v>83</v>
      </c>
      <c r="AJS10" s="1285"/>
      <c r="AJT10" s="1287"/>
      <c r="AJU10" s="1285">
        <v>87</v>
      </c>
      <c r="AJV10" s="1285"/>
      <c r="AJW10" s="1287"/>
      <c r="AJX10" s="1285">
        <v>76</v>
      </c>
      <c r="AJY10" s="1285"/>
      <c r="AJZ10" s="1287"/>
      <c r="AKA10" s="1285">
        <v>81</v>
      </c>
      <c r="AKB10" s="1285"/>
      <c r="AKC10" s="1287"/>
      <c r="AKD10" s="1285">
        <v>49</v>
      </c>
      <c r="AKE10" s="1285"/>
      <c r="AKF10" s="1287"/>
      <c r="AKG10" s="1285">
        <v>71</v>
      </c>
      <c r="AKH10" s="1285"/>
      <c r="AKI10" s="1287"/>
      <c r="AKJ10" s="1285">
        <v>79</v>
      </c>
      <c r="AKK10" s="1285"/>
      <c r="AKL10" s="1287"/>
      <c r="AKM10" s="1285">
        <v>77</v>
      </c>
      <c r="AKN10" s="1285"/>
      <c r="AKO10" s="1287"/>
      <c r="AKP10" s="1285">
        <v>0</v>
      </c>
      <c r="AKQ10" s="1285"/>
      <c r="AKR10" s="1287"/>
      <c r="AKS10" s="1285">
        <v>85</v>
      </c>
      <c r="AKT10" s="1285"/>
      <c r="AKU10" s="1287"/>
      <c r="AKV10" s="1285">
        <v>72</v>
      </c>
      <c r="AKW10" s="1285"/>
      <c r="AKX10" s="1287"/>
      <c r="AKY10" s="1285">
        <v>81</v>
      </c>
      <c r="AKZ10" s="1285"/>
      <c r="ALA10" s="1287"/>
      <c r="ALB10" s="1285">
        <v>0</v>
      </c>
      <c r="ALC10" s="1285"/>
      <c r="ALD10" s="1287"/>
      <c r="ALE10" s="1285">
        <v>67</v>
      </c>
      <c r="ALF10" s="1285"/>
      <c r="ALG10" s="1287"/>
      <c r="ALH10" s="1285">
        <v>83</v>
      </c>
      <c r="ALI10" s="1285"/>
      <c r="ALJ10" s="1287"/>
      <c r="ALK10" s="1285">
        <v>84</v>
      </c>
      <c r="ALL10" s="1285"/>
      <c r="ALM10" s="1287"/>
      <c r="ALN10" s="1285">
        <v>77</v>
      </c>
      <c r="ALO10" s="1285"/>
      <c r="ALP10" s="1287"/>
      <c r="ALQ10" s="1285">
        <v>80</v>
      </c>
      <c r="ALR10" s="1285"/>
      <c r="ALS10" s="1287"/>
      <c r="ALT10" s="1285">
        <v>83</v>
      </c>
      <c r="ALU10" s="1285"/>
      <c r="ALV10" s="1287"/>
      <c r="ALW10" s="1285">
        <v>0</v>
      </c>
      <c r="ALX10" s="1285"/>
      <c r="ALY10" s="1287"/>
      <c r="ALZ10" s="1285">
        <v>75</v>
      </c>
      <c r="AMA10" s="1285"/>
      <c r="AMB10" s="1287"/>
      <c r="AMC10" s="1285">
        <v>83</v>
      </c>
      <c r="AMD10" s="1285"/>
      <c r="AME10" s="1287"/>
      <c r="AMF10" s="1285">
        <v>0</v>
      </c>
      <c r="AMG10" s="1285"/>
      <c r="AMH10" s="1287"/>
      <c r="AMI10" s="1285">
        <v>68</v>
      </c>
      <c r="AMJ10" s="1285"/>
      <c r="AMK10" s="1287"/>
      <c r="AML10" s="1285">
        <v>73</v>
      </c>
      <c r="AMM10" s="1285"/>
      <c r="AMN10" s="1287"/>
      <c r="AMO10" s="1285">
        <v>71</v>
      </c>
      <c r="AMP10" s="1285"/>
      <c r="AMQ10" s="1287"/>
      <c r="AMR10" s="1285">
        <v>72</v>
      </c>
      <c r="AMS10" s="1285"/>
      <c r="AMT10" s="1287"/>
      <c r="AMU10" s="1285">
        <v>76</v>
      </c>
      <c r="AMV10" s="1285"/>
      <c r="AMW10" s="1287"/>
      <c r="AMX10" s="1285">
        <v>84</v>
      </c>
      <c r="AMY10" s="1285"/>
      <c r="AMZ10" s="1287"/>
      <c r="ANA10" s="1285">
        <v>82</v>
      </c>
      <c r="ANB10" s="1285"/>
      <c r="ANC10" s="1287"/>
      <c r="AND10" s="1285">
        <v>65</v>
      </c>
      <c r="ANE10" s="1285"/>
      <c r="ANF10" s="1287"/>
      <c r="ANG10" s="1285">
        <v>55</v>
      </c>
      <c r="ANH10" s="1285"/>
      <c r="ANI10" s="1287"/>
      <c r="ANJ10" s="1285">
        <v>78</v>
      </c>
      <c r="ANK10" s="1285"/>
      <c r="ANL10" s="1287"/>
      <c r="ANM10" s="1285">
        <v>76</v>
      </c>
      <c r="ANN10" s="1285"/>
      <c r="ANO10" s="1287"/>
      <c r="ANP10" s="1285">
        <v>83</v>
      </c>
      <c r="ANQ10" s="1285"/>
      <c r="ANR10" s="1287"/>
      <c r="ANS10" s="1285">
        <v>86</v>
      </c>
      <c r="ANT10" s="1285"/>
      <c r="ANU10" s="1287"/>
      <c r="ANV10" s="1285">
        <v>0</v>
      </c>
      <c r="ANW10" s="1285"/>
      <c r="ANX10" s="1287"/>
      <c r="ANY10" s="1285">
        <v>81</v>
      </c>
      <c r="ANZ10" s="1285"/>
      <c r="AOA10" s="1287"/>
      <c r="AOB10" s="1285">
        <v>79</v>
      </c>
      <c r="AOC10" s="1285"/>
      <c r="AOD10" s="1287"/>
      <c r="AOE10" s="1285">
        <v>82</v>
      </c>
      <c r="AOF10" s="1285"/>
      <c r="AOG10" s="1287"/>
      <c r="AOH10" s="1285">
        <v>88</v>
      </c>
      <c r="AOI10" s="1285"/>
      <c r="AOJ10" s="1287"/>
      <c r="AOK10" s="1285">
        <v>88</v>
      </c>
      <c r="AOL10" s="1285"/>
      <c r="AOM10" s="1287"/>
      <c r="AON10" s="1285">
        <v>84</v>
      </c>
      <c r="AOO10" s="1285"/>
      <c r="AOP10" s="1287"/>
      <c r="AOQ10" s="1285">
        <v>81</v>
      </c>
      <c r="AOR10" s="1285"/>
      <c r="AOS10" s="1287"/>
      <c r="AOT10" s="1285">
        <v>86</v>
      </c>
      <c r="AOU10" s="1285"/>
      <c r="AOV10" s="1287"/>
      <c r="AOW10" s="1285">
        <v>72</v>
      </c>
      <c r="AOX10" s="1285"/>
      <c r="AOY10" s="1287"/>
      <c r="AOZ10" s="1285">
        <v>86</v>
      </c>
      <c r="APA10" s="1285"/>
      <c r="APB10" s="1287"/>
      <c r="APC10" s="1285">
        <v>88</v>
      </c>
      <c r="APD10" s="1285"/>
      <c r="APE10" s="1287"/>
      <c r="APF10" s="1285">
        <v>89</v>
      </c>
      <c r="APG10" s="1285"/>
      <c r="APH10" s="1287"/>
      <c r="API10" s="1285">
        <v>0</v>
      </c>
      <c r="APJ10" s="1285"/>
      <c r="APK10" s="1287"/>
      <c r="APL10" s="1285">
        <v>0</v>
      </c>
      <c r="APM10" s="1285"/>
      <c r="APN10" s="1287"/>
      <c r="APO10" s="1285">
        <v>74</v>
      </c>
      <c r="APP10" s="1285"/>
      <c r="APQ10" s="1287"/>
      <c r="APR10" s="1285">
        <v>89</v>
      </c>
      <c r="APS10" s="1285"/>
      <c r="APT10" s="1287"/>
      <c r="APU10" s="1285">
        <v>86</v>
      </c>
      <c r="APV10" s="1285"/>
      <c r="APW10" s="1287"/>
      <c r="APX10" s="1285">
        <v>75</v>
      </c>
      <c r="APY10" s="1285"/>
      <c r="APZ10" s="1287"/>
      <c r="AQA10" s="1285">
        <v>80</v>
      </c>
      <c r="AQB10" s="1285"/>
      <c r="AQC10" s="1287"/>
      <c r="AQD10" s="1285">
        <v>97</v>
      </c>
      <c r="AQE10" s="1285"/>
      <c r="AQF10" s="1287"/>
      <c r="AQG10" s="1285">
        <v>92</v>
      </c>
      <c r="AQH10" s="1285"/>
      <c r="AQI10" s="1287"/>
      <c r="AQJ10" s="1285">
        <v>77</v>
      </c>
      <c r="AQK10" s="1285"/>
      <c r="AQL10" s="1287"/>
      <c r="AQM10" s="1285">
        <v>86</v>
      </c>
      <c r="AQN10" s="1285"/>
      <c r="AQO10" s="1287"/>
      <c r="AQP10" s="1285">
        <v>81</v>
      </c>
      <c r="AQQ10" s="1285"/>
      <c r="AQR10" s="1287"/>
      <c r="AQS10" s="1285">
        <v>83</v>
      </c>
      <c r="AQT10" s="1285"/>
      <c r="AQU10" s="1287"/>
      <c r="AQV10" s="1285">
        <v>83</v>
      </c>
      <c r="AQW10" s="1285"/>
      <c r="AQX10" s="1287"/>
      <c r="AQY10" s="1285">
        <v>85</v>
      </c>
      <c r="AQZ10" s="1285"/>
      <c r="ARA10" s="1287"/>
      <c r="ARB10" s="1285">
        <v>0</v>
      </c>
      <c r="ARC10" s="1285"/>
      <c r="ARD10" s="1287"/>
      <c r="ARE10" s="1285">
        <v>0</v>
      </c>
      <c r="ARF10" s="1285"/>
      <c r="ARG10" s="1287"/>
      <c r="ARH10" s="1285">
        <v>75</v>
      </c>
      <c r="ARI10" s="1285"/>
      <c r="ARJ10" s="1287"/>
      <c r="ARK10" s="1285">
        <v>86</v>
      </c>
      <c r="ARL10" s="1285"/>
      <c r="ARM10" s="1287"/>
      <c r="ARN10" s="1285">
        <v>73</v>
      </c>
      <c r="ARO10" s="1285"/>
      <c r="ARP10" s="1287"/>
      <c r="ARQ10" s="1285">
        <v>79</v>
      </c>
      <c r="ARR10" s="1285"/>
      <c r="ARS10" s="1287"/>
      <c r="ART10" s="1285">
        <v>91</v>
      </c>
      <c r="ARU10" s="1285"/>
      <c r="ARV10" s="1287"/>
      <c r="ARW10" s="1285">
        <v>88</v>
      </c>
      <c r="ARX10" s="1285"/>
      <c r="ARY10" s="1287"/>
      <c r="ARZ10" s="1285">
        <v>87</v>
      </c>
      <c r="ASA10" s="1285"/>
      <c r="ASB10" s="1287"/>
      <c r="ASC10" s="1285">
        <v>92</v>
      </c>
      <c r="ASD10" s="1285"/>
      <c r="ASE10" s="1287"/>
      <c r="ASF10" s="1285">
        <v>91</v>
      </c>
      <c r="ASG10" s="1285"/>
      <c r="ASH10" s="1287"/>
      <c r="ASI10" s="1285">
        <v>81</v>
      </c>
      <c r="ASJ10" s="1285"/>
      <c r="ASK10" s="1287"/>
      <c r="ASL10" s="1285">
        <v>85</v>
      </c>
      <c r="ASM10" s="1285"/>
      <c r="ASN10" s="1287"/>
      <c r="ASO10" s="1285">
        <v>0</v>
      </c>
      <c r="ASP10" s="1285"/>
      <c r="ASQ10" s="1285"/>
      <c r="ASR10" s="1286">
        <v>0</v>
      </c>
      <c r="ASS10" s="1285"/>
      <c r="AST10" s="1287"/>
      <c r="ASU10" s="1285">
        <v>77</v>
      </c>
      <c r="ASV10" s="1285"/>
      <c r="ASW10" s="1287"/>
      <c r="ASX10" s="1285">
        <v>83</v>
      </c>
      <c r="ASY10" s="1285"/>
      <c r="ASZ10" s="1287"/>
      <c r="ATA10" s="1285">
        <v>90</v>
      </c>
      <c r="ATB10" s="1285"/>
      <c r="ATC10" s="1287"/>
      <c r="ATD10" s="1285">
        <v>87</v>
      </c>
      <c r="ATE10" s="1285"/>
      <c r="ATF10" s="1287"/>
      <c r="ATG10" s="1285">
        <v>83</v>
      </c>
      <c r="ATH10" s="1285"/>
      <c r="ATI10" s="1287"/>
      <c r="ATJ10" s="1285">
        <v>71</v>
      </c>
      <c r="ATK10" s="1285"/>
      <c r="ATL10" s="1287"/>
      <c r="ATM10" s="1285">
        <v>0</v>
      </c>
      <c r="ATN10" s="1285"/>
      <c r="ATO10" s="1287"/>
      <c r="ATP10" s="1285">
        <v>86</v>
      </c>
      <c r="ATQ10" s="1285"/>
      <c r="ATR10" s="1287"/>
      <c r="ATS10" s="1285">
        <v>90</v>
      </c>
      <c r="ATT10" s="1285"/>
      <c r="ATU10" s="1287"/>
      <c r="ATV10" s="1285">
        <v>94</v>
      </c>
      <c r="ATW10" s="1285"/>
      <c r="ATX10" s="1287"/>
      <c r="ATY10" s="1285">
        <v>69</v>
      </c>
      <c r="ATZ10" s="1285"/>
      <c r="AUA10" s="1287"/>
      <c r="AUB10" s="1285">
        <v>90</v>
      </c>
      <c r="AUC10" s="1285"/>
      <c r="AUD10" s="1287"/>
      <c r="AUE10" s="1285">
        <v>0</v>
      </c>
      <c r="AUF10" s="1285"/>
      <c r="AUG10" s="1287"/>
      <c r="AUH10" s="1285">
        <v>90</v>
      </c>
      <c r="AUI10" s="1285"/>
      <c r="AUJ10" s="1287"/>
      <c r="AUK10" s="1285">
        <v>85</v>
      </c>
      <c r="AUL10" s="1285"/>
      <c r="AUM10" s="1287"/>
      <c r="AUN10" s="1285">
        <v>80</v>
      </c>
      <c r="AUO10" s="1285"/>
      <c r="AUP10" s="1287"/>
      <c r="AUQ10" s="1285">
        <v>88</v>
      </c>
      <c r="AUR10" s="1285"/>
      <c r="AUS10" s="1287"/>
      <c r="AUT10" s="1285">
        <v>76</v>
      </c>
      <c r="AUU10" s="1285"/>
      <c r="AUV10" s="1287"/>
      <c r="AUW10" s="1285">
        <v>90</v>
      </c>
      <c r="AUX10" s="1285"/>
      <c r="AUY10" s="1287"/>
      <c r="AUZ10" s="1285">
        <v>87</v>
      </c>
      <c r="AVA10" s="1285"/>
      <c r="AVB10" s="1287"/>
      <c r="AVC10" s="1285">
        <v>96</v>
      </c>
      <c r="AVD10" s="1285"/>
      <c r="AVE10" s="1287"/>
      <c r="AVF10" s="1285">
        <v>78</v>
      </c>
      <c r="AVG10" s="1285"/>
      <c r="AVH10" s="1287"/>
      <c r="AVI10" s="1285">
        <v>83</v>
      </c>
      <c r="AVJ10" s="1285"/>
      <c r="AVK10" s="1287"/>
      <c r="AVL10" s="1285">
        <v>87</v>
      </c>
      <c r="AVM10" s="1285"/>
      <c r="AVN10" s="1287"/>
      <c r="AVO10" s="1285">
        <v>84</v>
      </c>
      <c r="AVP10" s="1285"/>
      <c r="AVQ10" s="1287"/>
      <c r="AVR10" s="1285">
        <v>0</v>
      </c>
      <c r="AVS10" s="1285"/>
      <c r="AVT10" s="1287"/>
      <c r="AVU10" s="1285">
        <v>0</v>
      </c>
      <c r="AVV10" s="1285"/>
      <c r="AVW10" s="1287"/>
      <c r="AVX10" s="1285">
        <v>0</v>
      </c>
      <c r="AVY10" s="1285"/>
      <c r="AVZ10" s="1287"/>
      <c r="AWA10" s="1285">
        <v>0</v>
      </c>
      <c r="AWB10" s="1285"/>
      <c r="AWC10" s="1287"/>
      <c r="AWD10" s="1285">
        <v>0</v>
      </c>
      <c r="AWE10" s="1285"/>
      <c r="AWF10" s="1287"/>
      <c r="AWG10" s="1285">
        <v>0</v>
      </c>
      <c r="AWH10" s="1285"/>
      <c r="AWI10" s="1287"/>
      <c r="AWJ10" s="1285">
        <v>0</v>
      </c>
      <c r="AWK10" s="1285"/>
      <c r="AWL10" s="1287"/>
      <c r="AWM10" s="1285">
        <v>0</v>
      </c>
      <c r="AWN10" s="1285"/>
      <c r="AWO10" s="1287"/>
      <c r="AWP10" s="1285">
        <v>0</v>
      </c>
      <c r="AWQ10" s="1285"/>
      <c r="AWR10" s="1287"/>
      <c r="AWS10" s="1285">
        <v>0</v>
      </c>
      <c r="AWT10" s="1285"/>
      <c r="AWU10" s="1287"/>
      <c r="AWV10" s="1285">
        <v>0</v>
      </c>
      <c r="AWW10" s="1285"/>
      <c r="AWX10" s="1287"/>
      <c r="AWY10" s="1285">
        <v>0</v>
      </c>
      <c r="AWZ10" s="1285"/>
      <c r="AXA10" s="1287"/>
      <c r="AXB10" s="1285">
        <v>0</v>
      </c>
      <c r="AXC10" s="1285"/>
      <c r="AXD10" s="1287"/>
      <c r="AXE10" s="1285">
        <v>0</v>
      </c>
      <c r="AXF10" s="1285"/>
      <c r="AXG10" s="1287"/>
      <c r="AXH10" s="1285">
        <v>0</v>
      </c>
      <c r="AXI10" s="1285"/>
      <c r="AXJ10" s="1287"/>
      <c r="AXK10" s="1285">
        <v>0</v>
      </c>
      <c r="AXL10" s="1285"/>
      <c r="AXM10" s="1287"/>
      <c r="AXN10" s="1285">
        <v>0</v>
      </c>
      <c r="AXO10" s="1285"/>
      <c r="AXP10" s="1287"/>
      <c r="AXQ10" s="1285">
        <v>0</v>
      </c>
      <c r="AXR10" s="1285"/>
      <c r="AXS10" s="1287"/>
      <c r="AXT10" s="1285">
        <v>0</v>
      </c>
      <c r="AXU10" s="1285"/>
      <c r="AXV10" s="1287"/>
      <c r="AXW10" s="1285">
        <v>0</v>
      </c>
      <c r="AXX10" s="1285"/>
      <c r="AXY10" s="1287"/>
      <c r="AXZ10" s="1285">
        <v>0</v>
      </c>
      <c r="AYA10" s="1285"/>
      <c r="AYB10" s="1287"/>
      <c r="AYC10" s="1285">
        <v>0</v>
      </c>
      <c r="AYD10" s="1285"/>
      <c r="AYE10" s="1287"/>
      <c r="AYF10" s="1285">
        <v>0</v>
      </c>
      <c r="AYG10" s="1285"/>
      <c r="AYH10" s="1287"/>
      <c r="AYI10" s="1285">
        <v>0</v>
      </c>
      <c r="AYJ10" s="1285"/>
      <c r="AYK10" s="1287"/>
      <c r="AYL10" s="1285">
        <v>0</v>
      </c>
      <c r="AYM10" s="1285"/>
      <c r="AYN10" s="1287"/>
      <c r="AYO10" s="1285">
        <v>0</v>
      </c>
      <c r="AYP10" s="1285"/>
      <c r="AYQ10" s="1287"/>
      <c r="AYR10" s="1285">
        <v>0</v>
      </c>
      <c r="AYS10" s="1285"/>
      <c r="AYT10" s="1287"/>
      <c r="AYU10" s="1285">
        <v>0</v>
      </c>
      <c r="AYV10" s="1285"/>
      <c r="AYW10" s="1287"/>
      <c r="AYX10" s="1285">
        <v>0</v>
      </c>
      <c r="AYY10" s="1285"/>
      <c r="AYZ10" s="1287"/>
      <c r="AZA10" s="1285">
        <v>0</v>
      </c>
      <c r="AZB10" s="1285"/>
      <c r="AZC10" s="1287"/>
      <c r="AZD10" s="1285">
        <v>0</v>
      </c>
      <c r="AZE10" s="1285"/>
      <c r="AZF10" s="1287"/>
      <c r="AZG10" s="1285">
        <v>0</v>
      </c>
      <c r="AZH10" s="1285"/>
      <c r="AZI10" s="1287"/>
      <c r="AZJ10" s="1285">
        <v>0</v>
      </c>
      <c r="AZK10" s="1285"/>
      <c r="AZL10" s="1287"/>
      <c r="AZM10" s="1285">
        <v>0</v>
      </c>
      <c r="AZN10" s="1285"/>
      <c r="AZO10" s="1287"/>
      <c r="AZP10" s="1285">
        <v>0</v>
      </c>
      <c r="AZQ10" s="1285"/>
      <c r="AZR10" s="1287"/>
      <c r="AZS10" s="1285">
        <v>0</v>
      </c>
      <c r="AZT10" s="1285"/>
      <c r="AZU10" s="1287"/>
      <c r="AZV10" s="1285">
        <v>0</v>
      </c>
      <c r="AZW10" s="1285"/>
      <c r="AZX10" s="1287"/>
      <c r="AZY10" s="1285">
        <v>0</v>
      </c>
      <c r="AZZ10" s="1285"/>
      <c r="BAA10" s="1287"/>
      <c r="BAB10" s="1285">
        <v>0</v>
      </c>
      <c r="BAC10" s="1285"/>
      <c r="BAD10" s="1287"/>
      <c r="BAE10" s="1285">
        <v>0</v>
      </c>
      <c r="BAF10" s="1285"/>
      <c r="BAG10" s="1287"/>
      <c r="BAH10" s="1285">
        <v>0</v>
      </c>
      <c r="BAI10" s="1285"/>
      <c r="BAJ10" s="1287"/>
    </row>
    <row r="11" spans="1:1388" ht="15" customHeight="1">
      <c r="B11" s="1419" t="s">
        <v>332</v>
      </c>
      <c r="C11" s="1420"/>
      <c r="D11" s="1421"/>
      <c r="E11" s="4" t="s">
        <v>327</v>
      </c>
      <c r="F11" s="1285" t="s">
        <v>20</v>
      </c>
      <c r="G11" s="1285"/>
      <c r="H11" s="1287"/>
      <c r="I11" s="1285">
        <v>66</v>
      </c>
      <c r="J11" s="1285"/>
      <c r="K11" s="1287"/>
      <c r="L11" s="1285">
        <v>72</v>
      </c>
      <c r="M11" s="1285"/>
      <c r="N11" s="1287"/>
      <c r="O11" s="1285">
        <v>74</v>
      </c>
      <c r="P11" s="1285"/>
      <c r="Q11" s="1287"/>
      <c r="R11" s="1285">
        <v>86</v>
      </c>
      <c r="S11" s="1285"/>
      <c r="T11" s="1287"/>
      <c r="U11" s="1285">
        <v>76</v>
      </c>
      <c r="V11" s="1285"/>
      <c r="W11" s="1287"/>
      <c r="X11" s="1285">
        <v>76</v>
      </c>
      <c r="Y11" s="1285"/>
      <c r="Z11" s="1287"/>
      <c r="AA11" s="1285">
        <v>73</v>
      </c>
      <c r="AB11" s="1285"/>
      <c r="AC11" s="1287"/>
      <c r="AD11" s="1285">
        <v>85</v>
      </c>
      <c r="AE11" s="1285"/>
      <c r="AF11" s="1287"/>
      <c r="AG11" s="1285">
        <v>92</v>
      </c>
      <c r="AH11" s="1285"/>
      <c r="AI11" s="1287"/>
      <c r="AJ11" s="1285">
        <v>79</v>
      </c>
      <c r="AK11" s="1285"/>
      <c r="AL11" s="1287"/>
      <c r="AM11" s="1285">
        <v>85</v>
      </c>
      <c r="AN11" s="1285"/>
      <c r="AO11" s="1287"/>
      <c r="AP11" s="1285">
        <v>75</v>
      </c>
      <c r="AQ11" s="1285"/>
      <c r="AR11" s="1287"/>
      <c r="AS11" s="1285">
        <v>71</v>
      </c>
      <c r="AT11" s="1285"/>
      <c r="AU11" s="1287"/>
      <c r="AV11" s="1285">
        <v>65</v>
      </c>
      <c r="AW11" s="1285"/>
      <c r="AX11" s="1287"/>
      <c r="AY11" s="1285">
        <v>73</v>
      </c>
      <c r="AZ11" s="1285"/>
      <c r="BA11" s="1287"/>
      <c r="BB11" s="1285" t="s">
        <v>20</v>
      </c>
      <c r="BC11" s="1285"/>
      <c r="BD11" s="1287"/>
      <c r="BE11" s="1285">
        <v>77</v>
      </c>
      <c r="BF11" s="1285"/>
      <c r="BG11" s="1287"/>
      <c r="BH11" s="1285">
        <v>81</v>
      </c>
      <c r="BI11" s="1285"/>
      <c r="BJ11" s="1287"/>
      <c r="BK11" s="1285">
        <v>80</v>
      </c>
      <c r="BL11" s="1285"/>
      <c r="BM11" s="1287"/>
      <c r="BN11" s="1285">
        <v>89</v>
      </c>
      <c r="BO11" s="1285"/>
      <c r="BP11" s="1287"/>
      <c r="BQ11" s="1285">
        <v>80</v>
      </c>
      <c r="BR11" s="1285"/>
      <c r="BS11" s="1287"/>
      <c r="BT11" s="1285">
        <v>77</v>
      </c>
      <c r="BU11" s="1285"/>
      <c r="BV11" s="1287"/>
      <c r="BW11" s="1285">
        <v>89</v>
      </c>
      <c r="BX11" s="1285"/>
      <c r="BY11" s="1287"/>
      <c r="BZ11" s="1285">
        <v>83</v>
      </c>
      <c r="CA11" s="1285"/>
      <c r="CB11" s="1287"/>
      <c r="CC11" s="1285">
        <v>83</v>
      </c>
      <c r="CD11" s="1285"/>
      <c r="CE11" s="1287"/>
      <c r="CF11" s="1285">
        <v>91</v>
      </c>
      <c r="CG11" s="1285"/>
      <c r="CH11" s="1287"/>
      <c r="CI11" s="1285">
        <v>88</v>
      </c>
      <c r="CJ11" s="1285"/>
      <c r="CK11" s="1287"/>
      <c r="CL11" s="1285">
        <v>54</v>
      </c>
      <c r="CM11" s="1285"/>
      <c r="CN11" s="1287"/>
      <c r="CO11" s="1285" t="s">
        <v>20</v>
      </c>
      <c r="CP11" s="1285"/>
      <c r="CQ11" s="1287"/>
      <c r="CR11" s="1285">
        <v>68</v>
      </c>
      <c r="CS11" s="1285"/>
      <c r="CT11" s="1287"/>
      <c r="CU11" s="1285">
        <v>86</v>
      </c>
      <c r="CV11" s="1285"/>
      <c r="CW11" s="1287"/>
      <c r="CX11" s="1285">
        <v>56</v>
      </c>
      <c r="CY11" s="1285"/>
      <c r="CZ11" s="1287"/>
      <c r="DA11" s="1285">
        <v>78</v>
      </c>
      <c r="DB11" s="1285"/>
      <c r="DC11" s="1287"/>
      <c r="DD11" s="1285">
        <v>50</v>
      </c>
      <c r="DE11" s="1285"/>
      <c r="DF11" s="1287"/>
      <c r="DG11" s="1285">
        <v>74</v>
      </c>
      <c r="DH11" s="1285"/>
      <c r="DI11" s="1287"/>
      <c r="DJ11" s="1285">
        <v>74</v>
      </c>
      <c r="DK11" s="1285"/>
      <c r="DL11" s="1287"/>
      <c r="DM11" s="1285" t="s">
        <v>20</v>
      </c>
      <c r="DN11" s="1285"/>
      <c r="DO11" s="1287"/>
      <c r="DP11" s="1285">
        <v>86</v>
      </c>
      <c r="DQ11" s="1285"/>
      <c r="DR11" s="1287"/>
      <c r="DS11" s="1285">
        <v>60</v>
      </c>
      <c r="DT11" s="1285"/>
      <c r="DU11" s="1287"/>
      <c r="DV11" s="1285">
        <v>77</v>
      </c>
      <c r="DW11" s="1285"/>
      <c r="DX11" s="1287"/>
      <c r="DY11" s="1285">
        <v>82</v>
      </c>
      <c r="DZ11" s="1285"/>
      <c r="EA11" s="1287"/>
      <c r="EB11" s="1285">
        <v>79</v>
      </c>
      <c r="EC11" s="1285"/>
      <c r="ED11" s="1287"/>
      <c r="EE11" s="1285">
        <v>74</v>
      </c>
      <c r="EF11" s="1285"/>
      <c r="EG11" s="1287"/>
      <c r="EH11" s="1285" t="s">
        <v>20</v>
      </c>
      <c r="EI11" s="1285"/>
      <c r="EJ11" s="1287"/>
      <c r="EK11" s="1285">
        <v>71</v>
      </c>
      <c r="EL11" s="1285"/>
      <c r="EM11" s="1287"/>
      <c r="EN11" s="1285">
        <v>74</v>
      </c>
      <c r="EO11" s="1285"/>
      <c r="EP11" s="1287"/>
      <c r="EQ11" s="1285">
        <v>87</v>
      </c>
      <c r="ER11" s="1285"/>
      <c r="ES11" s="1287"/>
      <c r="ET11" s="1285">
        <v>83</v>
      </c>
      <c r="EU11" s="1285"/>
      <c r="EV11" s="1287"/>
      <c r="EW11" s="1285">
        <v>82</v>
      </c>
      <c r="EX11" s="1285"/>
      <c r="EY11" s="1287"/>
      <c r="EZ11" s="1285">
        <v>70</v>
      </c>
      <c r="FA11" s="1285"/>
      <c r="FB11" s="1287"/>
      <c r="FC11" s="1285">
        <v>84</v>
      </c>
      <c r="FD11" s="1285"/>
      <c r="FE11" s="1287"/>
      <c r="FF11" s="1285">
        <v>85</v>
      </c>
      <c r="FG11" s="1285"/>
      <c r="FH11" s="1287"/>
      <c r="FI11" s="1285">
        <v>79</v>
      </c>
      <c r="FJ11" s="1285"/>
      <c r="FK11" s="1287"/>
      <c r="FL11" s="1285">
        <v>72</v>
      </c>
      <c r="FM11" s="1285"/>
      <c r="FN11" s="1287"/>
      <c r="FO11" s="1285">
        <v>79</v>
      </c>
      <c r="FP11" s="1285"/>
      <c r="FQ11" s="1287"/>
      <c r="FR11" s="1285">
        <v>79</v>
      </c>
      <c r="FS11" s="1285"/>
      <c r="FT11" s="1287"/>
      <c r="FU11" s="1285">
        <v>82</v>
      </c>
      <c r="FV11" s="1285"/>
      <c r="FW11" s="1287"/>
      <c r="FX11" s="1285">
        <v>74</v>
      </c>
      <c r="FY11" s="1285"/>
      <c r="FZ11" s="1287"/>
      <c r="GA11" s="1285">
        <v>82</v>
      </c>
      <c r="GB11" s="1285"/>
      <c r="GC11" s="1287"/>
      <c r="GD11" s="1285">
        <v>76</v>
      </c>
      <c r="GE11" s="1285"/>
      <c r="GF11" s="1287"/>
      <c r="GG11" s="1285">
        <v>88</v>
      </c>
      <c r="GH11" s="1285"/>
      <c r="GI11" s="1287"/>
      <c r="GJ11" s="1285">
        <v>78</v>
      </c>
      <c r="GK11" s="1285"/>
      <c r="GL11" s="1287"/>
      <c r="GM11" s="1285">
        <v>80</v>
      </c>
      <c r="GN11" s="1285"/>
      <c r="GO11" s="1287"/>
      <c r="GP11" s="1285" t="s">
        <v>20</v>
      </c>
      <c r="GQ11" s="1285"/>
      <c r="GR11" s="1287"/>
      <c r="GS11" s="1285">
        <v>88</v>
      </c>
      <c r="GT11" s="1285"/>
      <c r="GU11" s="1287"/>
      <c r="GV11" s="1285">
        <v>71</v>
      </c>
      <c r="GW11" s="1285"/>
      <c r="GX11" s="1287"/>
      <c r="GY11" s="1285">
        <v>79</v>
      </c>
      <c r="GZ11" s="1285"/>
      <c r="HA11" s="1287"/>
      <c r="HB11" s="1285">
        <v>76</v>
      </c>
      <c r="HC11" s="1285"/>
      <c r="HD11" s="1287"/>
      <c r="HE11" s="1285">
        <v>86</v>
      </c>
      <c r="HF11" s="1285"/>
      <c r="HG11" s="1287"/>
      <c r="HH11" s="1285">
        <v>81</v>
      </c>
      <c r="HI11" s="1285"/>
      <c r="HJ11" s="1287"/>
      <c r="HK11" s="1285">
        <v>78</v>
      </c>
      <c r="HL11" s="1285"/>
      <c r="HM11" s="1287"/>
      <c r="HN11" s="1285">
        <v>67</v>
      </c>
      <c r="HO11" s="1285"/>
      <c r="HP11" s="1287"/>
      <c r="HQ11" s="1285">
        <v>81</v>
      </c>
      <c r="HR11" s="1285"/>
      <c r="HS11" s="1287"/>
      <c r="HT11" s="1285">
        <v>69</v>
      </c>
      <c r="HU11" s="1285"/>
      <c r="HV11" s="1287"/>
      <c r="HW11" s="1285">
        <v>84</v>
      </c>
      <c r="HX11" s="1285"/>
      <c r="HY11" s="1287"/>
      <c r="HZ11" s="1285">
        <v>82</v>
      </c>
      <c r="IA11" s="1285"/>
      <c r="IB11" s="1287"/>
      <c r="IC11" s="1285" t="s">
        <v>20</v>
      </c>
      <c r="ID11" s="1285"/>
      <c r="IE11" s="1287"/>
      <c r="IF11" s="1285" t="s">
        <v>20</v>
      </c>
      <c r="IG11" s="1285"/>
      <c r="IH11" s="1287"/>
      <c r="II11" s="1285" t="s">
        <v>20</v>
      </c>
      <c r="IJ11" s="1285"/>
      <c r="IK11" s="1287"/>
      <c r="IL11" s="1285">
        <v>80</v>
      </c>
      <c r="IM11" s="1285"/>
      <c r="IN11" s="1287"/>
      <c r="IO11" s="1285">
        <v>81</v>
      </c>
      <c r="IP11" s="1285"/>
      <c r="IQ11" s="1287"/>
      <c r="IR11" s="1285">
        <v>81</v>
      </c>
      <c r="IS11" s="1285"/>
      <c r="IT11" s="1287"/>
      <c r="IU11" s="1285">
        <v>86</v>
      </c>
      <c r="IV11" s="1285"/>
      <c r="IW11" s="1287"/>
      <c r="IX11" s="1285">
        <v>87</v>
      </c>
      <c r="IY11" s="1285"/>
      <c r="IZ11" s="1287"/>
      <c r="JA11" s="1285">
        <v>79</v>
      </c>
      <c r="JB11" s="1285"/>
      <c r="JC11" s="1287"/>
      <c r="JD11" s="1285">
        <v>15</v>
      </c>
      <c r="JE11" s="1285"/>
      <c r="JF11" s="1287"/>
      <c r="JG11" s="1285">
        <v>83</v>
      </c>
      <c r="JH11" s="1285"/>
      <c r="JI11" s="1287"/>
      <c r="JJ11" s="1285">
        <v>77</v>
      </c>
      <c r="JK11" s="1285"/>
      <c r="JL11" s="1287"/>
      <c r="JM11" s="1285">
        <v>84</v>
      </c>
      <c r="JN11" s="1285"/>
      <c r="JO11" s="1287"/>
      <c r="JP11" s="1285" t="s">
        <v>20</v>
      </c>
      <c r="JQ11" s="1285"/>
      <c r="JR11" s="1287"/>
      <c r="JS11" s="1285">
        <v>86</v>
      </c>
      <c r="JT11" s="1285"/>
      <c r="JU11" s="1287"/>
      <c r="JV11" s="1285">
        <v>75</v>
      </c>
      <c r="JW11" s="1285"/>
      <c r="JX11" s="1287"/>
      <c r="JY11" s="1285" t="s">
        <v>20</v>
      </c>
      <c r="JZ11" s="1285"/>
      <c r="KA11" s="1287"/>
      <c r="KB11" s="1285">
        <v>83</v>
      </c>
      <c r="KC11" s="1285"/>
      <c r="KD11" s="1287"/>
      <c r="KE11" s="1285">
        <v>78</v>
      </c>
      <c r="KF11" s="1285"/>
      <c r="KG11" s="1287"/>
      <c r="KH11" s="1285">
        <v>82</v>
      </c>
      <c r="KI11" s="1285"/>
      <c r="KJ11" s="1287"/>
      <c r="KK11" s="1285">
        <v>87</v>
      </c>
      <c r="KL11" s="1285"/>
      <c r="KM11" s="1287"/>
      <c r="KN11" s="1285">
        <v>86</v>
      </c>
      <c r="KO11" s="1285"/>
      <c r="KP11" s="1287"/>
      <c r="KQ11" s="1285">
        <v>74</v>
      </c>
      <c r="KR11" s="1285"/>
      <c r="KS11" s="1287"/>
      <c r="KT11" s="1285">
        <v>86</v>
      </c>
      <c r="KU11" s="1285"/>
      <c r="KV11" s="1287"/>
      <c r="KW11" s="1285">
        <v>76</v>
      </c>
      <c r="KX11" s="1285"/>
      <c r="KY11" s="1287"/>
      <c r="KZ11" s="1285">
        <v>83</v>
      </c>
      <c r="LA11" s="1285"/>
      <c r="LB11" s="1287"/>
      <c r="LC11" s="1285">
        <v>79</v>
      </c>
      <c r="LD11" s="1285"/>
      <c r="LE11" s="1287"/>
      <c r="LF11" s="1285">
        <v>81</v>
      </c>
      <c r="LG11" s="1285"/>
      <c r="LH11" s="1287"/>
      <c r="LI11" s="1285">
        <v>85</v>
      </c>
      <c r="LJ11" s="1285"/>
      <c r="LK11" s="1287"/>
      <c r="LL11" s="1285" t="s">
        <v>20</v>
      </c>
      <c r="LM11" s="1285"/>
      <c r="LN11" s="1287"/>
      <c r="LO11" s="1285" t="s">
        <v>20</v>
      </c>
      <c r="LP11" s="1285"/>
      <c r="LQ11" s="1287"/>
      <c r="LR11" s="1285">
        <v>90</v>
      </c>
      <c r="LS11" s="1285"/>
      <c r="LT11" s="1287"/>
      <c r="LU11" s="1285">
        <v>84</v>
      </c>
      <c r="LV11" s="1285"/>
      <c r="LW11" s="1287"/>
      <c r="LX11" s="1285">
        <v>76</v>
      </c>
      <c r="LY11" s="1285"/>
      <c r="LZ11" s="1287"/>
      <c r="MA11" s="1285">
        <v>83</v>
      </c>
      <c r="MB11" s="1285"/>
      <c r="MC11" s="1287"/>
      <c r="MD11" s="1285">
        <v>85</v>
      </c>
      <c r="ME11" s="1285"/>
      <c r="MF11" s="1287"/>
      <c r="MG11" s="1285">
        <v>86</v>
      </c>
      <c r="MH11" s="1285"/>
      <c r="MI11" s="1287"/>
      <c r="MJ11" s="1285" t="s">
        <v>20</v>
      </c>
      <c r="MK11" s="1285"/>
      <c r="ML11" s="1287"/>
      <c r="MM11" s="1285">
        <v>83</v>
      </c>
      <c r="MN11" s="1285"/>
      <c r="MO11" s="1287"/>
      <c r="MP11" s="1285">
        <v>83</v>
      </c>
      <c r="MQ11" s="1285"/>
      <c r="MR11" s="1287"/>
      <c r="MS11" s="1285">
        <v>77</v>
      </c>
      <c r="MT11" s="1285"/>
      <c r="MU11" s="1287"/>
      <c r="MV11" s="1285">
        <v>78</v>
      </c>
      <c r="MW11" s="1285"/>
      <c r="MX11" s="1287"/>
      <c r="MY11" s="1285">
        <v>88</v>
      </c>
      <c r="MZ11" s="1285"/>
      <c r="NA11" s="1287"/>
      <c r="NB11" s="1285" t="s">
        <v>20</v>
      </c>
      <c r="NC11" s="1285"/>
      <c r="ND11" s="1287"/>
      <c r="NE11" s="1285" t="s">
        <v>20</v>
      </c>
      <c r="NF11" s="1285"/>
      <c r="NG11" s="1287"/>
      <c r="NH11" s="1285">
        <v>83</v>
      </c>
      <c r="NI11" s="1285"/>
      <c r="NJ11" s="1287"/>
      <c r="NK11" s="1285">
        <v>89</v>
      </c>
      <c r="NL11" s="1285"/>
      <c r="NM11" s="1287"/>
      <c r="NN11" s="1285">
        <v>72</v>
      </c>
      <c r="NO11" s="1285"/>
      <c r="NP11" s="1287"/>
      <c r="NQ11" s="1285">
        <v>89</v>
      </c>
      <c r="NR11" s="1285"/>
      <c r="NS11" s="1287"/>
      <c r="NT11" s="1285">
        <v>83</v>
      </c>
      <c r="NU11" s="1285"/>
      <c r="NV11" s="1287"/>
      <c r="NW11" s="1285" t="s">
        <v>20</v>
      </c>
      <c r="NX11" s="1285"/>
      <c r="NY11" s="1287"/>
      <c r="NZ11" s="1285" t="s">
        <v>20</v>
      </c>
      <c r="OA11" s="1285"/>
      <c r="OB11" s="1287"/>
      <c r="OC11" s="1285" t="s">
        <v>20</v>
      </c>
      <c r="OD11" s="1285"/>
      <c r="OE11" s="1287"/>
      <c r="OF11" s="1285">
        <v>89</v>
      </c>
      <c r="OG11" s="1285"/>
      <c r="OH11" s="1287"/>
      <c r="OI11" s="1285">
        <v>67</v>
      </c>
      <c r="OJ11" s="1285"/>
      <c r="OK11" s="1287"/>
      <c r="OL11" s="1285">
        <v>80</v>
      </c>
      <c r="OM11" s="1285"/>
      <c r="ON11" s="1287"/>
      <c r="OO11" s="1285">
        <v>56</v>
      </c>
      <c r="OP11" s="1285"/>
      <c r="OQ11" s="1287"/>
      <c r="OR11" s="1285">
        <v>0</v>
      </c>
      <c r="OS11" s="1285"/>
      <c r="OT11" s="1287"/>
      <c r="OU11" s="1285">
        <v>0</v>
      </c>
      <c r="OV11" s="1285"/>
      <c r="OW11" s="1287"/>
      <c r="OX11" s="1285">
        <v>0</v>
      </c>
      <c r="OY11" s="1285"/>
      <c r="OZ11" s="1287"/>
      <c r="PA11" s="1285">
        <v>77</v>
      </c>
      <c r="PB11" s="1285"/>
      <c r="PC11" s="1287"/>
      <c r="PD11" s="1285">
        <v>73</v>
      </c>
      <c r="PE11" s="1285"/>
      <c r="PF11" s="1287"/>
      <c r="PG11" s="1285">
        <v>87</v>
      </c>
      <c r="PH11" s="1285"/>
      <c r="PI11" s="1287"/>
      <c r="PJ11" s="1285">
        <v>0</v>
      </c>
      <c r="PK11" s="1285"/>
      <c r="PL11" s="1287"/>
      <c r="PM11" s="1285">
        <v>0</v>
      </c>
      <c r="PN11" s="1285"/>
      <c r="PO11" s="1287"/>
      <c r="PP11" s="1285">
        <v>0</v>
      </c>
      <c r="PQ11" s="1285"/>
      <c r="PR11" s="1287"/>
      <c r="PS11" s="1285">
        <v>80</v>
      </c>
      <c r="PT11" s="1285"/>
      <c r="PU11" s="1287"/>
      <c r="PV11" s="1285" t="s">
        <v>20</v>
      </c>
      <c r="PW11" s="1285"/>
      <c r="PX11" s="1287"/>
      <c r="PY11" s="1285">
        <v>86</v>
      </c>
      <c r="PZ11" s="1285"/>
      <c r="QA11" s="1287"/>
      <c r="QB11" s="1285">
        <v>79</v>
      </c>
      <c r="QC11" s="1285"/>
      <c r="QD11" s="1287"/>
      <c r="QE11" s="1285">
        <v>67</v>
      </c>
      <c r="QF11" s="1285"/>
      <c r="QG11" s="1287"/>
      <c r="QH11" s="1285">
        <v>78</v>
      </c>
      <c r="QI11" s="1285"/>
      <c r="QJ11" s="1287"/>
      <c r="QK11" s="1285">
        <v>0</v>
      </c>
      <c r="QL11" s="1285"/>
      <c r="QM11" s="1287"/>
      <c r="QN11" s="1285">
        <v>87</v>
      </c>
      <c r="QO11" s="1285"/>
      <c r="QP11" s="1287"/>
      <c r="QQ11" s="1285">
        <v>72</v>
      </c>
      <c r="QR11" s="1285"/>
      <c r="QS11" s="1287"/>
      <c r="QT11" s="1285">
        <v>78</v>
      </c>
      <c r="QU11" s="1285"/>
      <c r="QV11" s="1287"/>
      <c r="QW11" s="1285">
        <v>60</v>
      </c>
      <c r="QX11" s="1285"/>
      <c r="QY11" s="1287"/>
      <c r="QZ11" s="1285">
        <v>83</v>
      </c>
      <c r="RA11" s="1285"/>
      <c r="RB11" s="1287"/>
      <c r="RC11" s="1285">
        <v>0</v>
      </c>
      <c r="RD11" s="1285"/>
      <c r="RE11" s="1287"/>
      <c r="RF11" s="1285">
        <v>0</v>
      </c>
      <c r="RG11" s="1285"/>
      <c r="RH11" s="1287"/>
      <c r="RI11" s="1285">
        <v>71</v>
      </c>
      <c r="RJ11" s="1285"/>
      <c r="RK11" s="1287"/>
      <c r="RL11" s="1285">
        <v>82</v>
      </c>
      <c r="RM11" s="1285"/>
      <c r="RN11" s="1287"/>
      <c r="RO11" s="1285">
        <v>83</v>
      </c>
      <c r="RP11" s="1285"/>
      <c r="RQ11" s="1287"/>
      <c r="RR11" s="1285">
        <v>81</v>
      </c>
      <c r="RS11" s="1285"/>
      <c r="RT11" s="1287"/>
      <c r="RU11" s="1285">
        <v>71</v>
      </c>
      <c r="RV11" s="1285"/>
      <c r="RW11" s="1287"/>
      <c r="RX11" s="1285">
        <v>0</v>
      </c>
      <c r="RY11" s="1285"/>
      <c r="RZ11" s="1287"/>
      <c r="SA11" s="1285">
        <v>0</v>
      </c>
      <c r="SB11" s="1285"/>
      <c r="SC11" s="1287"/>
      <c r="SD11" s="1285">
        <v>0</v>
      </c>
      <c r="SE11" s="1285"/>
      <c r="SF11" s="1287"/>
      <c r="SG11" s="1285">
        <v>71</v>
      </c>
      <c r="SH11" s="1285"/>
      <c r="SI11" s="1287"/>
      <c r="SJ11" s="1285">
        <v>65</v>
      </c>
      <c r="SK11" s="1285"/>
      <c r="SL11" s="1287"/>
      <c r="SM11" s="1285">
        <v>80</v>
      </c>
      <c r="SN11" s="1285"/>
      <c r="SO11" s="1287"/>
      <c r="SP11" s="1285">
        <v>80</v>
      </c>
      <c r="SQ11" s="1285"/>
      <c r="SR11" s="1287"/>
      <c r="SS11" s="1285">
        <v>78</v>
      </c>
      <c r="ST11" s="1285"/>
      <c r="SU11" s="1287"/>
      <c r="SV11" s="1285">
        <v>83</v>
      </c>
      <c r="SW11" s="1285"/>
      <c r="SX11" s="1287"/>
      <c r="SY11" s="1285">
        <v>65</v>
      </c>
      <c r="SZ11" s="1285"/>
      <c r="TA11" s="1287"/>
      <c r="TB11" s="1285">
        <v>78</v>
      </c>
      <c r="TC11" s="1285"/>
      <c r="TD11" s="1287"/>
      <c r="TE11" s="1285">
        <v>75</v>
      </c>
      <c r="TF11" s="1285"/>
      <c r="TG11" s="1287"/>
      <c r="TH11" s="1285">
        <v>77</v>
      </c>
      <c r="TI11" s="1285"/>
      <c r="TJ11" s="1287"/>
      <c r="TK11" s="1285">
        <v>73</v>
      </c>
      <c r="TL11" s="1285"/>
      <c r="TM11" s="1287"/>
      <c r="TN11" s="1285">
        <v>64</v>
      </c>
      <c r="TO11" s="1285"/>
      <c r="TP11" s="1287"/>
      <c r="TQ11" s="1285">
        <v>84</v>
      </c>
      <c r="TR11" s="1285"/>
      <c r="TS11" s="1287"/>
      <c r="TT11" s="1285">
        <v>78</v>
      </c>
      <c r="TU11" s="1285"/>
      <c r="TV11" s="1287"/>
      <c r="TW11" s="1285">
        <v>74</v>
      </c>
      <c r="TX11" s="1285"/>
      <c r="TY11" s="1287"/>
      <c r="TZ11" s="1285">
        <v>83</v>
      </c>
      <c r="UA11" s="1285"/>
      <c r="UB11" s="1287"/>
      <c r="UC11" s="1285">
        <v>76</v>
      </c>
      <c r="UD11" s="1285"/>
      <c r="UE11" s="1287"/>
      <c r="UF11" s="1285">
        <v>77</v>
      </c>
      <c r="UG11" s="1285"/>
      <c r="UH11" s="1287"/>
      <c r="UI11" s="1285">
        <v>0</v>
      </c>
      <c r="UJ11" s="1285"/>
      <c r="UK11" s="1287"/>
      <c r="UL11" s="1285">
        <v>0</v>
      </c>
      <c r="UM11" s="1285"/>
      <c r="UN11" s="1287"/>
      <c r="UO11" s="1285">
        <v>77</v>
      </c>
      <c r="UP11" s="1285"/>
      <c r="UQ11" s="1287"/>
      <c r="UR11" s="1285">
        <v>83</v>
      </c>
      <c r="US11" s="1285"/>
      <c r="UT11" s="1287"/>
      <c r="UU11" s="1285">
        <v>81</v>
      </c>
      <c r="UV11" s="1285"/>
      <c r="UW11" s="1287"/>
      <c r="UX11" s="1285">
        <v>79</v>
      </c>
      <c r="UY11" s="1285"/>
      <c r="UZ11" s="1287"/>
      <c r="VA11" s="1285">
        <v>83</v>
      </c>
      <c r="VB11" s="1285"/>
      <c r="VC11" s="1287"/>
      <c r="VD11" s="1285">
        <v>0</v>
      </c>
      <c r="VE11" s="1285"/>
      <c r="VF11" s="1287"/>
      <c r="VG11" s="1285">
        <v>0</v>
      </c>
      <c r="VH11" s="1285"/>
      <c r="VI11" s="1287"/>
      <c r="VJ11" s="1285">
        <v>82</v>
      </c>
      <c r="VK11" s="1285"/>
      <c r="VL11" s="1287"/>
      <c r="VM11" s="1285">
        <v>79</v>
      </c>
      <c r="VN11" s="1285"/>
      <c r="VO11" s="1287"/>
      <c r="VP11" s="1285">
        <v>76</v>
      </c>
      <c r="VQ11" s="1285"/>
      <c r="VR11" s="1287"/>
      <c r="VS11" s="1285">
        <v>84</v>
      </c>
      <c r="VT11" s="1285"/>
      <c r="VU11" s="1287"/>
      <c r="VV11" s="1285">
        <v>77</v>
      </c>
      <c r="VW11" s="1285"/>
      <c r="VX11" s="1287"/>
      <c r="VY11" s="1285">
        <v>0</v>
      </c>
      <c r="VZ11" s="1285"/>
      <c r="WA11" s="1287"/>
      <c r="WB11" s="1285">
        <v>0</v>
      </c>
      <c r="WC11" s="1285"/>
      <c r="WD11" s="1287"/>
      <c r="WE11" s="1285">
        <v>88</v>
      </c>
      <c r="WF11" s="1285"/>
      <c r="WG11" s="1287"/>
      <c r="WH11" s="1285">
        <v>78</v>
      </c>
      <c r="WI11" s="1285"/>
      <c r="WJ11" s="1287"/>
      <c r="WK11" s="1285">
        <v>85</v>
      </c>
      <c r="WL11" s="1285"/>
      <c r="WM11" s="1287"/>
      <c r="WN11" s="1285">
        <v>78</v>
      </c>
      <c r="WO11" s="1285"/>
      <c r="WP11" s="1287"/>
      <c r="WQ11" s="1390">
        <v>76</v>
      </c>
      <c r="WR11" s="1390"/>
      <c r="WS11" s="1391"/>
      <c r="WT11" s="1285">
        <v>0</v>
      </c>
      <c r="WU11" s="1285"/>
      <c r="WV11" s="1287"/>
      <c r="WW11" s="1285">
        <v>0</v>
      </c>
      <c r="WX11" s="1285"/>
      <c r="WY11" s="1287"/>
      <c r="WZ11" s="1285">
        <v>88</v>
      </c>
      <c r="XA11" s="1285"/>
      <c r="XB11" s="1287"/>
      <c r="XC11" s="1285">
        <v>84</v>
      </c>
      <c r="XD11" s="1285"/>
      <c r="XE11" s="1287"/>
      <c r="XF11" s="1285">
        <v>86</v>
      </c>
      <c r="XG11" s="1285"/>
      <c r="XH11" s="1287"/>
      <c r="XI11" s="1285">
        <v>81</v>
      </c>
      <c r="XJ11" s="1285"/>
      <c r="XK11" s="1287"/>
      <c r="XL11" s="1285">
        <v>79</v>
      </c>
      <c r="XM11" s="1285"/>
      <c r="XN11" s="1287"/>
      <c r="XO11" s="1285">
        <v>0</v>
      </c>
      <c r="XP11" s="1285"/>
      <c r="XQ11" s="1287"/>
      <c r="XR11" s="1285">
        <v>0</v>
      </c>
      <c r="XS11" s="1285"/>
      <c r="XT11" s="1287"/>
      <c r="XU11" s="1285">
        <v>89</v>
      </c>
      <c r="XV11" s="1285"/>
      <c r="XW11" s="1287"/>
      <c r="XX11" s="1285">
        <v>73</v>
      </c>
      <c r="XY11" s="1285"/>
      <c r="XZ11" s="1287"/>
      <c r="YA11" s="1285">
        <v>84</v>
      </c>
      <c r="YB11" s="1285"/>
      <c r="YC11" s="1287"/>
      <c r="YD11" s="1285">
        <v>68</v>
      </c>
      <c r="YE11" s="1285"/>
      <c r="YF11" s="1287"/>
      <c r="YG11" s="1285">
        <v>81</v>
      </c>
      <c r="YH11" s="1285"/>
      <c r="YI11" s="1287"/>
      <c r="YJ11" s="1285">
        <v>0</v>
      </c>
      <c r="YK11" s="1285"/>
      <c r="YL11" s="1287"/>
      <c r="YM11" s="1285">
        <v>0</v>
      </c>
      <c r="YN11" s="1285"/>
      <c r="YO11" s="1287"/>
      <c r="YP11" s="1285">
        <v>80</v>
      </c>
      <c r="YQ11" s="1285"/>
      <c r="YR11" s="1287"/>
      <c r="YS11" s="1285">
        <v>77</v>
      </c>
      <c r="YT11" s="1285"/>
      <c r="YU11" s="1287"/>
      <c r="YV11" s="1285">
        <v>75</v>
      </c>
      <c r="YW11" s="1285"/>
      <c r="YX11" s="1287"/>
      <c r="YY11" s="1285">
        <v>80</v>
      </c>
      <c r="YZ11" s="1285"/>
      <c r="ZA11" s="1287"/>
      <c r="ZB11" s="1285">
        <v>84</v>
      </c>
      <c r="ZC11" s="1285"/>
      <c r="ZD11" s="1287"/>
      <c r="ZE11" s="1285">
        <v>0</v>
      </c>
      <c r="ZF11" s="1285"/>
      <c r="ZG11" s="1287"/>
      <c r="ZH11" s="1285">
        <v>0</v>
      </c>
      <c r="ZI11" s="1285"/>
      <c r="ZJ11" s="1287"/>
      <c r="ZK11" s="1285">
        <v>71</v>
      </c>
      <c r="ZL11" s="1285"/>
      <c r="ZM11" s="1287"/>
      <c r="ZN11" s="1285">
        <v>78</v>
      </c>
      <c r="ZO11" s="1285"/>
      <c r="ZP11" s="1287"/>
      <c r="ZQ11" s="1285">
        <v>65</v>
      </c>
      <c r="ZR11" s="1285"/>
      <c r="ZS11" s="1287"/>
      <c r="ZT11" s="1285">
        <v>67</v>
      </c>
      <c r="ZU11" s="1285"/>
      <c r="ZV11" s="1287"/>
      <c r="ZW11" s="1285">
        <v>81</v>
      </c>
      <c r="ZX11" s="1285"/>
      <c r="ZY11" s="1287"/>
      <c r="ZZ11" s="1285">
        <v>64</v>
      </c>
      <c r="AAA11" s="1285"/>
      <c r="AAB11" s="1287"/>
      <c r="AAC11" s="1285">
        <v>0</v>
      </c>
      <c r="AAD11" s="1285"/>
      <c r="AAE11" s="1287"/>
      <c r="AAF11" s="1285">
        <v>66</v>
      </c>
      <c r="AAG11" s="1285"/>
      <c r="AAH11" s="1287"/>
      <c r="AAI11" s="1285">
        <v>79</v>
      </c>
      <c r="AAJ11" s="1285"/>
      <c r="AAK11" s="1287"/>
      <c r="AAL11" s="1285">
        <v>61</v>
      </c>
      <c r="AAM11" s="1285"/>
      <c r="AAN11" s="1287"/>
      <c r="AAO11" s="1285">
        <v>72</v>
      </c>
      <c r="AAP11" s="1285"/>
      <c r="AAQ11" s="1287"/>
      <c r="AAR11" s="1285">
        <v>64</v>
      </c>
      <c r="AAS11" s="1285"/>
      <c r="AAT11" s="1287"/>
      <c r="AAU11" s="1285">
        <v>78</v>
      </c>
      <c r="AAV11" s="1285"/>
      <c r="AAW11" s="1287"/>
      <c r="AAX11" s="1285">
        <v>0</v>
      </c>
      <c r="AAY11" s="1285"/>
      <c r="AAZ11" s="1287"/>
      <c r="ABA11" s="1285">
        <v>63</v>
      </c>
      <c r="ABB11" s="1285"/>
      <c r="ABC11" s="1287"/>
      <c r="ABD11" s="1285">
        <v>63</v>
      </c>
      <c r="ABE11" s="1285"/>
      <c r="ABF11" s="1287"/>
      <c r="ABG11" s="1285">
        <v>75</v>
      </c>
      <c r="ABH11" s="1285"/>
      <c r="ABI11" s="1287"/>
      <c r="ABJ11" s="1285">
        <v>75</v>
      </c>
      <c r="ABK11" s="1285"/>
      <c r="ABL11" s="1287"/>
      <c r="ABM11" s="1285">
        <v>81</v>
      </c>
      <c r="ABN11" s="1285"/>
      <c r="ABO11" s="1287"/>
      <c r="ABP11" s="1285">
        <v>77</v>
      </c>
      <c r="ABQ11" s="1285"/>
      <c r="ABR11" s="1287"/>
      <c r="ABS11" s="1285">
        <v>0</v>
      </c>
      <c r="ABT11" s="1285"/>
      <c r="ABU11" s="1287"/>
      <c r="ABV11" s="1285">
        <v>80</v>
      </c>
      <c r="ABW11" s="1285"/>
      <c r="ABX11" s="1287"/>
      <c r="ABY11" s="1285">
        <v>83</v>
      </c>
      <c r="ABZ11" s="1285"/>
      <c r="ACA11" s="1287"/>
      <c r="ACB11" s="1285">
        <v>82</v>
      </c>
      <c r="ACC11" s="1285"/>
      <c r="ACD11" s="1287"/>
      <c r="ACE11" s="1285">
        <v>56</v>
      </c>
      <c r="ACF11" s="1285"/>
      <c r="ACG11" s="1287"/>
      <c r="ACH11" s="1285">
        <v>76</v>
      </c>
      <c r="ACI11" s="1285"/>
      <c r="ACJ11" s="1287"/>
      <c r="ACK11" s="1285">
        <v>0</v>
      </c>
      <c r="ACL11" s="1285"/>
      <c r="ACM11" s="1287"/>
      <c r="ACN11" s="1285">
        <v>0</v>
      </c>
      <c r="ACO11" s="1285"/>
      <c r="ACP11" s="1287"/>
      <c r="ACQ11" s="1285">
        <v>76</v>
      </c>
      <c r="ACR11" s="1285"/>
      <c r="ACS11" s="1287"/>
      <c r="ACT11" s="1285">
        <v>84</v>
      </c>
      <c r="ACU11" s="1285"/>
      <c r="ACV11" s="1287"/>
      <c r="ACW11" s="1285">
        <v>67</v>
      </c>
      <c r="ACX11" s="1285"/>
      <c r="ACY11" s="1287"/>
      <c r="ACZ11" s="1285">
        <v>70</v>
      </c>
      <c r="ADA11" s="1285"/>
      <c r="ADB11" s="1287"/>
      <c r="ADC11" s="1285">
        <v>78</v>
      </c>
      <c r="ADD11" s="1285"/>
      <c r="ADE11" s="1287"/>
      <c r="ADF11" s="1285">
        <v>0</v>
      </c>
      <c r="ADG11" s="1285"/>
      <c r="ADH11" s="1287"/>
      <c r="ADI11" s="1285">
        <v>74</v>
      </c>
      <c r="ADJ11" s="1285"/>
      <c r="ADK11" s="1287"/>
      <c r="ADL11" s="1285">
        <v>77</v>
      </c>
      <c r="ADM11" s="1285"/>
      <c r="ADN11" s="1287"/>
      <c r="ADO11" s="1285">
        <v>76</v>
      </c>
      <c r="ADP11" s="1285"/>
      <c r="ADQ11" s="1287"/>
      <c r="ADR11" s="1285">
        <v>74</v>
      </c>
      <c r="ADS11" s="1285"/>
      <c r="ADT11" s="1287"/>
      <c r="ADU11" s="1285">
        <v>81</v>
      </c>
      <c r="ADV11" s="1285"/>
      <c r="ADW11" s="1287"/>
      <c r="ADX11" s="1285">
        <v>69</v>
      </c>
      <c r="ADY11" s="1285"/>
      <c r="ADZ11" s="1287"/>
      <c r="AEA11" s="1285"/>
      <c r="AEB11" s="1285"/>
      <c r="AEC11" s="1287"/>
      <c r="AED11" s="1285">
        <v>85</v>
      </c>
      <c r="AEE11" s="1285"/>
      <c r="AEF11" s="1287"/>
      <c r="AEG11" s="1285">
        <v>68</v>
      </c>
      <c r="AEH11" s="1285"/>
      <c r="AEI11" s="1287"/>
      <c r="AEJ11" s="1285">
        <v>76</v>
      </c>
      <c r="AEK11" s="1285"/>
      <c r="AEL11" s="1287"/>
      <c r="AEM11" s="1285">
        <v>74</v>
      </c>
      <c r="AEN11" s="1285"/>
      <c r="AEO11" s="1287"/>
      <c r="AEP11" s="1285">
        <v>74</v>
      </c>
      <c r="AEQ11" s="1285"/>
      <c r="AER11" s="1287"/>
      <c r="AES11" s="1285">
        <v>71</v>
      </c>
      <c r="AET11" s="1285"/>
      <c r="AEU11" s="1287"/>
      <c r="AEV11" s="1285">
        <v>0</v>
      </c>
      <c r="AEW11" s="1285"/>
      <c r="AEX11" s="1287"/>
      <c r="AEY11" s="1285">
        <v>80</v>
      </c>
      <c r="AEZ11" s="1285"/>
      <c r="AFA11" s="1287"/>
      <c r="AFB11" s="1285">
        <v>83</v>
      </c>
      <c r="AFC11" s="1285"/>
      <c r="AFD11" s="1287"/>
      <c r="AFE11" s="1285">
        <v>76</v>
      </c>
      <c r="AFF11" s="1285"/>
      <c r="AFG11" s="1287"/>
      <c r="AFH11" s="1285">
        <v>80</v>
      </c>
      <c r="AFI11" s="1285"/>
      <c r="AFJ11" s="1287"/>
      <c r="AFK11" s="1285">
        <v>86</v>
      </c>
      <c r="AFL11" s="1285"/>
      <c r="AFM11" s="1287"/>
      <c r="AFN11" s="1285">
        <v>78</v>
      </c>
      <c r="AFO11" s="1285"/>
      <c r="AFP11" s="1287"/>
      <c r="AFQ11" s="1285">
        <v>0</v>
      </c>
      <c r="AFR11" s="1285"/>
      <c r="AFS11" s="1287"/>
      <c r="AFT11" s="1285">
        <v>0</v>
      </c>
      <c r="AFU11" s="1285"/>
      <c r="AFV11" s="1287"/>
      <c r="AFW11" s="1285">
        <v>71</v>
      </c>
      <c r="AFX11" s="1285"/>
      <c r="AFY11" s="1287"/>
      <c r="AFZ11" s="1285">
        <v>78</v>
      </c>
      <c r="AGA11" s="1285"/>
      <c r="AGB11" s="1287"/>
      <c r="AGC11" s="1285">
        <v>79</v>
      </c>
      <c r="AGD11" s="1285"/>
      <c r="AGE11" s="1287"/>
      <c r="AGF11" s="1285">
        <v>83</v>
      </c>
      <c r="AGG11" s="1285"/>
      <c r="AGH11" s="1287"/>
      <c r="AGI11" s="1285">
        <v>82</v>
      </c>
      <c r="AGJ11" s="1285"/>
      <c r="AGK11" s="1287"/>
      <c r="AGL11" s="1285">
        <v>0</v>
      </c>
      <c r="AGM11" s="1285"/>
      <c r="AGN11" s="1287"/>
      <c r="AGO11" s="1285">
        <v>81</v>
      </c>
      <c r="AGP11" s="1285"/>
      <c r="AGQ11" s="1287"/>
      <c r="AGR11" s="1285">
        <v>72</v>
      </c>
      <c r="AGS11" s="1285"/>
      <c r="AGT11" s="1287"/>
      <c r="AGU11" s="1285">
        <v>75</v>
      </c>
      <c r="AGV11" s="1285"/>
      <c r="AGW11" s="1287"/>
      <c r="AGX11" s="1285">
        <v>82</v>
      </c>
      <c r="AGY11" s="1285"/>
      <c r="AGZ11" s="1287"/>
      <c r="AHA11" s="1285">
        <v>82</v>
      </c>
      <c r="AHB11" s="1285"/>
      <c r="AHC11" s="1287"/>
      <c r="AHD11" s="1285">
        <v>86</v>
      </c>
      <c r="AHE11" s="1285"/>
      <c r="AHF11" s="1287"/>
      <c r="AHG11" s="1285">
        <v>80</v>
      </c>
      <c r="AHH11" s="1285"/>
      <c r="AHI11" s="1287"/>
      <c r="AHJ11" s="1285">
        <v>0</v>
      </c>
      <c r="AHK11" s="1285"/>
      <c r="AHL11" s="1287"/>
      <c r="AHM11" s="1285">
        <v>0</v>
      </c>
      <c r="AHN11" s="1285"/>
      <c r="AHO11" s="1287"/>
      <c r="AHP11" s="1285">
        <v>76</v>
      </c>
      <c r="AHQ11" s="1285"/>
      <c r="AHR11" s="1287"/>
      <c r="AHS11" s="1285">
        <v>88</v>
      </c>
      <c r="AHT11" s="1285"/>
      <c r="AHU11" s="1287"/>
      <c r="AHV11" s="1285">
        <v>90</v>
      </c>
      <c r="AHW11" s="1285"/>
      <c r="AHX11" s="1287"/>
      <c r="AHY11" s="1285">
        <v>86</v>
      </c>
      <c r="AHZ11" s="1285"/>
      <c r="AIA11" s="1287"/>
      <c r="AIB11" s="1285">
        <v>0</v>
      </c>
      <c r="AIC11" s="1285"/>
      <c r="AID11" s="1287"/>
      <c r="AIE11" s="1285">
        <v>76</v>
      </c>
      <c r="AIF11" s="1285"/>
      <c r="AIG11" s="1287"/>
      <c r="AIH11" s="1285">
        <v>81</v>
      </c>
      <c r="AII11" s="1285"/>
      <c r="AIJ11" s="1287"/>
      <c r="AIK11" s="1285">
        <v>83</v>
      </c>
      <c r="AIL11" s="1285"/>
      <c r="AIM11" s="1287"/>
      <c r="AIN11" s="1285">
        <v>79</v>
      </c>
      <c r="AIO11" s="1285"/>
      <c r="AIP11" s="1287"/>
      <c r="AIQ11" s="1285">
        <v>84</v>
      </c>
      <c r="AIR11" s="1285"/>
      <c r="AIS11" s="1287"/>
      <c r="AIT11" s="1285">
        <v>80</v>
      </c>
      <c r="AIU11" s="1285"/>
      <c r="AIV11" s="1287"/>
      <c r="AIW11" s="1285">
        <v>76</v>
      </c>
      <c r="AIX11" s="1285"/>
      <c r="AIY11" s="1287"/>
      <c r="AIZ11" s="1285">
        <v>0</v>
      </c>
      <c r="AJA11" s="1285"/>
      <c r="AJB11" s="1287"/>
      <c r="AJC11" s="1285">
        <v>0</v>
      </c>
      <c r="AJD11" s="1285"/>
      <c r="AJE11" s="1287"/>
      <c r="AJF11" s="1285">
        <v>76</v>
      </c>
      <c r="AJG11" s="1285"/>
      <c r="AJH11" s="1287"/>
      <c r="AJI11" s="1285">
        <v>76</v>
      </c>
      <c r="AJJ11" s="1285"/>
      <c r="AJK11" s="1287"/>
      <c r="AJL11" s="1285">
        <v>56</v>
      </c>
      <c r="AJM11" s="1285"/>
      <c r="AJN11" s="1287"/>
      <c r="AJO11" s="1285">
        <v>84</v>
      </c>
      <c r="AJP11" s="1285"/>
      <c r="AJQ11" s="1287"/>
      <c r="AJR11" s="1285">
        <v>75</v>
      </c>
      <c r="AJS11" s="1285"/>
      <c r="AJT11" s="1287"/>
      <c r="AJU11" s="1285">
        <v>80</v>
      </c>
      <c r="AJV11" s="1285"/>
      <c r="AJW11" s="1287"/>
      <c r="AJX11" s="1285">
        <v>84</v>
      </c>
      <c r="AJY11" s="1285"/>
      <c r="AJZ11" s="1287"/>
      <c r="AKA11" s="1285">
        <v>67</v>
      </c>
      <c r="AKB11" s="1285"/>
      <c r="AKC11" s="1287"/>
      <c r="AKD11" s="1285">
        <v>75</v>
      </c>
      <c r="AKE11" s="1285"/>
      <c r="AKF11" s="1287"/>
      <c r="AKG11" s="1285">
        <v>82</v>
      </c>
      <c r="AKH11" s="1285"/>
      <c r="AKI11" s="1287"/>
      <c r="AKJ11" s="1285">
        <v>83</v>
      </c>
      <c r="AKK11" s="1285"/>
      <c r="AKL11" s="1287"/>
      <c r="AKM11" s="1285">
        <v>44</v>
      </c>
      <c r="AKN11" s="1285"/>
      <c r="AKO11" s="1287"/>
      <c r="AKP11" s="1285">
        <v>80</v>
      </c>
      <c r="AKQ11" s="1285"/>
      <c r="AKR11" s="1287"/>
      <c r="AKS11" s="1285">
        <v>79</v>
      </c>
      <c r="AKT11" s="1285"/>
      <c r="AKU11" s="1287"/>
      <c r="AKV11" s="1285">
        <v>74</v>
      </c>
      <c r="AKW11" s="1285"/>
      <c r="AKX11" s="1287"/>
      <c r="AKY11" s="1285">
        <v>0</v>
      </c>
      <c r="AKZ11" s="1285"/>
      <c r="ALA11" s="1287"/>
      <c r="ALB11" s="1285">
        <v>0</v>
      </c>
      <c r="ALC11" s="1285"/>
      <c r="ALD11" s="1287"/>
      <c r="ALE11" s="1285">
        <v>78</v>
      </c>
      <c r="ALF11" s="1285"/>
      <c r="ALG11" s="1287"/>
      <c r="ALH11" s="1285">
        <v>75</v>
      </c>
      <c r="ALI11" s="1285"/>
      <c r="ALJ11" s="1287"/>
      <c r="ALK11" s="1285">
        <v>66</v>
      </c>
      <c r="ALL11" s="1285"/>
      <c r="ALM11" s="1287"/>
      <c r="ALN11" s="1285">
        <v>82</v>
      </c>
      <c r="ALO11" s="1285"/>
      <c r="ALP11" s="1287"/>
      <c r="ALQ11" s="1285">
        <v>79</v>
      </c>
      <c r="ALR11" s="1285"/>
      <c r="ALS11" s="1287"/>
      <c r="ALT11" s="1285">
        <v>0</v>
      </c>
      <c r="ALU11" s="1285"/>
      <c r="ALV11" s="1287"/>
      <c r="ALW11" s="1285">
        <v>0</v>
      </c>
      <c r="ALX11" s="1285"/>
      <c r="ALY11" s="1287"/>
      <c r="ALZ11" s="1285">
        <v>83</v>
      </c>
      <c r="AMA11" s="1285"/>
      <c r="AMB11" s="1287"/>
      <c r="AMC11" s="1285">
        <v>75</v>
      </c>
      <c r="AMD11" s="1285"/>
      <c r="AME11" s="1287"/>
      <c r="AMF11" s="1285">
        <v>0</v>
      </c>
      <c r="AMG11" s="1285"/>
      <c r="AMH11" s="1287"/>
      <c r="AMI11" s="1285">
        <v>83</v>
      </c>
      <c r="AMJ11" s="1285"/>
      <c r="AMK11" s="1287"/>
      <c r="AML11" s="1285">
        <v>80</v>
      </c>
      <c r="AMM11" s="1285"/>
      <c r="AMN11" s="1287"/>
      <c r="AMO11" s="1285">
        <v>84</v>
      </c>
      <c r="AMP11" s="1285"/>
      <c r="AMQ11" s="1287"/>
      <c r="AMR11" s="1285">
        <v>80</v>
      </c>
      <c r="AMS11" s="1285"/>
      <c r="AMT11" s="1287"/>
      <c r="AMU11" s="1285">
        <v>73</v>
      </c>
      <c r="AMV11" s="1285"/>
      <c r="AMW11" s="1287"/>
      <c r="AMX11" s="1285">
        <v>69</v>
      </c>
      <c r="AMY11" s="1285"/>
      <c r="AMZ11" s="1287"/>
      <c r="ANA11" s="1285">
        <v>81</v>
      </c>
      <c r="ANB11" s="1285"/>
      <c r="ANC11" s="1287"/>
      <c r="AND11" s="1285">
        <v>67</v>
      </c>
      <c r="ANE11" s="1285"/>
      <c r="ANF11" s="1287"/>
      <c r="ANG11" s="1285">
        <v>78</v>
      </c>
      <c r="ANH11" s="1285"/>
      <c r="ANI11" s="1287"/>
      <c r="ANJ11" s="1285">
        <v>81</v>
      </c>
      <c r="ANK11" s="1285"/>
      <c r="ANL11" s="1287"/>
      <c r="ANM11" s="1285">
        <v>89</v>
      </c>
      <c r="ANN11" s="1285"/>
      <c r="ANO11" s="1287"/>
      <c r="ANP11" s="1285">
        <v>81</v>
      </c>
      <c r="ANQ11" s="1285"/>
      <c r="ANR11" s="1287"/>
      <c r="ANS11" s="1285">
        <v>81</v>
      </c>
      <c r="ANT11" s="1285"/>
      <c r="ANU11" s="1287"/>
      <c r="ANV11" s="1285">
        <v>0</v>
      </c>
      <c r="ANW11" s="1285"/>
      <c r="ANX11" s="1287"/>
      <c r="ANY11" s="1285">
        <v>82</v>
      </c>
      <c r="ANZ11" s="1285"/>
      <c r="AOA11" s="1287"/>
      <c r="AOB11" s="1285">
        <v>83</v>
      </c>
      <c r="AOC11" s="1285"/>
      <c r="AOD11" s="1287"/>
      <c r="AOE11" s="1285">
        <v>67</v>
      </c>
      <c r="AOF11" s="1285"/>
      <c r="AOG11" s="1287"/>
      <c r="AOH11" s="1285">
        <v>85</v>
      </c>
      <c r="AOI11" s="1285"/>
      <c r="AOJ11" s="1287"/>
      <c r="AOK11" s="1285">
        <v>90</v>
      </c>
      <c r="AOL11" s="1285"/>
      <c r="AOM11" s="1287"/>
      <c r="AON11" s="1285">
        <v>80</v>
      </c>
      <c r="AOO11" s="1285"/>
      <c r="AOP11" s="1287"/>
      <c r="AOQ11" s="1285">
        <v>75</v>
      </c>
      <c r="AOR11" s="1285"/>
      <c r="AOS11" s="1287"/>
      <c r="AOT11" s="1285">
        <v>79</v>
      </c>
      <c r="AOU11" s="1285"/>
      <c r="AOV11" s="1287"/>
      <c r="AOW11" s="1285">
        <v>77</v>
      </c>
      <c r="AOX11" s="1285"/>
      <c r="AOY11" s="1287"/>
      <c r="AOZ11" s="1285">
        <v>86</v>
      </c>
      <c r="APA11" s="1285"/>
      <c r="APB11" s="1287"/>
      <c r="APC11" s="1285">
        <v>71</v>
      </c>
      <c r="APD11" s="1285"/>
      <c r="APE11" s="1287"/>
      <c r="APF11" s="1285">
        <v>82</v>
      </c>
      <c r="APG11" s="1285"/>
      <c r="APH11" s="1287"/>
      <c r="API11" s="1285">
        <v>0</v>
      </c>
      <c r="APJ11" s="1285"/>
      <c r="APK11" s="1287"/>
      <c r="APL11" s="1285">
        <v>0</v>
      </c>
      <c r="APM11" s="1285"/>
      <c r="APN11" s="1287"/>
      <c r="APO11" s="1285">
        <v>82</v>
      </c>
      <c r="APP11" s="1285"/>
      <c r="APQ11" s="1287"/>
      <c r="APR11" s="1285">
        <v>84</v>
      </c>
      <c r="APS11" s="1285"/>
      <c r="APT11" s="1287"/>
      <c r="APU11" s="1285">
        <v>85</v>
      </c>
      <c r="APV11" s="1285"/>
      <c r="APW11" s="1287"/>
      <c r="APX11" s="1285">
        <v>73</v>
      </c>
      <c r="APY11" s="1285"/>
      <c r="APZ11" s="1287"/>
      <c r="AQA11" s="1285">
        <v>84</v>
      </c>
      <c r="AQB11" s="1285"/>
      <c r="AQC11" s="1287"/>
      <c r="AQD11" s="1285">
        <v>76</v>
      </c>
      <c r="AQE11" s="1285"/>
      <c r="AQF11" s="1287"/>
      <c r="AQG11" s="1285">
        <v>88</v>
      </c>
      <c r="AQH11" s="1285"/>
      <c r="AQI11" s="1287"/>
      <c r="AQJ11" s="1285">
        <v>85</v>
      </c>
      <c r="AQK11" s="1285"/>
      <c r="AQL11" s="1287"/>
      <c r="AQM11" s="1285">
        <v>87</v>
      </c>
      <c r="AQN11" s="1285"/>
      <c r="AQO11" s="1287"/>
      <c r="AQP11" s="1285">
        <v>81</v>
      </c>
      <c r="AQQ11" s="1285"/>
      <c r="AQR11" s="1287"/>
      <c r="AQS11" s="1285">
        <v>87</v>
      </c>
      <c r="AQT11" s="1285"/>
      <c r="AQU11" s="1287"/>
      <c r="AQV11" s="1285">
        <v>83</v>
      </c>
      <c r="AQW11" s="1285"/>
      <c r="AQX11" s="1287"/>
      <c r="AQY11" s="1285">
        <v>69</v>
      </c>
      <c r="AQZ11" s="1285"/>
      <c r="ARA11" s="1287"/>
      <c r="ARB11" s="1285">
        <v>0</v>
      </c>
      <c r="ARC11" s="1285"/>
      <c r="ARD11" s="1287"/>
      <c r="ARE11" s="1285">
        <v>0</v>
      </c>
      <c r="ARF11" s="1285"/>
      <c r="ARG11" s="1287"/>
      <c r="ARH11" s="1285">
        <v>87</v>
      </c>
      <c r="ARI11" s="1285"/>
      <c r="ARJ11" s="1287"/>
      <c r="ARK11" s="1285">
        <v>83</v>
      </c>
      <c r="ARL11" s="1285"/>
      <c r="ARM11" s="1287"/>
      <c r="ARN11" s="1285">
        <v>84</v>
      </c>
      <c r="ARO11" s="1285"/>
      <c r="ARP11" s="1287"/>
      <c r="ARQ11" s="1285">
        <v>85</v>
      </c>
      <c r="ARR11" s="1285"/>
      <c r="ARS11" s="1287"/>
      <c r="ART11" s="1285">
        <v>72</v>
      </c>
      <c r="ARU11" s="1285"/>
      <c r="ARV11" s="1287"/>
      <c r="ARW11" s="1285">
        <v>91</v>
      </c>
      <c r="ARX11" s="1285"/>
      <c r="ARY11" s="1287"/>
      <c r="ARZ11" s="1285">
        <v>82</v>
      </c>
      <c r="ASA11" s="1285"/>
      <c r="ASB11" s="1287"/>
      <c r="ASC11" s="1285">
        <v>78</v>
      </c>
      <c r="ASD11" s="1285"/>
      <c r="ASE11" s="1287"/>
      <c r="ASF11" s="1285">
        <v>79</v>
      </c>
      <c r="ASG11" s="1285"/>
      <c r="ASH11" s="1287"/>
      <c r="ASI11" s="1285">
        <v>84</v>
      </c>
      <c r="ASJ11" s="1285"/>
      <c r="ASK11" s="1287"/>
      <c r="ASL11" s="1285">
        <v>91</v>
      </c>
      <c r="ASM11" s="1285"/>
      <c r="ASN11" s="1287"/>
      <c r="ASO11" s="1285">
        <v>0</v>
      </c>
      <c r="ASP11" s="1285"/>
      <c r="ASQ11" s="1285"/>
      <c r="ASR11" s="1286">
        <v>0</v>
      </c>
      <c r="ASS11" s="1285"/>
      <c r="AST11" s="1287"/>
      <c r="ASU11" s="1285">
        <v>88</v>
      </c>
      <c r="ASV11" s="1285"/>
      <c r="ASW11" s="1287"/>
      <c r="ASX11" s="1285">
        <v>85</v>
      </c>
      <c r="ASY11" s="1285"/>
      <c r="ASZ11" s="1287"/>
      <c r="ATA11" s="1285">
        <v>77</v>
      </c>
      <c r="ATB11" s="1285"/>
      <c r="ATC11" s="1287"/>
      <c r="ATD11" s="1285">
        <v>87</v>
      </c>
      <c r="ATE11" s="1285"/>
      <c r="ATF11" s="1287"/>
      <c r="ATG11" s="1285">
        <v>84</v>
      </c>
      <c r="ATH11" s="1285"/>
      <c r="ATI11" s="1287"/>
      <c r="ATJ11" s="1285">
        <v>0</v>
      </c>
      <c r="ATK11" s="1285"/>
      <c r="ATL11" s="1287"/>
      <c r="ATM11" s="1285">
        <v>98</v>
      </c>
      <c r="ATN11" s="1285"/>
      <c r="ATO11" s="1287"/>
      <c r="ATP11" s="1285">
        <v>87</v>
      </c>
      <c r="ATQ11" s="1285"/>
      <c r="ATR11" s="1287"/>
      <c r="ATS11" s="1285">
        <v>76</v>
      </c>
      <c r="ATT11" s="1285"/>
      <c r="ATU11" s="1287"/>
      <c r="ATV11" s="1285">
        <v>82</v>
      </c>
      <c r="ATW11" s="1285"/>
      <c r="ATX11" s="1287"/>
      <c r="ATY11" s="1285">
        <v>83</v>
      </c>
      <c r="ATZ11" s="1285"/>
      <c r="AUA11" s="1287"/>
      <c r="AUB11" s="1285">
        <v>93</v>
      </c>
      <c r="AUC11" s="1285"/>
      <c r="AUD11" s="1287"/>
      <c r="AUE11" s="1285">
        <v>0</v>
      </c>
      <c r="AUF11" s="1285"/>
      <c r="AUG11" s="1287"/>
      <c r="AUH11" s="1285">
        <v>0</v>
      </c>
      <c r="AUI11" s="1285"/>
      <c r="AUJ11" s="1287"/>
      <c r="AUK11" s="1285">
        <v>84</v>
      </c>
      <c r="AUL11" s="1285"/>
      <c r="AUM11" s="1287"/>
      <c r="AUN11" s="1285">
        <v>85</v>
      </c>
      <c r="AUO11" s="1285"/>
      <c r="AUP11" s="1287"/>
      <c r="AUQ11" s="1285">
        <v>92</v>
      </c>
      <c r="AUR11" s="1285"/>
      <c r="AUS11" s="1287"/>
      <c r="AUT11" s="1285">
        <v>89</v>
      </c>
      <c r="AUU11" s="1285"/>
      <c r="AUV11" s="1287"/>
      <c r="AUW11" s="1285">
        <v>84</v>
      </c>
      <c r="AUX11" s="1285"/>
      <c r="AUY11" s="1287"/>
      <c r="AUZ11" s="1285">
        <v>75</v>
      </c>
      <c r="AVA11" s="1285"/>
      <c r="AVB11" s="1287"/>
      <c r="AVC11" s="1285">
        <v>91</v>
      </c>
      <c r="AVD11" s="1285"/>
      <c r="AVE11" s="1287"/>
      <c r="AVF11" s="1285">
        <v>83</v>
      </c>
      <c r="AVG11" s="1285"/>
      <c r="AVH11" s="1287"/>
      <c r="AVI11" s="1342">
        <v>102</v>
      </c>
      <c r="AVJ11" s="1342"/>
      <c r="AVK11" s="1343"/>
      <c r="AVL11" s="1285">
        <v>75</v>
      </c>
      <c r="AVM11" s="1285"/>
      <c r="AVN11" s="1287"/>
      <c r="AVO11" s="1285">
        <v>82</v>
      </c>
      <c r="AVP11" s="1285"/>
      <c r="AVQ11" s="1287"/>
      <c r="AVR11" s="1285">
        <v>0</v>
      </c>
      <c r="AVS11" s="1285"/>
      <c r="AVT11" s="1287"/>
      <c r="AVU11" s="1285">
        <v>0</v>
      </c>
      <c r="AVV11" s="1285"/>
      <c r="AVW11" s="1287"/>
      <c r="AVX11" s="1285">
        <v>0</v>
      </c>
      <c r="AVY11" s="1285"/>
      <c r="AVZ11" s="1287"/>
      <c r="AWA11" s="1285">
        <v>0</v>
      </c>
      <c r="AWB11" s="1285"/>
      <c r="AWC11" s="1287"/>
      <c r="AWD11" s="1285">
        <v>0</v>
      </c>
      <c r="AWE11" s="1285"/>
      <c r="AWF11" s="1287"/>
      <c r="AWG11" s="1285">
        <v>0</v>
      </c>
      <c r="AWH11" s="1285"/>
      <c r="AWI11" s="1287"/>
      <c r="AWJ11" s="1285">
        <v>0</v>
      </c>
      <c r="AWK11" s="1285"/>
      <c r="AWL11" s="1287"/>
      <c r="AWM11" s="1285">
        <v>0</v>
      </c>
      <c r="AWN11" s="1285"/>
      <c r="AWO11" s="1287"/>
      <c r="AWP11" s="1285">
        <v>0</v>
      </c>
      <c r="AWQ11" s="1285"/>
      <c r="AWR11" s="1287"/>
      <c r="AWS11" s="1285">
        <v>0</v>
      </c>
      <c r="AWT11" s="1285"/>
      <c r="AWU11" s="1287"/>
      <c r="AWV11" s="1285">
        <v>0</v>
      </c>
      <c r="AWW11" s="1285"/>
      <c r="AWX11" s="1287"/>
      <c r="AWY11" s="1285">
        <v>0</v>
      </c>
      <c r="AWZ11" s="1285"/>
      <c r="AXA11" s="1287"/>
      <c r="AXB11" s="1285">
        <v>0</v>
      </c>
      <c r="AXC11" s="1285"/>
      <c r="AXD11" s="1287"/>
      <c r="AXE11" s="1285">
        <v>0</v>
      </c>
      <c r="AXF11" s="1285"/>
      <c r="AXG11" s="1287"/>
      <c r="AXH11" s="1285">
        <v>0</v>
      </c>
      <c r="AXI11" s="1285"/>
      <c r="AXJ11" s="1287"/>
      <c r="AXK11" s="1285">
        <v>0</v>
      </c>
      <c r="AXL11" s="1285"/>
      <c r="AXM11" s="1287"/>
      <c r="AXN11" s="1285">
        <v>0</v>
      </c>
      <c r="AXO11" s="1285"/>
      <c r="AXP11" s="1287"/>
      <c r="AXQ11" s="1285">
        <v>0</v>
      </c>
      <c r="AXR11" s="1285"/>
      <c r="AXS11" s="1287"/>
      <c r="AXT11" s="1285">
        <v>0</v>
      </c>
      <c r="AXU11" s="1285"/>
      <c r="AXV11" s="1287"/>
      <c r="AXW11" s="1285">
        <v>0</v>
      </c>
      <c r="AXX11" s="1285"/>
      <c r="AXY11" s="1287"/>
      <c r="AXZ11" s="1285">
        <v>0</v>
      </c>
      <c r="AYA11" s="1285"/>
      <c r="AYB11" s="1287"/>
      <c r="AYC11" s="1285">
        <v>0</v>
      </c>
      <c r="AYD11" s="1285"/>
      <c r="AYE11" s="1287"/>
      <c r="AYF11" s="1285">
        <v>0</v>
      </c>
      <c r="AYG11" s="1285"/>
      <c r="AYH11" s="1287"/>
      <c r="AYI11" s="1285">
        <v>0</v>
      </c>
      <c r="AYJ11" s="1285"/>
      <c r="AYK11" s="1287"/>
      <c r="AYL11" s="1285">
        <v>0</v>
      </c>
      <c r="AYM11" s="1285"/>
      <c r="AYN11" s="1287"/>
      <c r="AYO11" s="1285">
        <v>0</v>
      </c>
      <c r="AYP11" s="1285"/>
      <c r="AYQ11" s="1287"/>
      <c r="AYR11" s="1285">
        <v>0</v>
      </c>
      <c r="AYS11" s="1285"/>
      <c r="AYT11" s="1287"/>
      <c r="AYU11" s="1285">
        <v>0</v>
      </c>
      <c r="AYV11" s="1285"/>
      <c r="AYW11" s="1287"/>
      <c r="AYX11" s="1285">
        <v>0</v>
      </c>
      <c r="AYY11" s="1285"/>
      <c r="AYZ11" s="1287"/>
      <c r="AZA11" s="1285">
        <v>0</v>
      </c>
      <c r="AZB11" s="1285"/>
      <c r="AZC11" s="1287"/>
      <c r="AZD11" s="1285">
        <v>0</v>
      </c>
      <c r="AZE11" s="1285"/>
      <c r="AZF11" s="1287"/>
      <c r="AZG11" s="1285">
        <v>0</v>
      </c>
      <c r="AZH11" s="1285"/>
      <c r="AZI11" s="1287"/>
      <c r="AZJ11" s="1285">
        <v>0</v>
      </c>
      <c r="AZK11" s="1285"/>
      <c r="AZL11" s="1287"/>
      <c r="AZM11" s="1285">
        <v>0</v>
      </c>
      <c r="AZN11" s="1285"/>
      <c r="AZO11" s="1287"/>
      <c r="AZP11" s="1285">
        <v>0</v>
      </c>
      <c r="AZQ11" s="1285"/>
      <c r="AZR11" s="1287"/>
      <c r="AZS11" s="1285">
        <v>0</v>
      </c>
      <c r="AZT11" s="1285"/>
      <c r="AZU11" s="1287"/>
      <c r="AZV11" s="1285">
        <v>0</v>
      </c>
      <c r="AZW11" s="1285"/>
      <c r="AZX11" s="1287"/>
      <c r="AZY11" s="1285">
        <v>0</v>
      </c>
      <c r="AZZ11" s="1285"/>
      <c r="BAA11" s="1287"/>
      <c r="BAB11" s="1285">
        <v>0</v>
      </c>
      <c r="BAC11" s="1285"/>
      <c r="BAD11" s="1287"/>
      <c r="BAE11" s="1285">
        <v>0</v>
      </c>
      <c r="BAF11" s="1285"/>
      <c r="BAG11" s="1287"/>
      <c r="BAH11" s="1285">
        <v>0</v>
      </c>
      <c r="BAI11" s="1285"/>
      <c r="BAJ11" s="1287"/>
    </row>
    <row r="12" spans="1:1388" ht="15" customHeight="1">
      <c r="B12" s="1419" t="s">
        <v>333</v>
      </c>
      <c r="C12" s="1420"/>
      <c r="D12" s="1421"/>
      <c r="E12" s="4" t="s">
        <v>327</v>
      </c>
      <c r="F12" s="7"/>
      <c r="G12" s="7"/>
      <c r="H12" s="4"/>
      <c r="I12" s="7"/>
      <c r="J12" s="7"/>
      <c r="K12" s="4"/>
      <c r="L12" s="7"/>
      <c r="M12" s="7"/>
      <c r="N12" s="4"/>
      <c r="O12" s="7"/>
      <c r="P12" s="7"/>
      <c r="Q12" s="4"/>
      <c r="R12" s="7"/>
      <c r="S12" s="7"/>
      <c r="T12" s="4"/>
      <c r="U12" s="7"/>
      <c r="V12" s="7"/>
      <c r="W12" s="4"/>
      <c r="X12" s="7"/>
      <c r="Y12" s="7"/>
      <c r="Z12" s="4"/>
      <c r="AA12" s="7"/>
      <c r="AB12" s="7"/>
      <c r="AC12" s="4"/>
      <c r="AD12" s="7"/>
      <c r="AE12" s="7"/>
      <c r="AF12" s="4"/>
      <c r="AG12" s="7"/>
      <c r="AH12" s="7"/>
      <c r="AI12" s="4"/>
      <c r="AJ12" s="7"/>
      <c r="AK12" s="7"/>
      <c r="AL12" s="4"/>
      <c r="AM12" s="7"/>
      <c r="AN12" s="7"/>
      <c r="AO12" s="4"/>
      <c r="AP12" s="7"/>
      <c r="AQ12" s="7"/>
      <c r="AR12" s="4"/>
      <c r="AS12" s="7"/>
      <c r="AT12" s="7"/>
      <c r="AU12" s="4"/>
      <c r="AV12" s="7"/>
      <c r="AW12" s="7"/>
      <c r="AX12" s="4"/>
      <c r="AY12" s="7"/>
      <c r="AZ12" s="7"/>
      <c r="BA12" s="4"/>
      <c r="BB12" s="7"/>
      <c r="BC12" s="7"/>
      <c r="BD12" s="4"/>
      <c r="BE12" s="7"/>
      <c r="BF12" s="7"/>
      <c r="BG12" s="4"/>
      <c r="BH12" s="7"/>
      <c r="BI12" s="7"/>
      <c r="BJ12" s="4"/>
      <c r="BK12" s="7"/>
      <c r="BL12" s="7"/>
      <c r="BM12" s="4"/>
      <c r="BN12" s="7"/>
      <c r="BO12" s="7"/>
      <c r="BP12" s="4"/>
      <c r="BQ12" s="7"/>
      <c r="BR12" s="7"/>
      <c r="BS12" s="4"/>
      <c r="BT12" s="7"/>
      <c r="BU12" s="7"/>
      <c r="BV12" s="4"/>
      <c r="BW12" s="7"/>
      <c r="BX12" s="7"/>
      <c r="BY12" s="4"/>
      <c r="BZ12" s="7"/>
      <c r="CA12" s="7"/>
      <c r="CB12" s="4"/>
      <c r="CC12" s="7"/>
      <c r="CD12" s="7"/>
      <c r="CE12" s="4"/>
      <c r="CF12" s="7"/>
      <c r="CG12" s="7"/>
      <c r="CH12" s="4"/>
      <c r="CI12" s="7"/>
      <c r="CJ12" s="7"/>
      <c r="CK12" s="4"/>
      <c r="CL12" s="7"/>
      <c r="CM12" s="7"/>
      <c r="CN12" s="4"/>
      <c r="CO12" s="7"/>
      <c r="CP12" s="7"/>
      <c r="CQ12" s="4"/>
      <c r="CR12" s="7"/>
      <c r="CS12" s="7"/>
      <c r="CT12" s="4"/>
      <c r="CU12" s="7"/>
      <c r="CV12" s="7"/>
      <c r="CW12" s="4"/>
      <c r="CX12" s="7"/>
      <c r="CY12" s="7"/>
      <c r="CZ12" s="4"/>
      <c r="DA12" s="7"/>
      <c r="DB12" s="7"/>
      <c r="DC12" s="4"/>
      <c r="DD12" s="7"/>
      <c r="DE12" s="7"/>
      <c r="DF12" s="4"/>
      <c r="DG12" s="7"/>
      <c r="DH12" s="7"/>
      <c r="DI12" s="4"/>
      <c r="DJ12" s="7"/>
      <c r="DK12" s="7"/>
      <c r="DL12" s="4"/>
      <c r="DM12" s="7"/>
      <c r="DN12" s="7"/>
      <c r="DO12" s="4"/>
      <c r="DP12" s="7"/>
      <c r="DQ12" s="7"/>
      <c r="DR12" s="4"/>
      <c r="DS12" s="7"/>
      <c r="DT12" s="7"/>
      <c r="DU12" s="4"/>
      <c r="DV12" s="7"/>
      <c r="DW12" s="7"/>
      <c r="DX12" s="4"/>
      <c r="DY12" s="7"/>
      <c r="DZ12" s="7"/>
      <c r="EA12" s="4"/>
      <c r="EB12" s="7"/>
      <c r="EC12" s="7"/>
      <c r="ED12" s="4"/>
      <c r="EE12" s="7"/>
      <c r="EF12" s="7"/>
      <c r="EG12" s="4"/>
      <c r="EH12" s="7"/>
      <c r="EI12" s="7"/>
      <c r="EJ12" s="4"/>
      <c r="EK12" s="7"/>
      <c r="EL12" s="7"/>
      <c r="EM12" s="4"/>
      <c r="EN12" s="7"/>
      <c r="EO12" s="7"/>
      <c r="EP12" s="4"/>
      <c r="EQ12" s="7"/>
      <c r="ER12" s="7"/>
      <c r="ES12" s="4"/>
      <c r="ET12" s="7"/>
      <c r="EU12" s="7"/>
      <c r="EV12" s="4"/>
      <c r="EW12" s="7"/>
      <c r="EX12" s="7"/>
      <c r="EY12" s="4"/>
      <c r="EZ12" s="7"/>
      <c r="FA12" s="7"/>
      <c r="FB12" s="4"/>
      <c r="FC12" s="7"/>
      <c r="FD12" s="7"/>
      <c r="FE12" s="4"/>
      <c r="FF12" s="7"/>
      <c r="FG12" s="7"/>
      <c r="FH12" s="4"/>
      <c r="FI12" s="7"/>
      <c r="FJ12" s="7"/>
      <c r="FK12" s="4"/>
      <c r="FL12" s="7"/>
      <c r="FM12" s="7"/>
      <c r="FN12" s="4"/>
      <c r="FO12" s="7"/>
      <c r="FP12" s="7"/>
      <c r="FQ12" s="4"/>
      <c r="FR12" s="7"/>
      <c r="FS12" s="7"/>
      <c r="FT12" s="4"/>
      <c r="FU12" s="7"/>
      <c r="FV12" s="7"/>
      <c r="FW12" s="4"/>
      <c r="FX12" s="7"/>
      <c r="FY12" s="7"/>
      <c r="FZ12" s="4"/>
      <c r="GA12" s="7"/>
      <c r="GB12" s="7"/>
      <c r="GC12" s="4"/>
      <c r="GD12" s="7"/>
      <c r="GE12" s="7"/>
      <c r="GF12" s="4"/>
      <c r="GG12" s="7"/>
      <c r="GH12" s="7"/>
      <c r="GI12" s="4"/>
      <c r="GJ12" s="7"/>
      <c r="GK12" s="7"/>
      <c r="GL12" s="4"/>
      <c r="GM12" s="7"/>
      <c r="GN12" s="7"/>
      <c r="GO12" s="4"/>
      <c r="GP12" s="7"/>
      <c r="GQ12" s="7"/>
      <c r="GR12" s="4"/>
      <c r="GS12" s="7"/>
      <c r="GT12" s="7"/>
      <c r="GU12" s="4"/>
      <c r="GV12" s="7"/>
      <c r="GW12" s="7"/>
      <c r="GX12" s="4"/>
      <c r="GY12" s="7"/>
      <c r="GZ12" s="7"/>
      <c r="HA12" s="4"/>
      <c r="HB12" s="7"/>
      <c r="HC12" s="7"/>
      <c r="HD12" s="4"/>
      <c r="HE12" s="7"/>
      <c r="HF12" s="7"/>
      <c r="HG12" s="4"/>
      <c r="HH12" s="7"/>
      <c r="HI12" s="7"/>
      <c r="HJ12" s="4"/>
      <c r="HK12" s="7"/>
      <c r="HL12" s="7"/>
      <c r="HM12" s="4"/>
      <c r="HN12" s="7"/>
      <c r="HO12" s="7"/>
      <c r="HP12" s="4"/>
      <c r="HQ12" s="7"/>
      <c r="HR12" s="7"/>
      <c r="HS12" s="4"/>
      <c r="HT12" s="7"/>
      <c r="HU12" s="7"/>
      <c r="HV12" s="4"/>
      <c r="HW12" s="7"/>
      <c r="HX12" s="7"/>
      <c r="HY12" s="4"/>
      <c r="HZ12" s="7"/>
      <c r="IA12" s="7"/>
      <c r="IB12" s="4"/>
      <c r="IC12" s="7"/>
      <c r="ID12" s="7"/>
      <c r="IE12" s="4"/>
      <c r="IF12" s="7"/>
      <c r="IG12" s="7"/>
      <c r="IH12" s="4"/>
      <c r="II12" s="7"/>
      <c r="IJ12" s="7"/>
      <c r="IK12" s="4"/>
      <c r="IL12" s="7"/>
      <c r="IM12" s="7"/>
      <c r="IN12" s="4"/>
      <c r="IO12" s="7"/>
      <c r="IP12" s="7"/>
      <c r="IQ12" s="4"/>
      <c r="IR12" s="7"/>
      <c r="IS12" s="7"/>
      <c r="IT12" s="4"/>
      <c r="IU12" s="7"/>
      <c r="IV12" s="7"/>
      <c r="IW12" s="4"/>
      <c r="IX12" s="7"/>
      <c r="IY12" s="7"/>
      <c r="IZ12" s="4"/>
      <c r="JA12" s="7"/>
      <c r="JB12" s="7"/>
      <c r="JC12" s="4"/>
      <c r="JD12" s="7"/>
      <c r="JE12" s="7"/>
      <c r="JF12" s="4"/>
      <c r="JG12" s="7"/>
      <c r="JH12" s="7"/>
      <c r="JI12" s="4"/>
      <c r="JJ12" s="7"/>
      <c r="JK12" s="7"/>
      <c r="JL12" s="4"/>
      <c r="JM12" s="7"/>
      <c r="JN12" s="7"/>
      <c r="JO12" s="4"/>
      <c r="JP12" s="7"/>
      <c r="JQ12" s="7"/>
      <c r="JR12" s="4"/>
      <c r="JS12" s="7"/>
      <c r="JT12" s="7"/>
      <c r="JU12" s="4"/>
      <c r="JV12" s="7"/>
      <c r="JW12" s="7"/>
      <c r="JX12" s="4"/>
      <c r="JY12" s="7"/>
      <c r="JZ12" s="7"/>
      <c r="KA12" s="4"/>
      <c r="KB12" s="7"/>
      <c r="KC12" s="7"/>
      <c r="KD12" s="4"/>
      <c r="KE12" s="7"/>
      <c r="KF12" s="7"/>
      <c r="KG12" s="4"/>
      <c r="KH12" s="7"/>
      <c r="KI12" s="7"/>
      <c r="KJ12" s="4"/>
      <c r="KK12" s="7"/>
      <c r="KL12" s="7"/>
      <c r="KM12" s="4"/>
      <c r="KN12" s="7"/>
      <c r="KO12" s="7"/>
      <c r="KP12" s="4"/>
      <c r="KQ12" s="7"/>
      <c r="KR12" s="7"/>
      <c r="KS12" s="4"/>
      <c r="KT12" s="7"/>
      <c r="KU12" s="7"/>
      <c r="KV12" s="4"/>
      <c r="KW12" s="7"/>
      <c r="KX12" s="7"/>
      <c r="KY12" s="4"/>
      <c r="KZ12" s="7"/>
      <c r="LA12" s="7"/>
      <c r="LB12" s="4"/>
      <c r="LC12" s="7"/>
      <c r="LD12" s="7"/>
      <c r="LE12" s="4"/>
      <c r="LF12" s="7"/>
      <c r="LG12" s="7"/>
      <c r="LH12" s="4"/>
      <c r="LI12" s="7"/>
      <c r="LJ12" s="7"/>
      <c r="LK12" s="4"/>
      <c r="LL12" s="7"/>
      <c r="LM12" s="7"/>
      <c r="LN12" s="4"/>
      <c r="LO12" s="7"/>
      <c r="LP12" s="7"/>
      <c r="LQ12" s="4"/>
      <c r="LR12" s="7"/>
      <c r="LS12" s="7"/>
      <c r="LT12" s="4"/>
      <c r="LU12" s="7"/>
      <c r="LV12" s="7"/>
      <c r="LW12" s="4"/>
      <c r="LX12" s="7"/>
      <c r="LY12" s="7"/>
      <c r="LZ12" s="4"/>
      <c r="MA12" s="7"/>
      <c r="MB12" s="7"/>
      <c r="MC12" s="4"/>
      <c r="MD12" s="7"/>
      <c r="ME12" s="7"/>
      <c r="MF12" s="4"/>
      <c r="MG12" s="7"/>
      <c r="MH12" s="7"/>
      <c r="MI12" s="4"/>
      <c r="MJ12" s="7"/>
      <c r="MK12" s="7"/>
      <c r="ML12" s="4"/>
      <c r="MM12" s="7"/>
      <c r="MN12" s="7"/>
      <c r="MO12" s="4"/>
      <c r="MP12" s="7"/>
      <c r="MQ12" s="7"/>
      <c r="MR12" s="4"/>
      <c r="MS12" s="7"/>
      <c r="MT12" s="7"/>
      <c r="MU12" s="4"/>
      <c r="MV12" s="7"/>
      <c r="MW12" s="7"/>
      <c r="MX12" s="4"/>
      <c r="MY12" s="7"/>
      <c r="MZ12" s="7"/>
      <c r="NA12" s="4"/>
      <c r="NB12" s="7"/>
      <c r="NC12" s="7"/>
      <c r="ND12" s="4"/>
      <c r="NE12" s="7"/>
      <c r="NF12" s="7"/>
      <c r="NG12" s="4"/>
      <c r="NH12" s="7"/>
      <c r="NI12" s="7"/>
      <c r="NJ12" s="4"/>
      <c r="NK12" s="7"/>
      <c r="NL12" s="7"/>
      <c r="NM12" s="4"/>
      <c r="NN12" s="7"/>
      <c r="NO12" s="7"/>
      <c r="NP12" s="4"/>
      <c r="NQ12" s="7"/>
      <c r="NR12" s="7"/>
      <c r="NS12" s="4"/>
      <c r="NT12" s="7"/>
      <c r="NU12" s="7"/>
      <c r="NV12" s="4"/>
      <c r="NW12" s="7"/>
      <c r="NX12" s="7"/>
      <c r="NY12" s="4"/>
      <c r="NZ12" s="7"/>
      <c r="OA12" s="7"/>
      <c r="OB12" s="4"/>
      <c r="OC12" s="7"/>
      <c r="OD12" s="7"/>
      <c r="OE12" s="4"/>
      <c r="OF12" s="7"/>
      <c r="OG12" s="7"/>
      <c r="OH12" s="4"/>
      <c r="OI12" s="7"/>
      <c r="OJ12" s="7"/>
      <c r="OK12" s="4"/>
      <c r="OL12" s="7"/>
      <c r="OM12" s="7"/>
      <c r="ON12" s="4"/>
      <c r="OO12" s="7"/>
      <c r="OP12" s="7"/>
      <c r="OQ12" s="4"/>
      <c r="OR12" s="7"/>
      <c r="OS12" s="7"/>
      <c r="OT12" s="4"/>
      <c r="OU12" s="7"/>
      <c r="OV12" s="7"/>
      <c r="OW12" s="4"/>
      <c r="OX12" s="7"/>
      <c r="OY12" s="7"/>
      <c r="OZ12" s="4"/>
      <c r="PA12" s="7"/>
      <c r="PB12" s="7"/>
      <c r="PC12" s="4"/>
      <c r="PD12" s="7"/>
      <c r="PE12" s="7"/>
      <c r="PF12" s="4"/>
      <c r="PG12" s="7"/>
      <c r="PH12" s="7"/>
      <c r="PI12" s="4"/>
      <c r="PJ12" s="7"/>
      <c r="PK12" s="7"/>
      <c r="PL12" s="4"/>
      <c r="PM12" s="7"/>
      <c r="PN12" s="7"/>
      <c r="PO12" s="4"/>
      <c r="PP12" s="7"/>
      <c r="PQ12" s="7"/>
      <c r="PR12" s="4"/>
      <c r="PS12" s="7"/>
      <c r="PT12" s="7"/>
      <c r="PU12" s="4"/>
      <c r="PV12" s="7"/>
      <c r="PW12" s="7"/>
      <c r="PX12" s="4"/>
      <c r="PY12" s="7"/>
      <c r="PZ12" s="7"/>
      <c r="QA12" s="4"/>
      <c r="QB12" s="7"/>
      <c r="QC12" s="7"/>
      <c r="QD12" s="4"/>
      <c r="QE12" s="7"/>
      <c r="QF12" s="7"/>
      <c r="QG12" s="4"/>
      <c r="QH12" s="7"/>
      <c r="QI12" s="7"/>
      <c r="QJ12" s="4"/>
      <c r="QK12" s="7"/>
      <c r="QL12" s="7"/>
      <c r="QM12" s="4"/>
      <c r="QN12" s="7"/>
      <c r="QO12" s="7"/>
      <c r="QP12" s="4"/>
      <c r="QQ12" s="7"/>
      <c r="QR12" s="7"/>
      <c r="QS12" s="4"/>
      <c r="QT12" s="7"/>
      <c r="QU12" s="7"/>
      <c r="QV12" s="4"/>
      <c r="QW12" s="7"/>
      <c r="QX12" s="7"/>
      <c r="QY12" s="4"/>
      <c r="QZ12" s="7"/>
      <c r="RA12" s="7"/>
      <c r="RB12" s="4"/>
      <c r="RC12" s="7"/>
      <c r="RD12" s="7"/>
      <c r="RE12" s="4"/>
      <c r="RF12" s="7"/>
      <c r="RG12" s="7"/>
      <c r="RH12" s="4"/>
      <c r="RI12" s="7"/>
      <c r="RJ12" s="7"/>
      <c r="RK12" s="4"/>
      <c r="RL12" s="7"/>
      <c r="RM12" s="7"/>
      <c r="RN12" s="4"/>
      <c r="RO12" s="7"/>
      <c r="RP12" s="7"/>
      <c r="RQ12" s="4"/>
      <c r="RR12" s="7"/>
      <c r="RS12" s="7"/>
      <c r="RT12" s="4"/>
      <c r="RU12" s="7"/>
      <c r="RV12" s="7"/>
      <c r="RW12" s="4"/>
      <c r="RX12" s="7"/>
      <c r="RY12" s="7"/>
      <c r="RZ12" s="4"/>
      <c r="SA12" s="7"/>
      <c r="SB12" s="7"/>
      <c r="SC12" s="4"/>
      <c r="SD12" s="7"/>
      <c r="SE12" s="7"/>
      <c r="SF12" s="4"/>
      <c r="SG12" s="7"/>
      <c r="SH12" s="7"/>
      <c r="SI12" s="4"/>
      <c r="SJ12" s="7"/>
      <c r="SK12" s="7"/>
      <c r="SL12" s="4"/>
      <c r="SM12" s="7"/>
      <c r="SN12" s="7"/>
      <c r="SO12" s="4"/>
      <c r="SP12" s="7"/>
      <c r="SQ12" s="7"/>
      <c r="SR12" s="4"/>
      <c r="SS12" s="7"/>
      <c r="ST12" s="7"/>
      <c r="SU12" s="4"/>
      <c r="SV12" s="7"/>
      <c r="SW12" s="7"/>
      <c r="SX12" s="4"/>
      <c r="SY12" s="7"/>
      <c r="SZ12" s="7"/>
      <c r="TA12" s="4"/>
      <c r="TB12" s="7"/>
      <c r="TC12" s="7"/>
      <c r="TD12" s="4"/>
      <c r="TE12" s="7"/>
      <c r="TF12" s="7"/>
      <c r="TG12" s="4"/>
      <c r="TH12" s="7"/>
      <c r="TI12" s="7"/>
      <c r="TJ12" s="4"/>
      <c r="TK12" s="7"/>
      <c r="TL12" s="7"/>
      <c r="TM12" s="4"/>
      <c r="TN12" s="7"/>
      <c r="TO12" s="7"/>
      <c r="TP12" s="4"/>
      <c r="TQ12" s="7"/>
      <c r="TR12" s="7"/>
      <c r="TS12" s="4"/>
      <c r="TT12" s="7"/>
      <c r="TU12" s="7"/>
      <c r="TV12" s="4"/>
      <c r="TW12" s="7"/>
      <c r="TX12" s="7"/>
      <c r="TY12" s="4"/>
      <c r="TZ12" s="7"/>
      <c r="UA12" s="7"/>
      <c r="UB12" s="4"/>
      <c r="UC12" s="7"/>
      <c r="UD12" s="7"/>
      <c r="UE12" s="4"/>
      <c r="UF12" s="1285" t="s">
        <v>20</v>
      </c>
      <c r="UG12" s="1285"/>
      <c r="UH12" s="1287"/>
      <c r="UI12" s="1285" t="s">
        <v>20</v>
      </c>
      <c r="UJ12" s="1285"/>
      <c r="UK12" s="1287"/>
      <c r="UL12" s="1285" t="s">
        <v>20</v>
      </c>
      <c r="UM12" s="1285"/>
      <c r="UN12" s="1287"/>
      <c r="UO12" s="1285" t="s">
        <v>20</v>
      </c>
      <c r="UP12" s="1285"/>
      <c r="UQ12" s="1287"/>
      <c r="UR12" s="1285" t="s">
        <v>20</v>
      </c>
      <c r="US12" s="1285"/>
      <c r="UT12" s="1287"/>
      <c r="UU12" s="1285" t="s">
        <v>20</v>
      </c>
      <c r="UV12" s="1285"/>
      <c r="UW12" s="1287"/>
      <c r="UX12" s="1285" t="s">
        <v>20</v>
      </c>
      <c r="UY12" s="1285"/>
      <c r="UZ12" s="1287"/>
      <c r="VA12" s="1285" t="s">
        <v>20</v>
      </c>
      <c r="VB12" s="1285"/>
      <c r="VC12" s="1287"/>
      <c r="VD12" s="1285" t="s">
        <v>20</v>
      </c>
      <c r="VE12" s="1285"/>
      <c r="VF12" s="1287"/>
      <c r="VG12" s="1285" t="s">
        <v>20</v>
      </c>
      <c r="VH12" s="1285"/>
      <c r="VI12" s="1287"/>
      <c r="VJ12" s="1285" t="s">
        <v>20</v>
      </c>
      <c r="VK12" s="1285"/>
      <c r="VL12" s="1287"/>
      <c r="VM12" s="1285" t="s">
        <v>20</v>
      </c>
      <c r="VN12" s="1285"/>
      <c r="VO12" s="1287"/>
      <c r="VP12" s="1285" t="s">
        <v>20</v>
      </c>
      <c r="VQ12" s="1285"/>
      <c r="VR12" s="1287"/>
      <c r="VS12" s="1285" t="s">
        <v>20</v>
      </c>
      <c r="VT12" s="1285"/>
      <c r="VU12" s="1287"/>
      <c r="VV12" s="1285" t="s">
        <v>20</v>
      </c>
      <c r="VW12" s="1285"/>
      <c r="VX12" s="1287"/>
      <c r="VY12" s="1285" t="s">
        <v>20</v>
      </c>
      <c r="VZ12" s="1285"/>
      <c r="WA12" s="1287"/>
      <c r="WB12" s="1285" t="s">
        <v>20</v>
      </c>
      <c r="WC12" s="1285"/>
      <c r="WD12" s="1287"/>
      <c r="WE12" s="1285" t="s">
        <v>20</v>
      </c>
      <c r="WF12" s="1285"/>
      <c r="WG12" s="1287"/>
      <c r="WH12" s="1285" t="s">
        <v>20</v>
      </c>
      <c r="WI12" s="1285"/>
      <c r="WJ12" s="1287"/>
      <c r="WK12" s="1285" t="s">
        <v>20</v>
      </c>
      <c r="WL12" s="1285"/>
      <c r="WM12" s="1287"/>
      <c r="WN12" s="1285" t="s">
        <v>20</v>
      </c>
      <c r="WO12" s="1285"/>
      <c r="WP12" s="1287"/>
      <c r="WQ12" s="1285" t="s">
        <v>20</v>
      </c>
      <c r="WR12" s="1285"/>
      <c r="WS12" s="1287"/>
      <c r="WT12" s="1285" t="s">
        <v>20</v>
      </c>
      <c r="WU12" s="1285"/>
      <c r="WV12" s="1287"/>
      <c r="WW12" s="1285" t="s">
        <v>20</v>
      </c>
      <c r="WX12" s="1285"/>
      <c r="WY12" s="1287"/>
      <c r="WZ12" s="1285" t="s">
        <v>20</v>
      </c>
      <c r="XA12" s="1285"/>
      <c r="XB12" s="1287"/>
      <c r="XC12" s="1285" t="s">
        <v>20</v>
      </c>
      <c r="XD12" s="1285"/>
      <c r="XE12" s="1287"/>
      <c r="XF12" s="1285" t="s">
        <v>20</v>
      </c>
      <c r="XG12" s="1285"/>
      <c r="XH12" s="1287"/>
      <c r="XI12" s="1285" t="s">
        <v>20</v>
      </c>
      <c r="XJ12" s="1285"/>
      <c r="XK12" s="1287"/>
      <c r="XL12" s="1285" t="s">
        <v>20</v>
      </c>
      <c r="XM12" s="1285"/>
      <c r="XN12" s="1287"/>
      <c r="XO12" s="1285" t="s">
        <v>20</v>
      </c>
      <c r="XP12" s="1285"/>
      <c r="XQ12" s="1287"/>
      <c r="XR12" s="1285" t="s">
        <v>20</v>
      </c>
      <c r="XS12" s="1285"/>
      <c r="XT12" s="1287"/>
      <c r="XU12" s="1285" t="s">
        <v>20</v>
      </c>
      <c r="XV12" s="1285"/>
      <c r="XW12" s="1287"/>
      <c r="XX12" s="1285" t="s">
        <v>20</v>
      </c>
      <c r="XY12" s="1285"/>
      <c r="XZ12" s="1287"/>
      <c r="YA12" s="1285" t="s">
        <v>20</v>
      </c>
      <c r="YB12" s="1285"/>
      <c r="YC12" s="1287"/>
      <c r="YD12" s="1285" t="s">
        <v>20</v>
      </c>
      <c r="YE12" s="1285"/>
      <c r="YF12" s="1287"/>
      <c r="YG12" s="1285" t="s">
        <v>20</v>
      </c>
      <c r="YH12" s="1285"/>
      <c r="YI12" s="1287"/>
      <c r="YJ12" s="1285" t="s">
        <v>20</v>
      </c>
      <c r="YK12" s="1285"/>
      <c r="YL12" s="1287"/>
      <c r="YM12" s="1285" t="s">
        <v>20</v>
      </c>
      <c r="YN12" s="1285"/>
      <c r="YO12" s="1287"/>
      <c r="YP12" s="1285" t="s">
        <v>20</v>
      </c>
      <c r="YQ12" s="1285"/>
      <c r="YR12" s="1287"/>
      <c r="YS12" s="1285" t="s">
        <v>20</v>
      </c>
      <c r="YT12" s="1285"/>
      <c r="YU12" s="1287"/>
      <c r="YV12" s="1285" t="s">
        <v>20</v>
      </c>
      <c r="YW12" s="1285"/>
      <c r="YX12" s="1287"/>
      <c r="YY12" s="1285" t="s">
        <v>20</v>
      </c>
      <c r="YZ12" s="1285"/>
      <c r="ZA12" s="1287"/>
      <c r="ZB12" s="1285" t="s">
        <v>20</v>
      </c>
      <c r="ZC12" s="1285"/>
      <c r="ZD12" s="1287"/>
      <c r="ZE12" s="1285" t="s">
        <v>20</v>
      </c>
      <c r="ZF12" s="1285"/>
      <c r="ZG12" s="1287"/>
      <c r="ZH12" s="1285" t="s">
        <v>20</v>
      </c>
      <c r="ZI12" s="1285"/>
      <c r="ZJ12" s="1287"/>
      <c r="ZK12" s="1285" t="s">
        <v>20</v>
      </c>
      <c r="ZL12" s="1285"/>
      <c r="ZM12" s="1287"/>
      <c r="ZN12" s="1285" t="s">
        <v>20</v>
      </c>
      <c r="ZO12" s="1285"/>
      <c r="ZP12" s="1287"/>
      <c r="ZQ12" s="1285" t="s">
        <v>20</v>
      </c>
      <c r="ZR12" s="1285"/>
      <c r="ZS12" s="1287"/>
      <c r="ZT12" s="1285" t="s">
        <v>20</v>
      </c>
      <c r="ZU12" s="1285"/>
      <c r="ZV12" s="1287"/>
      <c r="ZW12" s="1285" t="s">
        <v>20</v>
      </c>
      <c r="ZX12" s="1285"/>
      <c r="ZY12" s="1287"/>
      <c r="ZZ12" s="1285" t="s">
        <v>20</v>
      </c>
      <c r="AAA12" s="1285"/>
      <c r="AAB12" s="1287"/>
      <c r="AAC12" s="1285" t="s">
        <v>20</v>
      </c>
      <c r="AAD12" s="1285"/>
      <c r="AAE12" s="1287"/>
      <c r="AAF12" s="1285">
        <v>73</v>
      </c>
      <c r="AAG12" s="1285"/>
      <c r="AAH12" s="1287"/>
      <c r="AAI12" s="1285" t="s">
        <v>20</v>
      </c>
      <c r="AAJ12" s="1285"/>
      <c r="AAK12" s="1287"/>
      <c r="AAL12" s="1285">
        <v>69</v>
      </c>
      <c r="AAM12" s="1285"/>
      <c r="AAN12" s="1287"/>
      <c r="AAO12" s="1285">
        <v>75</v>
      </c>
      <c r="AAP12" s="1285"/>
      <c r="AAQ12" s="1287"/>
      <c r="AAR12" s="1285">
        <v>77</v>
      </c>
      <c r="AAS12" s="1285"/>
      <c r="AAT12" s="1287"/>
      <c r="AAU12" s="1285" t="s">
        <v>20</v>
      </c>
      <c r="AAV12" s="1285"/>
      <c r="AAW12" s="1287"/>
      <c r="AAX12" s="1285" t="s">
        <v>20</v>
      </c>
      <c r="AAY12" s="1285"/>
      <c r="AAZ12" s="1287"/>
      <c r="ABA12" s="1285">
        <v>85</v>
      </c>
      <c r="ABB12" s="1285"/>
      <c r="ABC12" s="1287"/>
      <c r="ABD12" s="1285">
        <v>64</v>
      </c>
      <c r="ABE12" s="1285"/>
      <c r="ABF12" s="1287"/>
      <c r="ABG12" s="1285">
        <v>79</v>
      </c>
      <c r="ABH12" s="1285"/>
      <c r="ABI12" s="1287"/>
      <c r="ABJ12" s="1285">
        <v>80</v>
      </c>
      <c r="ABK12" s="1285"/>
      <c r="ABL12" s="1287"/>
      <c r="ABM12" s="1285">
        <v>85</v>
      </c>
      <c r="ABN12" s="1285"/>
      <c r="ABO12" s="1287"/>
      <c r="ABP12" s="1285" t="s">
        <v>20</v>
      </c>
      <c r="ABQ12" s="1285"/>
      <c r="ABR12" s="1287"/>
      <c r="ABS12" s="1285" t="s">
        <v>20</v>
      </c>
      <c r="ABT12" s="1285"/>
      <c r="ABU12" s="1287"/>
      <c r="ABV12" s="1285">
        <v>73</v>
      </c>
      <c r="ABW12" s="1285"/>
      <c r="ABX12" s="1287"/>
      <c r="ABY12" s="1285">
        <v>81</v>
      </c>
      <c r="ABZ12" s="1285"/>
      <c r="ACA12" s="1287"/>
      <c r="ACB12" s="1285" t="s">
        <v>20</v>
      </c>
      <c r="ACC12" s="1285"/>
      <c r="ACD12" s="1287"/>
      <c r="ACE12" s="1285" t="s">
        <v>20</v>
      </c>
      <c r="ACF12" s="1285"/>
      <c r="ACG12" s="1287"/>
      <c r="ACH12" s="1285" t="s">
        <v>20</v>
      </c>
      <c r="ACI12" s="1285"/>
      <c r="ACJ12" s="1287"/>
      <c r="ACK12" s="1285" t="s">
        <v>20</v>
      </c>
      <c r="ACL12" s="1285"/>
      <c r="ACM12" s="1287"/>
      <c r="ACN12" s="1285" t="s">
        <v>20</v>
      </c>
      <c r="ACO12" s="1285"/>
      <c r="ACP12" s="1287"/>
      <c r="ACQ12" s="1285">
        <v>64</v>
      </c>
      <c r="ACR12" s="1285"/>
      <c r="ACS12" s="1287"/>
      <c r="ACT12" s="1285">
        <v>86</v>
      </c>
      <c r="ACU12" s="1285"/>
      <c r="ACV12" s="1287"/>
      <c r="ACW12" s="1285">
        <v>87</v>
      </c>
      <c r="ACX12" s="1285"/>
      <c r="ACY12" s="1287"/>
      <c r="ACZ12" s="1285">
        <v>86</v>
      </c>
      <c r="ADA12" s="1285"/>
      <c r="ADB12" s="1287"/>
      <c r="ADC12" s="1285" t="s">
        <v>20</v>
      </c>
      <c r="ADD12" s="1285"/>
      <c r="ADE12" s="1287"/>
      <c r="ADF12" s="1285" t="s">
        <v>20</v>
      </c>
      <c r="ADG12" s="1285"/>
      <c r="ADH12" s="1287"/>
      <c r="ADI12" s="1285" t="s">
        <v>20</v>
      </c>
      <c r="ADJ12" s="1285"/>
      <c r="ADK12" s="1287"/>
      <c r="ADL12" s="1285">
        <v>74</v>
      </c>
      <c r="ADM12" s="1285"/>
      <c r="ADN12" s="1287"/>
      <c r="ADO12" s="1285">
        <v>80</v>
      </c>
      <c r="ADP12" s="1285"/>
      <c r="ADQ12" s="1287"/>
      <c r="ADR12" s="1285">
        <v>89</v>
      </c>
      <c r="ADS12" s="1285"/>
      <c r="ADT12" s="1287"/>
      <c r="ADU12" s="1285">
        <v>81</v>
      </c>
      <c r="ADV12" s="1285"/>
      <c r="ADW12" s="1287"/>
      <c r="ADX12" s="1285" t="s">
        <v>20</v>
      </c>
      <c r="ADY12" s="1285"/>
      <c r="ADZ12" s="1287"/>
      <c r="AEA12" s="1285">
        <v>70</v>
      </c>
      <c r="AEB12" s="1285"/>
      <c r="AEC12" s="1287"/>
      <c r="AED12" s="1285" t="s">
        <v>20</v>
      </c>
      <c r="AEE12" s="1285"/>
      <c r="AEF12" s="1287"/>
      <c r="AEG12" s="1285">
        <v>78</v>
      </c>
      <c r="AEH12" s="1285"/>
      <c r="AEI12" s="1287"/>
      <c r="AEJ12" s="1285">
        <v>78</v>
      </c>
      <c r="AEK12" s="1285"/>
      <c r="AEL12" s="1287"/>
      <c r="AEM12" s="1285" t="s">
        <v>20</v>
      </c>
      <c r="AEN12" s="1285"/>
      <c r="AEO12" s="1287"/>
      <c r="AEP12" s="1285">
        <v>81</v>
      </c>
      <c r="AEQ12" s="1285"/>
      <c r="AER12" s="1287"/>
      <c r="AES12" s="1285" t="s">
        <v>20</v>
      </c>
      <c r="AET12" s="1285"/>
      <c r="AEU12" s="1287"/>
      <c r="AEV12" s="1285">
        <v>81</v>
      </c>
      <c r="AEW12" s="1285"/>
      <c r="AEX12" s="1287"/>
      <c r="AEY12" s="1285" t="s">
        <v>20</v>
      </c>
      <c r="AEZ12" s="1285"/>
      <c r="AFA12" s="1287"/>
      <c r="AFB12" s="1285" t="s">
        <v>20</v>
      </c>
      <c r="AFC12" s="1285"/>
      <c r="AFD12" s="1287"/>
      <c r="AFE12" s="1285" t="s">
        <v>20</v>
      </c>
      <c r="AFF12" s="1285"/>
      <c r="AFG12" s="1287"/>
      <c r="AFH12" s="1285" t="s">
        <v>20</v>
      </c>
      <c r="AFI12" s="1285"/>
      <c r="AFJ12" s="1287"/>
      <c r="AFK12" s="1285" t="s">
        <v>20</v>
      </c>
      <c r="AFL12" s="1285"/>
      <c r="AFM12" s="1287"/>
      <c r="AFN12" s="1285" t="s">
        <v>20</v>
      </c>
      <c r="AFO12" s="1285"/>
      <c r="AFP12" s="1287"/>
      <c r="AFQ12" s="1285" t="s">
        <v>20</v>
      </c>
      <c r="AFR12" s="1285"/>
      <c r="AFS12" s="1287"/>
      <c r="AFT12" s="1285" t="s">
        <v>20</v>
      </c>
      <c r="AFU12" s="1285"/>
      <c r="AFV12" s="1287"/>
      <c r="AFW12" s="1285">
        <v>76</v>
      </c>
      <c r="AFX12" s="1285"/>
      <c r="AFY12" s="1287"/>
      <c r="AFZ12" s="1285">
        <v>84</v>
      </c>
      <c r="AGA12" s="1285"/>
      <c r="AGB12" s="1287"/>
      <c r="AGC12" s="1285">
        <v>71</v>
      </c>
      <c r="AGD12" s="1285"/>
      <c r="AGE12" s="1287"/>
      <c r="AGF12" s="1285">
        <v>80</v>
      </c>
      <c r="AGG12" s="1285"/>
      <c r="AGH12" s="1287"/>
      <c r="AGI12" s="1285">
        <v>61</v>
      </c>
      <c r="AGJ12" s="1285"/>
      <c r="AGK12" s="1287"/>
      <c r="AGL12" s="1285" t="s">
        <v>20</v>
      </c>
      <c r="AGM12" s="1285"/>
      <c r="AGN12" s="1287"/>
      <c r="AGO12" s="1285" t="s">
        <v>20</v>
      </c>
      <c r="AGP12" s="1285"/>
      <c r="AGQ12" s="1287"/>
      <c r="AGR12" s="1285">
        <v>77</v>
      </c>
      <c r="AGS12" s="1285"/>
      <c r="AGT12" s="1287"/>
      <c r="AGU12" s="1285">
        <v>79</v>
      </c>
      <c r="AGV12" s="1285"/>
      <c r="AGW12" s="1287"/>
      <c r="AGX12" s="1285" t="s">
        <v>20</v>
      </c>
      <c r="AGY12" s="1285"/>
      <c r="AGZ12" s="1287"/>
      <c r="AHA12" s="1285" t="s">
        <v>20</v>
      </c>
      <c r="AHB12" s="1285"/>
      <c r="AHC12" s="1287"/>
      <c r="AHD12" s="1285">
        <v>84</v>
      </c>
      <c r="AHE12" s="1285"/>
      <c r="AHF12" s="1287"/>
      <c r="AHG12" s="1285" t="s">
        <v>20</v>
      </c>
      <c r="AHH12" s="1285"/>
      <c r="AHI12" s="1287"/>
      <c r="AHJ12" s="1285" t="s">
        <v>20</v>
      </c>
      <c r="AHK12" s="1285"/>
      <c r="AHL12" s="1287"/>
      <c r="AHM12" s="1285" t="s">
        <v>20</v>
      </c>
      <c r="AHN12" s="1285"/>
      <c r="AHO12" s="1287"/>
      <c r="AHP12" s="1285" t="s">
        <v>20</v>
      </c>
      <c r="AHQ12" s="1285"/>
      <c r="AHR12" s="1287"/>
      <c r="AHS12" s="1285">
        <v>81</v>
      </c>
      <c r="AHT12" s="1285"/>
      <c r="AHU12" s="1287"/>
      <c r="AHV12" s="1285">
        <v>78</v>
      </c>
      <c r="AHW12" s="1285"/>
      <c r="AHX12" s="1287"/>
      <c r="AHY12" s="1285">
        <v>77</v>
      </c>
      <c r="AHZ12" s="1285"/>
      <c r="AIA12" s="1287"/>
      <c r="AIB12" s="1285" t="s">
        <v>20</v>
      </c>
      <c r="AIC12" s="1285"/>
      <c r="AID12" s="1287"/>
      <c r="AIE12" s="1285" t="s">
        <v>20</v>
      </c>
      <c r="AIF12" s="1285"/>
      <c r="AIG12" s="1287"/>
      <c r="AIH12" s="1285" t="s">
        <v>20</v>
      </c>
      <c r="AII12" s="1285"/>
      <c r="AIJ12" s="1287"/>
      <c r="AIK12" s="1285">
        <v>85</v>
      </c>
      <c r="AIL12" s="1285"/>
      <c r="AIM12" s="1287"/>
      <c r="AIN12" s="1285">
        <v>82</v>
      </c>
      <c r="AIO12" s="1285"/>
      <c r="AIP12" s="1287"/>
      <c r="AIQ12" s="1285" t="s">
        <v>20</v>
      </c>
      <c r="AIR12" s="1285"/>
      <c r="AIS12" s="1287"/>
      <c r="AIT12" s="1285" t="s">
        <v>20</v>
      </c>
      <c r="AIU12" s="1285"/>
      <c r="AIV12" s="1287"/>
      <c r="AIW12" s="1285" t="s">
        <v>20</v>
      </c>
      <c r="AIX12" s="1285"/>
      <c r="AIY12" s="1287"/>
      <c r="AIZ12" s="1285" t="s">
        <v>20</v>
      </c>
      <c r="AJA12" s="1285"/>
      <c r="AJB12" s="1287"/>
      <c r="AJC12" s="1285" t="s">
        <v>20</v>
      </c>
      <c r="AJD12" s="1285"/>
      <c r="AJE12" s="1287"/>
      <c r="AJF12" s="1285">
        <v>79</v>
      </c>
      <c r="AJG12" s="1285"/>
      <c r="AJH12" s="1287"/>
      <c r="AJI12" s="1285">
        <v>83</v>
      </c>
      <c r="AJJ12" s="1285"/>
      <c r="AJK12" s="1287"/>
      <c r="AJL12" s="1285">
        <v>84</v>
      </c>
      <c r="AJM12" s="1285"/>
      <c r="AJN12" s="1287"/>
      <c r="AJO12" s="1285">
        <v>82</v>
      </c>
      <c r="AJP12" s="1285"/>
      <c r="AJQ12" s="1287"/>
      <c r="AJR12" s="1285">
        <v>93</v>
      </c>
      <c r="AJS12" s="1285"/>
      <c r="AJT12" s="1287"/>
      <c r="AJU12" s="1285" t="s">
        <v>20</v>
      </c>
      <c r="AJV12" s="1285"/>
      <c r="AJW12" s="1287"/>
      <c r="AJX12" s="1285">
        <v>78</v>
      </c>
      <c r="AJY12" s="1285"/>
      <c r="AJZ12" s="1287"/>
      <c r="AKA12" s="1285">
        <v>83</v>
      </c>
      <c r="AKB12" s="1285"/>
      <c r="AKC12" s="1287"/>
      <c r="AKD12" s="1285">
        <v>51</v>
      </c>
      <c r="AKE12" s="1285"/>
      <c r="AKF12" s="1287"/>
      <c r="AKG12" s="1285" t="s">
        <v>20</v>
      </c>
      <c r="AKH12" s="1285"/>
      <c r="AKI12" s="1287"/>
      <c r="AKJ12" s="1285">
        <v>80</v>
      </c>
      <c r="AKK12" s="1285"/>
      <c r="AKL12" s="1287"/>
      <c r="AKM12" s="1285">
        <v>82</v>
      </c>
      <c r="AKN12" s="1285"/>
      <c r="AKO12" s="1287"/>
      <c r="AKP12" s="1285" t="s">
        <v>20</v>
      </c>
      <c r="AKQ12" s="1285"/>
      <c r="AKR12" s="1287"/>
      <c r="AKS12" s="1285" t="s">
        <v>20</v>
      </c>
      <c r="AKT12" s="1285"/>
      <c r="AKU12" s="1287"/>
      <c r="AKV12" s="1285" t="s">
        <v>20</v>
      </c>
      <c r="AKW12" s="1285"/>
      <c r="AKX12" s="1287"/>
      <c r="AKY12" s="1285" t="s">
        <v>20</v>
      </c>
      <c r="AKZ12" s="1285"/>
      <c r="ALA12" s="1287"/>
      <c r="ALB12" s="1285" t="s">
        <v>20</v>
      </c>
      <c r="ALC12" s="1285"/>
      <c r="ALD12" s="1287"/>
      <c r="ALE12" s="1285">
        <v>80</v>
      </c>
      <c r="ALF12" s="1285"/>
      <c r="ALG12" s="1287"/>
      <c r="ALH12" s="1285">
        <v>87</v>
      </c>
      <c r="ALI12" s="1285"/>
      <c r="ALJ12" s="1287"/>
      <c r="ALK12" s="1285" t="s">
        <v>20</v>
      </c>
      <c r="ALL12" s="1285"/>
      <c r="ALM12" s="1287"/>
      <c r="ALN12" s="1285" t="s">
        <v>20</v>
      </c>
      <c r="ALO12" s="1285"/>
      <c r="ALP12" s="1287"/>
      <c r="ALQ12" s="1285" t="s">
        <v>20</v>
      </c>
      <c r="ALR12" s="1285"/>
      <c r="ALS12" s="1287"/>
      <c r="ALT12" s="1285" t="s">
        <v>20</v>
      </c>
      <c r="ALU12" s="1285"/>
      <c r="ALV12" s="1287"/>
      <c r="ALW12" s="1285" t="s">
        <v>20</v>
      </c>
      <c r="ALX12" s="1285"/>
      <c r="ALY12" s="1287"/>
      <c r="ALZ12" s="1285">
        <v>79</v>
      </c>
      <c r="AMA12" s="1285"/>
      <c r="AMB12" s="1287"/>
      <c r="AMC12" s="1285">
        <v>84</v>
      </c>
      <c r="AMD12" s="1285"/>
      <c r="AME12" s="1287"/>
      <c r="AMF12" s="1285" t="s">
        <v>20</v>
      </c>
      <c r="AMG12" s="1285"/>
      <c r="AMH12" s="1287"/>
      <c r="AMI12" s="1285" t="s">
        <v>20</v>
      </c>
      <c r="AMJ12" s="1285"/>
      <c r="AMK12" s="1287"/>
      <c r="AML12" s="1285">
        <v>74</v>
      </c>
      <c r="AMM12" s="1285"/>
      <c r="AMN12" s="1287"/>
      <c r="AMO12" s="1285">
        <v>88</v>
      </c>
      <c r="AMP12" s="1285"/>
      <c r="AMQ12" s="1287"/>
      <c r="AMR12" s="1285">
        <v>77</v>
      </c>
      <c r="AMS12" s="1285"/>
      <c r="AMT12" s="1287"/>
      <c r="AMU12" s="1285">
        <v>86</v>
      </c>
      <c r="AMV12" s="1285"/>
      <c r="AMW12" s="1287"/>
      <c r="AMX12" s="1285" t="s">
        <v>20</v>
      </c>
      <c r="AMY12" s="1285"/>
      <c r="AMZ12" s="1287"/>
      <c r="ANA12" s="1285" t="s">
        <v>20</v>
      </c>
      <c r="ANB12" s="1285"/>
      <c r="ANC12" s="1287"/>
      <c r="AND12" s="1285" t="s">
        <v>20</v>
      </c>
      <c r="ANE12" s="1285"/>
      <c r="ANF12" s="1287"/>
      <c r="ANG12" s="1285" t="s">
        <v>20</v>
      </c>
      <c r="ANH12" s="1285"/>
      <c r="ANI12" s="1287"/>
      <c r="ANJ12" s="1285" t="s">
        <v>20</v>
      </c>
      <c r="ANK12" s="1285"/>
      <c r="ANL12" s="1287"/>
      <c r="ANM12" s="1285">
        <v>85</v>
      </c>
      <c r="ANN12" s="1285"/>
      <c r="ANO12" s="1287"/>
      <c r="ANP12" s="1285" t="s">
        <v>20</v>
      </c>
      <c r="ANQ12" s="1285"/>
      <c r="ANR12" s="1287"/>
      <c r="ANS12" s="1285">
        <v>87</v>
      </c>
      <c r="ANT12" s="1285"/>
      <c r="ANU12" s="1287"/>
      <c r="ANV12" s="1285" t="s">
        <v>20</v>
      </c>
      <c r="ANW12" s="1285"/>
      <c r="ANX12" s="1287"/>
      <c r="ANY12" s="1285" t="s">
        <v>20</v>
      </c>
      <c r="ANZ12" s="1285"/>
      <c r="AOA12" s="1287"/>
      <c r="AOB12" s="1285" t="s">
        <v>20</v>
      </c>
      <c r="AOC12" s="1285"/>
      <c r="AOD12" s="1287"/>
      <c r="AOE12" s="1285" t="s">
        <v>20</v>
      </c>
      <c r="AOF12" s="1285"/>
      <c r="AOG12" s="1287"/>
      <c r="AOH12" s="1285" t="s">
        <v>20</v>
      </c>
      <c r="AOI12" s="1285"/>
      <c r="AOJ12" s="1287"/>
      <c r="AOK12" s="1285" t="s">
        <v>20</v>
      </c>
      <c r="AOL12" s="1285"/>
      <c r="AOM12" s="1287"/>
      <c r="AON12" s="1285" t="s">
        <v>20</v>
      </c>
      <c r="AOO12" s="1285"/>
      <c r="AOP12" s="1287"/>
      <c r="AOQ12" s="1285" t="s">
        <v>20</v>
      </c>
      <c r="AOR12" s="1285"/>
      <c r="AOS12" s="1287"/>
      <c r="AOT12" s="1285" t="s">
        <v>20</v>
      </c>
      <c r="AOU12" s="1285"/>
      <c r="AOV12" s="1287"/>
      <c r="AOW12" s="1285" t="s">
        <v>20</v>
      </c>
      <c r="AOX12" s="1285"/>
      <c r="AOY12" s="1287"/>
      <c r="AOZ12" s="1285" t="s">
        <v>20</v>
      </c>
      <c r="APA12" s="1285"/>
      <c r="APB12" s="1287"/>
      <c r="APC12" s="1285" t="s">
        <v>20</v>
      </c>
      <c r="APD12" s="1285"/>
      <c r="APE12" s="1287"/>
      <c r="APF12" s="1285" t="s">
        <v>20</v>
      </c>
      <c r="APG12" s="1285"/>
      <c r="APH12" s="1287"/>
      <c r="API12" s="1285" t="s">
        <v>20</v>
      </c>
      <c r="APJ12" s="1285"/>
      <c r="APK12" s="1287"/>
      <c r="APL12" s="1285" t="s">
        <v>20</v>
      </c>
      <c r="APM12" s="1285"/>
      <c r="APN12" s="1287"/>
      <c r="APO12" s="1285" t="s">
        <v>20</v>
      </c>
      <c r="APP12" s="1285"/>
      <c r="APQ12" s="1287"/>
      <c r="APR12" s="1285" t="s">
        <v>20</v>
      </c>
      <c r="APS12" s="1285"/>
      <c r="APT12" s="1287"/>
      <c r="APU12" s="1285" t="s">
        <v>20</v>
      </c>
      <c r="APV12" s="1285"/>
      <c r="APW12" s="1287"/>
      <c r="APX12" s="1285" t="s">
        <v>20</v>
      </c>
      <c r="APY12" s="1285"/>
      <c r="APZ12" s="1287"/>
      <c r="AQA12" s="1285" t="s">
        <v>20</v>
      </c>
      <c r="AQB12" s="1285"/>
      <c r="AQC12" s="1287"/>
      <c r="AQD12" s="1285" t="s">
        <v>20</v>
      </c>
      <c r="AQE12" s="1285"/>
      <c r="AQF12" s="1287"/>
      <c r="AQG12" s="1285" t="s">
        <v>20</v>
      </c>
      <c r="AQH12" s="1285"/>
      <c r="AQI12" s="1287"/>
      <c r="AQJ12" s="1285" t="s">
        <v>20</v>
      </c>
      <c r="AQK12" s="1285"/>
      <c r="AQL12" s="1287"/>
      <c r="AQM12" s="1285" t="s">
        <v>20</v>
      </c>
      <c r="AQN12" s="1285"/>
      <c r="AQO12" s="1287"/>
      <c r="AQP12" s="1285" t="s">
        <v>20</v>
      </c>
      <c r="AQQ12" s="1285"/>
      <c r="AQR12" s="1287"/>
      <c r="AQS12" s="1285" t="s">
        <v>20</v>
      </c>
      <c r="AQT12" s="1285"/>
      <c r="AQU12" s="1287"/>
      <c r="AQV12" s="1285" t="s">
        <v>20</v>
      </c>
      <c r="AQW12" s="1285"/>
      <c r="AQX12" s="1287"/>
      <c r="AQY12" s="1285" t="s">
        <v>20</v>
      </c>
      <c r="AQZ12" s="1285"/>
      <c r="ARA12" s="1287"/>
      <c r="ARB12" s="1285" t="s">
        <v>20</v>
      </c>
      <c r="ARC12" s="1285"/>
      <c r="ARD12" s="1287"/>
      <c r="ARE12" s="1285" t="s">
        <v>20</v>
      </c>
      <c r="ARF12" s="1285"/>
      <c r="ARG12" s="1287"/>
      <c r="ARH12" s="1285" t="s">
        <v>20</v>
      </c>
      <c r="ARI12" s="1285"/>
      <c r="ARJ12" s="1287"/>
      <c r="ARK12" s="1285" t="s">
        <v>20</v>
      </c>
      <c r="ARL12" s="1285"/>
      <c r="ARM12" s="1287"/>
      <c r="ARN12" s="1285" t="s">
        <v>20</v>
      </c>
      <c r="ARO12" s="1285"/>
      <c r="ARP12" s="1287"/>
      <c r="ARQ12" s="1285">
        <v>87</v>
      </c>
      <c r="ARR12" s="1285"/>
      <c r="ARS12" s="1287"/>
      <c r="ART12" s="1285" t="s">
        <v>20</v>
      </c>
      <c r="ARU12" s="1285"/>
      <c r="ARV12" s="1287"/>
      <c r="ARW12" s="1285" t="s">
        <v>20</v>
      </c>
      <c r="ARX12" s="1285"/>
      <c r="ARY12" s="1287"/>
      <c r="ARZ12" s="1285" t="s">
        <v>20</v>
      </c>
      <c r="ASA12" s="1285"/>
      <c r="ASB12" s="1287"/>
      <c r="ASC12" s="1285" t="s">
        <v>20</v>
      </c>
      <c r="ASD12" s="1285"/>
      <c r="ASE12" s="1287"/>
      <c r="ASF12" s="1285" t="s">
        <v>20</v>
      </c>
      <c r="ASG12" s="1285"/>
      <c r="ASH12" s="1287"/>
      <c r="ASI12" s="1285" t="s">
        <v>20</v>
      </c>
      <c r="ASJ12" s="1285"/>
      <c r="ASK12" s="1287"/>
      <c r="ASL12" s="1285" t="s">
        <v>20</v>
      </c>
      <c r="ASM12" s="1285"/>
      <c r="ASN12" s="1287"/>
      <c r="ASO12" s="1285" t="s">
        <v>20</v>
      </c>
      <c r="ASP12" s="1285"/>
      <c r="ASQ12" s="1285"/>
      <c r="ASR12" s="1286" t="s">
        <v>20</v>
      </c>
      <c r="ASS12" s="1285"/>
      <c r="AST12" s="1287"/>
      <c r="ASU12" s="1285" t="s">
        <v>20</v>
      </c>
      <c r="ASV12" s="1285"/>
      <c r="ASW12" s="1287"/>
      <c r="ASX12" s="1285" t="s">
        <v>20</v>
      </c>
      <c r="ASY12" s="1285"/>
      <c r="ASZ12" s="1287"/>
      <c r="ATA12" s="1285" t="s">
        <v>20</v>
      </c>
      <c r="ATB12" s="1285"/>
      <c r="ATC12" s="1287"/>
      <c r="ATD12" s="1285" t="s">
        <v>20</v>
      </c>
      <c r="ATE12" s="1285"/>
      <c r="ATF12" s="1287"/>
      <c r="ATG12" s="1285" t="s">
        <v>20</v>
      </c>
      <c r="ATH12" s="1285"/>
      <c r="ATI12" s="1287"/>
      <c r="ATJ12" s="1285" t="s">
        <v>20</v>
      </c>
      <c r="ATK12" s="1285"/>
      <c r="ATL12" s="1287"/>
      <c r="ATM12" s="1285" t="s">
        <v>20</v>
      </c>
      <c r="ATN12" s="1285"/>
      <c r="ATO12" s="1287"/>
      <c r="ATP12" s="1285" t="s">
        <v>20</v>
      </c>
      <c r="ATQ12" s="1285"/>
      <c r="ATR12" s="1287"/>
      <c r="ATS12" s="1285" t="s">
        <v>20</v>
      </c>
      <c r="ATT12" s="1285"/>
      <c r="ATU12" s="1287"/>
      <c r="ATV12" s="1285" t="s">
        <v>20</v>
      </c>
      <c r="ATW12" s="1285"/>
      <c r="ATX12" s="1287"/>
      <c r="ATY12" s="1285" t="s">
        <v>20</v>
      </c>
      <c r="ATZ12" s="1285"/>
      <c r="AUA12" s="1287"/>
      <c r="AUB12" s="1285" t="s">
        <v>20</v>
      </c>
      <c r="AUC12" s="1285"/>
      <c r="AUD12" s="1287"/>
      <c r="AUE12" s="1285" t="s">
        <v>20</v>
      </c>
      <c r="AUF12" s="1285"/>
      <c r="AUG12" s="1287"/>
      <c r="AUH12" s="1285" t="s">
        <v>20</v>
      </c>
      <c r="AUI12" s="1285"/>
      <c r="AUJ12" s="1287"/>
      <c r="AUK12" s="1285" t="s">
        <v>20</v>
      </c>
      <c r="AUL12" s="1285"/>
      <c r="AUM12" s="1287"/>
      <c r="AUN12" s="1285" t="s">
        <v>20</v>
      </c>
      <c r="AUO12" s="1285"/>
      <c r="AUP12" s="1287"/>
      <c r="AUQ12" s="1285" t="s">
        <v>20</v>
      </c>
      <c r="AUR12" s="1285"/>
      <c r="AUS12" s="1287"/>
      <c r="AUT12" s="1285" t="s">
        <v>20</v>
      </c>
      <c r="AUU12" s="1285"/>
      <c r="AUV12" s="1287"/>
      <c r="AUW12" s="1285" t="s">
        <v>20</v>
      </c>
      <c r="AUX12" s="1285"/>
      <c r="AUY12" s="1287"/>
      <c r="AUZ12" s="1285"/>
      <c r="AVA12" s="1285"/>
      <c r="AVB12" s="1287"/>
      <c r="AVC12" s="1285" t="s">
        <v>20</v>
      </c>
      <c r="AVD12" s="1285"/>
      <c r="AVE12" s="1287"/>
      <c r="AVF12" s="1285" t="s">
        <v>20</v>
      </c>
      <c r="AVG12" s="1285"/>
      <c r="AVH12" s="1287"/>
      <c r="AVI12" s="1285" t="s">
        <v>20</v>
      </c>
      <c r="AVJ12" s="1285"/>
      <c r="AVK12" s="1287"/>
      <c r="AVL12" s="1285" t="s">
        <v>20</v>
      </c>
      <c r="AVM12" s="1285"/>
      <c r="AVN12" s="1287"/>
      <c r="AVO12" s="1285" t="s">
        <v>20</v>
      </c>
      <c r="AVP12" s="1285"/>
      <c r="AVQ12" s="1287"/>
      <c r="AVR12" s="1285" t="s">
        <v>20</v>
      </c>
      <c r="AVS12" s="1285"/>
      <c r="AVT12" s="1287"/>
      <c r="AVU12" s="1285" t="s">
        <v>20</v>
      </c>
      <c r="AVV12" s="1285"/>
      <c r="AVW12" s="1287"/>
      <c r="AVX12" s="1285" t="s">
        <v>20</v>
      </c>
      <c r="AVY12" s="1285"/>
      <c r="AVZ12" s="1287"/>
      <c r="AWA12" s="1285" t="s">
        <v>20</v>
      </c>
      <c r="AWB12" s="1285"/>
      <c r="AWC12" s="1287"/>
      <c r="AWD12" s="1285" t="s">
        <v>20</v>
      </c>
      <c r="AWE12" s="1285"/>
      <c r="AWF12" s="1287"/>
      <c r="AWG12" s="1285" t="s">
        <v>20</v>
      </c>
      <c r="AWH12" s="1285"/>
      <c r="AWI12" s="1287"/>
      <c r="AWJ12" s="1285" t="s">
        <v>20</v>
      </c>
      <c r="AWK12" s="1285"/>
      <c r="AWL12" s="1287"/>
      <c r="AWM12" s="1285" t="s">
        <v>20</v>
      </c>
      <c r="AWN12" s="1285"/>
      <c r="AWO12" s="1287"/>
      <c r="AWP12" s="1285" t="s">
        <v>20</v>
      </c>
      <c r="AWQ12" s="1285"/>
      <c r="AWR12" s="1287"/>
      <c r="AWS12" s="1285" t="s">
        <v>20</v>
      </c>
      <c r="AWT12" s="1285"/>
      <c r="AWU12" s="1287"/>
      <c r="AWV12" s="1285" t="s">
        <v>20</v>
      </c>
      <c r="AWW12" s="1285"/>
      <c r="AWX12" s="1287"/>
      <c r="AWY12" s="1285" t="s">
        <v>20</v>
      </c>
      <c r="AWZ12" s="1285"/>
      <c r="AXA12" s="1287"/>
      <c r="AXB12" s="1285" t="s">
        <v>20</v>
      </c>
      <c r="AXC12" s="1285"/>
      <c r="AXD12" s="1287"/>
      <c r="AXE12" s="1285" t="s">
        <v>20</v>
      </c>
      <c r="AXF12" s="1285"/>
      <c r="AXG12" s="1287"/>
      <c r="AXH12" s="1285" t="s">
        <v>20</v>
      </c>
      <c r="AXI12" s="1285"/>
      <c r="AXJ12" s="1287"/>
      <c r="AXK12" s="1285" t="s">
        <v>20</v>
      </c>
      <c r="AXL12" s="1285"/>
      <c r="AXM12" s="1287"/>
      <c r="AXN12" s="1285" t="s">
        <v>20</v>
      </c>
      <c r="AXO12" s="1285"/>
      <c r="AXP12" s="1287"/>
      <c r="AXQ12" s="1285" t="s">
        <v>20</v>
      </c>
      <c r="AXR12" s="1285"/>
      <c r="AXS12" s="1287"/>
      <c r="AXT12" s="1285" t="s">
        <v>20</v>
      </c>
      <c r="AXU12" s="1285"/>
      <c r="AXV12" s="1287"/>
      <c r="AXW12" s="1285" t="s">
        <v>20</v>
      </c>
      <c r="AXX12" s="1285"/>
      <c r="AXY12" s="1287"/>
      <c r="AXZ12" s="1285" t="s">
        <v>20</v>
      </c>
      <c r="AYA12" s="1285"/>
      <c r="AYB12" s="1287"/>
      <c r="AYC12" s="1285" t="s">
        <v>20</v>
      </c>
      <c r="AYD12" s="1285"/>
      <c r="AYE12" s="1287"/>
      <c r="AYF12" s="1285" t="s">
        <v>20</v>
      </c>
      <c r="AYG12" s="1285"/>
      <c r="AYH12" s="1287"/>
      <c r="AYI12" s="1285" t="s">
        <v>20</v>
      </c>
      <c r="AYJ12" s="1285"/>
      <c r="AYK12" s="1287"/>
      <c r="AYL12" s="1285" t="s">
        <v>20</v>
      </c>
      <c r="AYM12" s="1285"/>
      <c r="AYN12" s="1287"/>
      <c r="AYO12" s="1285" t="s">
        <v>20</v>
      </c>
      <c r="AYP12" s="1285"/>
      <c r="AYQ12" s="1287"/>
      <c r="AYR12" s="1285" t="s">
        <v>20</v>
      </c>
      <c r="AYS12" s="1285"/>
      <c r="AYT12" s="1287"/>
      <c r="AYU12" s="1285" t="s">
        <v>20</v>
      </c>
      <c r="AYV12" s="1285"/>
      <c r="AYW12" s="1287"/>
      <c r="AYX12" s="1285" t="s">
        <v>20</v>
      </c>
      <c r="AYY12" s="1285"/>
      <c r="AYZ12" s="1287"/>
      <c r="AZA12" s="1285" t="s">
        <v>20</v>
      </c>
      <c r="AZB12" s="1285"/>
      <c r="AZC12" s="1287"/>
      <c r="AZD12" s="1285" t="s">
        <v>20</v>
      </c>
      <c r="AZE12" s="1285"/>
      <c r="AZF12" s="1287"/>
      <c r="AZG12" s="1285" t="s">
        <v>20</v>
      </c>
      <c r="AZH12" s="1285"/>
      <c r="AZI12" s="1287"/>
      <c r="AZJ12" s="1285" t="s">
        <v>20</v>
      </c>
      <c r="AZK12" s="1285"/>
      <c r="AZL12" s="1287"/>
      <c r="AZM12" s="1285" t="s">
        <v>20</v>
      </c>
      <c r="AZN12" s="1285"/>
      <c r="AZO12" s="1287"/>
      <c r="AZP12" s="1285" t="s">
        <v>20</v>
      </c>
      <c r="AZQ12" s="1285"/>
      <c r="AZR12" s="1287"/>
      <c r="AZS12" s="1285" t="s">
        <v>20</v>
      </c>
      <c r="AZT12" s="1285"/>
      <c r="AZU12" s="1287"/>
      <c r="AZV12" s="1285" t="s">
        <v>20</v>
      </c>
      <c r="AZW12" s="1285"/>
      <c r="AZX12" s="1287"/>
      <c r="AZY12" s="1285" t="s">
        <v>20</v>
      </c>
      <c r="AZZ12" s="1285"/>
      <c r="BAA12" s="1287"/>
      <c r="BAB12" s="1285" t="s">
        <v>20</v>
      </c>
      <c r="BAC12" s="1285"/>
      <c r="BAD12" s="1287"/>
      <c r="BAE12" s="1285" t="s">
        <v>20</v>
      </c>
      <c r="BAF12" s="1285"/>
      <c r="BAG12" s="1287"/>
      <c r="BAH12" s="1285" t="s">
        <v>20</v>
      </c>
      <c r="BAI12" s="1285"/>
      <c r="BAJ12" s="1287"/>
    </row>
    <row r="13" spans="1:1388" ht="15" customHeight="1">
      <c r="B13" s="1392" t="s">
        <v>334</v>
      </c>
      <c r="C13" s="1393"/>
      <c r="D13" s="1394"/>
      <c r="E13" s="1184" t="s">
        <v>327</v>
      </c>
      <c r="F13" s="1299"/>
      <c r="G13" s="1299"/>
      <c r="H13" s="1336"/>
      <c r="I13" s="1299"/>
      <c r="J13" s="1299"/>
      <c r="K13" s="1336"/>
      <c r="L13" s="1299"/>
      <c r="M13" s="1299"/>
      <c r="N13" s="1336"/>
      <c r="O13" s="1299"/>
      <c r="P13" s="1299"/>
      <c r="Q13" s="1336"/>
      <c r="R13" s="1299"/>
      <c r="S13" s="1299"/>
      <c r="T13" s="1336"/>
      <c r="U13" s="1299"/>
      <c r="V13" s="1299"/>
      <c r="W13" s="1336"/>
      <c r="X13" s="1299"/>
      <c r="Y13" s="1299"/>
      <c r="Z13" s="1336"/>
      <c r="AA13" s="1299"/>
      <c r="AB13" s="1299"/>
      <c r="AC13" s="1336"/>
      <c r="AD13" s="1299"/>
      <c r="AE13" s="1299"/>
      <c r="AF13" s="1336"/>
      <c r="AG13" s="1299"/>
      <c r="AH13" s="1299"/>
      <c r="AI13" s="1336"/>
      <c r="AJ13" s="1299"/>
      <c r="AK13" s="1299"/>
      <c r="AL13" s="1336"/>
      <c r="AM13" s="1299"/>
      <c r="AN13" s="1299"/>
      <c r="AO13" s="1336"/>
      <c r="AP13" s="1299"/>
      <c r="AQ13" s="1299"/>
      <c r="AR13" s="1336"/>
      <c r="AS13" s="1299"/>
      <c r="AT13" s="1299"/>
      <c r="AU13" s="1336"/>
      <c r="AV13" s="1299"/>
      <c r="AW13" s="1299"/>
      <c r="AX13" s="1336"/>
      <c r="AY13" s="1299"/>
      <c r="AZ13" s="1299"/>
      <c r="BA13" s="1336"/>
      <c r="BB13" s="1299"/>
      <c r="BC13" s="1299"/>
      <c r="BD13" s="1336"/>
      <c r="BE13" s="1299"/>
      <c r="BF13" s="1299"/>
      <c r="BG13" s="1336"/>
      <c r="BH13" s="1299"/>
      <c r="BI13" s="1299"/>
      <c r="BJ13" s="1336"/>
      <c r="BK13" s="1299"/>
      <c r="BL13" s="1299"/>
      <c r="BM13" s="1336"/>
      <c r="BN13" s="1299"/>
      <c r="BO13" s="1299"/>
      <c r="BP13" s="1336"/>
      <c r="BQ13" s="1299"/>
      <c r="BR13" s="1299"/>
      <c r="BS13" s="1336"/>
      <c r="BT13" s="1299"/>
      <c r="BU13" s="1299"/>
      <c r="BV13" s="1336"/>
      <c r="BW13" s="1299"/>
      <c r="BX13" s="1299"/>
      <c r="BY13" s="1336"/>
      <c r="BZ13" s="1299"/>
      <c r="CA13" s="1299"/>
      <c r="CB13" s="1336"/>
      <c r="CC13" s="1299"/>
      <c r="CD13" s="1299"/>
      <c r="CE13" s="1336"/>
      <c r="CF13" s="1299"/>
      <c r="CG13" s="1299"/>
      <c r="CH13" s="1336"/>
      <c r="CI13" s="1299"/>
      <c r="CJ13" s="1299"/>
      <c r="CK13" s="1336"/>
      <c r="CL13" s="1299"/>
      <c r="CM13" s="1299"/>
      <c r="CN13" s="1336"/>
      <c r="CO13" s="1299"/>
      <c r="CP13" s="1299"/>
      <c r="CQ13" s="1336"/>
      <c r="CR13" s="1299"/>
      <c r="CS13" s="1299"/>
      <c r="CT13" s="1336"/>
      <c r="CU13" s="1299"/>
      <c r="CV13" s="1299"/>
      <c r="CW13" s="1336"/>
      <c r="CX13" s="1299"/>
      <c r="CY13" s="1299"/>
      <c r="CZ13" s="1336"/>
      <c r="DA13" s="1299"/>
      <c r="DB13" s="1299"/>
      <c r="DC13" s="1336"/>
      <c r="DD13" s="1299"/>
      <c r="DE13" s="1299"/>
      <c r="DF13" s="1336"/>
      <c r="DG13" s="1299"/>
      <c r="DH13" s="1299"/>
      <c r="DI13" s="1336"/>
      <c r="DJ13" s="1299"/>
      <c r="DK13" s="1299"/>
      <c r="DL13" s="1336"/>
      <c r="DM13" s="1299"/>
      <c r="DN13" s="1299"/>
      <c r="DO13" s="1336"/>
      <c r="DP13" s="1299"/>
      <c r="DQ13" s="1299"/>
      <c r="DR13" s="1336"/>
      <c r="DS13" s="1299"/>
      <c r="DT13" s="1299"/>
      <c r="DU13" s="1336"/>
      <c r="DV13" s="1299"/>
      <c r="DW13" s="1299"/>
      <c r="DX13" s="1336"/>
      <c r="DY13" s="1299"/>
      <c r="DZ13" s="1299"/>
      <c r="EA13" s="1336"/>
      <c r="EB13" s="1299"/>
      <c r="EC13" s="1299"/>
      <c r="ED13" s="1336"/>
      <c r="EE13" s="1299"/>
      <c r="EF13" s="1299"/>
      <c r="EG13" s="1336"/>
      <c r="EH13" s="1299"/>
      <c r="EI13" s="1299"/>
      <c r="EJ13" s="1336"/>
      <c r="EK13" s="1299"/>
      <c r="EL13" s="1299"/>
      <c r="EM13" s="1336"/>
      <c r="EN13" s="1299"/>
      <c r="EO13" s="1299"/>
      <c r="EP13" s="1336"/>
      <c r="EQ13" s="1299"/>
      <c r="ER13" s="1299"/>
      <c r="ES13" s="1336"/>
      <c r="ET13" s="1299"/>
      <c r="EU13" s="1299"/>
      <c r="EV13" s="1336"/>
      <c r="EW13" s="1299"/>
      <c r="EX13" s="1299"/>
      <c r="EY13" s="1336"/>
      <c r="EZ13" s="1299"/>
      <c r="FA13" s="1299"/>
      <c r="FB13" s="1336"/>
      <c r="FC13" s="1299"/>
      <c r="FD13" s="1299"/>
      <c r="FE13" s="1336"/>
      <c r="FF13" s="1299"/>
      <c r="FG13" s="1299"/>
      <c r="FH13" s="1336"/>
      <c r="FI13" s="1299"/>
      <c r="FJ13" s="1299"/>
      <c r="FK13" s="1336"/>
      <c r="FL13" s="1299"/>
      <c r="FM13" s="1299"/>
      <c r="FN13" s="1336"/>
      <c r="FO13" s="1299"/>
      <c r="FP13" s="1299"/>
      <c r="FQ13" s="1336"/>
      <c r="FR13" s="1299"/>
      <c r="FS13" s="1299"/>
      <c r="FT13" s="1336"/>
      <c r="FU13" s="1299"/>
      <c r="FV13" s="1299"/>
      <c r="FW13" s="1336"/>
      <c r="FX13" s="1299"/>
      <c r="FY13" s="1299"/>
      <c r="FZ13" s="1336"/>
      <c r="GA13" s="1299"/>
      <c r="GB13" s="1299"/>
      <c r="GC13" s="1336"/>
      <c r="GD13" s="1299"/>
      <c r="GE13" s="1299"/>
      <c r="GF13" s="1336"/>
      <c r="GG13" s="1299"/>
      <c r="GH13" s="1299"/>
      <c r="GI13" s="1336"/>
      <c r="GJ13" s="1299"/>
      <c r="GK13" s="1299"/>
      <c r="GL13" s="1336"/>
      <c r="GM13" s="1299"/>
      <c r="GN13" s="1299"/>
      <c r="GO13" s="1336"/>
      <c r="GP13" s="1299"/>
      <c r="GQ13" s="1299"/>
      <c r="GR13" s="1336"/>
      <c r="GS13" s="1299"/>
      <c r="GT13" s="1299"/>
      <c r="GU13" s="1336"/>
      <c r="GV13" s="1299"/>
      <c r="GW13" s="1299"/>
      <c r="GX13" s="1336"/>
      <c r="GY13" s="1299"/>
      <c r="GZ13" s="1299"/>
      <c r="HA13" s="1336"/>
      <c r="HB13" s="1299"/>
      <c r="HC13" s="1299"/>
      <c r="HD13" s="1336"/>
      <c r="HE13" s="1299"/>
      <c r="HF13" s="1299"/>
      <c r="HG13" s="1336"/>
      <c r="HH13" s="1299"/>
      <c r="HI13" s="1299"/>
      <c r="HJ13" s="1336"/>
      <c r="HK13" s="1299"/>
      <c r="HL13" s="1299"/>
      <c r="HM13" s="1336"/>
      <c r="HN13" s="1299"/>
      <c r="HO13" s="1299"/>
      <c r="HP13" s="1336"/>
      <c r="HQ13" s="1299"/>
      <c r="HR13" s="1299"/>
      <c r="HS13" s="1336"/>
      <c r="HT13" s="1299"/>
      <c r="HU13" s="1299"/>
      <c r="HV13" s="1336"/>
      <c r="HW13" s="1299"/>
      <c r="HX13" s="1299"/>
      <c r="HY13" s="1336"/>
      <c r="HZ13" s="1299"/>
      <c r="IA13" s="1299"/>
      <c r="IB13" s="1336"/>
      <c r="IC13" s="1299"/>
      <c r="ID13" s="1299"/>
      <c r="IE13" s="1336"/>
      <c r="IF13" s="1299"/>
      <c r="IG13" s="1299"/>
      <c r="IH13" s="1336"/>
      <c r="II13" s="1299"/>
      <c r="IJ13" s="1299"/>
      <c r="IK13" s="1336"/>
      <c r="IL13" s="1299"/>
      <c r="IM13" s="1299"/>
      <c r="IN13" s="1336"/>
      <c r="IO13" s="1299"/>
      <c r="IP13" s="1299"/>
      <c r="IQ13" s="1336"/>
      <c r="IR13" s="1299"/>
      <c r="IS13" s="1299"/>
      <c r="IT13" s="1336"/>
      <c r="IU13" s="1299"/>
      <c r="IV13" s="1299"/>
      <c r="IW13" s="1336"/>
      <c r="IX13" s="1299"/>
      <c r="IY13" s="1299"/>
      <c r="IZ13" s="1336"/>
      <c r="JA13" s="1299"/>
      <c r="JB13" s="1299"/>
      <c r="JC13" s="1336"/>
      <c r="JD13" s="1299"/>
      <c r="JE13" s="1299"/>
      <c r="JF13" s="1336"/>
      <c r="JG13" s="1299"/>
      <c r="JH13" s="1299"/>
      <c r="JI13" s="1336"/>
      <c r="JJ13" s="1299"/>
      <c r="JK13" s="1299"/>
      <c r="JL13" s="1336"/>
      <c r="JM13" s="1299"/>
      <c r="JN13" s="1299"/>
      <c r="JO13" s="1336"/>
      <c r="JP13" s="1299"/>
      <c r="JQ13" s="1299"/>
      <c r="JR13" s="1336"/>
      <c r="JS13" s="1299"/>
      <c r="JT13" s="1299"/>
      <c r="JU13" s="1336"/>
      <c r="JV13" s="1299"/>
      <c r="JW13" s="1299"/>
      <c r="JX13" s="1336"/>
      <c r="JY13" s="1299"/>
      <c r="JZ13" s="1299"/>
      <c r="KA13" s="1336"/>
      <c r="KB13" s="1299"/>
      <c r="KC13" s="1299"/>
      <c r="KD13" s="1336"/>
      <c r="KE13" s="1299"/>
      <c r="KF13" s="1299"/>
      <c r="KG13" s="1336"/>
      <c r="KH13" s="1299"/>
      <c r="KI13" s="1299"/>
      <c r="KJ13" s="1336"/>
      <c r="KK13" s="1299"/>
      <c r="KL13" s="1299"/>
      <c r="KM13" s="1336"/>
      <c r="KN13" s="1299"/>
      <c r="KO13" s="1299"/>
      <c r="KP13" s="1336"/>
      <c r="KQ13" s="1299"/>
      <c r="KR13" s="1299"/>
      <c r="KS13" s="1336"/>
      <c r="KT13" s="1299"/>
      <c r="KU13" s="1299"/>
      <c r="KV13" s="1336"/>
      <c r="KW13" s="1299"/>
      <c r="KX13" s="1299"/>
      <c r="KY13" s="1336"/>
      <c r="KZ13" s="1299"/>
      <c r="LA13" s="1299"/>
      <c r="LB13" s="1336"/>
      <c r="LC13" s="1299"/>
      <c r="LD13" s="1299"/>
      <c r="LE13" s="1336"/>
      <c r="LF13" s="1299"/>
      <c r="LG13" s="1299"/>
      <c r="LH13" s="1336"/>
      <c r="LI13" s="1299"/>
      <c r="LJ13" s="1299"/>
      <c r="LK13" s="1336"/>
      <c r="LL13" s="1299"/>
      <c r="LM13" s="1299"/>
      <c r="LN13" s="1336"/>
      <c r="LO13" s="1299"/>
      <c r="LP13" s="1299"/>
      <c r="LQ13" s="1336"/>
      <c r="LR13" s="1299"/>
      <c r="LS13" s="1299"/>
      <c r="LT13" s="1336"/>
      <c r="LU13" s="1299"/>
      <c r="LV13" s="1299"/>
      <c r="LW13" s="1336"/>
      <c r="LX13" s="1299"/>
      <c r="LY13" s="1299"/>
      <c r="LZ13" s="1336"/>
      <c r="MA13" s="1299"/>
      <c r="MB13" s="1299"/>
      <c r="MC13" s="1336"/>
      <c r="MD13" s="1299"/>
      <c r="ME13" s="1299"/>
      <c r="MF13" s="1336"/>
      <c r="MG13" s="1299"/>
      <c r="MH13" s="1299"/>
      <c r="MI13" s="1336"/>
      <c r="MJ13" s="1299"/>
      <c r="MK13" s="1299"/>
      <c r="ML13" s="1336"/>
      <c r="MM13" s="1299"/>
      <c r="MN13" s="1299"/>
      <c r="MO13" s="1336"/>
      <c r="MP13" s="1299"/>
      <c r="MQ13" s="1299"/>
      <c r="MR13" s="1336"/>
      <c r="MS13" s="1299"/>
      <c r="MT13" s="1299"/>
      <c r="MU13" s="1336"/>
      <c r="MV13" s="1299"/>
      <c r="MW13" s="1299"/>
      <c r="MX13" s="1336"/>
      <c r="MY13" s="1299"/>
      <c r="MZ13" s="1299"/>
      <c r="NA13" s="1336"/>
      <c r="NB13" s="1299"/>
      <c r="NC13" s="1299"/>
      <c r="ND13" s="1336"/>
      <c r="NE13" s="1299"/>
      <c r="NF13" s="1299"/>
      <c r="NG13" s="1336"/>
      <c r="NH13" s="1299"/>
      <c r="NI13" s="1299"/>
      <c r="NJ13" s="1336"/>
      <c r="NK13" s="1299"/>
      <c r="NL13" s="1299"/>
      <c r="NM13" s="1336"/>
      <c r="NN13" s="1299"/>
      <c r="NO13" s="1299"/>
      <c r="NP13" s="1336"/>
      <c r="NQ13" s="1299"/>
      <c r="NR13" s="1299"/>
      <c r="NS13" s="1336"/>
      <c r="NT13" s="1299"/>
      <c r="NU13" s="1299"/>
      <c r="NV13" s="1336"/>
      <c r="NW13" s="1299"/>
      <c r="NX13" s="1299"/>
      <c r="NY13" s="1336"/>
      <c r="NZ13" s="1299"/>
      <c r="OA13" s="1299"/>
      <c r="OB13" s="1336"/>
      <c r="OC13" s="1299"/>
      <c r="OD13" s="1299"/>
      <c r="OE13" s="1336"/>
      <c r="OF13" s="1299"/>
      <c r="OG13" s="1299"/>
      <c r="OH13" s="1336"/>
      <c r="OI13" s="1299"/>
      <c r="OJ13" s="1299"/>
      <c r="OK13" s="1336"/>
      <c r="OL13" s="1299"/>
      <c r="OM13" s="1299"/>
      <c r="ON13" s="1336"/>
      <c r="OO13" s="1299"/>
      <c r="OP13" s="1299"/>
      <c r="OQ13" s="1336"/>
      <c r="OR13" s="1299"/>
      <c r="OS13" s="1299"/>
      <c r="OT13" s="1336"/>
      <c r="OU13" s="1299"/>
      <c r="OV13" s="1299"/>
      <c r="OW13" s="1336"/>
      <c r="OX13" s="1299"/>
      <c r="OY13" s="1299"/>
      <c r="OZ13" s="1336"/>
      <c r="PA13" s="1299"/>
      <c r="PB13" s="1299"/>
      <c r="PC13" s="1336"/>
      <c r="PD13" s="1299"/>
      <c r="PE13" s="1299"/>
      <c r="PF13" s="1336"/>
      <c r="PG13" s="1299"/>
      <c r="PH13" s="1299"/>
      <c r="PI13" s="1336"/>
      <c r="PJ13" s="1299"/>
      <c r="PK13" s="1299"/>
      <c r="PL13" s="1336"/>
      <c r="PM13" s="1299"/>
      <c r="PN13" s="1299"/>
      <c r="PO13" s="1336"/>
      <c r="PP13" s="1299"/>
      <c r="PQ13" s="1299"/>
      <c r="PR13" s="1336"/>
      <c r="PS13" s="1299"/>
      <c r="PT13" s="1299"/>
      <c r="PU13" s="1336"/>
      <c r="PV13" s="1299"/>
      <c r="PW13" s="1299"/>
      <c r="PX13" s="1336"/>
      <c r="PY13" s="1299"/>
      <c r="PZ13" s="1299"/>
      <c r="QA13" s="1336"/>
      <c r="QB13" s="1299"/>
      <c r="QC13" s="1299"/>
      <c r="QD13" s="1336"/>
      <c r="QE13" s="1299"/>
      <c r="QF13" s="1299"/>
      <c r="QG13" s="1336"/>
      <c r="QH13" s="1299"/>
      <c r="QI13" s="1299"/>
      <c r="QJ13" s="1336"/>
      <c r="QK13" s="1299"/>
      <c r="QL13" s="1299"/>
      <c r="QM13" s="1336"/>
      <c r="QN13" s="1299"/>
      <c r="QO13" s="1299"/>
      <c r="QP13" s="1336"/>
      <c r="QQ13" s="1299"/>
      <c r="QR13" s="1299"/>
      <c r="QS13" s="1336"/>
      <c r="QT13" s="1299"/>
      <c r="QU13" s="1299"/>
      <c r="QV13" s="1336"/>
      <c r="QW13" s="1299"/>
      <c r="QX13" s="1299"/>
      <c r="QY13" s="1336"/>
      <c r="QZ13" s="1299"/>
      <c r="RA13" s="1299"/>
      <c r="RB13" s="1336"/>
      <c r="RC13" s="1299"/>
      <c r="RD13" s="1299"/>
      <c r="RE13" s="1336"/>
      <c r="RF13" s="1299"/>
      <c r="RG13" s="1299"/>
      <c r="RH13" s="1336"/>
      <c r="RI13" s="1299"/>
      <c r="RJ13" s="1299"/>
      <c r="RK13" s="1336"/>
      <c r="RL13" s="1299"/>
      <c r="RM13" s="1299"/>
      <c r="RN13" s="1336"/>
      <c r="RO13" s="1299"/>
      <c r="RP13" s="1299"/>
      <c r="RQ13" s="1336"/>
      <c r="RR13" s="1299"/>
      <c r="RS13" s="1299"/>
      <c r="RT13" s="1336"/>
      <c r="RU13" s="1299"/>
      <c r="RV13" s="1299"/>
      <c r="RW13" s="1336"/>
      <c r="RX13" s="1299"/>
      <c r="RY13" s="1299"/>
      <c r="RZ13" s="1336"/>
      <c r="SA13" s="1299"/>
      <c r="SB13" s="1299"/>
      <c r="SC13" s="1336"/>
      <c r="SD13" s="1299"/>
      <c r="SE13" s="1299"/>
      <c r="SF13" s="1336"/>
      <c r="SG13" s="1299"/>
      <c r="SH13" s="1299"/>
      <c r="SI13" s="1336"/>
      <c r="SJ13" s="1299"/>
      <c r="SK13" s="1299"/>
      <c r="SL13" s="1336"/>
      <c r="SM13" s="1299"/>
      <c r="SN13" s="1299"/>
      <c r="SO13" s="1336"/>
      <c r="SP13" s="1299"/>
      <c r="SQ13" s="1299"/>
      <c r="SR13" s="1336"/>
      <c r="SS13" s="1299"/>
      <c r="ST13" s="1299"/>
      <c r="SU13" s="1336"/>
      <c r="SV13" s="1299"/>
      <c r="SW13" s="1299"/>
      <c r="SX13" s="1336"/>
      <c r="SY13" s="1299"/>
      <c r="SZ13" s="1299"/>
      <c r="TA13" s="1336"/>
      <c r="TB13" s="1299"/>
      <c r="TC13" s="1299"/>
      <c r="TD13" s="1336"/>
      <c r="TE13" s="1299"/>
      <c r="TF13" s="1299"/>
      <c r="TG13" s="1336"/>
      <c r="TH13" s="1299"/>
      <c r="TI13" s="1299"/>
      <c r="TJ13" s="1336"/>
      <c r="TK13" s="1299"/>
      <c r="TL13" s="1299"/>
      <c r="TM13" s="1336"/>
      <c r="TN13" s="1299"/>
      <c r="TO13" s="1299"/>
      <c r="TP13" s="1336"/>
      <c r="TQ13" s="1299"/>
      <c r="TR13" s="1299"/>
      <c r="TS13" s="1336"/>
      <c r="TT13" s="1299"/>
      <c r="TU13" s="1299"/>
      <c r="TV13" s="1336"/>
      <c r="TW13" s="1299"/>
      <c r="TX13" s="1299"/>
      <c r="TY13" s="1336"/>
      <c r="TZ13" s="1299"/>
      <c r="UA13" s="1299"/>
      <c r="UB13" s="1336"/>
      <c r="UC13" s="1299"/>
      <c r="UD13" s="1299"/>
      <c r="UE13" s="1336"/>
      <c r="UF13" s="1299" t="s">
        <v>20</v>
      </c>
      <c r="UG13" s="1299"/>
      <c r="UH13" s="1336"/>
      <c r="UI13" s="1299" t="s">
        <v>20</v>
      </c>
      <c r="UJ13" s="1299"/>
      <c r="UK13" s="1336"/>
      <c r="UL13" s="1299" t="s">
        <v>20</v>
      </c>
      <c r="UM13" s="1299"/>
      <c r="UN13" s="1336"/>
      <c r="UO13" s="1299" t="s">
        <v>20</v>
      </c>
      <c r="UP13" s="1299"/>
      <c r="UQ13" s="1336"/>
      <c r="UR13" s="1299" t="s">
        <v>20</v>
      </c>
      <c r="US13" s="1299"/>
      <c r="UT13" s="1336"/>
      <c r="UU13" s="1299" t="s">
        <v>20</v>
      </c>
      <c r="UV13" s="1299"/>
      <c r="UW13" s="1336"/>
      <c r="UX13" s="1299" t="s">
        <v>20</v>
      </c>
      <c r="UY13" s="1299"/>
      <c r="UZ13" s="1336"/>
      <c r="VA13" s="1299" t="s">
        <v>20</v>
      </c>
      <c r="VB13" s="1299"/>
      <c r="VC13" s="1336"/>
      <c r="VD13" s="1299" t="s">
        <v>20</v>
      </c>
      <c r="VE13" s="1299"/>
      <c r="VF13" s="1336"/>
      <c r="VG13" s="1299" t="s">
        <v>20</v>
      </c>
      <c r="VH13" s="1299"/>
      <c r="VI13" s="1336"/>
      <c r="VJ13" s="1299" t="s">
        <v>20</v>
      </c>
      <c r="VK13" s="1299"/>
      <c r="VL13" s="1336"/>
      <c r="VM13" s="1299" t="s">
        <v>20</v>
      </c>
      <c r="VN13" s="1299"/>
      <c r="VO13" s="1336"/>
      <c r="VP13" s="1299">
        <v>82</v>
      </c>
      <c r="VQ13" s="1299"/>
      <c r="VR13" s="1336"/>
      <c r="VS13" s="1299" t="s">
        <v>20</v>
      </c>
      <c r="VT13" s="1299"/>
      <c r="VU13" s="1336"/>
      <c r="VV13" s="1299" t="s">
        <v>20</v>
      </c>
      <c r="VW13" s="1299"/>
      <c r="VX13" s="1336"/>
      <c r="VY13" s="1299" t="s">
        <v>20</v>
      </c>
      <c r="VZ13" s="1299"/>
      <c r="WA13" s="1336"/>
      <c r="WB13" s="1299" t="s">
        <v>20</v>
      </c>
      <c r="WC13" s="1299"/>
      <c r="WD13" s="1336"/>
      <c r="WE13" s="1299" t="s">
        <v>20</v>
      </c>
      <c r="WF13" s="1299"/>
      <c r="WG13" s="1336"/>
      <c r="WH13" s="1299" t="s">
        <v>20</v>
      </c>
      <c r="WI13" s="1299"/>
      <c r="WJ13" s="1336"/>
      <c r="WK13" s="1299" t="s">
        <v>20</v>
      </c>
      <c r="WL13" s="1299"/>
      <c r="WM13" s="1336"/>
      <c r="WN13" s="1299">
        <v>89</v>
      </c>
      <c r="WO13" s="1299"/>
      <c r="WP13" s="1336"/>
      <c r="WQ13" s="1299" t="s">
        <v>20</v>
      </c>
      <c r="WR13" s="1299"/>
      <c r="WS13" s="1336"/>
      <c r="WT13" s="1299" t="s">
        <v>20</v>
      </c>
      <c r="WU13" s="1299"/>
      <c r="WV13" s="1336"/>
      <c r="WW13" s="1299" t="s">
        <v>20</v>
      </c>
      <c r="WX13" s="1299"/>
      <c r="WY13" s="1336"/>
      <c r="WZ13" s="1299" t="s">
        <v>20</v>
      </c>
      <c r="XA13" s="1299"/>
      <c r="XB13" s="1336"/>
      <c r="XC13" s="1299" t="s">
        <v>20</v>
      </c>
      <c r="XD13" s="1299"/>
      <c r="XE13" s="1336"/>
      <c r="XF13" s="1299" t="s">
        <v>20</v>
      </c>
      <c r="XG13" s="1299"/>
      <c r="XH13" s="1336"/>
      <c r="XI13" s="1299" t="s">
        <v>20</v>
      </c>
      <c r="XJ13" s="1299"/>
      <c r="XK13" s="1336"/>
      <c r="XL13" s="1299" t="s">
        <v>20</v>
      </c>
      <c r="XM13" s="1299"/>
      <c r="XN13" s="1336"/>
      <c r="XO13" s="1299" t="s">
        <v>20</v>
      </c>
      <c r="XP13" s="1299"/>
      <c r="XQ13" s="1336"/>
      <c r="XR13" s="1299" t="s">
        <v>20</v>
      </c>
      <c r="XS13" s="1299"/>
      <c r="XT13" s="1336"/>
      <c r="XU13" s="1299" t="s">
        <v>20</v>
      </c>
      <c r="XV13" s="1299"/>
      <c r="XW13" s="1336"/>
      <c r="XX13" s="1299">
        <v>85</v>
      </c>
      <c r="XY13" s="1299"/>
      <c r="XZ13" s="1336"/>
      <c r="YA13" s="1299" t="s">
        <v>20</v>
      </c>
      <c r="YB13" s="1299"/>
      <c r="YC13" s="1336"/>
      <c r="YD13" s="1299" t="s">
        <v>20</v>
      </c>
      <c r="YE13" s="1299"/>
      <c r="YF13" s="1336"/>
      <c r="YG13" s="1299" t="s">
        <v>20</v>
      </c>
      <c r="YH13" s="1299"/>
      <c r="YI13" s="1336"/>
      <c r="YJ13" s="1299" t="s">
        <v>20</v>
      </c>
      <c r="YK13" s="1299"/>
      <c r="YL13" s="1336"/>
      <c r="YM13" s="1299" t="s">
        <v>20</v>
      </c>
      <c r="YN13" s="1299"/>
      <c r="YO13" s="1336"/>
      <c r="YP13" s="1299">
        <v>84</v>
      </c>
      <c r="YQ13" s="1299"/>
      <c r="YR13" s="1336"/>
      <c r="YS13" s="1299">
        <v>85</v>
      </c>
      <c r="YT13" s="1299"/>
      <c r="YU13" s="1336"/>
      <c r="YV13" s="1299">
        <v>84</v>
      </c>
      <c r="YW13" s="1299"/>
      <c r="YX13" s="1336"/>
      <c r="YY13" s="1299" t="s">
        <v>20</v>
      </c>
      <c r="YZ13" s="1299"/>
      <c r="ZA13" s="1336"/>
      <c r="ZB13" s="1299" t="s">
        <v>20</v>
      </c>
      <c r="ZC13" s="1299"/>
      <c r="ZD13" s="1336"/>
      <c r="ZE13" s="1299" t="s">
        <v>20</v>
      </c>
      <c r="ZF13" s="1299"/>
      <c r="ZG13" s="1336"/>
      <c r="ZH13" s="1299" t="s">
        <v>20</v>
      </c>
      <c r="ZI13" s="1299"/>
      <c r="ZJ13" s="1336"/>
      <c r="ZK13" s="1299" t="s">
        <v>20</v>
      </c>
      <c r="ZL13" s="1299"/>
      <c r="ZM13" s="1336"/>
      <c r="ZN13" s="1299" t="s">
        <v>20</v>
      </c>
      <c r="ZO13" s="1299"/>
      <c r="ZP13" s="1336"/>
      <c r="ZQ13" s="1299" t="s">
        <v>20</v>
      </c>
      <c r="ZR13" s="1299"/>
      <c r="ZS13" s="1336"/>
      <c r="ZT13" s="1299" t="s">
        <v>20</v>
      </c>
      <c r="ZU13" s="1299"/>
      <c r="ZV13" s="1336"/>
      <c r="ZW13" s="1299" t="s">
        <v>20</v>
      </c>
      <c r="ZX13" s="1299"/>
      <c r="ZY13" s="1336"/>
      <c r="ZZ13" s="1299" t="s">
        <v>20</v>
      </c>
      <c r="AAA13" s="1299"/>
      <c r="AAB13" s="1336"/>
      <c r="AAC13" s="1299" t="s">
        <v>20</v>
      </c>
      <c r="AAD13" s="1299"/>
      <c r="AAE13" s="1336"/>
      <c r="AAF13" s="1299">
        <v>72</v>
      </c>
      <c r="AAG13" s="1299"/>
      <c r="AAH13" s="1336"/>
      <c r="AAI13" s="1299">
        <v>82</v>
      </c>
      <c r="AAJ13" s="1299"/>
      <c r="AAK13" s="1336"/>
      <c r="AAL13" s="1299">
        <v>80</v>
      </c>
      <c r="AAM13" s="1299"/>
      <c r="AAN13" s="1336"/>
      <c r="AAO13" s="1299">
        <v>76</v>
      </c>
      <c r="AAP13" s="1299"/>
      <c r="AAQ13" s="1336"/>
      <c r="AAR13" s="1299">
        <v>77</v>
      </c>
      <c r="AAS13" s="1299"/>
      <c r="AAT13" s="1336"/>
      <c r="AAU13" s="1299" t="s">
        <v>20</v>
      </c>
      <c r="AAV13" s="1299"/>
      <c r="AAW13" s="1336"/>
      <c r="AAX13" s="1299" t="s">
        <v>20</v>
      </c>
      <c r="AAY13" s="1299"/>
      <c r="AAZ13" s="1336"/>
      <c r="ABA13" s="1299">
        <v>72</v>
      </c>
      <c r="ABB13" s="1299"/>
      <c r="ABC13" s="1336"/>
      <c r="ABD13" s="1299">
        <v>72</v>
      </c>
      <c r="ABE13" s="1299"/>
      <c r="ABF13" s="1336"/>
      <c r="ABG13" s="1299">
        <v>77</v>
      </c>
      <c r="ABH13" s="1299"/>
      <c r="ABI13" s="1336"/>
      <c r="ABJ13" s="1299">
        <v>90</v>
      </c>
      <c r="ABK13" s="1299"/>
      <c r="ABL13" s="1336"/>
      <c r="ABM13" s="1299">
        <v>83</v>
      </c>
      <c r="ABN13" s="1299"/>
      <c r="ABO13" s="1336"/>
      <c r="ABP13" s="1299" t="s">
        <v>20</v>
      </c>
      <c r="ABQ13" s="1299"/>
      <c r="ABR13" s="1336"/>
      <c r="ABS13" s="1299" t="s">
        <v>20</v>
      </c>
      <c r="ABT13" s="1299"/>
      <c r="ABU13" s="1336"/>
      <c r="ABV13" s="1299">
        <v>83</v>
      </c>
      <c r="ABW13" s="1299"/>
      <c r="ABX13" s="1336"/>
      <c r="ABY13" s="1299">
        <v>84</v>
      </c>
      <c r="ABZ13" s="1299"/>
      <c r="ACA13" s="1336"/>
      <c r="ACB13" s="1299" t="s">
        <v>20</v>
      </c>
      <c r="ACC13" s="1299"/>
      <c r="ACD13" s="1336"/>
      <c r="ACE13" s="1299">
        <v>79</v>
      </c>
      <c r="ACF13" s="1299"/>
      <c r="ACG13" s="1336"/>
      <c r="ACH13" s="1299">
        <v>83</v>
      </c>
      <c r="ACI13" s="1299"/>
      <c r="ACJ13" s="1336"/>
      <c r="ACK13" s="1299" t="s">
        <v>20</v>
      </c>
      <c r="ACL13" s="1299"/>
      <c r="ACM13" s="1336"/>
      <c r="ACN13" s="1299" t="s">
        <v>20</v>
      </c>
      <c r="ACO13" s="1299"/>
      <c r="ACP13" s="1336"/>
      <c r="ACQ13" s="1299">
        <v>80</v>
      </c>
      <c r="ACR13" s="1299"/>
      <c r="ACS13" s="1336"/>
      <c r="ACT13" s="1299">
        <v>87</v>
      </c>
      <c r="ACU13" s="1299"/>
      <c r="ACV13" s="1336"/>
      <c r="ACW13" s="1299">
        <v>74</v>
      </c>
      <c r="ACX13" s="1299"/>
      <c r="ACY13" s="1336"/>
      <c r="ACZ13" s="1299">
        <v>73</v>
      </c>
      <c r="ADA13" s="1299"/>
      <c r="ADB13" s="1336"/>
      <c r="ADC13" s="1299">
        <v>89</v>
      </c>
      <c r="ADD13" s="1299"/>
      <c r="ADE13" s="1336"/>
      <c r="ADF13" s="1299" t="s">
        <v>20</v>
      </c>
      <c r="ADG13" s="1299"/>
      <c r="ADH13" s="1336"/>
      <c r="ADI13" s="1299" t="s">
        <v>20</v>
      </c>
      <c r="ADJ13" s="1299"/>
      <c r="ADK13" s="1336"/>
      <c r="ADL13" s="1299">
        <v>86</v>
      </c>
      <c r="ADM13" s="1299"/>
      <c r="ADN13" s="1336"/>
      <c r="ADO13" s="1299">
        <v>79</v>
      </c>
      <c r="ADP13" s="1299"/>
      <c r="ADQ13" s="1336"/>
      <c r="ADR13" s="1299">
        <v>83</v>
      </c>
      <c r="ADS13" s="1299"/>
      <c r="ADT13" s="1336"/>
      <c r="ADU13" s="1299">
        <v>88</v>
      </c>
      <c r="ADV13" s="1299"/>
      <c r="ADW13" s="1336"/>
      <c r="ADX13" s="1299">
        <v>76</v>
      </c>
      <c r="ADY13" s="1299"/>
      <c r="ADZ13" s="1336"/>
      <c r="AEA13" s="1299" t="s">
        <v>20</v>
      </c>
      <c r="AEB13" s="1299"/>
      <c r="AEC13" s="1336"/>
      <c r="AED13" s="1299">
        <v>96</v>
      </c>
      <c r="AEE13" s="1299"/>
      <c r="AEF13" s="1336"/>
      <c r="AEG13" s="1299">
        <v>84</v>
      </c>
      <c r="AEH13" s="1299"/>
      <c r="AEI13" s="1336"/>
      <c r="AEJ13" s="1299">
        <v>89</v>
      </c>
      <c r="AEK13" s="1299"/>
      <c r="AEL13" s="1336"/>
      <c r="AEM13" s="1299">
        <v>81</v>
      </c>
      <c r="AEN13" s="1299"/>
      <c r="AEO13" s="1336"/>
      <c r="AEP13" s="1299">
        <v>77</v>
      </c>
      <c r="AEQ13" s="1299"/>
      <c r="AER13" s="1336"/>
      <c r="AES13" s="1299">
        <v>74</v>
      </c>
      <c r="AET13" s="1299"/>
      <c r="AEU13" s="1336"/>
      <c r="AEV13" s="1299" t="s">
        <v>20</v>
      </c>
      <c r="AEW13" s="1299"/>
      <c r="AEX13" s="1336"/>
      <c r="AEY13" s="1299">
        <v>85</v>
      </c>
      <c r="AEZ13" s="1299"/>
      <c r="AFA13" s="1336"/>
      <c r="AFB13" s="1299">
        <v>86</v>
      </c>
      <c r="AFC13" s="1299"/>
      <c r="AFD13" s="1336"/>
      <c r="AFE13" s="1299">
        <v>88</v>
      </c>
      <c r="AFF13" s="1299"/>
      <c r="AFG13" s="1336"/>
      <c r="AFH13" s="1299" t="s">
        <v>20</v>
      </c>
      <c r="AFI13" s="1299"/>
      <c r="AFJ13" s="1336"/>
      <c r="AFK13" s="1299">
        <v>90</v>
      </c>
      <c r="AFL13" s="1299"/>
      <c r="AFM13" s="1336"/>
      <c r="AFN13" s="1299">
        <v>81</v>
      </c>
      <c r="AFO13" s="1299"/>
      <c r="AFP13" s="1336"/>
      <c r="AFQ13" s="1299" t="s">
        <v>20</v>
      </c>
      <c r="AFR13" s="1299"/>
      <c r="AFS13" s="1336"/>
      <c r="AFT13" s="1299" t="s">
        <v>20</v>
      </c>
      <c r="AFU13" s="1299"/>
      <c r="AFV13" s="1336"/>
      <c r="AFW13" s="1299">
        <v>74</v>
      </c>
      <c r="AFX13" s="1299"/>
      <c r="AFY13" s="1336"/>
      <c r="AFZ13" s="1299" t="s">
        <v>20</v>
      </c>
      <c r="AGA13" s="1299"/>
      <c r="AGB13" s="1336"/>
      <c r="AGC13" s="1299">
        <v>84</v>
      </c>
      <c r="AGD13" s="1299"/>
      <c r="AGE13" s="1336"/>
      <c r="AGF13" s="1299">
        <v>89</v>
      </c>
      <c r="AGG13" s="1299"/>
      <c r="AGH13" s="1336"/>
      <c r="AGI13" s="1299" t="s">
        <v>20</v>
      </c>
      <c r="AGJ13" s="1299"/>
      <c r="AGK13" s="1336"/>
      <c r="AGL13" s="1299" t="s">
        <v>20</v>
      </c>
      <c r="AGM13" s="1299"/>
      <c r="AGN13" s="1336"/>
      <c r="AGO13" s="1299" t="s">
        <v>20</v>
      </c>
      <c r="AGP13" s="1299"/>
      <c r="AGQ13" s="1336"/>
      <c r="AGR13" s="1299">
        <v>91</v>
      </c>
      <c r="AGS13" s="1299"/>
      <c r="AGT13" s="1336"/>
      <c r="AGU13" s="1299" t="s">
        <v>20</v>
      </c>
      <c r="AGV13" s="1299"/>
      <c r="AGW13" s="1336"/>
      <c r="AGX13" s="1299">
        <v>88</v>
      </c>
      <c r="AGY13" s="1299"/>
      <c r="AGZ13" s="1336"/>
      <c r="AHA13" s="1299" t="s">
        <v>20</v>
      </c>
      <c r="AHB13" s="1299"/>
      <c r="AHC13" s="1336"/>
      <c r="AHD13" s="1299" t="s">
        <v>20</v>
      </c>
      <c r="AHE13" s="1299"/>
      <c r="AHF13" s="1336"/>
      <c r="AHG13" s="1299" t="s">
        <v>20</v>
      </c>
      <c r="AHH13" s="1299"/>
      <c r="AHI13" s="1336"/>
      <c r="AHJ13" s="1299" t="s">
        <v>20</v>
      </c>
      <c r="AHK13" s="1299"/>
      <c r="AHL13" s="1336"/>
      <c r="AHM13" s="1299" t="s">
        <v>20</v>
      </c>
      <c r="AHN13" s="1299"/>
      <c r="AHO13" s="1336"/>
      <c r="AHP13" s="1299">
        <v>85</v>
      </c>
      <c r="AHQ13" s="1299"/>
      <c r="AHR13" s="1336"/>
      <c r="AHS13" s="1299" t="s">
        <v>20</v>
      </c>
      <c r="AHT13" s="1299"/>
      <c r="AHU13" s="1336"/>
      <c r="AHV13" s="1299">
        <v>92</v>
      </c>
      <c r="AHW13" s="1299"/>
      <c r="AHX13" s="1336"/>
      <c r="AHY13" s="1299">
        <v>87</v>
      </c>
      <c r="AHZ13" s="1299"/>
      <c r="AIA13" s="1336"/>
      <c r="AIB13" s="1299" t="s">
        <v>20</v>
      </c>
      <c r="AIC13" s="1299"/>
      <c r="AID13" s="1336"/>
      <c r="AIE13" s="1299" t="s">
        <v>20</v>
      </c>
      <c r="AIF13" s="1299"/>
      <c r="AIG13" s="1336"/>
      <c r="AIH13" s="1299">
        <v>82</v>
      </c>
      <c r="AII13" s="1299"/>
      <c r="AIJ13" s="1336"/>
      <c r="AIK13" s="1299" t="s">
        <v>20</v>
      </c>
      <c r="AIL13" s="1299"/>
      <c r="AIM13" s="1336"/>
      <c r="AIN13" s="1299">
        <v>81</v>
      </c>
      <c r="AIO13" s="1299"/>
      <c r="AIP13" s="1336"/>
      <c r="AIQ13" s="1299">
        <v>86</v>
      </c>
      <c r="AIR13" s="1299"/>
      <c r="AIS13" s="1336"/>
      <c r="AIT13" s="1299">
        <v>88</v>
      </c>
      <c r="AIU13" s="1299"/>
      <c r="AIV13" s="1336"/>
      <c r="AIW13" s="1299" t="s">
        <v>20</v>
      </c>
      <c r="AIX13" s="1299"/>
      <c r="AIY13" s="1336"/>
      <c r="AIZ13" s="1299" t="s">
        <v>20</v>
      </c>
      <c r="AJA13" s="1299"/>
      <c r="AJB13" s="1336"/>
      <c r="AJC13" s="1299" t="s">
        <v>20</v>
      </c>
      <c r="AJD13" s="1299"/>
      <c r="AJE13" s="1336"/>
      <c r="AJF13" s="1299">
        <v>93</v>
      </c>
      <c r="AJG13" s="1299"/>
      <c r="AJH13" s="1336"/>
      <c r="AJI13" s="1299">
        <v>90</v>
      </c>
      <c r="AJJ13" s="1299"/>
      <c r="AJK13" s="1336"/>
      <c r="AJL13" s="1299" t="s">
        <v>20</v>
      </c>
      <c r="AJM13" s="1299"/>
      <c r="AJN13" s="1336"/>
      <c r="AJO13" s="1299">
        <v>85</v>
      </c>
      <c r="AJP13" s="1299"/>
      <c r="AJQ13" s="1336"/>
      <c r="AJR13" s="1299" t="s">
        <v>20</v>
      </c>
      <c r="AJS13" s="1299"/>
      <c r="AJT13" s="1336"/>
      <c r="AJU13" s="1299">
        <v>85</v>
      </c>
      <c r="AJV13" s="1299"/>
      <c r="AJW13" s="1336"/>
      <c r="AJX13" s="1299">
        <v>87</v>
      </c>
      <c r="AJY13" s="1299"/>
      <c r="AJZ13" s="1336"/>
      <c r="AKA13" s="1299">
        <v>72</v>
      </c>
      <c r="AKB13" s="1299"/>
      <c r="AKC13" s="1336"/>
      <c r="AKD13" s="1299">
        <v>79</v>
      </c>
      <c r="AKE13" s="1299"/>
      <c r="AKF13" s="1336"/>
      <c r="AKG13" s="1299">
        <v>87</v>
      </c>
      <c r="AKH13" s="1299"/>
      <c r="AKI13" s="1336"/>
      <c r="AKJ13" s="1299" t="s">
        <v>20</v>
      </c>
      <c r="AKK13" s="1299"/>
      <c r="AKL13" s="1336"/>
      <c r="AKM13" s="1299" t="s">
        <v>20</v>
      </c>
      <c r="AKN13" s="1299"/>
      <c r="AKO13" s="1336"/>
      <c r="AKP13" s="1299">
        <v>81</v>
      </c>
      <c r="AKQ13" s="1299"/>
      <c r="AKR13" s="1336"/>
      <c r="AKS13" s="1299">
        <v>94</v>
      </c>
      <c r="AKT13" s="1299"/>
      <c r="AKU13" s="1336"/>
      <c r="AKV13" s="1299">
        <v>79</v>
      </c>
      <c r="AKW13" s="1299"/>
      <c r="AKX13" s="1336"/>
      <c r="AKY13" s="1299" t="s">
        <v>20</v>
      </c>
      <c r="AKZ13" s="1299"/>
      <c r="ALA13" s="1336"/>
      <c r="ALB13" s="1299" t="s">
        <v>20</v>
      </c>
      <c r="ALC13" s="1299"/>
      <c r="ALD13" s="1336"/>
      <c r="ALE13" s="1299">
        <v>81</v>
      </c>
      <c r="ALF13" s="1299"/>
      <c r="ALG13" s="1336"/>
      <c r="ALH13" s="1299" t="s">
        <v>20</v>
      </c>
      <c r="ALI13" s="1299"/>
      <c r="ALJ13" s="1336"/>
      <c r="ALK13" s="1299">
        <v>68</v>
      </c>
      <c r="ALL13" s="1299"/>
      <c r="ALM13" s="1336"/>
      <c r="ALN13" s="1299" t="s">
        <v>20</v>
      </c>
      <c r="ALO13" s="1299"/>
      <c r="ALP13" s="1336"/>
      <c r="ALQ13" s="1299">
        <v>80</v>
      </c>
      <c r="ALR13" s="1299"/>
      <c r="ALS13" s="1336"/>
      <c r="ALT13" s="1299" t="s">
        <v>20</v>
      </c>
      <c r="ALU13" s="1299"/>
      <c r="ALV13" s="1336"/>
      <c r="ALW13" s="1299" t="s">
        <v>20</v>
      </c>
      <c r="ALX13" s="1299"/>
      <c r="ALY13" s="1336"/>
      <c r="ALZ13" s="1299">
        <v>88</v>
      </c>
      <c r="AMA13" s="1299"/>
      <c r="AMB13" s="1336"/>
      <c r="AMC13" s="1299" t="s">
        <v>20</v>
      </c>
      <c r="AMD13" s="1299"/>
      <c r="AME13" s="1336"/>
      <c r="AMF13" s="1299" t="s">
        <v>20</v>
      </c>
      <c r="AMG13" s="1299"/>
      <c r="AMH13" s="1336"/>
      <c r="AMI13" s="1299">
        <v>85</v>
      </c>
      <c r="AMJ13" s="1299"/>
      <c r="AMK13" s="1336"/>
      <c r="AML13" s="1299" t="s">
        <v>20</v>
      </c>
      <c r="AMM13" s="1299"/>
      <c r="AMN13" s="1336"/>
      <c r="AMO13" s="1299">
        <v>86</v>
      </c>
      <c r="AMP13" s="1299"/>
      <c r="AMQ13" s="1336"/>
      <c r="AMR13" s="1299" t="s">
        <v>20</v>
      </c>
      <c r="AMS13" s="1299"/>
      <c r="AMT13" s="1336"/>
      <c r="AMU13" s="1299">
        <v>77</v>
      </c>
      <c r="AMV13" s="1299"/>
      <c r="AMW13" s="1336"/>
      <c r="AMX13" s="1299" t="s">
        <v>20</v>
      </c>
      <c r="AMY13" s="1299"/>
      <c r="AMZ13" s="1336"/>
      <c r="ANA13" s="1299">
        <v>82</v>
      </c>
      <c r="ANB13" s="1299"/>
      <c r="ANC13" s="1336"/>
      <c r="AND13" s="1299" t="s">
        <v>20</v>
      </c>
      <c r="ANE13" s="1299"/>
      <c r="ANF13" s="1336"/>
      <c r="ANG13" s="1299">
        <v>81</v>
      </c>
      <c r="ANH13" s="1299"/>
      <c r="ANI13" s="1336"/>
      <c r="ANJ13" s="1299">
        <v>85</v>
      </c>
      <c r="ANK13" s="1299"/>
      <c r="ANL13" s="1336"/>
      <c r="ANM13" s="1299">
        <v>93</v>
      </c>
      <c r="ANN13" s="1299"/>
      <c r="ANO13" s="1336"/>
      <c r="ANP13" s="1299" t="s">
        <v>20</v>
      </c>
      <c r="ANQ13" s="1299"/>
      <c r="ANR13" s="1336"/>
      <c r="ANS13" s="1299" t="s">
        <v>20</v>
      </c>
      <c r="ANT13" s="1299"/>
      <c r="ANU13" s="1336"/>
      <c r="ANV13" s="1299" t="s">
        <v>20</v>
      </c>
      <c r="ANW13" s="1299"/>
      <c r="ANX13" s="1336"/>
      <c r="ANY13" s="1299" t="s">
        <v>20</v>
      </c>
      <c r="ANZ13" s="1299"/>
      <c r="AOA13" s="1336"/>
      <c r="AOB13" s="1299" t="s">
        <v>20</v>
      </c>
      <c r="AOC13" s="1299"/>
      <c r="AOD13" s="1336"/>
      <c r="AOE13" s="1299" t="s">
        <v>20</v>
      </c>
      <c r="AOF13" s="1299"/>
      <c r="AOG13" s="1336"/>
      <c r="AOH13" s="1299" t="s">
        <v>20</v>
      </c>
      <c r="AOI13" s="1299"/>
      <c r="AOJ13" s="1336"/>
      <c r="AOK13" s="1299" t="s">
        <v>20</v>
      </c>
      <c r="AOL13" s="1299"/>
      <c r="AOM13" s="1336"/>
      <c r="AON13" s="1299" t="s">
        <v>20</v>
      </c>
      <c r="AOO13" s="1299"/>
      <c r="AOP13" s="1336"/>
      <c r="AOQ13" s="1299" t="s">
        <v>20</v>
      </c>
      <c r="AOR13" s="1299"/>
      <c r="AOS13" s="1336"/>
      <c r="AOT13" s="1299" t="s">
        <v>20</v>
      </c>
      <c r="AOU13" s="1299"/>
      <c r="AOV13" s="1336"/>
      <c r="AOW13" s="1299">
        <v>80</v>
      </c>
      <c r="AOX13" s="1299"/>
      <c r="AOY13" s="1336"/>
      <c r="AOZ13" s="1299" t="s">
        <v>20</v>
      </c>
      <c r="APA13" s="1299"/>
      <c r="APB13" s="1336"/>
      <c r="APC13" s="1299" t="s">
        <v>20</v>
      </c>
      <c r="APD13" s="1299"/>
      <c r="APE13" s="1336"/>
      <c r="APF13" s="1299">
        <v>86</v>
      </c>
      <c r="APG13" s="1299"/>
      <c r="APH13" s="1336"/>
      <c r="API13" s="1299" t="s">
        <v>20</v>
      </c>
      <c r="APJ13" s="1299"/>
      <c r="APK13" s="1336"/>
      <c r="APL13" s="1299" t="s">
        <v>20</v>
      </c>
      <c r="APM13" s="1299"/>
      <c r="APN13" s="1336"/>
      <c r="APO13" s="1299" t="s">
        <v>20</v>
      </c>
      <c r="APP13" s="1299"/>
      <c r="APQ13" s="1336"/>
      <c r="APR13" s="1299" t="s">
        <v>20</v>
      </c>
      <c r="APS13" s="1299"/>
      <c r="APT13" s="1336"/>
      <c r="APU13" s="1299">
        <v>93</v>
      </c>
      <c r="APV13" s="1299"/>
      <c r="APW13" s="1336"/>
      <c r="APX13" s="1299">
        <v>79</v>
      </c>
      <c r="APY13" s="1299"/>
      <c r="APZ13" s="1336"/>
      <c r="AQA13" s="1299">
        <v>88</v>
      </c>
      <c r="AQB13" s="1299"/>
      <c r="AQC13" s="1336"/>
      <c r="AQD13" s="1299" t="s">
        <v>20</v>
      </c>
      <c r="AQE13" s="1299"/>
      <c r="AQF13" s="1336"/>
      <c r="AQG13" s="1299" t="s">
        <v>20</v>
      </c>
      <c r="AQH13" s="1299"/>
      <c r="AQI13" s="1336"/>
      <c r="AQJ13" s="1299" t="s">
        <v>20</v>
      </c>
      <c r="AQK13" s="1299"/>
      <c r="AQL13" s="1336"/>
      <c r="AQM13" s="1299" t="s">
        <v>20</v>
      </c>
      <c r="AQN13" s="1299"/>
      <c r="AQO13" s="1336"/>
      <c r="AQP13" s="1299">
        <v>88</v>
      </c>
      <c r="AQQ13" s="1299"/>
      <c r="AQR13" s="1336"/>
      <c r="AQS13" s="1299" t="s">
        <v>20</v>
      </c>
      <c r="AQT13" s="1299"/>
      <c r="AQU13" s="1336"/>
      <c r="AQV13" s="1299" t="s">
        <v>20</v>
      </c>
      <c r="AQW13" s="1299"/>
      <c r="AQX13" s="1336"/>
      <c r="AQY13" s="1299" t="s">
        <v>20</v>
      </c>
      <c r="AQZ13" s="1299"/>
      <c r="ARA13" s="1336"/>
      <c r="ARB13" s="1299" t="s">
        <v>20</v>
      </c>
      <c r="ARC13" s="1299"/>
      <c r="ARD13" s="1336"/>
      <c r="ARE13" s="1299" t="s">
        <v>20</v>
      </c>
      <c r="ARF13" s="1299"/>
      <c r="ARG13" s="1336"/>
      <c r="ARH13" s="1299" t="s">
        <v>20</v>
      </c>
      <c r="ARI13" s="1299"/>
      <c r="ARJ13" s="1336"/>
      <c r="ARK13" s="1299" t="s">
        <v>20</v>
      </c>
      <c r="ARL13" s="1299"/>
      <c r="ARM13" s="1336"/>
      <c r="ARN13" s="1299" t="s">
        <v>20</v>
      </c>
      <c r="ARO13" s="1299"/>
      <c r="ARP13" s="1336"/>
      <c r="ARQ13" s="1299" t="s">
        <v>20</v>
      </c>
      <c r="ARR13" s="1299"/>
      <c r="ARS13" s="1336"/>
      <c r="ART13" s="1299" t="s">
        <v>20</v>
      </c>
      <c r="ARU13" s="1299"/>
      <c r="ARV13" s="1336"/>
      <c r="ARW13" s="1299" t="s">
        <v>20</v>
      </c>
      <c r="ARX13" s="1299"/>
      <c r="ARY13" s="1336"/>
      <c r="ARZ13" s="1299" t="s">
        <v>20</v>
      </c>
      <c r="ASA13" s="1299"/>
      <c r="ASB13" s="1336"/>
      <c r="ASC13" s="1299" t="s">
        <v>20</v>
      </c>
      <c r="ASD13" s="1299"/>
      <c r="ASE13" s="1336"/>
      <c r="ASF13" s="1299">
        <v>83</v>
      </c>
      <c r="ASG13" s="1299"/>
      <c r="ASH13" s="1336"/>
      <c r="ASI13" s="1299">
        <v>87</v>
      </c>
      <c r="ASJ13" s="1299"/>
      <c r="ASK13" s="1336"/>
      <c r="ASL13" s="1299" t="s">
        <v>20</v>
      </c>
      <c r="ASM13" s="1299"/>
      <c r="ASN13" s="1336"/>
      <c r="ASO13" s="1299" t="s">
        <v>20</v>
      </c>
      <c r="ASP13" s="1299"/>
      <c r="ASQ13" s="1299"/>
      <c r="ASR13" s="1298" t="s">
        <v>20</v>
      </c>
      <c r="ASS13" s="1299"/>
      <c r="AST13" s="1336"/>
      <c r="ASU13" s="1299" t="s">
        <v>20</v>
      </c>
      <c r="ASV13" s="1299"/>
      <c r="ASW13" s="1336"/>
      <c r="ASX13" s="1299">
        <v>88</v>
      </c>
      <c r="ASY13" s="1299"/>
      <c r="ASZ13" s="1336"/>
      <c r="ATA13" s="1299" t="s">
        <v>20</v>
      </c>
      <c r="ATB13" s="1299"/>
      <c r="ATC13" s="1336"/>
      <c r="ATD13" s="1299" t="s">
        <v>20</v>
      </c>
      <c r="ATE13" s="1299"/>
      <c r="ATF13" s="1336"/>
      <c r="ATG13" s="1299">
        <v>91</v>
      </c>
      <c r="ATH13" s="1299"/>
      <c r="ATI13" s="1336"/>
      <c r="ATJ13" s="1299" t="s">
        <v>20</v>
      </c>
      <c r="ATK13" s="1299"/>
      <c r="ATL13" s="1336"/>
      <c r="ATM13" s="1299" t="s">
        <v>20</v>
      </c>
      <c r="ATN13" s="1299"/>
      <c r="ATO13" s="1336"/>
      <c r="ATP13" s="1299" t="s">
        <v>20</v>
      </c>
      <c r="ATQ13" s="1299"/>
      <c r="ATR13" s="1336"/>
      <c r="ATS13" s="1299" t="s">
        <v>20</v>
      </c>
      <c r="ATT13" s="1299"/>
      <c r="ATU13" s="1336"/>
      <c r="ATV13" s="1299">
        <v>83</v>
      </c>
      <c r="ATW13" s="1299"/>
      <c r="ATX13" s="1336"/>
      <c r="ATY13" s="1299" t="s">
        <v>20</v>
      </c>
      <c r="ATZ13" s="1299"/>
      <c r="AUA13" s="1336"/>
      <c r="AUB13" s="1299" t="s">
        <v>20</v>
      </c>
      <c r="AUC13" s="1299"/>
      <c r="AUD13" s="1336"/>
      <c r="AUE13" s="1299" t="s">
        <v>20</v>
      </c>
      <c r="AUF13" s="1299"/>
      <c r="AUG13" s="1336"/>
      <c r="AUH13" s="1299" t="s">
        <v>20</v>
      </c>
      <c r="AUI13" s="1299"/>
      <c r="AUJ13" s="1336"/>
      <c r="AUK13" s="1299" t="s">
        <v>20</v>
      </c>
      <c r="AUL13" s="1299"/>
      <c r="AUM13" s="1336"/>
      <c r="AUN13" s="1299" t="s">
        <v>20</v>
      </c>
      <c r="AUO13" s="1299"/>
      <c r="AUP13" s="1336"/>
      <c r="AUQ13" s="1299" t="s">
        <v>20</v>
      </c>
      <c r="AUR13" s="1299"/>
      <c r="AUS13" s="1336"/>
      <c r="AUT13" s="1299" t="s">
        <v>20</v>
      </c>
      <c r="AUU13" s="1299"/>
      <c r="AUV13" s="1336"/>
      <c r="AUW13" s="1299" t="s">
        <v>20</v>
      </c>
      <c r="AUX13" s="1299"/>
      <c r="AUY13" s="1336"/>
      <c r="AUZ13" s="1299" t="s">
        <v>20</v>
      </c>
      <c r="AVA13" s="1299"/>
      <c r="AVB13" s="1336"/>
      <c r="AVC13" s="1299" t="s">
        <v>20</v>
      </c>
      <c r="AVD13" s="1299"/>
      <c r="AVE13" s="1336"/>
      <c r="AVF13" s="1299" t="s">
        <v>20</v>
      </c>
      <c r="AVG13" s="1299"/>
      <c r="AVH13" s="1336"/>
      <c r="AVI13" s="1299" t="s">
        <v>20</v>
      </c>
      <c r="AVJ13" s="1299"/>
      <c r="AVK13" s="1336"/>
      <c r="AVL13" s="1299" t="s">
        <v>20</v>
      </c>
      <c r="AVM13" s="1299"/>
      <c r="AVN13" s="1336"/>
      <c r="AVO13" s="1299" t="s">
        <v>20</v>
      </c>
      <c r="AVP13" s="1299"/>
      <c r="AVQ13" s="1336"/>
      <c r="AVR13" s="1299" t="s">
        <v>20</v>
      </c>
      <c r="AVS13" s="1299"/>
      <c r="AVT13" s="1336"/>
      <c r="AVU13" s="1299" t="s">
        <v>20</v>
      </c>
      <c r="AVV13" s="1299"/>
      <c r="AVW13" s="1336"/>
      <c r="AVX13" s="1299" t="s">
        <v>20</v>
      </c>
      <c r="AVY13" s="1299"/>
      <c r="AVZ13" s="1336"/>
      <c r="AWA13" s="1299" t="s">
        <v>20</v>
      </c>
      <c r="AWB13" s="1299"/>
      <c r="AWC13" s="1336"/>
      <c r="AWD13" s="1299" t="s">
        <v>20</v>
      </c>
      <c r="AWE13" s="1299"/>
      <c r="AWF13" s="1336"/>
      <c r="AWG13" s="1299" t="s">
        <v>20</v>
      </c>
      <c r="AWH13" s="1299"/>
      <c r="AWI13" s="1336"/>
      <c r="AWJ13" s="1299" t="s">
        <v>20</v>
      </c>
      <c r="AWK13" s="1299"/>
      <c r="AWL13" s="1336"/>
      <c r="AWM13" s="1299" t="s">
        <v>20</v>
      </c>
      <c r="AWN13" s="1299"/>
      <c r="AWO13" s="1336"/>
      <c r="AWP13" s="1299" t="s">
        <v>20</v>
      </c>
      <c r="AWQ13" s="1299"/>
      <c r="AWR13" s="1336"/>
      <c r="AWS13" s="1299" t="s">
        <v>20</v>
      </c>
      <c r="AWT13" s="1299"/>
      <c r="AWU13" s="1336"/>
      <c r="AWV13" s="1299" t="s">
        <v>20</v>
      </c>
      <c r="AWW13" s="1299"/>
      <c r="AWX13" s="1336"/>
      <c r="AWY13" s="1299" t="s">
        <v>20</v>
      </c>
      <c r="AWZ13" s="1299"/>
      <c r="AXA13" s="1336"/>
      <c r="AXB13" s="1299" t="s">
        <v>20</v>
      </c>
      <c r="AXC13" s="1299"/>
      <c r="AXD13" s="1336"/>
      <c r="AXE13" s="1299" t="s">
        <v>20</v>
      </c>
      <c r="AXF13" s="1299"/>
      <c r="AXG13" s="1336"/>
      <c r="AXH13" s="1299" t="s">
        <v>20</v>
      </c>
      <c r="AXI13" s="1299"/>
      <c r="AXJ13" s="1336"/>
      <c r="AXK13" s="1299" t="s">
        <v>20</v>
      </c>
      <c r="AXL13" s="1299"/>
      <c r="AXM13" s="1336"/>
      <c r="AXN13" s="1299" t="s">
        <v>20</v>
      </c>
      <c r="AXO13" s="1299"/>
      <c r="AXP13" s="1336"/>
      <c r="AXQ13" s="1299" t="s">
        <v>20</v>
      </c>
      <c r="AXR13" s="1299"/>
      <c r="AXS13" s="1336"/>
      <c r="AXT13" s="1299" t="s">
        <v>20</v>
      </c>
      <c r="AXU13" s="1299"/>
      <c r="AXV13" s="1336"/>
      <c r="AXW13" s="1299" t="s">
        <v>20</v>
      </c>
      <c r="AXX13" s="1299"/>
      <c r="AXY13" s="1336"/>
      <c r="AXZ13" s="1299" t="s">
        <v>20</v>
      </c>
      <c r="AYA13" s="1299"/>
      <c r="AYB13" s="1336"/>
      <c r="AYC13" s="1299" t="s">
        <v>20</v>
      </c>
      <c r="AYD13" s="1299"/>
      <c r="AYE13" s="1336"/>
      <c r="AYF13" s="1299" t="s">
        <v>20</v>
      </c>
      <c r="AYG13" s="1299"/>
      <c r="AYH13" s="1336"/>
      <c r="AYI13" s="1299" t="s">
        <v>20</v>
      </c>
      <c r="AYJ13" s="1299"/>
      <c r="AYK13" s="1336"/>
      <c r="AYL13" s="1299" t="s">
        <v>20</v>
      </c>
      <c r="AYM13" s="1299"/>
      <c r="AYN13" s="1336"/>
      <c r="AYO13" s="1299" t="s">
        <v>20</v>
      </c>
      <c r="AYP13" s="1299"/>
      <c r="AYQ13" s="1336"/>
      <c r="AYR13" s="1299" t="s">
        <v>20</v>
      </c>
      <c r="AYS13" s="1299"/>
      <c r="AYT13" s="1336"/>
      <c r="AYU13" s="1299" t="s">
        <v>20</v>
      </c>
      <c r="AYV13" s="1299"/>
      <c r="AYW13" s="1336"/>
      <c r="AYX13" s="1299" t="s">
        <v>20</v>
      </c>
      <c r="AYY13" s="1299"/>
      <c r="AYZ13" s="1336"/>
      <c r="AZA13" s="1299" t="s">
        <v>20</v>
      </c>
      <c r="AZB13" s="1299"/>
      <c r="AZC13" s="1336"/>
      <c r="AZD13" s="1299" t="s">
        <v>20</v>
      </c>
      <c r="AZE13" s="1299"/>
      <c r="AZF13" s="1336"/>
      <c r="AZG13" s="1299" t="s">
        <v>20</v>
      </c>
      <c r="AZH13" s="1299"/>
      <c r="AZI13" s="1336"/>
      <c r="AZJ13" s="1299" t="s">
        <v>20</v>
      </c>
      <c r="AZK13" s="1299"/>
      <c r="AZL13" s="1336"/>
      <c r="AZM13" s="1299" t="s">
        <v>20</v>
      </c>
      <c r="AZN13" s="1299"/>
      <c r="AZO13" s="1336"/>
      <c r="AZP13" s="1299" t="s">
        <v>20</v>
      </c>
      <c r="AZQ13" s="1299"/>
      <c r="AZR13" s="1336"/>
      <c r="AZS13" s="1299" t="s">
        <v>20</v>
      </c>
      <c r="AZT13" s="1299"/>
      <c r="AZU13" s="1336"/>
      <c r="AZV13" s="1299" t="s">
        <v>20</v>
      </c>
      <c r="AZW13" s="1299"/>
      <c r="AZX13" s="1336"/>
      <c r="AZY13" s="1299" t="s">
        <v>20</v>
      </c>
      <c r="AZZ13" s="1299"/>
      <c r="BAA13" s="1336"/>
      <c r="BAB13" s="1299" t="s">
        <v>20</v>
      </c>
      <c r="BAC13" s="1299"/>
      <c r="BAD13" s="1336"/>
      <c r="BAE13" s="1299" t="s">
        <v>20</v>
      </c>
      <c r="BAF13" s="1299"/>
      <c r="BAG13" s="1336"/>
      <c r="BAH13" s="1299" t="s">
        <v>20</v>
      </c>
      <c r="BAI13" s="1299"/>
      <c r="BAJ13" s="1336"/>
    </row>
    <row r="14" spans="1:1388" s="21" customFormat="1" ht="15" customHeight="1">
      <c r="A14"/>
      <c r="B14" s="22" t="s">
        <v>335</v>
      </c>
      <c r="C14" s="1197"/>
      <c r="D14" s="33"/>
      <c r="E14" s="4" t="s">
        <v>336</v>
      </c>
      <c r="F14" s="1285" t="s">
        <v>20</v>
      </c>
      <c r="G14" s="1285"/>
      <c r="H14" s="1287"/>
      <c r="I14" s="1322">
        <v>2.085E-2</v>
      </c>
      <c r="J14" s="1322"/>
      <c r="K14" s="1323"/>
      <c r="L14" s="1322">
        <v>2.2689999999999998E-2</v>
      </c>
      <c r="M14" s="1322"/>
      <c r="N14" s="1323"/>
      <c r="O14" s="1322">
        <v>2.273E-2</v>
      </c>
      <c r="P14" s="1322"/>
      <c r="Q14" s="1323"/>
      <c r="R14" s="1322">
        <v>2.2859999999999998E-2</v>
      </c>
      <c r="S14" s="1322"/>
      <c r="T14" s="1323"/>
      <c r="U14" s="1322">
        <v>2.2780000000000002E-2</v>
      </c>
      <c r="V14" s="1322"/>
      <c r="W14" s="1323"/>
      <c r="X14" s="1322">
        <v>2.5059999999999999E-2</v>
      </c>
      <c r="Y14" s="1322"/>
      <c r="Z14" s="1323"/>
      <c r="AA14" s="1322">
        <v>2.3859999999999999E-2</v>
      </c>
      <c r="AB14" s="1322"/>
      <c r="AC14" s="1323"/>
      <c r="AD14" s="1322">
        <v>2.546E-2</v>
      </c>
      <c r="AE14" s="1322"/>
      <c r="AF14" s="1323"/>
      <c r="AG14" s="1322">
        <v>2.5950000000000001E-2</v>
      </c>
      <c r="AH14" s="1322"/>
      <c r="AI14" s="1323"/>
      <c r="AJ14" s="1322">
        <v>2.5340000000000001E-2</v>
      </c>
      <c r="AK14" s="1322"/>
      <c r="AL14" s="1323"/>
      <c r="AM14" s="1322">
        <v>2.7060000000000001E-2</v>
      </c>
      <c r="AN14" s="1322"/>
      <c r="AO14" s="1323"/>
      <c r="AP14" s="1322">
        <v>2.4549999999999999E-2</v>
      </c>
      <c r="AQ14" s="1322"/>
      <c r="AR14" s="1323"/>
      <c r="AS14" s="1322">
        <v>2.1180000000000001E-2</v>
      </c>
      <c r="AT14" s="1322"/>
      <c r="AU14" s="1323"/>
      <c r="AV14" s="1322">
        <v>2.2710000000000001E-2</v>
      </c>
      <c r="AW14" s="1322"/>
      <c r="AX14" s="1323"/>
      <c r="AY14" s="1322">
        <v>2.3130000000000001E-2</v>
      </c>
      <c r="AZ14" s="1322"/>
      <c r="BA14" s="1323"/>
      <c r="BB14" s="1322" t="s">
        <v>20</v>
      </c>
      <c r="BC14" s="1322"/>
      <c r="BD14" s="1323"/>
      <c r="BE14" s="1322">
        <v>2.2859999999999998E-2</v>
      </c>
      <c r="BF14" s="1322"/>
      <c r="BG14" s="1323"/>
      <c r="BH14" s="1322">
        <v>2.4070000000000001E-2</v>
      </c>
      <c r="BI14" s="1322"/>
      <c r="BJ14" s="1323"/>
      <c r="BK14" s="1322">
        <v>2.231E-2</v>
      </c>
      <c r="BL14" s="1322"/>
      <c r="BM14" s="1323"/>
      <c r="BN14" s="1322">
        <v>2.359E-2</v>
      </c>
      <c r="BO14" s="1322"/>
      <c r="BP14" s="1323"/>
      <c r="BQ14" s="1322">
        <v>2.5440000000000001E-2</v>
      </c>
      <c r="BR14" s="1322"/>
      <c r="BS14" s="1323"/>
      <c r="BT14" s="1322">
        <v>2.1100000000000001E-2</v>
      </c>
      <c r="BU14" s="1322"/>
      <c r="BV14" s="1323"/>
      <c r="BW14" s="1322">
        <v>2.1940000000000001E-2</v>
      </c>
      <c r="BX14" s="1322"/>
      <c r="BY14" s="1323"/>
      <c r="BZ14" s="1322">
        <v>2.3400000000000001E-2</v>
      </c>
      <c r="CA14" s="1322"/>
      <c r="CB14" s="1323"/>
      <c r="CC14" s="1322">
        <v>2.232E-2</v>
      </c>
      <c r="CD14" s="1322"/>
      <c r="CE14" s="1323"/>
      <c r="CF14" s="1322">
        <v>2.2419999999999999E-2</v>
      </c>
      <c r="CG14" s="1322"/>
      <c r="CH14" s="1323"/>
      <c r="CI14" s="1322">
        <v>2.0219999999999998E-2</v>
      </c>
      <c r="CJ14" s="1322"/>
      <c r="CK14" s="1323"/>
      <c r="CL14" s="1322">
        <v>2.137E-2</v>
      </c>
      <c r="CM14" s="1322"/>
      <c r="CN14" s="1323"/>
      <c r="CO14" s="1322" t="s">
        <v>20</v>
      </c>
      <c r="CP14" s="1322"/>
      <c r="CQ14" s="1323"/>
      <c r="CR14" s="1322">
        <v>2.3949999999999999E-2</v>
      </c>
      <c r="CS14" s="1322"/>
      <c r="CT14" s="1323"/>
      <c r="CU14" s="1322">
        <v>2.0910000000000002E-2</v>
      </c>
      <c r="CV14" s="1322"/>
      <c r="CW14" s="1323"/>
      <c r="CX14" s="1322">
        <v>2.1950000000000001E-2</v>
      </c>
      <c r="CY14" s="1322"/>
      <c r="CZ14" s="1323"/>
      <c r="DA14" s="1322">
        <v>2.1850000000000001E-2</v>
      </c>
      <c r="DB14" s="1322"/>
      <c r="DC14" s="1323"/>
      <c r="DD14" s="1322">
        <v>2.3570000000000001E-2</v>
      </c>
      <c r="DE14" s="1322"/>
      <c r="DF14" s="1323"/>
      <c r="DG14" s="1322">
        <v>2.4989999999999998E-2</v>
      </c>
      <c r="DH14" s="1322"/>
      <c r="DI14" s="1323"/>
      <c r="DJ14" s="1322">
        <v>2.2620000000000001E-2</v>
      </c>
      <c r="DK14" s="1322"/>
      <c r="DL14" s="1323"/>
      <c r="DM14" s="1322" t="s">
        <v>20</v>
      </c>
      <c r="DN14" s="1322"/>
      <c r="DO14" s="1323"/>
      <c r="DP14" s="1322">
        <v>2.215E-2</v>
      </c>
      <c r="DQ14" s="1322"/>
      <c r="DR14" s="1323"/>
      <c r="DS14" s="1322">
        <v>2.1389999999999999E-2</v>
      </c>
      <c r="DT14" s="1322"/>
      <c r="DU14" s="1323"/>
      <c r="DV14" s="1322">
        <v>2.0209999999999999E-2</v>
      </c>
      <c r="DW14" s="1322"/>
      <c r="DX14" s="1323"/>
      <c r="DY14" s="1322">
        <v>1.719E-2</v>
      </c>
      <c r="DZ14" s="1322"/>
      <c r="EA14" s="1323"/>
      <c r="EB14" s="1322">
        <v>1.899E-2</v>
      </c>
      <c r="EC14" s="1322"/>
      <c r="ED14" s="1323"/>
      <c r="EE14" s="1322">
        <v>1.221E-2</v>
      </c>
      <c r="EF14" s="1322"/>
      <c r="EG14" s="1323"/>
      <c r="EH14" s="1322" t="s">
        <v>20</v>
      </c>
      <c r="EI14" s="1322"/>
      <c r="EJ14" s="1323"/>
      <c r="EK14" s="1322">
        <v>1.9720000000000001E-2</v>
      </c>
      <c r="EL14" s="1322"/>
      <c r="EM14" s="1323"/>
      <c r="EN14" s="1322">
        <v>1.967E-2</v>
      </c>
      <c r="EO14" s="1322"/>
      <c r="EP14" s="1323"/>
      <c r="EQ14" s="1322">
        <v>1.9470000000000001E-2</v>
      </c>
      <c r="ER14" s="1322"/>
      <c r="ES14" s="1323"/>
      <c r="ET14" s="1322">
        <v>1.7829999999999999E-2</v>
      </c>
      <c r="EU14" s="1322"/>
      <c r="EV14" s="1323"/>
      <c r="EW14" s="1322">
        <v>1.7319999999999999E-2</v>
      </c>
      <c r="EX14" s="1322"/>
      <c r="EY14" s="1323"/>
      <c r="EZ14" s="1322">
        <v>1.553E-2</v>
      </c>
      <c r="FA14" s="1322"/>
      <c r="FB14" s="1323"/>
      <c r="FC14" s="1322">
        <v>2.537E-2</v>
      </c>
      <c r="FD14" s="1322"/>
      <c r="FE14" s="1323"/>
      <c r="FF14" s="1322">
        <v>1.4160000000000001E-2</v>
      </c>
      <c r="FG14" s="1322"/>
      <c r="FH14" s="1323"/>
      <c r="FI14" s="1322">
        <v>1.702E-2</v>
      </c>
      <c r="FJ14" s="1322"/>
      <c r="FK14" s="1323"/>
      <c r="FL14" s="1322">
        <v>1.7160000000000002E-2</v>
      </c>
      <c r="FM14" s="1322"/>
      <c r="FN14" s="1323"/>
      <c r="FO14" s="1322">
        <v>1.7860000000000001E-2</v>
      </c>
      <c r="FP14" s="1322"/>
      <c r="FQ14" s="1323"/>
      <c r="FR14" s="1322">
        <v>1.6420000000000001E-2</v>
      </c>
      <c r="FS14" s="1322"/>
      <c r="FT14" s="1323"/>
      <c r="FU14" s="1322">
        <v>2.0979999999999999E-2</v>
      </c>
      <c r="FV14" s="1322"/>
      <c r="FW14" s="1323"/>
      <c r="FX14" s="1322">
        <v>2.1100000000000001E-2</v>
      </c>
      <c r="FY14" s="1322"/>
      <c r="FZ14" s="1323"/>
      <c r="GA14" s="1322" t="s">
        <v>337</v>
      </c>
      <c r="GB14" s="1322"/>
      <c r="GC14" s="1323"/>
      <c r="GD14" s="1322">
        <v>1.762E-2</v>
      </c>
      <c r="GE14" s="1322"/>
      <c r="GF14" s="1323"/>
      <c r="GG14" s="1322">
        <v>2.0320000000000001E-2</v>
      </c>
      <c r="GH14" s="1322"/>
      <c r="GI14" s="1323"/>
      <c r="GJ14" s="1322">
        <v>2.094E-2</v>
      </c>
      <c r="GK14" s="1322"/>
      <c r="GL14" s="1323"/>
      <c r="GM14" s="1322">
        <v>1.7129999999999999E-2</v>
      </c>
      <c r="GN14" s="1322"/>
      <c r="GO14" s="1323"/>
      <c r="GP14" s="1322" t="s">
        <v>20</v>
      </c>
      <c r="GQ14" s="1322"/>
      <c r="GR14" s="1323"/>
      <c r="GS14" s="1322">
        <v>1.9939999999999999E-2</v>
      </c>
      <c r="GT14" s="1322"/>
      <c r="GU14" s="1323"/>
      <c r="GV14" s="1322">
        <v>1.9709999999999998E-2</v>
      </c>
      <c r="GW14" s="1322"/>
      <c r="GX14" s="1323"/>
      <c r="GY14" s="1322">
        <v>1.736E-2</v>
      </c>
      <c r="GZ14" s="1322"/>
      <c r="HA14" s="1323"/>
      <c r="HB14" s="1322">
        <v>2.061E-2</v>
      </c>
      <c r="HC14" s="1322"/>
      <c r="HD14" s="1323"/>
      <c r="HE14" s="1322">
        <v>1.3509999999999999E-2</v>
      </c>
      <c r="HF14" s="1322"/>
      <c r="HG14" s="1323"/>
      <c r="HH14" s="1322">
        <v>1.907E-2</v>
      </c>
      <c r="HI14" s="1322"/>
      <c r="HJ14" s="1323"/>
      <c r="HK14" s="1322">
        <v>1.8749999999999999E-2</v>
      </c>
      <c r="HL14" s="1322"/>
      <c r="HM14" s="1323"/>
      <c r="HN14" s="1322">
        <v>2.3310000000000001E-2</v>
      </c>
      <c r="HO14" s="1322"/>
      <c r="HP14" s="1323"/>
      <c r="HQ14" s="1322">
        <v>2.1170000000000001E-2</v>
      </c>
      <c r="HR14" s="1322"/>
      <c r="HS14" s="1323"/>
      <c r="HT14" s="1322">
        <v>2.435E-2</v>
      </c>
      <c r="HU14" s="1322"/>
      <c r="HV14" s="1323"/>
      <c r="HW14" s="1322">
        <v>2.3179999999999999E-2</v>
      </c>
      <c r="HX14" s="1322"/>
      <c r="HY14" s="1323"/>
      <c r="HZ14" s="1322">
        <v>2.2190000000000001E-2</v>
      </c>
      <c r="IA14" s="1322"/>
      <c r="IB14" s="1323"/>
      <c r="IC14" s="1322" t="s">
        <v>20</v>
      </c>
      <c r="ID14" s="1322"/>
      <c r="IE14" s="1323"/>
      <c r="IF14" s="1322" t="s">
        <v>20</v>
      </c>
      <c r="IG14" s="1322"/>
      <c r="IH14" s="1323"/>
      <c r="II14" s="1322" t="s">
        <v>20</v>
      </c>
      <c r="IJ14" s="1322"/>
      <c r="IK14" s="1323"/>
      <c r="IL14" s="1322">
        <v>2.2589999999999999E-2</v>
      </c>
      <c r="IM14" s="1322"/>
      <c r="IN14" s="1323"/>
      <c r="IO14" s="1322">
        <v>1.694E-2</v>
      </c>
      <c r="IP14" s="1322"/>
      <c r="IQ14" s="1323"/>
      <c r="IR14" s="1322">
        <v>1.8110000000000001E-2</v>
      </c>
      <c r="IS14" s="1322"/>
      <c r="IT14" s="1323"/>
      <c r="IU14" s="1322">
        <v>2.0160000000000001E-2</v>
      </c>
      <c r="IV14" s="1322"/>
      <c r="IW14" s="1323"/>
      <c r="IX14" s="1322">
        <v>2.1819999999999999E-2</v>
      </c>
      <c r="IY14" s="1322"/>
      <c r="IZ14" s="1323"/>
      <c r="JA14" s="1322">
        <v>1.643E-2</v>
      </c>
      <c r="JB14" s="1322"/>
      <c r="JC14" s="1323"/>
      <c r="JD14" s="1322">
        <v>2.147E-2</v>
      </c>
      <c r="JE14" s="1322"/>
      <c r="JF14" s="1323"/>
      <c r="JG14" s="1322">
        <v>1.891E-2</v>
      </c>
      <c r="JH14" s="1322"/>
      <c r="JI14" s="1323"/>
      <c r="JJ14" s="1322">
        <v>2.111E-2</v>
      </c>
      <c r="JK14" s="1322"/>
      <c r="JL14" s="1323"/>
      <c r="JM14" s="1322">
        <v>1.9980000000000001E-2</v>
      </c>
      <c r="JN14" s="1322"/>
      <c r="JO14" s="1323"/>
      <c r="JP14" s="1322" t="s">
        <v>20</v>
      </c>
      <c r="JQ14" s="1322"/>
      <c r="JR14" s="1323"/>
      <c r="JS14" s="1322">
        <v>2.7949999999999999E-2</v>
      </c>
      <c r="JT14" s="1322"/>
      <c r="JU14" s="1323"/>
      <c r="JV14" s="1322">
        <v>1.9820000000000001E-2</v>
      </c>
      <c r="JW14" s="1322"/>
      <c r="JX14" s="1323"/>
      <c r="JY14" s="1322" t="s">
        <v>20</v>
      </c>
      <c r="JZ14" s="1322"/>
      <c r="KA14" s="1323"/>
      <c r="KB14" s="1322">
        <v>2.1950000000000001E-2</v>
      </c>
      <c r="KC14" s="1322"/>
      <c r="KD14" s="1323"/>
      <c r="KE14" s="1322">
        <v>2.2259999999999999E-2</v>
      </c>
      <c r="KF14" s="1322"/>
      <c r="KG14" s="1323"/>
      <c r="KH14" s="1322">
        <v>2.1270000000000001E-2</v>
      </c>
      <c r="KI14" s="1322"/>
      <c r="KJ14" s="1323"/>
      <c r="KK14" s="1322">
        <v>2.1059999999999999E-2</v>
      </c>
      <c r="KL14" s="1322"/>
      <c r="KM14" s="1323"/>
      <c r="KN14" s="1322">
        <v>2.1870000000000001E-2</v>
      </c>
      <c r="KO14" s="1322"/>
      <c r="KP14" s="1323"/>
      <c r="KQ14" s="1322">
        <v>1.917E-2</v>
      </c>
      <c r="KR14" s="1322"/>
      <c r="KS14" s="1323"/>
      <c r="KT14" s="1322">
        <v>1.9400000000000001E-2</v>
      </c>
      <c r="KU14" s="1322"/>
      <c r="KV14" s="1323"/>
      <c r="KW14" s="1322">
        <v>2.0889999999999999E-2</v>
      </c>
      <c r="KX14" s="1322"/>
      <c r="KY14" s="1323"/>
      <c r="KZ14" s="1322">
        <v>1.5689999999999999E-2</v>
      </c>
      <c r="LA14" s="1322"/>
      <c r="LB14" s="1323"/>
      <c r="LC14" s="1322">
        <v>1.9050000000000001E-2</v>
      </c>
      <c r="LD14" s="1322"/>
      <c r="LE14" s="1323"/>
      <c r="LF14" s="1322">
        <v>2.0039999999999999E-2</v>
      </c>
      <c r="LG14" s="1322"/>
      <c r="LH14" s="1323"/>
      <c r="LI14" s="1322">
        <v>1.9230000000000001E-2</v>
      </c>
      <c r="LJ14" s="1322"/>
      <c r="LK14" s="1323"/>
      <c r="LL14" s="1322" t="s">
        <v>20</v>
      </c>
      <c r="LM14" s="1322"/>
      <c r="LN14" s="1323"/>
      <c r="LO14" s="1322" t="s">
        <v>20</v>
      </c>
      <c r="LP14" s="1322"/>
      <c r="LQ14" s="1323"/>
      <c r="LR14" s="1322">
        <v>2.2939999999999999E-2</v>
      </c>
      <c r="LS14" s="1322"/>
      <c r="LT14" s="1323"/>
      <c r="LU14" s="1322">
        <v>2.026E-2</v>
      </c>
      <c r="LV14" s="1322"/>
      <c r="LW14" s="1323"/>
      <c r="LX14" s="1322">
        <v>1.9279999999999999E-2</v>
      </c>
      <c r="LY14" s="1322"/>
      <c r="LZ14" s="1323"/>
      <c r="MA14" s="1322">
        <v>1.8329999999999999E-2</v>
      </c>
      <c r="MB14" s="1322"/>
      <c r="MC14" s="1323"/>
      <c r="MD14" s="1322">
        <v>1.669E-2</v>
      </c>
      <c r="ME14" s="1322"/>
      <c r="MF14" s="1323"/>
      <c r="MG14" s="1322"/>
      <c r="MH14" s="1322"/>
      <c r="MI14" s="1323"/>
      <c r="MJ14" s="1322" t="s">
        <v>20</v>
      </c>
      <c r="MK14" s="1322"/>
      <c r="ML14" s="1323"/>
      <c r="MM14" s="1322">
        <v>1.72E-2</v>
      </c>
      <c r="MN14" s="1322"/>
      <c r="MO14" s="1323"/>
      <c r="MP14" s="1322">
        <v>1.4711E-2</v>
      </c>
      <c r="MQ14" s="1322"/>
      <c r="MR14" s="1323"/>
      <c r="MS14" s="1322">
        <v>1.8769999999999998E-2</v>
      </c>
      <c r="MT14" s="1322"/>
      <c r="MU14" s="1323"/>
      <c r="MV14" s="1322">
        <v>1.7850000000000001E-2</v>
      </c>
      <c r="MW14" s="1322"/>
      <c r="MX14" s="1323"/>
      <c r="MY14" s="1322">
        <v>2.197E-2</v>
      </c>
      <c r="MZ14" s="1322"/>
      <c r="NA14" s="1323"/>
      <c r="NB14" s="1322" t="s">
        <v>20</v>
      </c>
      <c r="NC14" s="1322"/>
      <c r="ND14" s="1323"/>
      <c r="NE14" s="1322" t="s">
        <v>20</v>
      </c>
      <c r="NF14" s="1322"/>
      <c r="NG14" s="1323"/>
      <c r="NH14" s="1322">
        <v>1.806E-2</v>
      </c>
      <c r="NI14" s="1322"/>
      <c r="NJ14" s="1323"/>
      <c r="NK14" s="1322">
        <v>2.0639999999999999E-2</v>
      </c>
      <c r="NL14" s="1322"/>
      <c r="NM14" s="1323"/>
      <c r="NN14" s="1322">
        <v>1.89E-2</v>
      </c>
      <c r="NO14" s="1322"/>
      <c r="NP14" s="1323"/>
      <c r="NQ14" s="1322">
        <v>1.8319999999999999E-2</v>
      </c>
      <c r="NR14" s="1322"/>
      <c r="NS14" s="1323"/>
      <c r="NT14" s="1322">
        <v>1.7600000000000001E-2</v>
      </c>
      <c r="NU14" s="1322"/>
      <c r="NV14" s="1323"/>
      <c r="NW14" s="1322" t="s">
        <v>20</v>
      </c>
      <c r="NX14" s="1322"/>
      <c r="NY14" s="1323"/>
      <c r="NZ14" s="1322" t="s">
        <v>20</v>
      </c>
      <c r="OA14" s="1322"/>
      <c r="OB14" s="1323"/>
      <c r="OC14" s="1322" t="s">
        <v>20</v>
      </c>
      <c r="OD14" s="1322"/>
      <c r="OE14" s="1323"/>
      <c r="OF14" s="1322">
        <v>1.8550000000000001E-2</v>
      </c>
      <c r="OG14" s="1322"/>
      <c r="OH14" s="1323"/>
      <c r="OI14" s="1322">
        <v>2.0549999999999999E-2</v>
      </c>
      <c r="OJ14" s="1322"/>
      <c r="OK14" s="1323"/>
      <c r="OL14" s="1322">
        <v>1.9310000000000001E-2</v>
      </c>
      <c r="OM14" s="1322"/>
      <c r="ON14" s="1323"/>
      <c r="OO14" s="1322">
        <v>2.4479999999999998E-2</v>
      </c>
      <c r="OP14" s="1322"/>
      <c r="OQ14" s="1323"/>
      <c r="OR14" s="1322" t="s">
        <v>20</v>
      </c>
      <c r="OS14" s="1322"/>
      <c r="OT14" s="1323"/>
      <c r="OU14" s="1322" t="s">
        <v>20</v>
      </c>
      <c r="OV14" s="1322"/>
      <c r="OW14" s="1323"/>
      <c r="OX14" s="1322" t="s">
        <v>20</v>
      </c>
      <c r="OY14" s="1322"/>
      <c r="OZ14" s="1323"/>
      <c r="PA14" s="1322">
        <v>2.053E-2</v>
      </c>
      <c r="PB14" s="1322"/>
      <c r="PC14" s="1323"/>
      <c r="PD14" s="1322">
        <v>2.6079999999999999E-2</v>
      </c>
      <c r="PE14" s="1322"/>
      <c r="PF14" s="1323"/>
      <c r="PG14" s="1322">
        <v>2.0899999999999998E-2</v>
      </c>
      <c r="PH14" s="1322"/>
      <c r="PI14" s="1323"/>
      <c r="PJ14" s="1322" t="s">
        <v>20</v>
      </c>
      <c r="PK14" s="1322"/>
      <c r="PL14" s="1323"/>
      <c r="PM14" s="1322" t="s">
        <v>20</v>
      </c>
      <c r="PN14" s="1322"/>
      <c r="PO14" s="1323"/>
      <c r="PP14" s="1322" t="s">
        <v>20</v>
      </c>
      <c r="PQ14" s="1322"/>
      <c r="PR14" s="1323"/>
      <c r="PS14" s="1322">
        <v>2.1350000000000001E-2</v>
      </c>
      <c r="PT14" s="1322"/>
      <c r="PU14" s="1323"/>
      <c r="PV14" s="1322">
        <v>2.1350000000000001E-2</v>
      </c>
      <c r="PW14" s="1322"/>
      <c r="PX14" s="1323"/>
      <c r="PY14" s="1322">
        <v>1.7760000000000001E-2</v>
      </c>
      <c r="PZ14" s="1322"/>
      <c r="QA14" s="1323"/>
      <c r="QB14" s="1322">
        <v>2.179E-2</v>
      </c>
      <c r="QC14" s="1322"/>
      <c r="QD14" s="1323"/>
      <c r="QE14" s="1322">
        <v>1.9740000000000001E-2</v>
      </c>
      <c r="QF14" s="1322"/>
      <c r="QG14" s="1323"/>
      <c r="QH14" s="1322">
        <v>2.426E-2</v>
      </c>
      <c r="QI14" s="1322"/>
      <c r="QJ14" s="1323"/>
      <c r="QK14" s="1322" t="s">
        <v>20</v>
      </c>
      <c r="QL14" s="1322"/>
      <c r="QM14" s="1323"/>
      <c r="QN14" s="1322">
        <v>2.2630000000000001E-2</v>
      </c>
      <c r="QO14" s="1322"/>
      <c r="QP14" s="1323"/>
      <c r="QQ14" s="1322">
        <v>1.806E-2</v>
      </c>
      <c r="QR14" s="1322"/>
      <c r="QS14" s="1323"/>
      <c r="QT14" s="1322">
        <v>1.7239999999999998E-2</v>
      </c>
      <c r="QU14" s="1322"/>
      <c r="QV14" s="1323"/>
      <c r="QW14" s="1322">
        <v>1.6670000000000001E-2</v>
      </c>
      <c r="QX14" s="1322"/>
      <c r="QY14" s="1323"/>
      <c r="QZ14" s="1322">
        <v>2.1250000000000002E-2</v>
      </c>
      <c r="RA14" s="1322"/>
      <c r="RB14" s="1323"/>
      <c r="RC14" s="1322" t="s">
        <v>20</v>
      </c>
      <c r="RD14" s="1322"/>
      <c r="RE14" s="1323"/>
      <c r="RF14" s="1322" t="s">
        <v>20</v>
      </c>
      <c r="RG14" s="1322"/>
      <c r="RH14" s="1323"/>
      <c r="RI14" s="1322">
        <v>2.0330000000000001E-2</v>
      </c>
      <c r="RJ14" s="1322"/>
      <c r="RK14" s="1323"/>
      <c r="RL14" s="1322">
        <v>1.7940000000000001E-2</v>
      </c>
      <c r="RM14" s="1322"/>
      <c r="RN14" s="1323"/>
      <c r="RO14" s="1322">
        <v>1.89E-2</v>
      </c>
      <c r="RP14" s="1322"/>
      <c r="RQ14" s="1323"/>
      <c r="RR14" s="1322">
        <v>2.094E-2</v>
      </c>
      <c r="RS14" s="1322"/>
      <c r="RT14" s="1323"/>
      <c r="RU14" s="1322">
        <v>1.6719999999999999E-2</v>
      </c>
      <c r="RV14" s="1322"/>
      <c r="RW14" s="1323"/>
      <c r="RX14" s="1322" t="s">
        <v>20</v>
      </c>
      <c r="RY14" s="1322"/>
      <c r="RZ14" s="1323"/>
      <c r="SA14" s="1322" t="s">
        <v>20</v>
      </c>
      <c r="SB14" s="1322"/>
      <c r="SC14" s="1323"/>
      <c r="SD14" s="1322" t="s">
        <v>20</v>
      </c>
      <c r="SE14" s="1322"/>
      <c r="SF14" s="1323"/>
      <c r="SG14" s="1322">
        <v>1.9290000000000002E-2</v>
      </c>
      <c r="SH14" s="1322"/>
      <c r="SI14" s="1323"/>
      <c r="SJ14" s="1322">
        <v>2.0330000000000001E-2</v>
      </c>
      <c r="SK14" s="1322"/>
      <c r="SL14" s="1323"/>
      <c r="SM14" s="1322">
        <v>2.2270000000000002E-2</v>
      </c>
      <c r="SN14" s="1322"/>
      <c r="SO14" s="1323"/>
      <c r="SP14" s="1322">
        <v>1.7680000000000001E-2</v>
      </c>
      <c r="SQ14" s="1322"/>
      <c r="SR14" s="1323"/>
      <c r="SS14" s="1322">
        <v>1.6920000000000001E-2</v>
      </c>
      <c r="ST14" s="1322"/>
      <c r="SU14" s="1323"/>
      <c r="SV14" s="1322">
        <v>1.7049999999999999E-2</v>
      </c>
      <c r="SW14" s="1322"/>
      <c r="SX14" s="1323"/>
      <c r="SY14" s="1322">
        <v>1.7940000000000001E-2</v>
      </c>
      <c r="SZ14" s="1322"/>
      <c r="TA14" s="1323"/>
      <c r="TB14" s="1322">
        <v>2.1319999999999999E-2</v>
      </c>
      <c r="TC14" s="1322"/>
      <c r="TD14" s="1323"/>
      <c r="TE14" s="1322">
        <v>1.8800000000000001E-2</v>
      </c>
      <c r="TF14" s="1322"/>
      <c r="TG14" s="1323"/>
      <c r="TH14" s="1322">
        <v>1.787E-2</v>
      </c>
      <c r="TI14" s="1322"/>
      <c r="TJ14" s="1323"/>
      <c r="TK14" s="1322">
        <v>1.874E-2</v>
      </c>
      <c r="TL14" s="1322"/>
      <c r="TM14" s="1323"/>
      <c r="TN14" s="1401">
        <v>1.7979999999999999E-2</v>
      </c>
      <c r="TO14" s="1401"/>
      <c r="TP14" s="1402"/>
      <c r="TQ14" s="1322">
        <v>1.984E-2</v>
      </c>
      <c r="TR14" s="1322"/>
      <c r="TS14" s="1323"/>
      <c r="TT14" s="1322">
        <v>1.873E-2</v>
      </c>
      <c r="TU14" s="1322"/>
      <c r="TV14" s="1323"/>
      <c r="TW14" s="1322">
        <v>1.8440000000000002E-2</v>
      </c>
      <c r="TX14" s="1322"/>
      <c r="TY14" s="1323"/>
      <c r="TZ14" s="1322">
        <v>1.8929999999999999E-2</v>
      </c>
      <c r="UA14" s="1322"/>
      <c r="UB14" s="1323"/>
      <c r="UC14" s="1322">
        <v>1.7899999999999999E-2</v>
      </c>
      <c r="UD14" s="1322"/>
      <c r="UE14" s="1323"/>
      <c r="UF14" s="1322">
        <v>1.6830000000000001E-2</v>
      </c>
      <c r="UG14" s="1322"/>
      <c r="UH14" s="1323"/>
      <c r="UI14" s="1322"/>
      <c r="UJ14" s="1322"/>
      <c r="UK14" s="1323"/>
      <c r="UL14" s="1322"/>
      <c r="UM14" s="1322"/>
      <c r="UN14" s="1323"/>
      <c r="UO14" s="1322">
        <v>1.7389999999999999E-2</v>
      </c>
      <c r="UP14" s="1322"/>
      <c r="UQ14" s="1323"/>
      <c r="UR14" s="1322">
        <v>1.8169999999999999E-2</v>
      </c>
      <c r="US14" s="1322"/>
      <c r="UT14" s="1323"/>
      <c r="UU14" s="1322">
        <v>1.576E-2</v>
      </c>
      <c r="UV14" s="1322"/>
      <c r="UW14" s="1323"/>
      <c r="UX14" s="1322">
        <v>1.8339999999999999E-2</v>
      </c>
      <c r="UY14" s="1322"/>
      <c r="UZ14" s="1323"/>
      <c r="VA14" s="1322">
        <v>1.8239999999999999E-2</v>
      </c>
      <c r="VB14" s="1322"/>
      <c r="VC14" s="1323"/>
      <c r="VD14" s="1322"/>
      <c r="VE14" s="1322"/>
      <c r="VF14" s="1323"/>
      <c r="VG14" s="1322"/>
      <c r="VH14" s="1322"/>
      <c r="VI14" s="1323"/>
      <c r="VJ14" s="1322">
        <v>1.839E-2</v>
      </c>
      <c r="VK14" s="1322"/>
      <c r="VL14" s="1323"/>
      <c r="VM14" s="1322">
        <v>1.7260000000000001E-2</v>
      </c>
      <c r="VN14" s="1322"/>
      <c r="VO14" s="1323"/>
      <c r="VP14" s="1322">
        <v>1.7129999999999999E-2</v>
      </c>
      <c r="VQ14" s="1322"/>
      <c r="VR14" s="1323"/>
      <c r="VS14" s="1322">
        <v>1.5869999999999999E-2</v>
      </c>
      <c r="VT14" s="1322"/>
      <c r="VU14" s="1323"/>
      <c r="VV14" s="1322">
        <v>1.7819999999999999E-2</v>
      </c>
      <c r="VW14" s="1322"/>
      <c r="VX14" s="1323"/>
      <c r="VY14" s="1322"/>
      <c r="VZ14" s="1322"/>
      <c r="WA14" s="1323"/>
      <c r="WB14" s="1322"/>
      <c r="WC14" s="1322"/>
      <c r="WD14" s="1323"/>
      <c r="WE14" s="1322">
        <v>1.917E-2</v>
      </c>
      <c r="WF14" s="1322"/>
      <c r="WG14" s="1323"/>
      <c r="WH14" s="1322">
        <v>1.5949999999999999E-2</v>
      </c>
      <c r="WI14" s="1322"/>
      <c r="WJ14" s="1323"/>
      <c r="WK14" s="1322">
        <v>2.0310000000000002E-2</v>
      </c>
      <c r="WL14" s="1322"/>
      <c r="WM14" s="1323"/>
      <c r="WN14" s="1322">
        <v>1.52E-2</v>
      </c>
      <c r="WO14" s="1322"/>
      <c r="WP14" s="1323"/>
      <c r="WQ14" s="1322">
        <v>1.8239999999999999E-2</v>
      </c>
      <c r="WR14" s="1322"/>
      <c r="WS14" s="1323"/>
      <c r="WT14" s="1322"/>
      <c r="WU14" s="1322"/>
      <c r="WV14" s="1323"/>
      <c r="WW14" s="1322"/>
      <c r="WX14" s="1322"/>
      <c r="WY14" s="1323"/>
      <c r="WZ14" s="1322">
        <v>1.8509999999999999E-2</v>
      </c>
      <c r="XA14" s="1322"/>
      <c r="XB14" s="1323"/>
      <c r="XC14" s="1322">
        <v>1.763E-2</v>
      </c>
      <c r="XD14" s="1322"/>
      <c r="XE14" s="1323"/>
      <c r="XF14" s="1322">
        <v>1.5310000000000001E-2</v>
      </c>
      <c r="XG14" s="1322"/>
      <c r="XH14" s="1323"/>
      <c r="XI14" s="1322">
        <v>1.6590000000000001E-2</v>
      </c>
      <c r="XJ14" s="1322"/>
      <c r="XK14" s="1323"/>
      <c r="XL14" s="1322">
        <v>1.89E-2</v>
      </c>
      <c r="XM14" s="1322"/>
      <c r="XN14" s="1323"/>
      <c r="XO14" s="1322"/>
      <c r="XP14" s="1322"/>
      <c r="XQ14" s="1323"/>
      <c r="XR14" s="1322"/>
      <c r="XS14" s="1322"/>
      <c r="XT14" s="1323"/>
      <c r="XU14" s="1322">
        <v>1.8259999999999998E-2</v>
      </c>
      <c r="XV14" s="1322"/>
      <c r="XW14" s="1323"/>
      <c r="XX14" s="1322">
        <v>2.2380000000000001E-2</v>
      </c>
      <c r="XY14" s="1322"/>
      <c r="XZ14" s="1323"/>
      <c r="YA14" s="1322">
        <v>2.026E-2</v>
      </c>
      <c r="YB14" s="1322"/>
      <c r="YC14" s="1323"/>
      <c r="YD14" s="1322">
        <v>1.7760000000000001E-2</v>
      </c>
      <c r="YE14" s="1322"/>
      <c r="YF14" s="1323"/>
      <c r="YG14" s="1322">
        <v>2.044E-2</v>
      </c>
      <c r="YH14" s="1322"/>
      <c r="YI14" s="1323"/>
      <c r="YJ14" s="1322" t="s">
        <v>20</v>
      </c>
      <c r="YK14" s="1322"/>
      <c r="YL14" s="1323"/>
      <c r="YM14" s="1322" t="s">
        <v>20</v>
      </c>
      <c r="YN14" s="1322"/>
      <c r="YO14" s="1323"/>
      <c r="YP14" s="1322">
        <v>1.6830000000000001E-2</v>
      </c>
      <c r="YQ14" s="1322"/>
      <c r="YR14" s="1323"/>
      <c r="YS14" s="1322">
        <v>1.933E-2</v>
      </c>
      <c r="YT14" s="1322"/>
      <c r="YU14" s="1323"/>
      <c r="YV14" s="1322">
        <v>1.7979999999999999E-2</v>
      </c>
      <c r="YW14" s="1322"/>
      <c r="YX14" s="1323"/>
      <c r="YY14" s="1322">
        <v>1.9400000000000001E-2</v>
      </c>
      <c r="YZ14" s="1322"/>
      <c r="ZA14" s="1323"/>
      <c r="ZB14" s="1322">
        <v>1.9939999999999999E-2</v>
      </c>
      <c r="ZC14" s="1322"/>
      <c r="ZD14" s="1323"/>
      <c r="ZE14" s="1322" t="s">
        <v>20</v>
      </c>
      <c r="ZF14" s="1322"/>
      <c r="ZG14" s="1323"/>
      <c r="ZH14" s="1322"/>
      <c r="ZI14" s="1322"/>
      <c r="ZJ14" s="1323"/>
      <c r="ZK14" s="1322">
        <v>1.7299999999999999E-2</v>
      </c>
      <c r="ZL14" s="1322"/>
      <c r="ZM14" s="1323"/>
      <c r="ZN14" s="1322">
        <v>2.0119999999999999E-2</v>
      </c>
      <c r="ZO14" s="1322"/>
      <c r="ZP14" s="1323"/>
      <c r="ZQ14" s="1322">
        <v>1.8870000000000001E-2</v>
      </c>
      <c r="ZR14" s="1322"/>
      <c r="ZS14" s="1323"/>
      <c r="ZT14" s="1322">
        <v>2.1909999999999999E-2</v>
      </c>
      <c r="ZU14" s="1322"/>
      <c r="ZV14" s="1323"/>
      <c r="ZW14" s="1322">
        <v>2.3640000000000001E-2</v>
      </c>
      <c r="ZX14" s="1322"/>
      <c r="ZY14" s="1323"/>
      <c r="ZZ14" s="1322">
        <v>2.019E-2</v>
      </c>
      <c r="AAA14" s="1322"/>
      <c r="AAB14" s="1323"/>
      <c r="AAC14" s="1322"/>
      <c r="AAD14" s="1322"/>
      <c r="AAE14" s="1323"/>
      <c r="AAF14" s="1322">
        <v>2.0809999999999999E-2</v>
      </c>
      <c r="AAG14" s="1322"/>
      <c r="AAH14" s="1323"/>
      <c r="AAI14" s="1322">
        <v>1.8460000000000001E-2</v>
      </c>
      <c r="AAJ14" s="1322"/>
      <c r="AAK14" s="1323"/>
      <c r="AAL14" s="1322">
        <v>1.7860000000000001E-2</v>
      </c>
      <c r="AAM14" s="1322"/>
      <c r="AAN14" s="1323"/>
      <c r="AAO14" s="1322">
        <v>2.0879999999999999E-2</v>
      </c>
      <c r="AAP14" s="1322"/>
      <c r="AAQ14" s="1323"/>
      <c r="AAR14" s="1322">
        <v>2.1090000000000001E-2</v>
      </c>
      <c r="AAS14" s="1322"/>
      <c r="AAT14" s="1323"/>
      <c r="AAU14" s="1322">
        <v>1.8169999999999999E-2</v>
      </c>
      <c r="AAV14" s="1322"/>
      <c r="AAW14" s="1323"/>
      <c r="AAX14" s="1322"/>
      <c r="AAY14" s="1322"/>
      <c r="AAZ14" s="1323"/>
      <c r="ABA14" s="1322">
        <v>2.053E-2</v>
      </c>
      <c r="ABB14" s="1322"/>
      <c r="ABC14" s="1323"/>
      <c r="ABD14" s="1322">
        <v>1.9439999999999999E-2</v>
      </c>
      <c r="ABE14" s="1322"/>
      <c r="ABF14" s="1323"/>
      <c r="ABG14" s="1322">
        <v>2.2700000000000001E-2</v>
      </c>
      <c r="ABH14" s="1322"/>
      <c r="ABI14" s="1323"/>
      <c r="ABJ14" s="1322">
        <v>2.0080000000000001E-2</v>
      </c>
      <c r="ABK14" s="1322"/>
      <c r="ABL14" s="1323"/>
      <c r="ABM14" s="1322">
        <v>2.2839999999999999E-2</v>
      </c>
      <c r="ABN14" s="1322"/>
      <c r="ABO14" s="1323"/>
      <c r="ABP14" s="1322">
        <v>2.0240000000000001E-2</v>
      </c>
      <c r="ABQ14" s="1322"/>
      <c r="ABR14" s="1323"/>
      <c r="ABS14" s="1322"/>
      <c r="ABT14" s="1322"/>
      <c r="ABU14" s="1323"/>
      <c r="ABV14" s="1322">
        <v>1.9310000000000001E-2</v>
      </c>
      <c r="ABW14" s="1322"/>
      <c r="ABX14" s="1323"/>
      <c r="ABY14" s="1322">
        <v>2.232E-2</v>
      </c>
      <c r="ABZ14" s="1322"/>
      <c r="ACA14" s="1323"/>
      <c r="ACB14" s="1322">
        <v>1.7729999999999999E-2</v>
      </c>
      <c r="ACC14" s="1322"/>
      <c r="ACD14" s="1323"/>
      <c r="ACE14" s="1322">
        <v>1.907E-2</v>
      </c>
      <c r="ACF14" s="1322"/>
      <c r="ACG14" s="1323"/>
      <c r="ACH14" s="1322">
        <v>2.232E-2</v>
      </c>
      <c r="ACI14" s="1322"/>
      <c r="ACJ14" s="1323"/>
      <c r="ACK14" s="1322"/>
      <c r="ACL14" s="1322"/>
      <c r="ACM14" s="1323"/>
      <c r="ACN14" s="1322"/>
      <c r="ACO14" s="1322"/>
      <c r="ACP14" s="1323"/>
      <c r="ACQ14" s="1322">
        <v>3.458E-2</v>
      </c>
      <c r="ACR14" s="1322"/>
      <c r="ACS14" s="1323"/>
      <c r="ACT14" s="1322">
        <v>2.1420000000000002E-2</v>
      </c>
      <c r="ACU14" s="1322"/>
      <c r="ACV14" s="1323"/>
      <c r="ACW14" s="1322">
        <v>1.9699999999999999E-2</v>
      </c>
      <c r="ACX14" s="1322"/>
      <c r="ACY14" s="1323"/>
      <c r="ACZ14" s="1322">
        <v>2.0799999999999999E-2</v>
      </c>
      <c r="ADA14" s="1322"/>
      <c r="ADB14" s="1323"/>
      <c r="ADC14" s="1322">
        <v>1.9259999999999999E-2</v>
      </c>
      <c r="ADD14" s="1322"/>
      <c r="ADE14" s="1323"/>
      <c r="ADF14" s="1322">
        <v>2.196E-2</v>
      </c>
      <c r="ADG14" s="1322"/>
      <c r="ADH14" s="1323"/>
      <c r="ADI14" s="1322">
        <v>1.9650000000000001E-2</v>
      </c>
      <c r="ADJ14" s="1322"/>
      <c r="ADK14" s="1323"/>
      <c r="ADL14" s="1322">
        <v>2.0820000000000002E-2</v>
      </c>
      <c r="ADM14" s="1322"/>
      <c r="ADN14" s="1323"/>
      <c r="ADO14" s="1322">
        <v>2.0619999999999999E-2</v>
      </c>
      <c r="ADP14" s="1322"/>
      <c r="ADQ14" s="1323"/>
      <c r="ADR14" s="1322">
        <v>2.026E-2</v>
      </c>
      <c r="ADS14" s="1322"/>
      <c r="ADT14" s="1323"/>
      <c r="ADU14" s="1322">
        <v>1.9910000000000001E-2</v>
      </c>
      <c r="ADV14" s="1322"/>
      <c r="ADW14" s="1323"/>
      <c r="ADX14" s="1322">
        <v>1.8870000000000001E-2</v>
      </c>
      <c r="ADY14" s="1322"/>
      <c r="ADZ14" s="1323"/>
      <c r="AEA14" s="1322">
        <v>2.0240000000000001E-2</v>
      </c>
      <c r="AEB14" s="1322"/>
      <c r="AEC14" s="1323"/>
      <c r="AED14" s="1322">
        <v>2.2030000000000001E-2</v>
      </c>
      <c r="AEE14" s="1322"/>
      <c r="AEF14" s="1323"/>
      <c r="AEG14" s="1322">
        <v>4.3540000000000002E-2</v>
      </c>
      <c r="AEH14" s="1322"/>
      <c r="AEI14" s="1323"/>
      <c r="AEJ14" s="1322">
        <v>2.1360000000000001E-2</v>
      </c>
      <c r="AEK14" s="1322"/>
      <c r="AEL14" s="1323"/>
      <c r="AEM14" s="1322">
        <v>2.1360000000000001E-2</v>
      </c>
      <c r="AEN14" s="1322"/>
      <c r="AEO14" s="1323"/>
      <c r="AEP14" s="1322">
        <v>3.619E-2</v>
      </c>
      <c r="AEQ14" s="1322"/>
      <c r="AER14" s="1323"/>
      <c r="AES14" s="1322">
        <v>2.3730000000000001E-2</v>
      </c>
      <c r="AET14" s="1322"/>
      <c r="AEU14" s="1323"/>
      <c r="AEV14" s="1322">
        <v>2.1659999999999999E-2</v>
      </c>
      <c r="AEW14" s="1322"/>
      <c r="AEX14" s="1323"/>
      <c r="AEY14" s="1322">
        <v>2.1309999999999999E-2</v>
      </c>
      <c r="AEZ14" s="1322"/>
      <c r="AFA14" s="1323"/>
      <c r="AFB14" s="1322">
        <v>2.4129999999999999E-2</v>
      </c>
      <c r="AFC14" s="1322"/>
      <c r="AFD14" s="1323"/>
      <c r="AFE14" s="1322">
        <v>2.1690000000000001E-2</v>
      </c>
      <c r="AFF14" s="1322"/>
      <c r="AFG14" s="1323"/>
      <c r="AFH14" s="1322">
        <v>2.3380000000000001E-2</v>
      </c>
      <c r="AFI14" s="1322"/>
      <c r="AFJ14" s="1323"/>
      <c r="AFK14" s="1322">
        <v>2.121E-2</v>
      </c>
      <c r="AFL14" s="1322"/>
      <c r="AFM14" s="1323"/>
      <c r="AFN14" s="1322">
        <v>1.992E-2</v>
      </c>
      <c r="AFO14" s="1322"/>
      <c r="AFP14" s="1323"/>
      <c r="AFQ14" s="1322"/>
      <c r="AFR14" s="1322"/>
      <c r="AFS14" s="1323"/>
      <c r="AFT14" s="1322"/>
      <c r="AFU14" s="1322"/>
      <c r="AFV14" s="1323"/>
      <c r="AFW14" s="1322">
        <v>2.0750000000000001E-2</v>
      </c>
      <c r="AFX14" s="1322"/>
      <c r="AFY14" s="1323"/>
      <c r="AFZ14" s="1322">
        <v>2.342E-2</v>
      </c>
      <c r="AGA14" s="1322"/>
      <c r="AGB14" s="1323"/>
      <c r="AGC14" s="1322">
        <v>1.984E-2</v>
      </c>
      <c r="AGD14" s="1322"/>
      <c r="AGE14" s="1323"/>
      <c r="AGF14" s="1322">
        <v>2.1090000000000001E-2</v>
      </c>
      <c r="AGG14" s="1322"/>
      <c r="AGH14" s="1323"/>
      <c r="AGI14" s="1322">
        <v>4.2369999999999998E-2</v>
      </c>
      <c r="AGJ14" s="1322"/>
      <c r="AGK14" s="1323"/>
      <c r="AGL14" s="1322">
        <v>1.975E-2</v>
      </c>
      <c r="AGM14" s="1322"/>
      <c r="AGN14" s="1323"/>
      <c r="AGO14" s="1322">
        <v>1.9869999999999999E-2</v>
      </c>
      <c r="AGP14" s="1322"/>
      <c r="AGQ14" s="1323"/>
      <c r="AGR14" s="1322">
        <v>1.8419999999999999E-2</v>
      </c>
      <c r="AGS14" s="1322"/>
      <c r="AGT14" s="1323"/>
      <c r="AGU14" s="1322">
        <v>2.2689999999999998E-2</v>
      </c>
      <c r="AGV14" s="1322"/>
      <c r="AGW14" s="1323"/>
      <c r="AGX14" s="1322">
        <v>2.1059999999999999E-2</v>
      </c>
      <c r="AGY14" s="1322"/>
      <c r="AGZ14" s="1323"/>
      <c r="AHA14" s="1322">
        <v>1.941E-2</v>
      </c>
      <c r="AHB14" s="1322"/>
      <c r="AHC14" s="1323"/>
      <c r="AHD14" s="1322">
        <v>2.0420000000000001E-2</v>
      </c>
      <c r="AHE14" s="1322"/>
      <c r="AHF14" s="1323"/>
      <c r="AHG14" s="1322">
        <v>1.983E-2</v>
      </c>
      <c r="AHH14" s="1322"/>
      <c r="AHI14" s="1323"/>
      <c r="AHJ14" s="1322"/>
      <c r="AHK14" s="1322"/>
      <c r="AHL14" s="1323"/>
      <c r="AHM14" s="1322"/>
      <c r="AHN14" s="1322"/>
      <c r="AHO14" s="1323"/>
      <c r="AHP14" s="1322">
        <v>2.095E-2</v>
      </c>
      <c r="AHQ14" s="1322"/>
      <c r="AHR14" s="1323"/>
      <c r="AHS14" s="1322">
        <v>2.086E-2</v>
      </c>
      <c r="AHT14" s="1322"/>
      <c r="AHU14" s="1323"/>
      <c r="AHV14" s="1322">
        <v>1.9980000000000001E-2</v>
      </c>
      <c r="AHW14" s="1322"/>
      <c r="AHX14" s="1323"/>
      <c r="AHY14" s="1322">
        <v>2.137E-2</v>
      </c>
      <c r="AHZ14" s="1322"/>
      <c r="AIA14" s="1323"/>
      <c r="AIB14" s="1322">
        <v>1.8800000000000001E-2</v>
      </c>
      <c r="AIC14" s="1322"/>
      <c r="AID14" s="1323"/>
      <c r="AIE14" s="1322">
        <v>2.2919999999999999E-2</v>
      </c>
      <c r="AIF14" s="1322"/>
      <c r="AIG14" s="1323"/>
      <c r="AIH14" s="1322">
        <v>2.6210000000000001E-2</v>
      </c>
      <c r="AII14" s="1322"/>
      <c r="AIJ14" s="1323"/>
      <c r="AIK14" s="1322">
        <v>2.061E-2</v>
      </c>
      <c r="AIL14" s="1322"/>
      <c r="AIM14" s="1323"/>
      <c r="AIN14" s="1322">
        <v>2.1100000000000001E-2</v>
      </c>
      <c r="AIO14" s="1322"/>
      <c r="AIP14" s="1323"/>
      <c r="AIQ14" s="1322">
        <v>1.9E-2</v>
      </c>
      <c r="AIR14" s="1322"/>
      <c r="AIS14" s="1323"/>
      <c r="AIT14" s="1322">
        <v>2.3980000000000001E-2</v>
      </c>
      <c r="AIU14" s="1322"/>
      <c r="AIV14" s="1323"/>
      <c r="AIW14" s="1322">
        <v>2.547E-2</v>
      </c>
      <c r="AIX14" s="1322"/>
      <c r="AIY14" s="1323"/>
      <c r="AIZ14" s="1322"/>
      <c r="AJA14" s="1322"/>
      <c r="AJB14" s="1323"/>
      <c r="AJC14" s="1322"/>
      <c r="AJD14" s="1322"/>
      <c r="AJE14" s="1323"/>
      <c r="AJF14" s="1322">
        <v>1.934E-2</v>
      </c>
      <c r="AJG14" s="1322"/>
      <c r="AJH14" s="1323"/>
      <c r="AJI14" s="1322">
        <v>2.0719999999999999E-2</v>
      </c>
      <c r="AJJ14" s="1322"/>
      <c r="AJK14" s="1323"/>
      <c r="AJL14" s="1322">
        <v>2.0809999999999999E-2</v>
      </c>
      <c r="AJM14" s="1322"/>
      <c r="AJN14" s="1323"/>
      <c r="AJO14" s="1322">
        <v>2.1000000000000001E-2</v>
      </c>
      <c r="AJP14" s="1322"/>
      <c r="AJQ14" s="1323"/>
      <c r="AJR14" s="1322">
        <v>2.231E-2</v>
      </c>
      <c r="AJS14" s="1322"/>
      <c r="AJT14" s="1323"/>
      <c r="AJU14" s="1322">
        <v>2.2509999999999999E-2</v>
      </c>
      <c r="AJV14" s="1322"/>
      <c r="AJW14" s="1323"/>
      <c r="AJX14" s="1322">
        <v>5.6820000000000002E-2</v>
      </c>
      <c r="AJY14" s="1322"/>
      <c r="AJZ14" s="1323"/>
      <c r="AKA14" s="1322">
        <v>4.0189999999999997E-2</v>
      </c>
      <c r="AKB14" s="1322"/>
      <c r="AKC14" s="1323"/>
      <c r="AKD14" s="1322">
        <v>2.7609999999999999E-2</v>
      </c>
      <c r="AKE14" s="1322"/>
      <c r="AKF14" s="1323"/>
      <c r="AKG14" s="1322">
        <v>2.4E-2</v>
      </c>
      <c r="AKH14" s="1322"/>
      <c r="AKI14" s="1323"/>
      <c r="AKJ14" s="1322">
        <v>2.146E-2</v>
      </c>
      <c r="AKK14" s="1322"/>
      <c r="AKL14" s="1323"/>
      <c r="AKM14" s="1322">
        <v>2.554E-2</v>
      </c>
      <c r="AKN14" s="1322"/>
      <c r="AKO14" s="1323"/>
      <c r="AKP14" s="1322">
        <v>2.529E-2</v>
      </c>
      <c r="AKQ14" s="1322"/>
      <c r="AKR14" s="1323"/>
      <c r="AKS14" s="1322">
        <v>2.886E-2</v>
      </c>
      <c r="AKT14" s="1322"/>
      <c r="AKU14" s="1323"/>
      <c r="AKV14" s="1322">
        <v>2.393E-2</v>
      </c>
      <c r="AKW14" s="1322"/>
      <c r="AKX14" s="1323"/>
      <c r="AKY14" s="1322">
        <v>8.3779999999999993E-2</v>
      </c>
      <c r="AKZ14" s="1322"/>
      <c r="ALA14" s="1323"/>
      <c r="ALB14" s="1322" t="s">
        <v>20</v>
      </c>
      <c r="ALC14" s="1322"/>
      <c r="ALD14" s="1323"/>
      <c r="ALE14" s="1322">
        <v>2.2769999999999999E-2</v>
      </c>
      <c r="ALF14" s="1322"/>
      <c r="ALG14" s="1323"/>
      <c r="ALH14" s="1322">
        <v>2.0230000000000001E-2</v>
      </c>
      <c r="ALI14" s="1322"/>
      <c r="ALJ14" s="1323"/>
      <c r="ALK14" s="1322">
        <v>4.2720000000000001E-2</v>
      </c>
      <c r="ALL14" s="1322"/>
      <c r="ALM14" s="1323"/>
      <c r="ALN14" s="1322">
        <v>3.1050000000000001E-2</v>
      </c>
      <c r="ALO14" s="1322"/>
      <c r="ALP14" s="1323"/>
      <c r="ALQ14" s="1322">
        <v>2.674E-2</v>
      </c>
      <c r="ALR14" s="1322"/>
      <c r="ALS14" s="1323"/>
      <c r="ALT14" s="1322">
        <v>2.5600000000000001E-2</v>
      </c>
      <c r="ALU14" s="1322"/>
      <c r="ALV14" s="1323"/>
      <c r="ALW14" s="1322"/>
      <c r="ALX14" s="1322"/>
      <c r="ALY14" s="1323"/>
      <c r="ALZ14" s="1322">
        <v>3.56E-2</v>
      </c>
      <c r="AMA14" s="1322"/>
      <c r="AMB14" s="1323"/>
      <c r="AMC14" s="1322">
        <v>2.3820000000000001E-2</v>
      </c>
      <c r="AMD14" s="1322"/>
      <c r="AME14" s="1323"/>
      <c r="AMF14" s="1322"/>
      <c r="AMG14" s="1322"/>
      <c r="AMH14" s="1323"/>
      <c r="AMI14" s="1322">
        <v>3.7920000000000002E-2</v>
      </c>
      <c r="AMJ14" s="1322"/>
      <c r="AMK14" s="1323"/>
      <c r="AML14" s="1322">
        <v>2.843E-2</v>
      </c>
      <c r="AMM14" s="1322"/>
      <c r="AMN14" s="1323"/>
      <c r="AMO14" s="1322">
        <v>2.445E-2</v>
      </c>
      <c r="AMP14" s="1322"/>
      <c r="AMQ14" s="1323"/>
      <c r="AMR14" s="1322">
        <v>2.1930000000000002E-2</v>
      </c>
      <c r="AMS14" s="1322"/>
      <c r="AMT14" s="1323"/>
      <c r="AMU14" s="1322">
        <v>2.257E-2</v>
      </c>
      <c r="AMV14" s="1322"/>
      <c r="AMW14" s="1323"/>
      <c r="AMX14" s="1322">
        <v>2.8639999999999999E-2</v>
      </c>
      <c r="AMY14" s="1322"/>
      <c r="AMZ14" s="1323"/>
      <c r="ANA14" s="1322">
        <v>3.1969999999999998E-2</v>
      </c>
      <c r="ANB14" s="1322"/>
      <c r="ANC14" s="1323"/>
      <c r="AND14" s="1322">
        <v>2.4080000000000001E-2</v>
      </c>
      <c r="ANE14" s="1322"/>
      <c r="ANF14" s="1323"/>
      <c r="ANG14" s="1322">
        <v>2.6939999999999999E-2</v>
      </c>
      <c r="ANH14" s="1322"/>
      <c r="ANI14" s="1323"/>
      <c r="ANJ14" s="1322">
        <v>2.2270999999999999E-2</v>
      </c>
      <c r="ANK14" s="1322"/>
      <c r="ANL14" s="1323"/>
      <c r="ANM14" s="1322">
        <v>2.4129999999999999E-2</v>
      </c>
      <c r="ANN14" s="1322"/>
      <c r="ANO14" s="1323"/>
      <c r="ANP14" s="1322">
        <v>2.3779999999999999E-2</v>
      </c>
      <c r="ANQ14" s="1322"/>
      <c r="ANR14" s="1323"/>
      <c r="ANS14" s="1322">
        <v>2.64E-2</v>
      </c>
      <c r="ANT14" s="1322"/>
      <c r="ANU14" s="1323"/>
      <c r="ANV14" s="1322"/>
      <c r="ANW14" s="1322"/>
      <c r="ANX14" s="1323"/>
      <c r="ANY14" s="1322">
        <v>4.3880000000000002E-2</v>
      </c>
      <c r="ANZ14" s="1322"/>
      <c r="AOA14" s="1323"/>
      <c r="AOB14" s="1322">
        <v>2.4049999999999998E-2</v>
      </c>
      <c r="AOC14" s="1322"/>
      <c r="AOD14" s="1323"/>
      <c r="AOE14" s="1322">
        <v>2.0240000000000001E-2</v>
      </c>
      <c r="AOF14" s="1322"/>
      <c r="AOG14" s="1323"/>
      <c r="AOH14" s="1322">
        <v>1.9599999999999999E-2</v>
      </c>
      <c r="AOI14" s="1322"/>
      <c r="AOJ14" s="1323"/>
      <c r="AOK14" s="1322">
        <v>2.0199999999999999E-2</v>
      </c>
      <c r="AOL14" s="1322"/>
      <c r="AOM14" s="1323"/>
      <c r="AON14" s="1322">
        <v>1.9050000000000001E-2</v>
      </c>
      <c r="AOO14" s="1322"/>
      <c r="AOP14" s="1323"/>
      <c r="AOQ14" s="1322">
        <v>2.6599999999999999E-2</v>
      </c>
      <c r="AOR14" s="1322"/>
      <c r="AOS14" s="1323"/>
      <c r="AOT14" s="1322">
        <v>2.1700000000000001E-2</v>
      </c>
      <c r="AOU14" s="1322"/>
      <c r="AOV14" s="1323"/>
      <c r="AOW14" s="1322">
        <v>2.7E-2</v>
      </c>
      <c r="AOX14" s="1322"/>
      <c r="AOY14" s="1323"/>
      <c r="AOZ14" s="1322">
        <v>3.1399999999999997E-2</v>
      </c>
      <c r="APA14" s="1322"/>
      <c r="APB14" s="1323"/>
      <c r="APC14" s="1322">
        <v>1.77E-2</v>
      </c>
      <c r="APD14" s="1322"/>
      <c r="APE14" s="1323"/>
      <c r="APF14" s="1322">
        <v>2.0299999999999999E-2</v>
      </c>
      <c r="APG14" s="1322"/>
      <c r="APH14" s="1323"/>
      <c r="API14" s="1322" t="s">
        <v>20</v>
      </c>
      <c r="APJ14" s="1322"/>
      <c r="APK14" s="1323"/>
      <c r="APL14" s="1322" t="s">
        <v>20</v>
      </c>
      <c r="APM14" s="1322"/>
      <c r="APN14" s="1323"/>
      <c r="APO14" s="1322">
        <v>2.4E-2</v>
      </c>
      <c r="APP14" s="1322"/>
      <c r="APQ14" s="1323"/>
      <c r="APR14" s="1322">
        <v>2.53E-2</v>
      </c>
      <c r="APS14" s="1322"/>
      <c r="APT14" s="1323"/>
      <c r="APU14" s="1322">
        <v>2.5850000000000001E-2</v>
      </c>
      <c r="APV14" s="1322"/>
      <c r="APW14" s="1323"/>
      <c r="APX14" s="1322">
        <v>2.2429999999999999E-2</v>
      </c>
      <c r="APY14" s="1322"/>
      <c r="APZ14" s="1323"/>
      <c r="AQA14" s="1322">
        <v>1.9550000000000001E-2</v>
      </c>
      <c r="AQB14" s="1322"/>
      <c r="AQC14" s="1323"/>
      <c r="AQD14" s="1322">
        <v>1.9789999999999999E-2</v>
      </c>
      <c r="AQE14" s="1322"/>
      <c r="AQF14" s="1323"/>
      <c r="AQG14" s="1322">
        <v>2.1069999999999998E-2</v>
      </c>
      <c r="AQH14" s="1322"/>
      <c r="AQI14" s="1323"/>
      <c r="AQJ14" s="1322">
        <v>2.1010000000000001E-2</v>
      </c>
      <c r="AQK14" s="1322"/>
      <c r="AQL14" s="1323"/>
      <c r="AQM14" s="1322">
        <v>2.0070000000000001E-2</v>
      </c>
      <c r="AQN14" s="1322"/>
      <c r="AQO14" s="1323"/>
      <c r="AQP14" s="1322">
        <v>2.1909999999999999E-2</v>
      </c>
      <c r="AQQ14" s="1322"/>
      <c r="AQR14" s="1323"/>
      <c r="AQS14" s="1322">
        <v>1.9269999999999999E-2</v>
      </c>
      <c r="AQT14" s="1322"/>
      <c r="AQU14" s="1323"/>
      <c r="AQV14" s="1322">
        <v>2.0400000000000001E-2</v>
      </c>
      <c r="AQW14" s="1322"/>
      <c r="AQX14" s="1323"/>
      <c r="AQY14" s="1322">
        <v>2.087E-2</v>
      </c>
      <c r="AQZ14" s="1322"/>
      <c r="ARA14" s="1323"/>
      <c r="ARB14" s="1322"/>
      <c r="ARC14" s="1322"/>
      <c r="ARD14" s="1323"/>
      <c r="ARE14" s="1322"/>
      <c r="ARF14" s="1322"/>
      <c r="ARG14" s="1323"/>
      <c r="ARH14" s="1322">
        <v>2.2159999999999999E-2</v>
      </c>
      <c r="ARI14" s="1322"/>
      <c r="ARJ14" s="1323"/>
      <c r="ARK14" s="1322">
        <v>1.703E-2</v>
      </c>
      <c r="ARL14" s="1322"/>
      <c r="ARM14" s="1323"/>
      <c r="ARN14" s="1322">
        <v>2.1899999999999999E-2</v>
      </c>
      <c r="ARO14" s="1322"/>
      <c r="ARP14" s="1323"/>
      <c r="ARQ14" s="1322">
        <v>2.1669999999999998E-2</v>
      </c>
      <c r="ARR14" s="1322"/>
      <c r="ARS14" s="1323"/>
      <c r="ART14" s="1322">
        <v>4.3159999999999997E-2</v>
      </c>
      <c r="ARU14" s="1322"/>
      <c r="ARV14" s="1323"/>
      <c r="ARW14" s="1322">
        <v>2.0590000000000001E-2</v>
      </c>
      <c r="ARX14" s="1322"/>
      <c r="ARY14" s="1323"/>
      <c r="ARZ14" s="1322">
        <v>1.217E-2</v>
      </c>
      <c r="ASA14" s="1322"/>
      <c r="ASB14" s="1323"/>
      <c r="ASC14" s="1322">
        <v>2.247E-2</v>
      </c>
      <c r="ASD14" s="1322"/>
      <c r="ASE14" s="1323"/>
      <c r="ASF14" s="1322">
        <v>1.721E-2</v>
      </c>
      <c r="ASG14" s="1322"/>
      <c r="ASH14" s="1323"/>
      <c r="ASI14" s="1322">
        <v>2.383E-2</v>
      </c>
      <c r="ASJ14" s="1322"/>
      <c r="ASK14" s="1323"/>
      <c r="ASL14" s="1322">
        <v>3.6609999999999997E-2</v>
      </c>
      <c r="ASM14" s="1322"/>
      <c r="ASN14" s="1323"/>
      <c r="ASO14" s="1322"/>
      <c r="ASP14" s="1322"/>
      <c r="ASQ14" s="1322"/>
      <c r="ASR14" s="1344"/>
      <c r="ASS14" s="1322"/>
      <c r="AST14" s="1323"/>
      <c r="ASU14" s="1322">
        <v>2.129E-2</v>
      </c>
      <c r="ASV14" s="1322"/>
      <c r="ASW14" s="1323"/>
      <c r="ASX14" s="1322">
        <v>1.9349999999999999E-2</v>
      </c>
      <c r="ASY14" s="1322"/>
      <c r="ASZ14" s="1323"/>
      <c r="ATA14" s="1322">
        <v>2.0289999999999999E-2</v>
      </c>
      <c r="ATB14" s="1322"/>
      <c r="ATC14" s="1323"/>
      <c r="ATD14" s="1322">
        <v>2.2069999999999999E-2</v>
      </c>
      <c r="ATE14" s="1322"/>
      <c r="ATF14" s="1323"/>
      <c r="ATG14" s="1322">
        <v>2.017E-2</v>
      </c>
      <c r="ATH14" s="1322"/>
      <c r="ATI14" s="1323"/>
      <c r="ATJ14" s="1322">
        <v>2.1489999999999999E-2</v>
      </c>
      <c r="ATK14" s="1322"/>
      <c r="ATL14" s="1323"/>
      <c r="ATM14" s="1322">
        <v>2.4629999999999999E-2</v>
      </c>
      <c r="ATN14" s="1322"/>
      <c r="ATO14" s="1323"/>
      <c r="ATP14" s="1322">
        <v>2.274E-2</v>
      </c>
      <c r="ATQ14" s="1322"/>
      <c r="ATR14" s="1323"/>
      <c r="ATS14" s="1322">
        <v>3.338E-2</v>
      </c>
      <c r="ATT14" s="1322"/>
      <c r="ATU14" s="1323"/>
      <c r="ATV14" s="1322">
        <v>2.4109999999999999E-2</v>
      </c>
      <c r="ATW14" s="1322"/>
      <c r="ATX14" s="1323"/>
      <c r="ATY14" s="1322">
        <v>2.6089999999999999E-2</v>
      </c>
      <c r="ATZ14" s="1322"/>
      <c r="AUA14" s="1323"/>
      <c r="AUB14" s="1322">
        <v>2.324E-2</v>
      </c>
      <c r="AUC14" s="1322"/>
      <c r="AUD14" s="1323"/>
      <c r="AUE14" s="1322"/>
      <c r="AUF14" s="1322"/>
      <c r="AUG14" s="1323"/>
      <c r="AUH14" s="1322">
        <v>1.9800000000000002E-2</v>
      </c>
      <c r="AUI14" s="1322"/>
      <c r="AUJ14" s="1323"/>
      <c r="AUK14" s="1322">
        <v>2.7949999999999999E-2</v>
      </c>
      <c r="AUL14" s="1322"/>
      <c r="AUM14" s="1322"/>
      <c r="AUN14" s="1344">
        <v>2.5090000000000001E-2</v>
      </c>
      <c r="AUO14" s="1322"/>
      <c r="AUP14" s="1322"/>
      <c r="AUQ14" s="1344">
        <v>3.3840000000000002E-2</v>
      </c>
      <c r="AUR14" s="1322"/>
      <c r="AUS14" s="1322"/>
      <c r="AUT14" s="1344">
        <v>3.5209999999999998E-2</v>
      </c>
      <c r="AUU14" s="1322"/>
      <c r="AUV14" s="1322"/>
      <c r="AUW14" s="1344">
        <v>2.5409999999999999E-2</v>
      </c>
      <c r="AUX14" s="1322"/>
      <c r="AUY14" s="1323"/>
      <c r="AUZ14" s="1322">
        <v>2.213E-2</v>
      </c>
      <c r="AVA14" s="1322"/>
      <c r="AVB14" s="1322"/>
      <c r="AVC14" s="1344">
        <v>2.3009999999999999E-2</v>
      </c>
      <c r="AVD14" s="1322"/>
      <c r="AVE14" s="1323"/>
      <c r="AVF14" s="1322">
        <v>4.7969999999999999E-2</v>
      </c>
      <c r="AVG14" s="1322"/>
      <c r="AVH14" s="1323"/>
      <c r="AVI14" s="1322">
        <v>3.2570000000000002E-2</v>
      </c>
      <c r="AVJ14" s="1322"/>
      <c r="AVK14" s="1323"/>
      <c r="AVL14" s="1322">
        <v>3.4779999999999998E-2</v>
      </c>
      <c r="AVM14" s="1322"/>
      <c r="AVN14" s="1323"/>
      <c r="AVO14" s="1322">
        <v>2.4E-2</v>
      </c>
      <c r="AVP14" s="1322"/>
      <c r="AVQ14" s="1323"/>
      <c r="AVR14" s="1322"/>
      <c r="AVS14" s="1322"/>
      <c r="AVT14" s="1323"/>
      <c r="AVU14" s="1322"/>
      <c r="AVV14" s="1322"/>
      <c r="AVW14" s="1323"/>
      <c r="AVX14" s="1322"/>
      <c r="AVY14" s="1322"/>
      <c r="AVZ14" s="1323"/>
      <c r="AWA14" s="1322"/>
      <c r="AWB14" s="1322"/>
      <c r="AWC14" s="1323"/>
      <c r="AWD14" s="1322"/>
      <c r="AWE14" s="1322"/>
      <c r="AWF14" s="1323"/>
      <c r="AWG14" s="1322"/>
      <c r="AWH14" s="1322"/>
      <c r="AWI14" s="1323"/>
      <c r="AWJ14" s="1322"/>
      <c r="AWK14" s="1322"/>
      <c r="AWL14" s="1323"/>
      <c r="AWM14" s="1322"/>
      <c r="AWN14" s="1322"/>
      <c r="AWO14" s="1323"/>
      <c r="AWP14" s="1322"/>
      <c r="AWQ14" s="1322"/>
      <c r="AWR14" s="1323"/>
      <c r="AWS14" s="1322"/>
      <c r="AWT14" s="1322"/>
      <c r="AWU14" s="1323"/>
      <c r="AWV14" s="1322"/>
      <c r="AWW14" s="1322"/>
      <c r="AWX14" s="1323"/>
      <c r="AWY14" s="1322"/>
      <c r="AWZ14" s="1322"/>
      <c r="AXA14" s="1323"/>
      <c r="AXB14" s="1322"/>
      <c r="AXC14" s="1322"/>
      <c r="AXD14" s="1323"/>
      <c r="AXE14" s="1322"/>
      <c r="AXF14" s="1322"/>
      <c r="AXG14" s="1323"/>
      <c r="AXH14" s="1322"/>
      <c r="AXI14" s="1322"/>
      <c r="AXJ14" s="1323"/>
      <c r="AXK14" s="1322"/>
      <c r="AXL14" s="1322"/>
      <c r="AXM14" s="1323"/>
      <c r="AXN14" s="1322"/>
      <c r="AXO14" s="1322"/>
      <c r="AXP14" s="1323"/>
      <c r="AXQ14" s="1322"/>
      <c r="AXR14" s="1322"/>
      <c r="AXS14" s="1323"/>
      <c r="AXT14" s="1322"/>
      <c r="AXU14" s="1322"/>
      <c r="AXV14" s="1323"/>
      <c r="AXW14" s="1322"/>
      <c r="AXX14" s="1322"/>
      <c r="AXY14" s="1323"/>
      <c r="AXZ14" s="1322"/>
      <c r="AYA14" s="1322"/>
      <c r="AYB14" s="1323"/>
      <c r="AYC14" s="1322"/>
      <c r="AYD14" s="1322"/>
      <c r="AYE14" s="1323"/>
      <c r="AYF14" s="1322"/>
      <c r="AYG14" s="1322"/>
      <c r="AYH14" s="1323"/>
      <c r="AYI14" s="1322"/>
      <c r="AYJ14" s="1322"/>
      <c r="AYK14" s="1323"/>
      <c r="AYL14" s="1322"/>
      <c r="AYM14" s="1322"/>
      <c r="AYN14" s="1323"/>
      <c r="AYO14" s="1322"/>
      <c r="AYP14" s="1322"/>
      <c r="AYQ14" s="1323"/>
      <c r="AYR14" s="1322"/>
      <c r="AYS14" s="1322"/>
      <c r="AYT14" s="1323"/>
      <c r="AYU14" s="1322"/>
      <c r="AYV14" s="1322"/>
      <c r="AYW14" s="1323"/>
      <c r="AYX14" s="1322"/>
      <c r="AYY14" s="1322"/>
      <c r="AYZ14" s="1323"/>
      <c r="AZA14" s="1322"/>
      <c r="AZB14" s="1322"/>
      <c r="AZC14" s="1323"/>
      <c r="AZD14" s="1322"/>
      <c r="AZE14" s="1322"/>
      <c r="AZF14" s="1323"/>
      <c r="AZG14" s="1322"/>
      <c r="AZH14" s="1322"/>
      <c r="AZI14" s="1323"/>
      <c r="AZJ14" s="1322"/>
      <c r="AZK14" s="1322"/>
      <c r="AZL14" s="1323"/>
      <c r="AZM14" s="1322"/>
      <c r="AZN14" s="1322"/>
      <c r="AZO14" s="1323"/>
      <c r="AZP14" s="1322"/>
      <c r="AZQ14" s="1322"/>
      <c r="AZR14" s="1323"/>
      <c r="AZS14" s="1322"/>
      <c r="AZT14" s="1322"/>
      <c r="AZU14" s="1323"/>
      <c r="AZV14" s="1322"/>
      <c r="AZW14" s="1322"/>
      <c r="AZX14" s="1323"/>
      <c r="AZY14" s="1322"/>
      <c r="AZZ14" s="1322"/>
      <c r="BAA14" s="1323"/>
      <c r="BAB14" s="1322"/>
      <c r="BAC14" s="1322"/>
      <c r="BAD14" s="1323"/>
      <c r="BAE14" s="1322"/>
      <c r="BAF14" s="1322"/>
      <c r="BAG14" s="1323"/>
      <c r="BAH14" s="1322"/>
      <c r="BAI14" s="1322"/>
      <c r="BAJ14" s="1323"/>
    </row>
    <row r="15" spans="1:1388" s="21" customFormat="1" ht="15" customHeight="1" thickBot="1">
      <c r="A15"/>
      <c r="B15" s="34" t="s">
        <v>338</v>
      </c>
      <c r="C15" s="35"/>
      <c r="D15" s="36"/>
      <c r="E15" s="1184" t="s">
        <v>336</v>
      </c>
      <c r="F15" s="1324" t="s">
        <v>20</v>
      </c>
      <c r="G15" s="1324"/>
      <c r="H15" s="1325"/>
      <c r="I15" s="1324">
        <v>9.9900000000000006E-3</v>
      </c>
      <c r="J15" s="1324"/>
      <c r="K15" s="1325"/>
      <c r="L15" s="1324">
        <v>0.01</v>
      </c>
      <c r="M15" s="1324"/>
      <c r="N15" s="1325"/>
      <c r="O15" s="1324">
        <v>5.0000000000000001E-3</v>
      </c>
      <c r="P15" s="1324"/>
      <c r="Q15" s="1325"/>
      <c r="R15" s="1324">
        <v>8.9999999999999993E-3</v>
      </c>
      <c r="S15" s="1324"/>
      <c r="T15" s="1325"/>
      <c r="U15" s="1324">
        <v>6.0000000000000001E-3</v>
      </c>
      <c r="V15" s="1324"/>
      <c r="W15" s="1325"/>
      <c r="X15" s="1324">
        <v>7.0000000000000001E-3</v>
      </c>
      <c r="Y15" s="1324"/>
      <c r="Z15" s="1325"/>
      <c r="AA15" s="1324">
        <v>1.0999999999999999E-2</v>
      </c>
      <c r="AB15" s="1324"/>
      <c r="AC15" s="1325"/>
      <c r="AD15" s="1324">
        <v>8.0000000000000002E-3</v>
      </c>
      <c r="AE15" s="1324"/>
      <c r="AF15" s="1325"/>
      <c r="AG15" s="1324">
        <v>7.0000000000000001E-3</v>
      </c>
      <c r="AH15" s="1324"/>
      <c r="AI15" s="1325"/>
      <c r="AJ15" s="1324">
        <v>6.0000000000000001E-3</v>
      </c>
      <c r="AK15" s="1324"/>
      <c r="AL15" s="1325"/>
      <c r="AM15" s="1324">
        <v>6.0000000000000001E-3</v>
      </c>
      <c r="AN15" s="1324"/>
      <c r="AO15" s="1325"/>
      <c r="AP15" s="1324">
        <v>8.9999999999999993E-3</v>
      </c>
      <c r="AQ15" s="1324"/>
      <c r="AR15" s="1325"/>
      <c r="AS15" s="1324">
        <v>8.9999999999999993E-3</v>
      </c>
      <c r="AT15" s="1324"/>
      <c r="AU15" s="1325"/>
      <c r="AV15" s="1324">
        <v>8.0000000000000002E-3</v>
      </c>
      <c r="AW15" s="1324"/>
      <c r="AX15" s="1325"/>
      <c r="AY15" s="1324">
        <v>1.2E-2</v>
      </c>
      <c r="AZ15" s="1324"/>
      <c r="BA15" s="1325"/>
      <c r="BB15" s="1324" t="s">
        <v>20</v>
      </c>
      <c r="BC15" s="1324"/>
      <c r="BD15" s="1325"/>
      <c r="BE15" s="1324">
        <v>8.0000000000000002E-3</v>
      </c>
      <c r="BF15" s="1324"/>
      <c r="BG15" s="1325"/>
      <c r="BH15" s="1324">
        <v>0.01</v>
      </c>
      <c r="BI15" s="1324"/>
      <c r="BJ15" s="1325"/>
      <c r="BK15" s="1324">
        <v>7.0000000000000001E-3</v>
      </c>
      <c r="BL15" s="1324"/>
      <c r="BM15" s="1325"/>
      <c r="BN15" s="1324">
        <v>5.0000000000000001E-3</v>
      </c>
      <c r="BO15" s="1324"/>
      <c r="BP15" s="1325"/>
      <c r="BQ15" s="1324">
        <v>4.0000000000000001E-3</v>
      </c>
      <c r="BR15" s="1324"/>
      <c r="BS15" s="1325"/>
      <c r="BT15" s="1324">
        <v>6.0000000000000001E-3</v>
      </c>
      <c r="BU15" s="1324"/>
      <c r="BV15" s="1325"/>
      <c r="BW15" s="1324">
        <v>8.0999999999999996E-3</v>
      </c>
      <c r="BX15" s="1324"/>
      <c r="BY15" s="1325"/>
      <c r="BZ15" s="1324">
        <v>6.9699999999999996E-3</v>
      </c>
      <c r="CA15" s="1324"/>
      <c r="CB15" s="1325"/>
      <c r="CC15" s="1324">
        <v>8.1099999999999992E-3</v>
      </c>
      <c r="CD15" s="1324"/>
      <c r="CE15" s="1325"/>
      <c r="CF15" s="1324">
        <v>8.5400000000000007E-3</v>
      </c>
      <c r="CG15" s="1324"/>
      <c r="CH15" s="1325"/>
      <c r="CI15" s="1324">
        <v>4.7800000000000004E-3</v>
      </c>
      <c r="CJ15" s="1324"/>
      <c r="CK15" s="1325"/>
      <c r="CL15" s="1324">
        <v>6.5100000000000002E-3</v>
      </c>
      <c r="CM15" s="1324"/>
      <c r="CN15" s="1325"/>
      <c r="CO15" s="1324" t="s">
        <v>20</v>
      </c>
      <c r="CP15" s="1324"/>
      <c r="CQ15" s="1325"/>
      <c r="CR15" s="1324">
        <v>1.8079999999999999E-2</v>
      </c>
      <c r="CS15" s="1324"/>
      <c r="CT15" s="1325"/>
      <c r="CU15" s="1324">
        <v>6.7600000000000004E-3</v>
      </c>
      <c r="CV15" s="1324"/>
      <c r="CW15" s="1325"/>
      <c r="CX15" s="1324">
        <v>7.28E-3</v>
      </c>
      <c r="CY15" s="1324"/>
      <c r="CZ15" s="1325"/>
      <c r="DA15" s="1324">
        <v>9.4599999999999997E-3</v>
      </c>
      <c r="DB15" s="1324"/>
      <c r="DC15" s="1325"/>
      <c r="DD15" s="1324">
        <v>7.77E-3</v>
      </c>
      <c r="DE15" s="1324"/>
      <c r="DF15" s="1325"/>
      <c r="DG15" s="1324">
        <v>6.5100000000000002E-3</v>
      </c>
      <c r="DH15" s="1324"/>
      <c r="DI15" s="1325"/>
      <c r="DJ15" s="1324">
        <v>5.1000000000000004E-3</v>
      </c>
      <c r="DK15" s="1324"/>
      <c r="DL15" s="1325"/>
      <c r="DM15" s="1324" t="s">
        <v>20</v>
      </c>
      <c r="DN15" s="1324"/>
      <c r="DO15" s="1325"/>
      <c r="DP15" s="1324">
        <v>8.4700000000000001E-3</v>
      </c>
      <c r="DQ15" s="1324"/>
      <c r="DR15" s="1325"/>
      <c r="DS15" s="1324">
        <v>1.264E-2</v>
      </c>
      <c r="DT15" s="1324"/>
      <c r="DU15" s="1325"/>
      <c r="DV15" s="1324">
        <v>1.0619999999999999E-2</v>
      </c>
      <c r="DW15" s="1324"/>
      <c r="DX15" s="1325"/>
      <c r="DY15" s="1324">
        <v>4.7000000000000002E-3</v>
      </c>
      <c r="DZ15" s="1324"/>
      <c r="EA15" s="1325"/>
      <c r="EB15" s="1324">
        <v>6.9199999999999999E-3</v>
      </c>
      <c r="EC15" s="1324"/>
      <c r="ED15" s="1325"/>
      <c r="EE15" s="1324">
        <v>4.4400000000000004E-3</v>
      </c>
      <c r="EF15" s="1324"/>
      <c r="EG15" s="1325"/>
      <c r="EH15" s="1324" t="s">
        <v>20</v>
      </c>
      <c r="EI15" s="1324"/>
      <c r="EJ15" s="1325"/>
      <c r="EK15" s="1324">
        <v>1.0999999999999999E-2</v>
      </c>
      <c r="EL15" s="1324"/>
      <c r="EM15" s="1325"/>
      <c r="EN15" s="1324">
        <v>0.01</v>
      </c>
      <c r="EO15" s="1324"/>
      <c r="EP15" s="1325"/>
      <c r="EQ15" s="1324">
        <v>5.0000000000000001E-3</v>
      </c>
      <c r="ER15" s="1324"/>
      <c r="ES15" s="1325"/>
      <c r="ET15" s="1324">
        <v>3.0000000000000001E-3</v>
      </c>
      <c r="EU15" s="1324"/>
      <c r="EV15" s="1325"/>
      <c r="EW15" s="1324">
        <v>5.0000000000000001E-3</v>
      </c>
      <c r="EX15" s="1324"/>
      <c r="EY15" s="1325"/>
      <c r="EZ15" s="1324">
        <v>8.0000000000000002E-3</v>
      </c>
      <c r="FA15" s="1324"/>
      <c r="FB15" s="1325"/>
      <c r="FC15" s="1324">
        <v>6.0000000000000001E-3</v>
      </c>
      <c r="FD15" s="1324"/>
      <c r="FE15" s="1325"/>
      <c r="FF15" s="1324">
        <v>8.0000000000000002E-3</v>
      </c>
      <c r="FG15" s="1324"/>
      <c r="FH15" s="1325"/>
      <c r="FI15" s="1324">
        <v>8.9999999999999993E-3</v>
      </c>
      <c r="FJ15" s="1324"/>
      <c r="FK15" s="1325"/>
      <c r="FL15" s="1324">
        <v>7.0000000000000001E-3</v>
      </c>
      <c r="FM15" s="1324"/>
      <c r="FN15" s="1325"/>
      <c r="FO15" s="1324">
        <v>5.0000000000000001E-3</v>
      </c>
      <c r="FP15" s="1324"/>
      <c r="FQ15" s="1325"/>
      <c r="FR15" s="1324">
        <v>8.09E-3</v>
      </c>
      <c r="FS15" s="1324"/>
      <c r="FT15" s="1325"/>
      <c r="FU15" s="1324">
        <v>5.4200000000000003E-3</v>
      </c>
      <c r="FV15" s="1324"/>
      <c r="FW15" s="1325"/>
      <c r="FX15" s="1324">
        <v>6.2199999999999998E-3</v>
      </c>
      <c r="FY15" s="1324"/>
      <c r="FZ15" s="1325"/>
      <c r="GA15" s="1324">
        <v>7.5900000000000004E-3</v>
      </c>
      <c r="GB15" s="1324"/>
      <c r="GC15" s="1325"/>
      <c r="GD15" s="1324">
        <v>8.9999999999999993E-3</v>
      </c>
      <c r="GE15" s="1324"/>
      <c r="GF15" s="1325"/>
      <c r="GG15" s="1324">
        <v>6.0000000000000001E-3</v>
      </c>
      <c r="GH15" s="1324"/>
      <c r="GI15" s="1325"/>
      <c r="GJ15" s="1324">
        <v>6.0000000000000001E-3</v>
      </c>
      <c r="GK15" s="1324"/>
      <c r="GL15" s="1325"/>
      <c r="GM15" s="1324">
        <v>6.0000000000000001E-3</v>
      </c>
      <c r="GN15" s="1324"/>
      <c r="GO15" s="1325"/>
      <c r="GP15" s="1324" t="s">
        <v>20</v>
      </c>
      <c r="GQ15" s="1324"/>
      <c r="GR15" s="1325"/>
      <c r="GS15" s="1324">
        <v>4.0000000000000001E-3</v>
      </c>
      <c r="GT15" s="1324"/>
      <c r="GU15" s="1325"/>
      <c r="GV15" s="1324">
        <v>8.0000000000000002E-3</v>
      </c>
      <c r="GW15" s="1324"/>
      <c r="GX15" s="1325"/>
      <c r="GY15" s="1324">
        <v>5.0000000000000001E-3</v>
      </c>
      <c r="GZ15" s="1324"/>
      <c r="HA15" s="1325"/>
      <c r="HB15" s="1324">
        <v>3.0000000000000001E-3</v>
      </c>
      <c r="HC15" s="1324"/>
      <c r="HD15" s="1325"/>
      <c r="HE15" s="1324">
        <v>7.0000000000000001E-3</v>
      </c>
      <c r="HF15" s="1324"/>
      <c r="HG15" s="1325"/>
      <c r="HH15" s="1324">
        <v>7.0000000000000001E-3</v>
      </c>
      <c r="HI15" s="1324"/>
      <c r="HJ15" s="1325"/>
      <c r="HK15" s="1324">
        <v>8.0000000000000002E-3</v>
      </c>
      <c r="HL15" s="1324"/>
      <c r="HM15" s="1325"/>
      <c r="HN15" s="1324">
        <v>6.0000000000000001E-3</v>
      </c>
      <c r="HO15" s="1324"/>
      <c r="HP15" s="1325"/>
      <c r="HQ15" s="1349">
        <v>5.0000000000000001E-3</v>
      </c>
      <c r="HR15" s="1324"/>
      <c r="HS15" s="1325"/>
      <c r="HT15" s="1324">
        <v>7.0000000000000001E-3</v>
      </c>
      <c r="HU15" s="1324"/>
      <c r="HV15" s="1325"/>
      <c r="HW15" s="1324">
        <v>8.0000000000000002E-3</v>
      </c>
      <c r="HX15" s="1324"/>
      <c r="HY15" s="1325"/>
      <c r="HZ15" s="1324">
        <v>7.0000000000000001E-3</v>
      </c>
      <c r="IA15" s="1324"/>
      <c r="IB15" s="1325"/>
      <c r="IC15" s="1324" t="s">
        <v>20</v>
      </c>
      <c r="ID15" s="1324"/>
      <c r="IE15" s="1325"/>
      <c r="IF15" s="1324" t="s">
        <v>20</v>
      </c>
      <c r="IG15" s="1324"/>
      <c r="IH15" s="1325"/>
      <c r="II15" s="1324" t="s">
        <v>20</v>
      </c>
      <c r="IJ15" s="1324"/>
      <c r="IK15" s="1325"/>
      <c r="IL15" s="1324">
        <v>6.0000000000000001E-3</v>
      </c>
      <c r="IM15" s="1324"/>
      <c r="IN15" s="1325"/>
      <c r="IO15" s="1324">
        <v>8.0000000000000002E-3</v>
      </c>
      <c r="IP15" s="1324"/>
      <c r="IQ15" s="1325"/>
      <c r="IR15" s="1324">
        <v>5.0000000000000001E-3</v>
      </c>
      <c r="IS15" s="1324"/>
      <c r="IT15" s="1325"/>
      <c r="IU15" s="1324">
        <v>7.0000000000000001E-3</v>
      </c>
      <c r="IV15" s="1324"/>
      <c r="IW15" s="1325"/>
      <c r="IX15" s="1324">
        <v>6.0000000000000001E-3</v>
      </c>
      <c r="IY15" s="1324"/>
      <c r="IZ15" s="1325"/>
      <c r="JA15" s="1324">
        <v>7.0000000000000001E-3</v>
      </c>
      <c r="JB15" s="1324"/>
      <c r="JC15" s="1325"/>
      <c r="JD15" s="1324">
        <v>7.0000000000000001E-3</v>
      </c>
      <c r="JE15" s="1324"/>
      <c r="JF15" s="1325"/>
      <c r="JG15" s="1324">
        <v>7.0000000000000001E-3</v>
      </c>
      <c r="JH15" s="1324"/>
      <c r="JI15" s="1325"/>
      <c r="JJ15" s="1324">
        <v>7.5799999999999999E-3</v>
      </c>
      <c r="JK15" s="1324"/>
      <c r="JL15" s="1325"/>
      <c r="JM15" s="1324">
        <v>1.0999999999999999E-2</v>
      </c>
      <c r="JN15" s="1324"/>
      <c r="JO15" s="1325"/>
      <c r="JP15" s="1324" t="s">
        <v>20</v>
      </c>
      <c r="JQ15" s="1324"/>
      <c r="JR15" s="1325"/>
      <c r="JS15" s="1324">
        <v>6.0000000000000001E-3</v>
      </c>
      <c r="JT15" s="1324"/>
      <c r="JU15" s="1325"/>
      <c r="JV15" s="1324">
        <v>7.0000000000000001E-3</v>
      </c>
      <c r="JW15" s="1324"/>
      <c r="JX15" s="1325"/>
      <c r="JY15" s="1324" t="s">
        <v>20</v>
      </c>
      <c r="JZ15" s="1324"/>
      <c r="KA15" s="1325"/>
      <c r="KB15" s="1324">
        <v>6.0000000000000001E-3</v>
      </c>
      <c r="KC15" s="1324"/>
      <c r="KD15" s="1325"/>
      <c r="KE15" s="1324">
        <v>8.0000000000000002E-3</v>
      </c>
      <c r="KF15" s="1324"/>
      <c r="KG15" s="1325"/>
      <c r="KH15" s="1324">
        <v>5.0000000000000001E-3</v>
      </c>
      <c r="KI15" s="1324"/>
      <c r="KJ15" s="1325"/>
      <c r="KK15" s="1324">
        <v>4.0000000000000001E-3</v>
      </c>
      <c r="KL15" s="1324"/>
      <c r="KM15" s="1325"/>
      <c r="KN15" s="1324">
        <v>6.0000000000000001E-3</v>
      </c>
      <c r="KO15" s="1324"/>
      <c r="KP15" s="1325"/>
      <c r="KQ15" s="1324">
        <v>1.2E-2</v>
      </c>
      <c r="KR15" s="1324"/>
      <c r="KS15" s="1325"/>
      <c r="KT15" s="1324">
        <v>6.0000000000000001E-3</v>
      </c>
      <c r="KU15" s="1324"/>
      <c r="KV15" s="1325"/>
      <c r="KW15" s="1324">
        <v>8.0000000000000002E-3</v>
      </c>
      <c r="KX15" s="1324"/>
      <c r="KY15" s="1325"/>
      <c r="KZ15" s="1324">
        <v>5.0000000000000001E-3</v>
      </c>
      <c r="LA15" s="1324"/>
      <c r="LB15" s="1325"/>
      <c r="LC15" s="1324">
        <v>6.0000000000000001E-3</v>
      </c>
      <c r="LD15" s="1324"/>
      <c r="LE15" s="1325"/>
      <c r="LF15" s="1324">
        <v>6.0000000000000001E-3</v>
      </c>
      <c r="LG15" s="1324"/>
      <c r="LH15" s="1325"/>
      <c r="LI15" s="1324">
        <v>7.0000000000000001E-3</v>
      </c>
      <c r="LJ15" s="1324"/>
      <c r="LK15" s="1325"/>
      <c r="LL15" s="1324" t="s">
        <v>20</v>
      </c>
      <c r="LM15" s="1324"/>
      <c r="LN15" s="1325"/>
      <c r="LO15" s="1324" t="s">
        <v>20</v>
      </c>
      <c r="LP15" s="1324"/>
      <c r="LQ15" s="1325"/>
      <c r="LR15" s="1324">
        <v>7.0000000000000001E-3</v>
      </c>
      <c r="LS15" s="1324"/>
      <c r="LT15" s="1325"/>
      <c r="LU15" s="1324">
        <v>7.0000000000000001E-3</v>
      </c>
      <c r="LV15" s="1324"/>
      <c r="LW15" s="1325"/>
      <c r="LX15" s="1324">
        <v>7.0000000000000001E-3</v>
      </c>
      <c r="LY15" s="1324"/>
      <c r="LZ15" s="1325"/>
      <c r="MA15" s="1324">
        <v>5.0000000000000001E-3</v>
      </c>
      <c r="MB15" s="1324"/>
      <c r="MC15" s="1325"/>
      <c r="MD15" s="1324">
        <v>5.0000000000000001E-3</v>
      </c>
      <c r="ME15" s="1324"/>
      <c r="MF15" s="1325"/>
      <c r="MG15" s="1324">
        <v>1.7899999999999999E-2</v>
      </c>
      <c r="MH15" s="1324"/>
      <c r="MI15" s="1325"/>
      <c r="MJ15" s="1324" t="s">
        <v>20</v>
      </c>
      <c r="MK15" s="1324"/>
      <c r="ML15" s="1325"/>
      <c r="MM15" s="1324">
        <v>7.0000000000000001E-3</v>
      </c>
      <c r="MN15" s="1324"/>
      <c r="MO15" s="1325"/>
      <c r="MP15" s="1324">
        <v>6.0000000000000001E-3</v>
      </c>
      <c r="MQ15" s="1324"/>
      <c r="MR15" s="1325"/>
      <c r="MS15" s="1324">
        <v>7.0000000000000001E-3</v>
      </c>
      <c r="MT15" s="1324"/>
      <c r="MU15" s="1325"/>
      <c r="MV15" s="1324">
        <v>6.0000000000000001E-3</v>
      </c>
      <c r="MW15" s="1324"/>
      <c r="MX15" s="1325"/>
      <c r="MY15" s="1324">
        <v>0.01</v>
      </c>
      <c r="MZ15" s="1324"/>
      <c r="NA15" s="1325"/>
      <c r="NB15" s="1324" t="s">
        <v>20</v>
      </c>
      <c r="NC15" s="1324"/>
      <c r="ND15" s="1325"/>
      <c r="NE15" s="1324" t="s">
        <v>20</v>
      </c>
      <c r="NF15" s="1324"/>
      <c r="NG15" s="1325"/>
      <c r="NH15" s="1324">
        <v>5.0000000000000001E-3</v>
      </c>
      <c r="NI15" s="1324"/>
      <c r="NJ15" s="1325"/>
      <c r="NK15" s="1324">
        <v>5.0000000000000001E-3</v>
      </c>
      <c r="NL15" s="1324"/>
      <c r="NM15" s="1325"/>
      <c r="NN15" s="1322">
        <v>4.0000000000000001E-3</v>
      </c>
      <c r="NO15" s="1322"/>
      <c r="NP15" s="1323"/>
      <c r="NQ15" s="1324">
        <v>6.0000000000000001E-3</v>
      </c>
      <c r="NR15" s="1324"/>
      <c r="NS15" s="1325"/>
      <c r="NT15" s="1324">
        <v>0.01</v>
      </c>
      <c r="NU15" s="1324"/>
      <c r="NV15" s="1325"/>
      <c r="NW15" s="1324" t="s">
        <v>20</v>
      </c>
      <c r="NX15" s="1324"/>
      <c r="NY15" s="1325"/>
      <c r="NZ15" s="1324" t="s">
        <v>20</v>
      </c>
      <c r="OA15" s="1324"/>
      <c r="OB15" s="1325"/>
      <c r="OC15" s="1324" t="s">
        <v>20</v>
      </c>
      <c r="OD15" s="1324"/>
      <c r="OE15" s="1325"/>
      <c r="OF15" s="1324">
        <v>3.1800000000000001E-3</v>
      </c>
      <c r="OG15" s="1324"/>
      <c r="OH15" s="1325"/>
      <c r="OI15" s="1324">
        <v>7.0000000000000001E-3</v>
      </c>
      <c r="OJ15" s="1324"/>
      <c r="OK15" s="1325"/>
      <c r="OL15" s="1324">
        <v>6.0000000000000001E-3</v>
      </c>
      <c r="OM15" s="1324"/>
      <c r="ON15" s="1325"/>
      <c r="OO15" s="1324">
        <v>1.4999999999999999E-2</v>
      </c>
      <c r="OP15" s="1324"/>
      <c r="OQ15" s="1325"/>
      <c r="OR15" s="1324" t="s">
        <v>20</v>
      </c>
      <c r="OS15" s="1324"/>
      <c r="OT15" s="1325"/>
      <c r="OU15" s="1324" t="s">
        <v>20</v>
      </c>
      <c r="OV15" s="1324"/>
      <c r="OW15" s="1325"/>
      <c r="OX15" s="1324" t="s">
        <v>20</v>
      </c>
      <c r="OY15" s="1324"/>
      <c r="OZ15" s="1325"/>
      <c r="PA15" s="1324">
        <v>7.0000000000000001E-3</v>
      </c>
      <c r="PB15" s="1324"/>
      <c r="PC15" s="1325"/>
      <c r="PD15" s="1324">
        <v>6.0000000000000001E-3</v>
      </c>
      <c r="PE15" s="1324"/>
      <c r="PF15" s="1325"/>
      <c r="PG15" s="1324">
        <v>8.9999999999999993E-3</v>
      </c>
      <c r="PH15" s="1324"/>
      <c r="PI15" s="1325"/>
      <c r="PJ15" s="1324" t="s">
        <v>20</v>
      </c>
      <c r="PK15" s="1324"/>
      <c r="PL15" s="1325"/>
      <c r="PM15" s="1324" t="s">
        <v>20</v>
      </c>
      <c r="PN15" s="1324"/>
      <c r="PO15" s="1325"/>
      <c r="PP15" s="1324" t="s">
        <v>20</v>
      </c>
      <c r="PQ15" s="1324"/>
      <c r="PR15" s="1325"/>
      <c r="PS15" s="1324">
        <v>7.0000000000000001E-3</v>
      </c>
      <c r="PT15" s="1324"/>
      <c r="PU15" s="1325"/>
      <c r="PV15" s="1324">
        <v>1.0999999999999999E-2</v>
      </c>
      <c r="PW15" s="1324"/>
      <c r="PX15" s="1325"/>
      <c r="PY15" s="1324">
        <v>2E-3</v>
      </c>
      <c r="PZ15" s="1324"/>
      <c r="QA15" s="1325"/>
      <c r="QB15" s="1324">
        <v>4.0000000000000001E-3</v>
      </c>
      <c r="QC15" s="1324"/>
      <c r="QD15" s="1325"/>
      <c r="QE15" s="1324">
        <v>7.0000000000000001E-3</v>
      </c>
      <c r="QF15" s="1324"/>
      <c r="QG15" s="1325"/>
      <c r="QH15" s="1324">
        <v>8.0000000000000002E-3</v>
      </c>
      <c r="QI15" s="1324"/>
      <c r="QJ15" s="1325"/>
      <c r="QK15" s="1324" t="s">
        <v>20</v>
      </c>
      <c r="QL15" s="1324"/>
      <c r="QM15" s="1325"/>
      <c r="QN15" s="1324">
        <v>5.0000000000000001E-3</v>
      </c>
      <c r="QO15" s="1324"/>
      <c r="QP15" s="1325"/>
      <c r="QQ15" s="1324">
        <v>7.0000000000000001E-3</v>
      </c>
      <c r="QR15" s="1324"/>
      <c r="QS15" s="1325"/>
      <c r="QT15" s="1324">
        <v>6.0000000000000001E-3</v>
      </c>
      <c r="QU15" s="1324"/>
      <c r="QV15" s="1325"/>
      <c r="QW15" s="1324">
        <v>7.0000000000000001E-3</v>
      </c>
      <c r="QX15" s="1324"/>
      <c r="QY15" s="1325"/>
      <c r="QZ15" s="1324">
        <v>0.01</v>
      </c>
      <c r="RA15" s="1324"/>
      <c r="RB15" s="1325"/>
      <c r="RC15" s="1324" t="s">
        <v>20</v>
      </c>
      <c r="RD15" s="1324"/>
      <c r="RE15" s="1325"/>
      <c r="RF15" s="1324" t="s">
        <v>20</v>
      </c>
      <c r="RG15" s="1324"/>
      <c r="RH15" s="1325"/>
      <c r="RI15" s="1324">
        <v>3.2399999999999998E-3</v>
      </c>
      <c r="RJ15" s="1324"/>
      <c r="RK15" s="1325"/>
      <c r="RL15" s="1324">
        <v>8.9999999999999993E-3</v>
      </c>
      <c r="RM15" s="1324"/>
      <c r="RN15" s="1325"/>
      <c r="RO15" s="1324">
        <v>7.0000000000000001E-3</v>
      </c>
      <c r="RP15" s="1324"/>
      <c r="RQ15" s="1325"/>
      <c r="RR15" s="1324">
        <v>3.0000000000000001E-3</v>
      </c>
      <c r="RS15" s="1324"/>
      <c r="RT15" s="1325"/>
      <c r="RU15" s="1324">
        <v>3.29E-3</v>
      </c>
      <c r="RV15" s="1324"/>
      <c r="RW15" s="1325"/>
      <c r="RX15" s="1324" t="s">
        <v>20</v>
      </c>
      <c r="RY15" s="1324"/>
      <c r="RZ15" s="1325"/>
      <c r="SA15" s="1324" t="s">
        <v>20</v>
      </c>
      <c r="SB15" s="1324"/>
      <c r="SC15" s="1325"/>
      <c r="SD15" s="1324" t="s">
        <v>20</v>
      </c>
      <c r="SE15" s="1324"/>
      <c r="SF15" s="1325"/>
      <c r="SG15" s="1324">
        <v>1.0200000000000001E-2</v>
      </c>
      <c r="SH15" s="1324"/>
      <c r="SI15" s="1325"/>
      <c r="SJ15" s="1324">
        <v>1.2999999999999999E-2</v>
      </c>
      <c r="SK15" s="1324"/>
      <c r="SL15" s="1325"/>
      <c r="SM15" s="1324">
        <v>8.0199999999999994E-3</v>
      </c>
      <c r="SN15" s="1324"/>
      <c r="SO15" s="1325"/>
      <c r="SP15" s="1324">
        <v>5.9100000000000003E-3</v>
      </c>
      <c r="SQ15" s="1324"/>
      <c r="SR15" s="1325"/>
      <c r="SS15" s="1324">
        <v>1.0840000000000001E-2</v>
      </c>
      <c r="ST15" s="1324"/>
      <c r="SU15" s="1325"/>
      <c r="SV15" s="1324">
        <v>1.106E-2</v>
      </c>
      <c r="SW15" s="1324"/>
      <c r="SX15" s="1325"/>
      <c r="SY15" s="1324">
        <v>7.3299999999999997E-3</v>
      </c>
      <c r="SZ15" s="1324"/>
      <c r="TA15" s="1325"/>
      <c r="TB15" s="1324">
        <v>1.1010000000000001E-2</v>
      </c>
      <c r="TC15" s="1324"/>
      <c r="TD15" s="1325"/>
      <c r="TE15" s="1324">
        <v>4.5199999999999997E-3</v>
      </c>
      <c r="TF15" s="1324"/>
      <c r="TG15" s="1325"/>
      <c r="TH15" s="1324">
        <v>4.7800000000000004E-3</v>
      </c>
      <c r="TI15" s="1324"/>
      <c r="TJ15" s="1325"/>
      <c r="TK15" s="1324">
        <v>5.4599999999999996E-3</v>
      </c>
      <c r="TL15" s="1324"/>
      <c r="TM15" s="1325"/>
      <c r="TN15" s="1403">
        <v>7.77E-3</v>
      </c>
      <c r="TO15" s="1403"/>
      <c r="TP15" s="1404"/>
      <c r="TQ15" s="1324">
        <v>1.329E-2</v>
      </c>
      <c r="TR15" s="1324"/>
      <c r="TS15" s="1325"/>
      <c r="TT15" s="1324">
        <v>6.45E-3</v>
      </c>
      <c r="TU15" s="1324"/>
      <c r="TV15" s="1325"/>
      <c r="TW15" s="1324">
        <v>7.4000000000000003E-3</v>
      </c>
      <c r="TX15" s="1324"/>
      <c r="TY15" s="1325"/>
      <c r="TZ15" s="1324">
        <v>7.5700000000000003E-3</v>
      </c>
      <c r="UA15" s="1324"/>
      <c r="UB15" s="1325"/>
      <c r="UC15" s="1324">
        <v>5.94E-3</v>
      </c>
      <c r="UD15" s="1324"/>
      <c r="UE15" s="1325"/>
      <c r="UF15" s="1324">
        <v>1.2E-2</v>
      </c>
      <c r="UG15" s="1324"/>
      <c r="UH15" s="1325"/>
      <c r="UI15" s="1324"/>
      <c r="UJ15" s="1324"/>
      <c r="UK15" s="1325"/>
      <c r="UL15" s="1324"/>
      <c r="UM15" s="1324"/>
      <c r="UN15" s="1325"/>
      <c r="UO15" s="1324">
        <v>7.0000000000000001E-3</v>
      </c>
      <c r="UP15" s="1324"/>
      <c r="UQ15" s="1325"/>
      <c r="UR15" s="1324">
        <v>8.9999999999999993E-3</v>
      </c>
      <c r="US15" s="1324"/>
      <c r="UT15" s="1325"/>
      <c r="UU15" s="1324">
        <v>7.0000000000000001E-3</v>
      </c>
      <c r="UV15" s="1324"/>
      <c r="UW15" s="1325"/>
      <c r="UX15" s="1324">
        <v>8.0000000000000002E-3</v>
      </c>
      <c r="UY15" s="1324"/>
      <c r="UZ15" s="1325"/>
      <c r="VA15" s="1324">
        <v>1.0149999999999999E-2</v>
      </c>
      <c r="VB15" s="1324"/>
      <c r="VC15" s="1325"/>
      <c r="VD15" s="1324"/>
      <c r="VE15" s="1324"/>
      <c r="VF15" s="1325"/>
      <c r="VG15" s="1324"/>
      <c r="VH15" s="1324"/>
      <c r="VI15" s="1325"/>
      <c r="VJ15" s="1324">
        <v>4.0000000000000001E-3</v>
      </c>
      <c r="VK15" s="1324"/>
      <c r="VL15" s="1325"/>
      <c r="VM15" s="1324">
        <v>8.9999999999999993E-3</v>
      </c>
      <c r="VN15" s="1324"/>
      <c r="VO15" s="1325"/>
      <c r="VP15" s="1324">
        <v>6.0000000000000001E-3</v>
      </c>
      <c r="VQ15" s="1324"/>
      <c r="VR15" s="1325"/>
      <c r="VS15" s="1324">
        <v>6.0000000000000001E-3</v>
      </c>
      <c r="VT15" s="1324"/>
      <c r="VU15" s="1325"/>
      <c r="VV15" s="1324">
        <v>1.0999999999999999E-2</v>
      </c>
      <c r="VW15" s="1324"/>
      <c r="VX15" s="1325"/>
      <c r="VY15" s="1324"/>
      <c r="VZ15" s="1324"/>
      <c r="WA15" s="1325"/>
      <c r="WB15" s="1324"/>
      <c r="WC15" s="1324"/>
      <c r="WD15" s="1325"/>
      <c r="WE15" s="1324">
        <v>7.0000000000000001E-3</v>
      </c>
      <c r="WF15" s="1324"/>
      <c r="WG15" s="1325"/>
      <c r="WH15" s="1324">
        <v>6.0000000000000001E-3</v>
      </c>
      <c r="WI15" s="1324"/>
      <c r="WJ15" s="1325"/>
      <c r="WK15" s="1324">
        <v>5.0000000000000001E-3</v>
      </c>
      <c r="WL15" s="1324"/>
      <c r="WM15" s="1325"/>
      <c r="WN15" s="1324">
        <v>0.01</v>
      </c>
      <c r="WO15" s="1324"/>
      <c r="WP15" s="1325"/>
      <c r="WQ15" s="1324">
        <v>7.0000000000000001E-3</v>
      </c>
      <c r="WR15" s="1324"/>
      <c r="WS15" s="1325"/>
      <c r="WT15" s="1324"/>
      <c r="WU15" s="1324"/>
      <c r="WV15" s="1325"/>
      <c r="WW15" s="1324"/>
      <c r="WX15" s="1324"/>
      <c r="WY15" s="1325"/>
      <c r="WZ15" s="1324">
        <v>5.0000000000000001E-3</v>
      </c>
      <c r="XA15" s="1324"/>
      <c r="XB15" s="1325"/>
      <c r="XC15" s="1324">
        <v>6.0000000000000001E-3</v>
      </c>
      <c r="XD15" s="1324"/>
      <c r="XE15" s="1325"/>
      <c r="XF15" s="1324">
        <v>5.0000000000000001E-3</v>
      </c>
      <c r="XG15" s="1324"/>
      <c r="XH15" s="1325"/>
      <c r="XI15" s="1324">
        <v>7.0000000000000001E-3</v>
      </c>
      <c r="XJ15" s="1324"/>
      <c r="XK15" s="1325"/>
      <c r="XL15" s="1324">
        <v>0.01</v>
      </c>
      <c r="XM15" s="1324"/>
      <c r="XN15" s="1325"/>
      <c r="XO15" s="1324"/>
      <c r="XP15" s="1324"/>
      <c r="XQ15" s="1325"/>
      <c r="XR15" s="1324"/>
      <c r="XS15" s="1324"/>
      <c r="XT15" s="1325"/>
      <c r="XU15" s="1324">
        <v>5.0000000000000001E-3</v>
      </c>
      <c r="XV15" s="1324"/>
      <c r="XW15" s="1325"/>
      <c r="XX15" s="1324">
        <v>6.0000000000000001E-3</v>
      </c>
      <c r="XY15" s="1324"/>
      <c r="XZ15" s="1325"/>
      <c r="YA15" s="1324">
        <v>8.9999999999999993E-3</v>
      </c>
      <c r="YB15" s="1324"/>
      <c r="YC15" s="1325"/>
      <c r="YD15" s="1324">
        <v>8.0000000000000002E-3</v>
      </c>
      <c r="YE15" s="1324"/>
      <c r="YF15" s="1325"/>
      <c r="YG15" s="1324">
        <v>7.0000000000000001E-3</v>
      </c>
      <c r="YH15" s="1324"/>
      <c r="YI15" s="1325"/>
      <c r="YJ15" s="1324"/>
      <c r="YK15" s="1324"/>
      <c r="YL15" s="1325"/>
      <c r="YM15" s="1324"/>
      <c r="YN15" s="1324"/>
      <c r="YO15" s="1325"/>
      <c r="YP15" s="1324">
        <v>4.0000000000000001E-3</v>
      </c>
      <c r="YQ15" s="1324"/>
      <c r="YR15" s="1325"/>
      <c r="YS15" s="1324">
        <v>5.0000000000000001E-3</v>
      </c>
      <c r="YT15" s="1324"/>
      <c r="YU15" s="1325"/>
      <c r="YV15" s="1324">
        <v>6.0000000000000001E-3</v>
      </c>
      <c r="YW15" s="1324"/>
      <c r="YX15" s="1325"/>
      <c r="YY15" s="1324">
        <v>6.0000000000000001E-3</v>
      </c>
      <c r="YZ15" s="1324"/>
      <c r="ZA15" s="1325"/>
      <c r="ZB15" s="1324"/>
      <c r="ZC15" s="1324"/>
      <c r="ZD15" s="1325"/>
      <c r="ZE15" s="1324"/>
      <c r="ZF15" s="1324"/>
      <c r="ZG15" s="1325"/>
      <c r="ZH15" s="1324"/>
      <c r="ZI15" s="1324"/>
      <c r="ZJ15" s="1325"/>
      <c r="ZK15" s="1324">
        <v>0.01</v>
      </c>
      <c r="ZL15" s="1324"/>
      <c r="ZM15" s="1325"/>
      <c r="ZN15" s="1324">
        <v>8.9999999999999993E-3</v>
      </c>
      <c r="ZO15" s="1324"/>
      <c r="ZP15" s="1325"/>
      <c r="ZQ15" s="1324">
        <v>1.4E-2</v>
      </c>
      <c r="ZR15" s="1324"/>
      <c r="ZS15" s="1325"/>
      <c r="ZT15" s="1324">
        <v>7.0000000000000001E-3</v>
      </c>
      <c r="ZU15" s="1324"/>
      <c r="ZV15" s="1325"/>
      <c r="ZW15" s="1324">
        <v>0.01</v>
      </c>
      <c r="ZX15" s="1324"/>
      <c r="ZY15" s="1325"/>
      <c r="ZZ15" s="1324">
        <v>0.01</v>
      </c>
      <c r="AAA15" s="1324"/>
      <c r="AAB15" s="1325"/>
      <c r="AAC15" s="1324"/>
      <c r="AAD15" s="1324"/>
      <c r="AAE15" s="1325"/>
      <c r="AAF15" s="1324">
        <v>6.0000000000000001E-3</v>
      </c>
      <c r="AAG15" s="1324"/>
      <c r="AAH15" s="1325"/>
      <c r="AAI15" s="1324">
        <v>8.9999999999999993E-3</v>
      </c>
      <c r="AAJ15" s="1324"/>
      <c r="AAK15" s="1325"/>
      <c r="AAL15" s="1324">
        <v>8.0000000000000002E-3</v>
      </c>
      <c r="AAM15" s="1324"/>
      <c r="AAN15" s="1325"/>
      <c r="AAO15" s="1324">
        <v>8.0000000000000002E-3</v>
      </c>
      <c r="AAP15" s="1324"/>
      <c r="AAQ15" s="1325"/>
      <c r="AAR15" s="1324">
        <v>7.0000000000000001E-3</v>
      </c>
      <c r="AAS15" s="1324"/>
      <c r="AAT15" s="1325"/>
      <c r="AAU15" s="1324">
        <v>8.0000000000000002E-3</v>
      </c>
      <c r="AAV15" s="1324"/>
      <c r="AAW15" s="1325"/>
      <c r="AAX15" s="1324"/>
      <c r="AAY15" s="1324"/>
      <c r="AAZ15" s="1325"/>
      <c r="ABA15" s="1324">
        <v>5.0000000000000001E-3</v>
      </c>
      <c r="ABB15" s="1324"/>
      <c r="ABC15" s="1325"/>
      <c r="ABD15" s="1324">
        <v>8.9999999999999993E-3</v>
      </c>
      <c r="ABE15" s="1324"/>
      <c r="ABF15" s="1325"/>
      <c r="ABG15" s="1431">
        <v>7.0000000000000001E-3</v>
      </c>
      <c r="ABH15" s="1431"/>
      <c r="ABI15" s="1432"/>
      <c r="ABJ15" s="1431">
        <v>7.0000000000000001E-3</v>
      </c>
      <c r="ABK15" s="1431"/>
      <c r="ABL15" s="1432"/>
      <c r="ABM15" s="1431">
        <v>4.0000000000000001E-3</v>
      </c>
      <c r="ABN15" s="1431"/>
      <c r="ABO15" s="1432"/>
      <c r="ABP15" s="1431">
        <v>7.0000000000000001E-3</v>
      </c>
      <c r="ABQ15" s="1431"/>
      <c r="ABR15" s="1432"/>
      <c r="ABS15" s="1431"/>
      <c r="ABT15" s="1431"/>
      <c r="ABU15" s="1432"/>
      <c r="ABV15" s="1431">
        <v>7.0000000000000001E-3</v>
      </c>
      <c r="ABW15" s="1431"/>
      <c r="ABX15" s="1432"/>
      <c r="ABY15" s="1431">
        <v>4.9300000000000004E-3</v>
      </c>
      <c r="ABZ15" s="1431"/>
      <c r="ACA15" s="1432"/>
      <c r="ACB15" s="1431">
        <v>4.0000000000000001E-3</v>
      </c>
      <c r="ACC15" s="1431"/>
      <c r="ACD15" s="1432"/>
      <c r="ACE15" s="1431">
        <v>6.5799999999999999E-3</v>
      </c>
      <c r="ACF15" s="1431"/>
      <c r="ACG15" s="1432"/>
      <c r="ACH15" s="1431">
        <v>1.444E-2</v>
      </c>
      <c r="ACI15" s="1431"/>
      <c r="ACJ15" s="1432"/>
      <c r="ACK15" s="1431"/>
      <c r="ACL15" s="1431"/>
      <c r="ACM15" s="1432"/>
      <c r="ACN15" s="1431"/>
      <c r="ACO15" s="1431"/>
      <c r="ACP15" s="1432"/>
      <c r="ACQ15" s="1431">
        <v>3.354E-2</v>
      </c>
      <c r="ACR15" s="1431"/>
      <c r="ACS15" s="1432"/>
      <c r="ACT15" s="1431">
        <v>8.0000000000000002E-3</v>
      </c>
      <c r="ACU15" s="1431"/>
      <c r="ACV15" s="1432"/>
      <c r="ACW15" s="1431">
        <v>6.0000000000000001E-3</v>
      </c>
      <c r="ACX15" s="1431"/>
      <c r="ACY15" s="1432"/>
      <c r="ACZ15" s="1431">
        <v>0.01</v>
      </c>
      <c r="ADA15" s="1431"/>
      <c r="ADB15" s="1432"/>
      <c r="ADC15" s="1431">
        <v>6.0000000000000001E-3</v>
      </c>
      <c r="ADD15" s="1431"/>
      <c r="ADE15" s="1432"/>
      <c r="ADF15" s="1431">
        <v>5.0000000000000001E-3</v>
      </c>
      <c r="ADG15" s="1431"/>
      <c r="ADH15" s="1432"/>
      <c r="ADI15" s="1431">
        <v>6.0000000000000001E-3</v>
      </c>
      <c r="ADJ15" s="1431"/>
      <c r="ADK15" s="1432"/>
      <c r="ADL15" s="1431">
        <v>8.9999999999999993E-3</v>
      </c>
      <c r="ADM15" s="1431"/>
      <c r="ADN15" s="1432"/>
      <c r="ADO15" s="1431">
        <v>8.0000000000000002E-3</v>
      </c>
      <c r="ADP15" s="1431"/>
      <c r="ADQ15" s="1432"/>
      <c r="ADR15" s="1431">
        <v>6.0000000000000001E-3</v>
      </c>
      <c r="ADS15" s="1431"/>
      <c r="ADT15" s="1432"/>
      <c r="ADU15" s="1431">
        <v>6.13E-3</v>
      </c>
      <c r="ADV15" s="1431"/>
      <c r="ADW15" s="1432"/>
      <c r="ADX15" s="1431">
        <v>4.9899999999999996E-3</v>
      </c>
      <c r="ADY15" s="1431"/>
      <c r="ADZ15" s="1432"/>
      <c r="AEA15" s="1431">
        <v>1.281E-2</v>
      </c>
      <c r="AEB15" s="1431"/>
      <c r="AEC15" s="1432"/>
      <c r="AED15" s="1431">
        <v>0</v>
      </c>
      <c r="AEE15" s="1431"/>
      <c r="AEF15" s="1432"/>
      <c r="AEG15" s="1431">
        <v>2.2929999999999999E-2</v>
      </c>
      <c r="AEH15" s="1431"/>
      <c r="AEI15" s="1432"/>
      <c r="AEJ15" s="1431">
        <v>0</v>
      </c>
      <c r="AEK15" s="1431"/>
      <c r="AEL15" s="1432"/>
      <c r="AEM15" s="1431">
        <v>4.81E-3</v>
      </c>
      <c r="AEN15" s="1431"/>
      <c r="AEO15" s="1432"/>
      <c r="AEP15" s="1431">
        <v>2.4879999999999999E-2</v>
      </c>
      <c r="AEQ15" s="1431"/>
      <c r="AER15" s="1432"/>
      <c r="AES15" s="1431">
        <v>6.7000000000000002E-3</v>
      </c>
      <c r="AET15" s="1431"/>
      <c r="AEU15" s="1432"/>
      <c r="AEV15" s="1431">
        <v>1.0999999999999999E-2</v>
      </c>
      <c r="AEW15" s="1431"/>
      <c r="AEX15" s="1432"/>
      <c r="AEY15" s="1431">
        <v>0.01</v>
      </c>
      <c r="AEZ15" s="1431"/>
      <c r="AFA15" s="1432"/>
      <c r="AFB15" s="1431">
        <v>6.0000000000000001E-3</v>
      </c>
      <c r="AFC15" s="1431"/>
      <c r="AFD15" s="1432"/>
      <c r="AFE15" s="1431">
        <v>1.4E-2</v>
      </c>
      <c r="AFF15" s="1431"/>
      <c r="AFG15" s="1432"/>
      <c r="AFH15" s="1431">
        <v>8.0000000000000002E-3</v>
      </c>
      <c r="AFI15" s="1431"/>
      <c r="AFJ15" s="1432"/>
      <c r="AFK15" s="1431">
        <v>1.4E-2</v>
      </c>
      <c r="AFL15" s="1431"/>
      <c r="AFM15" s="1432"/>
      <c r="AFN15" s="1431">
        <v>8.9999999999999993E-3</v>
      </c>
      <c r="AFO15" s="1431"/>
      <c r="AFP15" s="1432"/>
      <c r="AFQ15" s="1431"/>
      <c r="AFR15" s="1431"/>
      <c r="AFS15" s="1432"/>
      <c r="AFT15" s="1431"/>
      <c r="AFU15" s="1431"/>
      <c r="AFV15" s="1432"/>
      <c r="AFW15" s="1431">
        <v>6.0000000000000001E-3</v>
      </c>
      <c r="AFX15" s="1431"/>
      <c r="AFY15" s="1432"/>
      <c r="AFZ15" s="1431">
        <v>7.0000000000000001E-3</v>
      </c>
      <c r="AGA15" s="1431"/>
      <c r="AGB15" s="1432"/>
      <c r="AGC15" s="1431">
        <v>5.0000000000000001E-3</v>
      </c>
      <c r="AGD15" s="1431"/>
      <c r="AGE15" s="1432"/>
      <c r="AGF15" s="1431">
        <v>0.01</v>
      </c>
      <c r="AGG15" s="1431"/>
      <c r="AGH15" s="1432"/>
      <c r="AGI15" s="1431">
        <v>3.4000000000000002E-2</v>
      </c>
      <c r="AGJ15" s="1431"/>
      <c r="AGK15" s="1432"/>
      <c r="AGL15" s="1431">
        <v>1.2E-2</v>
      </c>
      <c r="AGM15" s="1431"/>
      <c r="AGN15" s="1432"/>
      <c r="AGO15" s="1431">
        <v>1.2E-2</v>
      </c>
      <c r="AGP15" s="1431"/>
      <c r="AGQ15" s="1432"/>
      <c r="AGR15" s="1431">
        <v>8.0000000000000002E-3</v>
      </c>
      <c r="AGS15" s="1431"/>
      <c r="AGT15" s="1432"/>
      <c r="AGU15" s="1431">
        <v>6.0000000000000001E-3</v>
      </c>
      <c r="AGV15" s="1431"/>
      <c r="AGW15" s="1432"/>
      <c r="AGX15" s="1431">
        <v>5.0000000000000001E-3</v>
      </c>
      <c r="AGY15" s="1431"/>
      <c r="AGZ15" s="1432"/>
      <c r="AHA15" s="1431">
        <v>7.0000000000000001E-3</v>
      </c>
      <c r="AHB15" s="1431"/>
      <c r="AHC15" s="1432"/>
      <c r="AHD15" s="1431">
        <v>4.0000000000000001E-3</v>
      </c>
      <c r="AHE15" s="1431"/>
      <c r="AHF15" s="1432"/>
      <c r="AHG15" s="1431">
        <v>0.01</v>
      </c>
      <c r="AHH15" s="1431"/>
      <c r="AHI15" s="1432"/>
      <c r="AHJ15" s="1431"/>
      <c r="AHK15" s="1431"/>
      <c r="AHL15" s="1432"/>
      <c r="AHM15" s="1431"/>
      <c r="AHN15" s="1431"/>
      <c r="AHO15" s="1432"/>
      <c r="AHP15" s="1431">
        <v>6.0000000000000001E-3</v>
      </c>
      <c r="AHQ15" s="1431"/>
      <c r="AHR15" s="1432"/>
      <c r="AHS15" s="1431">
        <v>8.5800000000000008E-3</v>
      </c>
      <c r="AHT15" s="1431"/>
      <c r="AHU15" s="1432"/>
      <c r="AHV15" s="1431">
        <v>6.0299999999999998E-3</v>
      </c>
      <c r="AHW15" s="1431"/>
      <c r="AHX15" s="1432"/>
      <c r="AHY15" s="1431">
        <v>9.9600000000000001E-3</v>
      </c>
      <c r="AHZ15" s="1431"/>
      <c r="AIA15" s="1432"/>
      <c r="AIB15" s="1431">
        <v>6.7400000000000003E-3</v>
      </c>
      <c r="AIC15" s="1431"/>
      <c r="AID15" s="1432"/>
      <c r="AIE15" s="1431">
        <v>0</v>
      </c>
      <c r="AIF15" s="1324"/>
      <c r="AIG15" s="1325"/>
      <c r="AIH15" s="1324"/>
      <c r="AII15" s="1324"/>
      <c r="AIJ15" s="1325"/>
      <c r="AIK15" s="1324">
        <v>8.1499999999999993E-3</v>
      </c>
      <c r="AIL15" s="1324"/>
      <c r="AIM15" s="1325"/>
      <c r="AIN15" s="1324">
        <v>8.0099999999999998E-3</v>
      </c>
      <c r="AIO15" s="1324"/>
      <c r="AIP15" s="1325"/>
      <c r="AIQ15" s="1324">
        <v>5.3800000000000002E-3</v>
      </c>
      <c r="AIR15" s="1324"/>
      <c r="AIS15" s="1325"/>
      <c r="AIT15" s="1324">
        <v>6.4799999999999996E-3</v>
      </c>
      <c r="AIU15" s="1324"/>
      <c r="AIV15" s="1325"/>
      <c r="AIW15" s="1324">
        <v>1.057E-2</v>
      </c>
      <c r="AIX15" s="1324"/>
      <c r="AIY15" s="1325"/>
      <c r="AIZ15" s="1324"/>
      <c r="AJA15" s="1324"/>
      <c r="AJB15" s="1325"/>
      <c r="AJC15" s="1324"/>
      <c r="AJD15" s="1324"/>
      <c r="AJE15" s="1325"/>
      <c r="AJF15" s="1324">
        <v>6.45E-3</v>
      </c>
      <c r="AJG15" s="1324"/>
      <c r="AJH15" s="1325"/>
      <c r="AJI15" s="1322">
        <v>5.8999999999999999E-3</v>
      </c>
      <c r="AJJ15" s="1322"/>
      <c r="AJK15" s="1323"/>
      <c r="AJL15" s="1322">
        <v>6.45E-3</v>
      </c>
      <c r="AJM15" s="1322"/>
      <c r="AJN15" s="1323"/>
      <c r="AJO15" s="1324">
        <v>7.3600000000000002E-3</v>
      </c>
      <c r="AJP15" s="1324"/>
      <c r="AJQ15" s="1325"/>
      <c r="AJR15" s="1324">
        <v>8.2699999999999996E-3</v>
      </c>
      <c r="AJS15" s="1324"/>
      <c r="AJT15" s="1325"/>
      <c r="AJU15" s="1324">
        <v>5.6800000000000002E-3</v>
      </c>
      <c r="AJV15" s="1324"/>
      <c r="AJW15" s="1325"/>
      <c r="AJX15" s="1324">
        <v>3.3939999999999998E-2</v>
      </c>
      <c r="AJY15" s="1324"/>
      <c r="AJZ15" s="1325"/>
      <c r="AKA15" s="1324">
        <v>3.4500000000000003E-2</v>
      </c>
      <c r="AKB15" s="1324"/>
      <c r="AKC15" s="1325"/>
      <c r="AKD15" s="1324">
        <v>7.4099999999999999E-3</v>
      </c>
      <c r="AKE15" s="1324"/>
      <c r="AKF15" s="1325"/>
      <c r="AKG15" s="1324">
        <v>1.9630000000000002E-2</v>
      </c>
      <c r="AKH15" s="1324"/>
      <c r="AKI15" s="1325"/>
      <c r="AKJ15" s="1324">
        <v>6.2500000000000003E-3</v>
      </c>
      <c r="AKK15" s="1324"/>
      <c r="AKL15" s="1325"/>
      <c r="AKM15" s="1324">
        <v>1.251E-2</v>
      </c>
      <c r="AKN15" s="1324"/>
      <c r="AKO15" s="1325"/>
      <c r="AKP15" s="1324">
        <v>7.2899999999999996E-3</v>
      </c>
      <c r="AKQ15" s="1324"/>
      <c r="AKR15" s="1325"/>
      <c r="AKS15" s="1324">
        <v>1.92E-3</v>
      </c>
      <c r="AKT15" s="1324"/>
      <c r="AKU15" s="1325"/>
      <c r="AKV15" s="1324">
        <v>1.0370000000000001E-2</v>
      </c>
      <c r="AKW15" s="1324"/>
      <c r="AKX15" s="1325"/>
      <c r="AKY15" s="1324">
        <v>3.415E-2</v>
      </c>
      <c r="AKZ15" s="1324"/>
      <c r="ALA15" s="1325"/>
      <c r="ALB15" s="1324" t="s">
        <v>20</v>
      </c>
      <c r="ALC15" s="1324"/>
      <c r="ALD15" s="1325"/>
      <c r="ALE15" s="1324">
        <v>6.2500000000000003E-3</v>
      </c>
      <c r="ALF15" s="1324"/>
      <c r="ALG15" s="1325"/>
      <c r="ALH15" s="1324">
        <v>6.1500000000000001E-3</v>
      </c>
      <c r="ALI15" s="1324"/>
      <c r="ALJ15" s="1325"/>
      <c r="ALK15" s="1324">
        <v>3.5100000000000001E-3</v>
      </c>
      <c r="ALL15" s="1324"/>
      <c r="ALM15" s="1325"/>
      <c r="ALN15" s="1324">
        <v>3.5999999999999999E-3</v>
      </c>
      <c r="ALO15" s="1324"/>
      <c r="ALP15" s="1325"/>
      <c r="ALQ15" s="1324">
        <v>9.1800000000000007E-3</v>
      </c>
      <c r="ALR15" s="1324"/>
      <c r="ALS15" s="1325"/>
      <c r="ALT15" s="1324">
        <v>1.0999999999999999E-2</v>
      </c>
      <c r="ALU15" s="1324"/>
      <c r="ALV15" s="1325"/>
      <c r="ALW15" s="1324"/>
      <c r="ALX15" s="1324"/>
      <c r="ALY15" s="1325"/>
      <c r="ALZ15" s="1324">
        <v>6.0000000000000001E-3</v>
      </c>
      <c r="AMA15" s="1324"/>
      <c r="AMB15" s="1325"/>
      <c r="AMC15" s="1324">
        <v>8.6700000000000006E-3</v>
      </c>
      <c r="AMD15" s="1324"/>
      <c r="AME15" s="1325"/>
      <c r="AMF15" s="1324"/>
      <c r="AMG15" s="1324"/>
      <c r="AMH15" s="1325"/>
      <c r="AMI15" s="1324">
        <v>2.5690000000000001E-2</v>
      </c>
      <c r="AMJ15" s="1324"/>
      <c r="AMK15" s="1325"/>
      <c r="AML15" s="1349">
        <v>7.8700000000000003E-3</v>
      </c>
      <c r="AMM15" s="1324"/>
      <c r="AMN15" s="1325"/>
      <c r="AMO15" s="1349">
        <v>5.0600000000000003E-3</v>
      </c>
      <c r="AMP15" s="1324"/>
      <c r="AMQ15" s="1325"/>
      <c r="AMR15" s="1349">
        <v>6.8300000000000001E-3</v>
      </c>
      <c r="AMS15" s="1324"/>
      <c r="AMT15" s="1325"/>
      <c r="AMU15" s="1349">
        <v>8.2400000000000008E-3</v>
      </c>
      <c r="AMV15" s="1324"/>
      <c r="AMW15" s="1325"/>
      <c r="AMX15" s="1324">
        <v>1.7069999999999998E-2</v>
      </c>
      <c r="AMY15" s="1324"/>
      <c r="AMZ15" s="1325"/>
      <c r="ANA15" s="1324">
        <v>6.45E-3</v>
      </c>
      <c r="ANB15" s="1324"/>
      <c r="ANC15" s="1325"/>
      <c r="AND15" s="1324">
        <v>7.1199999999999996E-3</v>
      </c>
      <c r="ANE15" s="1324"/>
      <c r="ANF15" s="1325"/>
      <c r="ANG15" s="1324">
        <v>6.7000000000000002E-3</v>
      </c>
      <c r="ANH15" s="1324"/>
      <c r="ANI15" s="1325"/>
      <c r="ANJ15" s="1324">
        <v>6.2899999999999996E-3</v>
      </c>
      <c r="ANK15" s="1324"/>
      <c r="ANL15" s="1325"/>
      <c r="ANM15" s="1324">
        <v>1.2290000000000001E-2</v>
      </c>
      <c r="ANN15" s="1324"/>
      <c r="ANO15" s="1325"/>
      <c r="ANP15" s="1324">
        <v>7.4599999999999996E-3</v>
      </c>
      <c r="ANQ15" s="1324"/>
      <c r="ANR15" s="1325"/>
      <c r="ANS15" s="1324">
        <v>9.5999999999999992E-3</v>
      </c>
      <c r="ANT15" s="1324"/>
      <c r="ANU15" s="1325"/>
      <c r="ANV15" s="1324"/>
      <c r="ANW15" s="1324"/>
      <c r="ANX15" s="1325"/>
      <c r="ANY15" s="1324">
        <v>3.5100000000000001E-3</v>
      </c>
      <c r="ANZ15" s="1324"/>
      <c r="AOA15" s="1325"/>
      <c r="AOB15" s="1324">
        <v>4.8399999999999997E-3</v>
      </c>
      <c r="AOC15" s="1324"/>
      <c r="AOD15" s="1325"/>
      <c r="AOE15" s="1324">
        <v>5.4999999999999997E-3</v>
      </c>
      <c r="AOF15" s="1324"/>
      <c r="AOG15" s="1325"/>
      <c r="AOH15" s="1324">
        <v>6.3E-3</v>
      </c>
      <c r="AOI15" s="1324"/>
      <c r="AOJ15" s="1325"/>
      <c r="AOK15" s="1324">
        <v>4.3E-3</v>
      </c>
      <c r="AOL15" s="1324"/>
      <c r="AOM15" s="1325"/>
      <c r="AON15" s="1324">
        <v>9.4999999999999998E-3</v>
      </c>
      <c r="AOO15" s="1324"/>
      <c r="AOP15" s="1325"/>
      <c r="AOQ15" s="1324">
        <v>3.0999999999999999E-3</v>
      </c>
      <c r="AOR15" s="1324"/>
      <c r="AOS15" s="1325"/>
      <c r="AOT15" s="1324">
        <v>1.9400000000000001E-2</v>
      </c>
      <c r="AOU15" s="1324"/>
      <c r="AOV15" s="1325"/>
      <c r="AOW15" s="1324">
        <v>2.2200000000000001E-2</v>
      </c>
      <c r="AOX15" s="1324"/>
      <c r="AOY15" s="1325"/>
      <c r="AOZ15" s="1324">
        <v>5.4999999999999997E-3</v>
      </c>
      <c r="APA15" s="1324"/>
      <c r="APB15" s="1325"/>
      <c r="APC15" s="1324">
        <v>6.6E-3</v>
      </c>
      <c r="APD15" s="1324"/>
      <c r="APE15" s="1325"/>
      <c r="APF15" s="1324">
        <v>1.06E-2</v>
      </c>
      <c r="APG15" s="1324"/>
      <c r="APH15" s="1325"/>
      <c r="API15" s="1324" t="s">
        <v>20</v>
      </c>
      <c r="APJ15" s="1324"/>
      <c r="APK15" s="1325"/>
      <c r="APL15" s="1324" t="s">
        <v>20</v>
      </c>
      <c r="APM15" s="1324"/>
      <c r="APN15" s="1325"/>
      <c r="APO15" s="1324">
        <v>4.1099999999999999E-3</v>
      </c>
      <c r="APP15" s="1324"/>
      <c r="APQ15" s="1325"/>
      <c r="APR15" s="1324">
        <v>5.5500000000000002E-3</v>
      </c>
      <c r="APS15" s="1324"/>
      <c r="APT15" s="1325"/>
      <c r="APU15" s="1324">
        <v>6.4099999999999999E-3</v>
      </c>
      <c r="APV15" s="1324"/>
      <c r="APW15" s="1325"/>
      <c r="APX15" s="1324">
        <v>6.96E-3</v>
      </c>
      <c r="APY15" s="1324"/>
      <c r="APZ15" s="1325"/>
      <c r="AQA15" s="1324">
        <v>5.9699999999999996E-3</v>
      </c>
      <c r="AQB15" s="1324"/>
      <c r="AQC15" s="1325"/>
      <c r="AQD15" s="1324">
        <v>6.8599999999999998E-3</v>
      </c>
      <c r="AQE15" s="1324"/>
      <c r="AQF15" s="1325"/>
      <c r="AQG15" s="1324">
        <v>4.4000000000000003E-3</v>
      </c>
      <c r="AQH15" s="1324"/>
      <c r="AQI15" s="1325"/>
      <c r="AQJ15" s="1324">
        <v>5.9899999999999997E-3</v>
      </c>
      <c r="AQK15" s="1324"/>
      <c r="AQL15" s="1325"/>
      <c r="AQM15" s="1324">
        <v>5.1399999999999996E-3</v>
      </c>
      <c r="AQN15" s="1324"/>
      <c r="AQO15" s="1325"/>
      <c r="AQP15" s="1324">
        <v>9.3100000000000006E-3</v>
      </c>
      <c r="AQQ15" s="1324"/>
      <c r="AQR15" s="1325"/>
      <c r="AQS15" s="1324">
        <v>6.4000000000000003E-3</v>
      </c>
      <c r="AQT15" s="1324"/>
      <c r="AQU15" s="1325"/>
      <c r="AQV15" s="1324">
        <v>8.2299999999999995E-3</v>
      </c>
      <c r="AQW15" s="1324"/>
      <c r="AQX15" s="1325"/>
      <c r="AQY15" s="1324">
        <v>2.0119999999999999E-2</v>
      </c>
      <c r="AQZ15" s="1324"/>
      <c r="ARA15" s="1325"/>
      <c r="ARB15" s="1324"/>
      <c r="ARC15" s="1324"/>
      <c r="ARD15" s="1325"/>
      <c r="ARE15" s="1324"/>
      <c r="ARF15" s="1324"/>
      <c r="ARG15" s="1325"/>
      <c r="ARH15" s="1324">
        <v>1.0200000000000001E-2</v>
      </c>
      <c r="ARI15" s="1324"/>
      <c r="ARJ15" s="1325"/>
      <c r="ARK15" s="1324">
        <v>8.8199999999999997E-3</v>
      </c>
      <c r="ARL15" s="1324"/>
      <c r="ARM15" s="1325"/>
      <c r="ARN15" s="1324">
        <v>6.1799999999999997E-3</v>
      </c>
      <c r="ARO15" s="1324"/>
      <c r="ARP15" s="1325"/>
      <c r="ARQ15" s="1324">
        <v>6.1999999999999998E-3</v>
      </c>
      <c r="ARR15" s="1324"/>
      <c r="ARS15" s="1325"/>
      <c r="ART15" s="1324">
        <v>2.4459999999999999E-2</v>
      </c>
      <c r="ARU15" s="1324"/>
      <c r="ARV15" s="1325"/>
      <c r="ARW15" s="1324">
        <v>7.11E-3</v>
      </c>
      <c r="ARX15" s="1324"/>
      <c r="ARY15" s="1325"/>
      <c r="ARZ15" s="1324">
        <v>7.8399999999999997E-3</v>
      </c>
      <c r="ASA15" s="1324"/>
      <c r="ASB15" s="1325"/>
      <c r="ASC15" s="1324">
        <v>5.8199999999999997E-3</v>
      </c>
      <c r="ASD15" s="1324"/>
      <c r="ASE15" s="1325"/>
      <c r="ASF15" s="1324">
        <v>6.3099999999999996E-3</v>
      </c>
      <c r="ASG15" s="1324"/>
      <c r="ASH15" s="1325"/>
      <c r="ASI15" s="1324">
        <v>5.45E-3</v>
      </c>
      <c r="ASJ15" s="1324"/>
      <c r="ASK15" s="1325"/>
      <c r="ASL15" s="1324">
        <v>7.45E-3</v>
      </c>
      <c r="ASM15" s="1324"/>
      <c r="ASN15" s="1325"/>
      <c r="ASO15" s="1324"/>
      <c r="ASP15" s="1324"/>
      <c r="ASQ15" s="1324"/>
      <c r="ASR15" s="1349"/>
      <c r="ASS15" s="1324"/>
      <c r="AST15" s="1325"/>
      <c r="ASU15" s="1324">
        <v>8.3899999999999999E-3</v>
      </c>
      <c r="ASV15" s="1324"/>
      <c r="ASW15" s="1325"/>
      <c r="ASX15" s="1324">
        <v>8.7799999999999996E-3</v>
      </c>
      <c r="ASY15" s="1324"/>
      <c r="ASZ15" s="1325"/>
      <c r="ATA15" s="1324">
        <v>7.7400000000000004E-3</v>
      </c>
      <c r="ATB15" s="1324"/>
      <c r="ATC15" s="1325"/>
      <c r="ATD15" s="1324">
        <v>5.9100000000000003E-3</v>
      </c>
      <c r="ATE15" s="1324"/>
      <c r="ATF15" s="1325"/>
      <c r="ATG15" s="1324">
        <v>7.6600000000000001E-3</v>
      </c>
      <c r="ATH15" s="1324"/>
      <c r="ATI15" s="1325"/>
      <c r="ATJ15" s="1324">
        <v>7.8300000000000002E-3</v>
      </c>
      <c r="ATK15" s="1324"/>
      <c r="ATL15" s="1325"/>
      <c r="ATM15" s="1324">
        <v>8.1300000000000001E-3</v>
      </c>
      <c r="ATN15" s="1324"/>
      <c r="ATO15" s="1325"/>
      <c r="ATP15" s="1324">
        <v>7.5700000000000003E-3</v>
      </c>
      <c r="ATQ15" s="1324"/>
      <c r="ATR15" s="1325"/>
      <c r="ATS15" s="1324">
        <v>1.9E-2</v>
      </c>
      <c r="ATT15" s="1324"/>
      <c r="ATU15" s="1325"/>
      <c r="ATV15" s="1324">
        <v>5.9100000000000003E-3</v>
      </c>
      <c r="ATW15" s="1324"/>
      <c r="ATX15" s="1325"/>
      <c r="ATY15" s="1324">
        <v>1.0109999999999999E-2</v>
      </c>
      <c r="ATZ15" s="1324"/>
      <c r="AUA15" s="1325"/>
      <c r="AUB15" s="1324">
        <v>7.9699999999999997E-3</v>
      </c>
      <c r="AUC15" s="1324"/>
      <c r="AUD15" s="1325"/>
      <c r="AUE15" s="1324"/>
      <c r="AUF15" s="1324"/>
      <c r="AUG15" s="1325"/>
      <c r="AUH15" s="1324">
        <v>4.8700000000000002E-3</v>
      </c>
      <c r="AUI15" s="1324"/>
      <c r="AUJ15" s="1325"/>
      <c r="AUK15" s="1324">
        <v>1.4670000000000001E-2</v>
      </c>
      <c r="AUL15" s="1324"/>
      <c r="AUM15" s="1324"/>
      <c r="AUN15" s="1349">
        <v>9.9100000000000004E-3</v>
      </c>
      <c r="AUO15" s="1324"/>
      <c r="AUP15" s="1324"/>
      <c r="AUQ15" s="1349">
        <v>5.5300000000000002E-3</v>
      </c>
      <c r="AUR15" s="1324"/>
      <c r="AUS15" s="1324"/>
      <c r="AUT15" s="1349">
        <v>9.0399999999999994E-3</v>
      </c>
      <c r="AUU15" s="1324"/>
      <c r="AUV15" s="1324"/>
      <c r="AUW15" s="1349">
        <v>1.2869999999999999E-2</v>
      </c>
      <c r="AUX15" s="1324"/>
      <c r="AUY15" s="1325"/>
      <c r="AUZ15" s="1324">
        <v>3.64E-3</v>
      </c>
      <c r="AVA15" s="1324"/>
      <c r="AVB15" s="1324"/>
      <c r="AVC15" s="1349">
        <v>4.28E-3</v>
      </c>
      <c r="AVD15" s="1324"/>
      <c r="AVE15" s="1325"/>
      <c r="AVF15" s="1324">
        <v>6.79E-3</v>
      </c>
      <c r="AVG15" s="1324"/>
      <c r="AVH15" s="1325"/>
      <c r="AVI15" s="1324">
        <v>5.8399999999999997E-3</v>
      </c>
      <c r="AVJ15" s="1324"/>
      <c r="AVK15" s="1325"/>
      <c r="AVL15" s="1324"/>
      <c r="AVM15" s="1324"/>
      <c r="AVN15" s="1325"/>
      <c r="AVO15" s="1324"/>
      <c r="AVP15" s="1324"/>
      <c r="AVQ15" s="1325"/>
      <c r="AVR15" s="1324"/>
      <c r="AVS15" s="1324"/>
      <c r="AVT15" s="1325"/>
      <c r="AVU15" s="1324"/>
      <c r="AVV15" s="1324"/>
      <c r="AVW15" s="1325"/>
      <c r="AVX15" s="1324"/>
      <c r="AVY15" s="1324"/>
      <c r="AVZ15" s="1325"/>
      <c r="AWA15" s="1324"/>
      <c r="AWB15" s="1324"/>
      <c r="AWC15" s="1325"/>
      <c r="AWD15" s="1324"/>
      <c r="AWE15" s="1324"/>
      <c r="AWF15" s="1325"/>
      <c r="AWG15" s="1324"/>
      <c r="AWH15" s="1324"/>
      <c r="AWI15" s="1325"/>
      <c r="AWJ15" s="1324"/>
      <c r="AWK15" s="1324"/>
      <c r="AWL15" s="1325"/>
      <c r="AWM15" s="1324"/>
      <c r="AWN15" s="1324"/>
      <c r="AWO15" s="1325"/>
      <c r="AWP15" s="1324"/>
      <c r="AWQ15" s="1324"/>
      <c r="AWR15" s="1325"/>
      <c r="AWS15" s="1324"/>
      <c r="AWT15" s="1324"/>
      <c r="AWU15" s="1325"/>
      <c r="AWV15" s="1324"/>
      <c r="AWW15" s="1324"/>
      <c r="AWX15" s="1325"/>
      <c r="AWY15" s="1324"/>
      <c r="AWZ15" s="1324"/>
      <c r="AXA15" s="1325"/>
      <c r="AXB15" s="1324"/>
      <c r="AXC15" s="1324"/>
      <c r="AXD15" s="1325"/>
      <c r="AXE15" s="1324"/>
      <c r="AXF15" s="1324"/>
      <c r="AXG15" s="1325"/>
      <c r="AXH15" s="1324"/>
      <c r="AXI15" s="1324"/>
      <c r="AXJ15" s="1325"/>
      <c r="AXK15" s="1324"/>
      <c r="AXL15" s="1324"/>
      <c r="AXM15" s="1325"/>
      <c r="AXN15" s="1324"/>
      <c r="AXO15" s="1324"/>
      <c r="AXP15" s="1325"/>
      <c r="AXQ15" s="1324"/>
      <c r="AXR15" s="1324"/>
      <c r="AXS15" s="1325"/>
      <c r="AXT15" s="1324"/>
      <c r="AXU15" s="1324"/>
      <c r="AXV15" s="1325"/>
      <c r="AXW15" s="1324"/>
      <c r="AXX15" s="1324"/>
      <c r="AXY15" s="1325"/>
      <c r="AXZ15" s="1324"/>
      <c r="AYA15" s="1324"/>
      <c r="AYB15" s="1325"/>
      <c r="AYC15" s="1324"/>
      <c r="AYD15" s="1324"/>
      <c r="AYE15" s="1325"/>
      <c r="AYF15" s="1324"/>
      <c r="AYG15" s="1324"/>
      <c r="AYH15" s="1325"/>
      <c r="AYI15" s="1324"/>
      <c r="AYJ15" s="1324"/>
      <c r="AYK15" s="1325"/>
      <c r="AYL15" s="1324"/>
      <c r="AYM15" s="1324"/>
      <c r="AYN15" s="1325"/>
      <c r="AYO15" s="1324"/>
      <c r="AYP15" s="1324"/>
      <c r="AYQ15" s="1325"/>
      <c r="AYR15" s="1324"/>
      <c r="AYS15" s="1324"/>
      <c r="AYT15" s="1325"/>
      <c r="AYU15" s="1324"/>
      <c r="AYV15" s="1324"/>
      <c r="AYW15" s="1325"/>
      <c r="AYX15" s="1324"/>
      <c r="AYY15" s="1324"/>
      <c r="AYZ15" s="1325"/>
      <c r="AZA15" s="1324"/>
      <c r="AZB15" s="1324"/>
      <c r="AZC15" s="1325"/>
      <c r="AZD15" s="1324"/>
      <c r="AZE15" s="1324"/>
      <c r="AZF15" s="1325"/>
      <c r="AZG15" s="1324"/>
      <c r="AZH15" s="1324"/>
      <c r="AZI15" s="1325"/>
      <c r="AZJ15" s="1324"/>
      <c r="AZK15" s="1324"/>
      <c r="AZL15" s="1325"/>
      <c r="AZM15" s="1324"/>
      <c r="AZN15" s="1324"/>
      <c r="AZO15" s="1325"/>
      <c r="AZP15" s="1324"/>
      <c r="AZQ15" s="1324"/>
      <c r="AZR15" s="1325"/>
      <c r="AZS15" s="1324"/>
      <c r="AZT15" s="1324"/>
      <c r="AZU15" s="1325"/>
      <c r="AZV15" s="1324"/>
      <c r="AZW15" s="1324"/>
      <c r="AZX15" s="1325"/>
      <c r="AZY15" s="1324"/>
      <c r="AZZ15" s="1324"/>
      <c r="BAA15" s="1325"/>
      <c r="BAB15" s="1324"/>
      <c r="BAC15" s="1324"/>
      <c r="BAD15" s="1325"/>
      <c r="BAE15" s="1324"/>
      <c r="BAF15" s="1324"/>
      <c r="BAG15" s="1325"/>
      <c r="BAH15" s="1324"/>
      <c r="BAI15" s="1324"/>
      <c r="BAJ15" s="1325"/>
    </row>
    <row r="16" spans="1:1388">
      <c r="B16" s="6" t="s">
        <v>345</v>
      </c>
      <c r="C16" s="1196"/>
      <c r="D16" s="1196"/>
      <c r="E16" s="12"/>
      <c r="F16" s="1288"/>
      <c r="G16" s="1288"/>
      <c r="H16" s="1289"/>
      <c r="I16" s="1288"/>
      <c r="J16" s="1288"/>
      <c r="K16" s="1289"/>
      <c r="L16" s="1288"/>
      <c r="M16" s="1288"/>
      <c r="N16" s="1289"/>
      <c r="O16" s="1288"/>
      <c r="P16" s="1288"/>
      <c r="Q16" s="1289"/>
      <c r="R16" s="1288"/>
      <c r="S16" s="1288"/>
      <c r="T16" s="1289"/>
      <c r="U16" s="1288"/>
      <c r="V16" s="1288"/>
      <c r="W16" s="1289"/>
      <c r="X16" s="1288"/>
      <c r="Y16" s="1288"/>
      <c r="Z16" s="1289"/>
      <c r="AA16" s="1288"/>
      <c r="AB16" s="1288"/>
      <c r="AC16" s="1289"/>
      <c r="AD16" s="1288"/>
      <c r="AE16" s="1288"/>
      <c r="AF16" s="1289"/>
      <c r="AG16" s="1288"/>
      <c r="AH16" s="1288"/>
      <c r="AI16" s="1289"/>
      <c r="AJ16" s="1288"/>
      <c r="AK16" s="1288"/>
      <c r="AL16" s="1289"/>
      <c r="AM16" s="1288"/>
      <c r="AN16" s="1288"/>
      <c r="AO16" s="1289"/>
      <c r="AP16" s="1288"/>
      <c r="AQ16" s="1288"/>
      <c r="AR16" s="1289"/>
      <c r="AS16" s="1288"/>
      <c r="AT16" s="1288"/>
      <c r="AU16" s="1289"/>
      <c r="AV16" s="1288"/>
      <c r="AW16" s="1288"/>
      <c r="AX16" s="1289"/>
      <c r="AY16" s="1288"/>
      <c r="AZ16" s="1288"/>
      <c r="BA16" s="1289"/>
      <c r="BB16" s="1288"/>
      <c r="BC16" s="1288"/>
      <c r="BD16" s="1289"/>
      <c r="BE16" s="1288"/>
      <c r="BF16" s="1288"/>
      <c r="BG16" s="1289"/>
      <c r="BH16" s="1288"/>
      <c r="BI16" s="1288"/>
      <c r="BJ16" s="1289"/>
      <c r="BK16" s="1288"/>
      <c r="BL16" s="1288"/>
      <c r="BM16" s="1289"/>
      <c r="BN16" s="1288"/>
      <c r="BO16" s="1288"/>
      <c r="BP16" s="1289"/>
      <c r="BQ16" s="1288"/>
      <c r="BR16" s="1288"/>
      <c r="BS16" s="1289"/>
      <c r="BT16" s="1288"/>
      <c r="BU16" s="1288"/>
      <c r="BV16" s="1289"/>
      <c r="BW16" s="1288"/>
      <c r="BX16" s="1288"/>
      <c r="BY16" s="1289"/>
      <c r="BZ16" s="1288"/>
      <c r="CA16" s="1288"/>
      <c r="CB16" s="1289"/>
      <c r="CC16" s="1288"/>
      <c r="CD16" s="1288"/>
      <c r="CE16" s="1289"/>
      <c r="CF16" s="1288"/>
      <c r="CG16" s="1288"/>
      <c r="CH16" s="1289"/>
      <c r="CI16" s="1288"/>
      <c r="CJ16" s="1288"/>
      <c r="CK16" s="1289"/>
      <c r="CL16" s="1288"/>
      <c r="CM16" s="1288"/>
      <c r="CN16" s="1289"/>
      <c r="CO16" s="1288"/>
      <c r="CP16" s="1288"/>
      <c r="CQ16" s="1289"/>
      <c r="CR16" s="1288"/>
      <c r="CS16" s="1288"/>
      <c r="CT16" s="1289"/>
      <c r="CU16" s="1288"/>
      <c r="CV16" s="1288"/>
      <c r="CW16" s="1289"/>
      <c r="CX16" s="1288"/>
      <c r="CY16" s="1288"/>
      <c r="CZ16" s="1289"/>
      <c r="DA16" s="1288"/>
      <c r="DB16" s="1288"/>
      <c r="DC16" s="1289"/>
      <c r="DD16" s="1288"/>
      <c r="DE16" s="1288"/>
      <c r="DF16" s="1289"/>
      <c r="DG16" s="1288"/>
      <c r="DH16" s="1288"/>
      <c r="DI16" s="1289"/>
      <c r="DJ16" s="1288"/>
      <c r="DK16" s="1288"/>
      <c r="DL16" s="1289"/>
      <c r="DM16" s="1288"/>
      <c r="DN16" s="1288"/>
      <c r="DO16" s="1289"/>
      <c r="DP16" s="1288"/>
      <c r="DQ16" s="1288"/>
      <c r="DR16" s="1289"/>
      <c r="DS16" s="1288"/>
      <c r="DT16" s="1288"/>
      <c r="DU16" s="1289"/>
      <c r="DV16" s="1288"/>
      <c r="DW16" s="1288"/>
      <c r="DX16" s="1289"/>
      <c r="DY16" s="1288"/>
      <c r="DZ16" s="1288"/>
      <c r="EA16" s="1289"/>
      <c r="EB16" s="1288"/>
      <c r="EC16" s="1288"/>
      <c r="ED16" s="1289"/>
      <c r="EE16" s="1288"/>
      <c r="EF16" s="1288"/>
      <c r="EG16" s="1289"/>
      <c r="EH16" s="1288"/>
      <c r="EI16" s="1288"/>
      <c r="EJ16" s="1289"/>
      <c r="EK16" s="1288"/>
      <c r="EL16" s="1288"/>
      <c r="EM16" s="1289"/>
      <c r="EN16" s="1288"/>
      <c r="EO16" s="1288"/>
      <c r="EP16" s="1289"/>
      <c r="EQ16" s="1288"/>
      <c r="ER16" s="1288"/>
      <c r="ES16" s="1289"/>
      <c r="ET16" s="1288"/>
      <c r="EU16" s="1288"/>
      <c r="EV16" s="1289"/>
      <c r="EW16" s="1288"/>
      <c r="EX16" s="1288"/>
      <c r="EY16" s="1289"/>
      <c r="EZ16" s="1288"/>
      <c r="FA16" s="1288"/>
      <c r="FB16" s="1289"/>
      <c r="FC16" s="1288"/>
      <c r="FD16" s="1288"/>
      <c r="FE16" s="1289"/>
      <c r="FF16" s="1288"/>
      <c r="FG16" s="1288"/>
      <c r="FH16" s="1289"/>
      <c r="FI16" s="1288"/>
      <c r="FJ16" s="1288"/>
      <c r="FK16" s="1289"/>
      <c r="FL16" s="1288"/>
      <c r="FM16" s="1288"/>
      <c r="FN16" s="1289"/>
      <c r="FO16" s="1288"/>
      <c r="FP16" s="1288"/>
      <c r="FQ16" s="1289"/>
      <c r="FR16" s="1288"/>
      <c r="FS16" s="1288"/>
      <c r="FT16" s="1289"/>
      <c r="FU16" s="1288"/>
      <c r="FV16" s="1288"/>
      <c r="FW16" s="1289"/>
      <c r="FX16" s="1288"/>
      <c r="FY16" s="1288"/>
      <c r="FZ16" s="1289"/>
      <c r="GA16" s="1288"/>
      <c r="GB16" s="1288"/>
      <c r="GC16" s="1289"/>
      <c r="GD16" s="1288"/>
      <c r="GE16" s="1288"/>
      <c r="GF16" s="1289"/>
      <c r="GG16" s="1288"/>
      <c r="GH16" s="1288"/>
      <c r="GI16" s="1289"/>
      <c r="GJ16" s="1288"/>
      <c r="GK16" s="1288"/>
      <c r="GL16" s="1289"/>
      <c r="GM16" s="1288"/>
      <c r="GN16" s="1288"/>
      <c r="GO16" s="1289"/>
      <c r="GP16" s="1288"/>
      <c r="GQ16" s="1288"/>
      <c r="GR16" s="1289"/>
      <c r="GS16" s="1288"/>
      <c r="GT16" s="1288"/>
      <c r="GU16" s="1289"/>
      <c r="GV16" s="1288"/>
      <c r="GW16" s="1288"/>
      <c r="GX16" s="1289"/>
      <c r="GY16" s="1288"/>
      <c r="GZ16" s="1288"/>
      <c r="HA16" s="1289"/>
      <c r="HB16" s="1288"/>
      <c r="HC16" s="1288"/>
      <c r="HD16" s="1289"/>
      <c r="HE16" s="1288"/>
      <c r="HF16" s="1288"/>
      <c r="HG16" s="1289"/>
      <c r="HH16" s="1288"/>
      <c r="HI16" s="1288"/>
      <c r="HJ16" s="1289"/>
      <c r="HK16" s="1288"/>
      <c r="HL16" s="1288"/>
      <c r="HM16" s="1289"/>
      <c r="HN16" s="1288"/>
      <c r="HO16" s="1288"/>
      <c r="HP16" s="1289"/>
      <c r="HQ16" s="1288"/>
      <c r="HR16" s="1288"/>
      <c r="HS16" s="1289"/>
      <c r="HT16" s="1288"/>
      <c r="HU16" s="1288"/>
      <c r="HV16" s="1289"/>
      <c r="HW16" s="1288"/>
      <c r="HX16" s="1288"/>
      <c r="HY16" s="1289"/>
      <c r="HZ16" s="1288"/>
      <c r="IA16" s="1288"/>
      <c r="IB16" s="1289"/>
      <c r="IC16" s="1288"/>
      <c r="ID16" s="1288"/>
      <c r="IE16" s="1289"/>
      <c r="IF16" s="1288"/>
      <c r="IG16" s="1288"/>
      <c r="IH16" s="1289"/>
      <c r="II16" s="1288"/>
      <c r="IJ16" s="1288"/>
      <c r="IK16" s="1289"/>
      <c r="IL16" s="1288"/>
      <c r="IM16" s="1288"/>
      <c r="IN16" s="1289"/>
      <c r="IO16" s="1288"/>
      <c r="IP16" s="1288"/>
      <c r="IQ16" s="1289"/>
      <c r="IR16" s="1288"/>
      <c r="IS16" s="1288"/>
      <c r="IT16" s="1289"/>
      <c r="IU16" s="1288"/>
      <c r="IV16" s="1288"/>
      <c r="IW16" s="1289"/>
      <c r="IX16" s="1288"/>
      <c r="IY16" s="1288"/>
      <c r="IZ16" s="1289"/>
      <c r="JA16" s="1288"/>
      <c r="JB16" s="1288"/>
      <c r="JC16" s="1289"/>
      <c r="JD16" s="1288"/>
      <c r="JE16" s="1288"/>
      <c r="JF16" s="1289"/>
      <c r="JG16" s="1288"/>
      <c r="JH16" s="1288"/>
      <c r="JI16" s="1289"/>
      <c r="JJ16" s="1288"/>
      <c r="JK16" s="1288"/>
      <c r="JL16" s="1289"/>
      <c r="JM16" s="1288"/>
      <c r="JN16" s="1288"/>
      <c r="JO16" s="1289"/>
      <c r="JP16" s="1288"/>
      <c r="JQ16" s="1288"/>
      <c r="JR16" s="1289"/>
      <c r="JS16" s="1288"/>
      <c r="JT16" s="1288"/>
      <c r="JU16" s="1289"/>
      <c r="JV16" s="1288"/>
      <c r="JW16" s="1288"/>
      <c r="JX16" s="1289"/>
      <c r="JY16" s="1288"/>
      <c r="JZ16" s="1288"/>
      <c r="KA16" s="1289"/>
      <c r="KB16" s="1288"/>
      <c r="KC16" s="1288"/>
      <c r="KD16" s="1289"/>
      <c r="KE16" s="1288"/>
      <c r="KF16" s="1288"/>
      <c r="KG16" s="1289"/>
      <c r="KH16" s="1288"/>
      <c r="KI16" s="1288"/>
      <c r="KJ16" s="1289"/>
      <c r="KK16" s="1288"/>
      <c r="KL16" s="1288"/>
      <c r="KM16" s="1289"/>
      <c r="KN16" s="1288"/>
      <c r="KO16" s="1288"/>
      <c r="KP16" s="1289"/>
      <c r="KQ16" s="1288"/>
      <c r="KR16" s="1288"/>
      <c r="KS16" s="1289"/>
      <c r="KT16" s="1288"/>
      <c r="KU16" s="1288"/>
      <c r="KV16" s="1289"/>
      <c r="KW16" s="1288"/>
      <c r="KX16" s="1288"/>
      <c r="KY16" s="1289"/>
      <c r="KZ16" s="1288"/>
      <c r="LA16" s="1288"/>
      <c r="LB16" s="1289"/>
      <c r="LC16" s="1288"/>
      <c r="LD16" s="1288"/>
      <c r="LE16" s="1289"/>
      <c r="LF16" s="1288"/>
      <c r="LG16" s="1288"/>
      <c r="LH16" s="1289"/>
      <c r="LI16" s="1288"/>
      <c r="LJ16" s="1288"/>
      <c r="LK16" s="1289"/>
      <c r="LL16" s="1288"/>
      <c r="LM16" s="1288"/>
      <c r="LN16" s="1289"/>
      <c r="LO16" s="1288"/>
      <c r="LP16" s="1288"/>
      <c r="LQ16" s="1289"/>
      <c r="LR16" s="1288"/>
      <c r="LS16" s="1288"/>
      <c r="LT16" s="1289"/>
      <c r="LU16" s="1288"/>
      <c r="LV16" s="1288"/>
      <c r="LW16" s="1289"/>
      <c r="LX16" s="1288"/>
      <c r="LY16" s="1288"/>
      <c r="LZ16" s="1289"/>
      <c r="MA16" s="1288"/>
      <c r="MB16" s="1288"/>
      <c r="MC16" s="1289"/>
      <c r="MD16" s="1288"/>
      <c r="ME16" s="1288"/>
      <c r="MF16" s="1289"/>
      <c r="MG16" s="1288"/>
      <c r="MH16" s="1288"/>
      <c r="MI16" s="1289"/>
      <c r="MJ16" s="1288"/>
      <c r="MK16" s="1288"/>
      <c r="ML16" s="1289"/>
      <c r="MM16" s="1288"/>
      <c r="MN16" s="1288"/>
      <c r="MO16" s="1289"/>
      <c r="MP16" s="1288"/>
      <c r="MQ16" s="1288"/>
      <c r="MR16" s="1289"/>
      <c r="MS16" s="1288"/>
      <c r="MT16" s="1288"/>
      <c r="MU16" s="1289"/>
      <c r="MV16" s="1288"/>
      <c r="MW16" s="1288"/>
      <c r="MX16" s="1289"/>
      <c r="MY16" s="1288"/>
      <c r="MZ16" s="1288"/>
      <c r="NA16" s="1289"/>
      <c r="NB16" s="1288"/>
      <c r="NC16" s="1288"/>
      <c r="ND16" s="1289"/>
      <c r="NE16" s="1288"/>
      <c r="NF16" s="1288"/>
      <c r="NG16" s="1289"/>
      <c r="NH16" s="1288"/>
      <c r="NI16" s="1288"/>
      <c r="NJ16" s="1289"/>
      <c r="NK16" s="1288"/>
      <c r="NL16" s="1288"/>
      <c r="NM16" s="1289"/>
      <c r="NN16" s="1288"/>
      <c r="NO16" s="1288"/>
      <c r="NP16" s="1289"/>
      <c r="NQ16" s="1288"/>
      <c r="NR16" s="1288"/>
      <c r="NS16" s="1289"/>
      <c r="NT16" s="1288"/>
      <c r="NU16" s="1288"/>
      <c r="NV16" s="1289"/>
      <c r="NW16" s="1288"/>
      <c r="NX16" s="1288"/>
      <c r="NY16" s="1289"/>
      <c r="NZ16" s="1288"/>
      <c r="OA16" s="1288"/>
      <c r="OB16" s="1289"/>
      <c r="OC16" s="1288"/>
      <c r="OD16" s="1288"/>
      <c r="OE16" s="1289"/>
      <c r="OF16" s="1288"/>
      <c r="OG16" s="1288"/>
      <c r="OH16" s="1289"/>
      <c r="OI16" s="1288"/>
      <c r="OJ16" s="1288"/>
      <c r="OK16" s="1289"/>
      <c r="OL16" s="1288"/>
      <c r="OM16" s="1288"/>
      <c r="ON16" s="1289"/>
      <c r="OO16" s="1288"/>
      <c r="OP16" s="1288"/>
      <c r="OQ16" s="1289"/>
      <c r="OR16" s="1288"/>
      <c r="OS16" s="1288"/>
      <c r="OT16" s="1289"/>
      <c r="OU16" s="1288"/>
      <c r="OV16" s="1288"/>
      <c r="OW16" s="1289"/>
      <c r="OX16" s="1288"/>
      <c r="OY16" s="1288"/>
      <c r="OZ16" s="1289"/>
      <c r="PA16" s="1288"/>
      <c r="PB16" s="1288"/>
      <c r="PC16" s="1289"/>
      <c r="PD16" s="1288"/>
      <c r="PE16" s="1288"/>
      <c r="PF16" s="1289"/>
      <c r="PG16" s="1288"/>
      <c r="PH16" s="1288"/>
      <c r="PI16" s="1289"/>
      <c r="PJ16" s="1288"/>
      <c r="PK16" s="1288"/>
      <c r="PL16" s="1289"/>
      <c r="PM16" s="1288"/>
      <c r="PN16" s="1288"/>
      <c r="PO16" s="1289"/>
      <c r="PP16" s="1288"/>
      <c r="PQ16" s="1288"/>
      <c r="PR16" s="1289"/>
      <c r="PS16" s="1288"/>
      <c r="PT16" s="1288"/>
      <c r="PU16" s="1289"/>
      <c r="PV16" s="1288"/>
      <c r="PW16" s="1288"/>
      <c r="PX16" s="1289"/>
      <c r="PY16" s="1288"/>
      <c r="PZ16" s="1288"/>
      <c r="QA16" s="1289"/>
      <c r="QB16" s="1288"/>
      <c r="QC16" s="1288"/>
      <c r="QD16" s="1289"/>
      <c r="QE16" s="1288"/>
      <c r="QF16" s="1288"/>
      <c r="QG16" s="1289"/>
      <c r="QH16" s="1288"/>
      <c r="QI16" s="1288"/>
      <c r="QJ16" s="1289"/>
      <c r="QK16" s="1288"/>
      <c r="QL16" s="1288"/>
      <c r="QM16" s="1289"/>
      <c r="QN16" s="1288"/>
      <c r="QO16" s="1288"/>
      <c r="QP16" s="1289"/>
      <c r="QQ16" s="1288"/>
      <c r="QR16" s="1288"/>
      <c r="QS16" s="1289"/>
      <c r="QT16" s="1288"/>
      <c r="QU16" s="1288"/>
      <c r="QV16" s="1289"/>
      <c r="QW16" s="1288"/>
      <c r="QX16" s="1288"/>
      <c r="QY16" s="1289"/>
      <c r="QZ16" s="1288"/>
      <c r="RA16" s="1288"/>
      <c r="RB16" s="1289"/>
      <c r="RC16" s="1288"/>
      <c r="RD16" s="1288"/>
      <c r="RE16" s="1289"/>
      <c r="RF16" s="1288"/>
      <c r="RG16" s="1288"/>
      <c r="RH16" s="1289"/>
      <c r="RI16" s="1288"/>
      <c r="RJ16" s="1288"/>
      <c r="RK16" s="1289"/>
      <c r="RL16" s="1288"/>
      <c r="RM16" s="1288"/>
      <c r="RN16" s="1289"/>
      <c r="RO16" s="1288"/>
      <c r="RP16" s="1288"/>
      <c r="RQ16" s="1289"/>
      <c r="RR16" s="1288"/>
      <c r="RS16" s="1288"/>
      <c r="RT16" s="1289"/>
      <c r="RU16" s="1288"/>
      <c r="RV16" s="1288"/>
      <c r="RW16" s="1289"/>
      <c r="RX16" s="1288"/>
      <c r="RY16" s="1288"/>
      <c r="RZ16" s="1289"/>
      <c r="SA16" s="1288"/>
      <c r="SB16" s="1288"/>
      <c r="SC16" s="1289"/>
      <c r="SD16" s="1288"/>
      <c r="SE16" s="1288"/>
      <c r="SF16" s="1289"/>
      <c r="SG16" s="1288"/>
      <c r="SH16" s="1288"/>
      <c r="SI16" s="1289"/>
      <c r="SJ16" s="1288"/>
      <c r="SK16" s="1288"/>
      <c r="SL16" s="1289"/>
      <c r="SM16" s="1288"/>
      <c r="SN16" s="1288"/>
      <c r="SO16" s="1289"/>
      <c r="SP16" s="1288"/>
      <c r="SQ16" s="1288"/>
      <c r="SR16" s="1289"/>
      <c r="SS16" s="1288"/>
      <c r="ST16" s="1288"/>
      <c r="SU16" s="1289"/>
      <c r="SV16" s="1288"/>
      <c r="SW16" s="1288"/>
      <c r="SX16" s="1289"/>
      <c r="SY16" s="1288"/>
      <c r="SZ16" s="1288"/>
      <c r="TA16" s="1289"/>
      <c r="TB16" s="1288"/>
      <c r="TC16" s="1288"/>
      <c r="TD16" s="1289"/>
      <c r="TE16" s="1288"/>
      <c r="TF16" s="1288"/>
      <c r="TG16" s="1289"/>
      <c r="TH16" s="1288"/>
      <c r="TI16" s="1288"/>
      <c r="TJ16" s="1289"/>
      <c r="TK16" s="1288"/>
      <c r="TL16" s="1288"/>
      <c r="TM16" s="1289"/>
      <c r="TN16" s="1288"/>
      <c r="TO16" s="1288"/>
      <c r="TP16" s="1289"/>
      <c r="TQ16" s="1288"/>
      <c r="TR16" s="1288"/>
      <c r="TS16" s="1289"/>
      <c r="TT16" s="1288"/>
      <c r="TU16" s="1288"/>
      <c r="TV16" s="1289"/>
      <c r="TW16" s="1288"/>
      <c r="TX16" s="1288"/>
      <c r="TY16" s="1289"/>
      <c r="TZ16" s="1288"/>
      <c r="UA16" s="1288"/>
      <c r="UB16" s="1289"/>
      <c r="UC16" s="1288"/>
      <c r="UD16" s="1288"/>
      <c r="UE16" s="1289"/>
      <c r="UF16" s="1288"/>
      <c r="UG16" s="1288"/>
      <c r="UH16" s="1289"/>
      <c r="UI16" s="1288"/>
      <c r="UJ16" s="1288"/>
      <c r="UK16" s="1289"/>
      <c r="UL16" s="1288"/>
      <c r="UM16" s="1288"/>
      <c r="UN16" s="1289"/>
      <c r="UO16" s="1288"/>
      <c r="UP16" s="1288"/>
      <c r="UQ16" s="1289"/>
      <c r="UR16" s="1288"/>
      <c r="US16" s="1288"/>
      <c r="UT16" s="1289"/>
      <c r="UU16" s="1288"/>
      <c r="UV16" s="1288"/>
      <c r="UW16" s="1289"/>
      <c r="UX16" s="1288"/>
      <c r="UY16" s="1288"/>
      <c r="UZ16" s="1289"/>
      <c r="VA16" s="1288"/>
      <c r="VB16" s="1288"/>
      <c r="VC16" s="1289"/>
      <c r="VD16" s="1288"/>
      <c r="VE16" s="1288"/>
      <c r="VF16" s="1289"/>
      <c r="VG16" s="1288"/>
      <c r="VH16" s="1288"/>
      <c r="VI16" s="1289"/>
      <c r="VJ16" s="1288"/>
      <c r="VK16" s="1288"/>
      <c r="VL16" s="1289"/>
      <c r="VM16" s="1288"/>
      <c r="VN16" s="1288"/>
      <c r="VO16" s="1289"/>
      <c r="VP16" s="1288"/>
      <c r="VQ16" s="1288"/>
      <c r="VR16" s="1289"/>
      <c r="VS16" s="1288"/>
      <c r="VT16" s="1288"/>
      <c r="VU16" s="1289"/>
      <c r="VV16" s="1288"/>
      <c r="VW16" s="1288"/>
      <c r="VX16" s="1289"/>
      <c r="VY16" s="1288"/>
      <c r="VZ16" s="1288"/>
      <c r="WA16" s="1289"/>
      <c r="WB16" s="1288"/>
      <c r="WC16" s="1288"/>
      <c r="WD16" s="1289"/>
      <c r="WE16" s="1288"/>
      <c r="WF16" s="1288"/>
      <c r="WG16" s="1289"/>
      <c r="WH16" s="1288"/>
      <c r="WI16" s="1288"/>
      <c r="WJ16" s="1289"/>
      <c r="WK16" s="1288"/>
      <c r="WL16" s="1288"/>
      <c r="WM16" s="1289"/>
      <c r="WN16" s="1288"/>
      <c r="WO16" s="1288"/>
      <c r="WP16" s="1289"/>
      <c r="WQ16" s="1288"/>
      <c r="WR16" s="1288"/>
      <c r="WS16" s="1289"/>
      <c r="WT16" s="1288"/>
      <c r="WU16" s="1288"/>
      <c r="WV16" s="1289"/>
      <c r="WW16" s="1288"/>
      <c r="WX16" s="1288"/>
      <c r="WY16" s="1289"/>
      <c r="WZ16" s="1288"/>
      <c r="XA16" s="1288"/>
      <c r="XB16" s="1289"/>
      <c r="XC16" s="1288"/>
      <c r="XD16" s="1288"/>
      <c r="XE16" s="1289"/>
      <c r="XF16" s="1288"/>
      <c r="XG16" s="1288"/>
      <c r="XH16" s="1289"/>
      <c r="XI16" s="1288"/>
      <c r="XJ16" s="1288"/>
      <c r="XK16" s="1289"/>
      <c r="XL16" s="1288"/>
      <c r="XM16" s="1288"/>
      <c r="XN16" s="1289"/>
      <c r="XO16" s="1288"/>
      <c r="XP16" s="1288"/>
      <c r="XQ16" s="1289"/>
      <c r="XR16" s="1288"/>
      <c r="XS16" s="1288"/>
      <c r="XT16" s="1289"/>
      <c r="XU16" s="1288"/>
      <c r="XV16" s="1288"/>
      <c r="XW16" s="1289"/>
      <c r="XX16" s="1288"/>
      <c r="XY16" s="1288"/>
      <c r="XZ16" s="1289"/>
      <c r="YA16" s="1288"/>
      <c r="YB16" s="1288"/>
      <c r="YC16" s="1289"/>
      <c r="YD16" s="1288"/>
      <c r="YE16" s="1288"/>
      <c r="YF16" s="1289"/>
      <c r="YG16" s="1288"/>
      <c r="YH16" s="1288"/>
      <c r="YI16" s="1289"/>
      <c r="YJ16" s="1288"/>
      <c r="YK16" s="1288"/>
      <c r="YL16" s="1289"/>
      <c r="YM16" s="1288"/>
      <c r="YN16" s="1288"/>
      <c r="YO16" s="1289"/>
      <c r="YP16" s="1288"/>
      <c r="YQ16" s="1288"/>
      <c r="YR16" s="1289"/>
      <c r="YS16" s="1288"/>
      <c r="YT16" s="1288"/>
      <c r="YU16" s="1289"/>
      <c r="YV16" s="1288"/>
      <c r="YW16" s="1288"/>
      <c r="YX16" s="1289"/>
      <c r="YY16" s="1288"/>
      <c r="YZ16" s="1288"/>
      <c r="ZA16" s="1289"/>
      <c r="ZB16" s="1288"/>
      <c r="ZC16" s="1288"/>
      <c r="ZD16" s="1289"/>
      <c r="ZE16" s="1288"/>
      <c r="ZF16" s="1288"/>
      <c r="ZG16" s="1289"/>
      <c r="ZH16" s="1288"/>
      <c r="ZI16" s="1288"/>
      <c r="ZJ16" s="1289"/>
      <c r="ZK16" s="1288"/>
      <c r="ZL16" s="1288"/>
      <c r="ZM16" s="1289"/>
      <c r="ZN16" s="1288"/>
      <c r="ZO16" s="1288"/>
      <c r="ZP16" s="1289"/>
      <c r="ZQ16" s="1288"/>
      <c r="ZR16" s="1288"/>
      <c r="ZS16" s="1289"/>
      <c r="ZT16" s="1288"/>
      <c r="ZU16" s="1288"/>
      <c r="ZV16" s="1289"/>
      <c r="ZW16" s="1288"/>
      <c r="ZX16" s="1288"/>
      <c r="ZY16" s="1289"/>
      <c r="ZZ16" s="1288"/>
      <c r="AAA16" s="1288"/>
      <c r="AAB16" s="1289"/>
      <c r="AAC16" s="1288"/>
      <c r="AAD16" s="1288"/>
      <c r="AAE16" s="1289"/>
      <c r="AAF16" s="1288"/>
      <c r="AAG16" s="1288"/>
      <c r="AAH16" s="1289"/>
      <c r="AAI16" s="1288"/>
      <c r="AAJ16" s="1288"/>
      <c r="AAK16" s="1289"/>
      <c r="AAL16" s="1288"/>
      <c r="AAM16" s="1288"/>
      <c r="AAN16" s="1289"/>
      <c r="AAO16" s="1288"/>
      <c r="AAP16" s="1288"/>
      <c r="AAQ16" s="1289"/>
      <c r="AAR16" s="1288"/>
      <c r="AAS16" s="1288"/>
      <c r="AAT16" s="1289"/>
      <c r="AAU16" s="1288"/>
      <c r="AAV16" s="1288"/>
      <c r="AAW16" s="1289"/>
      <c r="AAX16" s="1288"/>
      <c r="AAY16" s="1288"/>
      <c r="AAZ16" s="1289"/>
      <c r="ABA16" s="1288"/>
      <c r="ABB16" s="1288"/>
      <c r="ABC16" s="1289"/>
      <c r="ABD16" s="1288"/>
      <c r="ABE16" s="1288"/>
      <c r="ABF16" s="1289"/>
      <c r="ABG16" s="1288"/>
      <c r="ABH16" s="1288"/>
      <c r="ABI16" s="1289"/>
      <c r="ABJ16" s="1288"/>
      <c r="ABK16" s="1288"/>
      <c r="ABL16" s="1289"/>
      <c r="ABM16" s="1288"/>
      <c r="ABN16" s="1288"/>
      <c r="ABO16" s="1289"/>
      <c r="ABP16" s="1288"/>
      <c r="ABQ16" s="1288"/>
      <c r="ABR16" s="1289"/>
      <c r="ABS16" s="1288"/>
      <c r="ABT16" s="1288"/>
      <c r="ABU16" s="1289"/>
      <c r="ABV16" s="1288"/>
      <c r="ABW16" s="1288"/>
      <c r="ABX16" s="1289"/>
      <c r="ABY16" s="1288"/>
      <c r="ABZ16" s="1288"/>
      <c r="ACA16" s="1289"/>
      <c r="ACB16" s="1288"/>
      <c r="ACC16" s="1288"/>
      <c r="ACD16" s="1289"/>
      <c r="ACE16" s="1288"/>
      <c r="ACF16" s="1288"/>
      <c r="ACG16" s="1289"/>
      <c r="ACH16" s="1288"/>
      <c r="ACI16" s="1288"/>
      <c r="ACJ16" s="1289"/>
      <c r="ACK16" s="1288"/>
      <c r="ACL16" s="1288"/>
      <c r="ACM16" s="1289"/>
      <c r="ACN16" s="1288"/>
      <c r="ACO16" s="1288"/>
      <c r="ACP16" s="1289"/>
      <c r="ACQ16" s="1288"/>
      <c r="ACR16" s="1288"/>
      <c r="ACS16" s="1289"/>
      <c r="ACT16" s="1288"/>
      <c r="ACU16" s="1288"/>
      <c r="ACV16" s="1289"/>
      <c r="ACW16" s="1288"/>
      <c r="ACX16" s="1288"/>
      <c r="ACY16" s="1289"/>
      <c r="ACZ16" s="1288"/>
      <c r="ADA16" s="1288"/>
      <c r="ADB16" s="1289"/>
      <c r="ADC16" s="1288"/>
      <c r="ADD16" s="1288"/>
      <c r="ADE16" s="1289"/>
      <c r="ADF16" s="1288"/>
      <c r="ADG16" s="1288"/>
      <c r="ADH16" s="1289"/>
      <c r="ADI16" s="1288"/>
      <c r="ADJ16" s="1288"/>
      <c r="ADK16" s="1289"/>
      <c r="ADL16" s="1288"/>
      <c r="ADM16" s="1288"/>
      <c r="ADN16" s="1289"/>
      <c r="ADO16" s="1288"/>
      <c r="ADP16" s="1288"/>
      <c r="ADQ16" s="1289"/>
      <c r="ADR16" s="1288"/>
      <c r="ADS16" s="1288"/>
      <c r="ADT16" s="1289"/>
      <c r="ADU16" s="1288"/>
      <c r="ADV16" s="1288"/>
      <c r="ADW16" s="1289"/>
      <c r="ADX16" s="1288"/>
      <c r="ADY16" s="1288"/>
      <c r="ADZ16" s="1289"/>
      <c r="AEA16" s="1288"/>
      <c r="AEB16" s="1288"/>
      <c r="AEC16" s="1289"/>
      <c r="AED16" s="1288"/>
      <c r="AEE16" s="1288"/>
      <c r="AEF16" s="1289"/>
      <c r="AEG16" s="1288"/>
      <c r="AEH16" s="1288"/>
      <c r="AEI16" s="1289"/>
      <c r="AEJ16" s="1288"/>
      <c r="AEK16" s="1288"/>
      <c r="AEL16" s="1289"/>
      <c r="AEM16" s="1288"/>
      <c r="AEN16" s="1288"/>
      <c r="AEO16" s="1289"/>
      <c r="AEP16" s="1288"/>
      <c r="AEQ16" s="1288"/>
      <c r="AER16" s="1289"/>
      <c r="AES16" s="1288"/>
      <c r="AET16" s="1288"/>
      <c r="AEU16" s="1289"/>
      <c r="AEV16" s="1288"/>
      <c r="AEW16" s="1288"/>
      <c r="AEX16" s="1289"/>
      <c r="AEY16" s="1288"/>
      <c r="AEZ16" s="1288"/>
      <c r="AFA16" s="1289"/>
      <c r="AFB16" s="1288"/>
      <c r="AFC16" s="1288"/>
      <c r="AFD16" s="1289"/>
      <c r="AFE16" s="1288"/>
      <c r="AFF16" s="1288"/>
      <c r="AFG16" s="1289"/>
      <c r="AFH16" s="1288"/>
      <c r="AFI16" s="1288"/>
      <c r="AFJ16" s="1289"/>
      <c r="AFK16" s="1288"/>
      <c r="AFL16" s="1288"/>
      <c r="AFM16" s="1289"/>
      <c r="AFN16" s="1288"/>
      <c r="AFO16" s="1288"/>
      <c r="AFP16" s="1289"/>
      <c r="AFQ16" s="1288"/>
      <c r="AFR16" s="1288"/>
      <c r="AFS16" s="1289"/>
      <c r="AFT16" s="1288"/>
      <c r="AFU16" s="1288"/>
      <c r="AFV16" s="1289"/>
      <c r="AFW16" s="1288"/>
      <c r="AFX16" s="1288"/>
      <c r="AFY16" s="1289"/>
      <c r="AFZ16" s="1288"/>
      <c r="AGA16" s="1288"/>
      <c r="AGB16" s="1289"/>
      <c r="AGC16" s="1288"/>
      <c r="AGD16" s="1288"/>
      <c r="AGE16" s="1289"/>
      <c r="AGF16" s="1288"/>
      <c r="AGG16" s="1288"/>
      <c r="AGH16" s="1289"/>
      <c r="AGI16" s="1288"/>
      <c r="AGJ16" s="1288"/>
      <c r="AGK16" s="1289"/>
      <c r="AGL16" s="1288"/>
      <c r="AGM16" s="1288"/>
      <c r="AGN16" s="1289"/>
      <c r="AGO16" s="1288"/>
      <c r="AGP16" s="1288"/>
      <c r="AGQ16" s="1289"/>
      <c r="AGR16" s="1288"/>
      <c r="AGS16" s="1288"/>
      <c r="AGT16" s="1289"/>
      <c r="AGU16" s="1288"/>
      <c r="AGV16" s="1288"/>
      <c r="AGW16" s="1289"/>
      <c r="AGX16" s="1288"/>
      <c r="AGY16" s="1288"/>
      <c r="AGZ16" s="1289"/>
      <c r="AHA16" s="1288"/>
      <c r="AHB16" s="1288"/>
      <c r="AHC16" s="1289"/>
      <c r="AHD16" s="1288"/>
      <c r="AHE16" s="1288"/>
      <c r="AHF16" s="1289"/>
      <c r="AHG16" s="1288"/>
      <c r="AHH16" s="1288"/>
      <c r="AHI16" s="1289"/>
      <c r="AHJ16" s="1288"/>
      <c r="AHK16" s="1288"/>
      <c r="AHL16" s="1289"/>
      <c r="AHM16" s="1288"/>
      <c r="AHN16" s="1288"/>
      <c r="AHO16" s="1289"/>
      <c r="AHP16" s="1288"/>
      <c r="AHQ16" s="1288"/>
      <c r="AHR16" s="1289"/>
      <c r="AHS16" s="1288"/>
      <c r="AHT16" s="1288"/>
      <c r="AHU16" s="1289"/>
      <c r="AHV16" s="1288"/>
      <c r="AHW16" s="1288"/>
      <c r="AHX16" s="1289"/>
      <c r="AHY16" s="1288"/>
      <c r="AHZ16" s="1288"/>
      <c r="AIA16" s="1289"/>
      <c r="AIB16" s="1288"/>
      <c r="AIC16" s="1288"/>
      <c r="AID16" s="1288"/>
      <c r="AIE16" s="1290"/>
      <c r="AIF16" s="1288"/>
      <c r="AIG16" s="1289"/>
      <c r="AIH16" s="1288"/>
      <c r="AII16" s="1288"/>
      <c r="AIJ16" s="1289"/>
      <c r="AIK16" s="1288"/>
      <c r="AIL16" s="1288"/>
      <c r="AIM16" s="1289"/>
      <c r="AIN16" s="1288"/>
      <c r="AIO16" s="1288"/>
      <c r="AIP16" s="1289"/>
      <c r="AIQ16" s="1288"/>
      <c r="AIR16" s="1288"/>
      <c r="AIS16" s="1288"/>
      <c r="AIT16" s="1290"/>
      <c r="AIU16" s="1288"/>
      <c r="AIV16" s="1289"/>
      <c r="AIW16" s="1288"/>
      <c r="AIX16" s="1288"/>
      <c r="AIY16" s="1288"/>
      <c r="AIZ16" s="1290"/>
      <c r="AJA16" s="1288"/>
      <c r="AJB16" s="1289"/>
      <c r="AJC16" s="1288"/>
      <c r="AJD16" s="1288"/>
      <c r="AJE16" s="1289"/>
      <c r="AJF16" s="1288"/>
      <c r="AJG16" s="1288"/>
      <c r="AJH16" s="1289"/>
      <c r="AJI16" s="1288"/>
      <c r="AJJ16" s="1288"/>
      <c r="AJK16" s="1289"/>
      <c r="AJL16" s="1288"/>
      <c r="AJM16" s="1288"/>
      <c r="AJN16" s="1288"/>
      <c r="AJO16" s="1290"/>
      <c r="AJP16" s="1288"/>
      <c r="AJQ16" s="1289"/>
      <c r="AJR16" s="1288"/>
      <c r="AJS16" s="1288"/>
      <c r="AJT16" s="1288"/>
      <c r="AJU16" s="1290"/>
      <c r="AJV16" s="1288"/>
      <c r="AJW16" s="1289"/>
      <c r="AJX16" s="1288"/>
      <c r="AJY16" s="1288"/>
      <c r="AJZ16" s="1289"/>
      <c r="AKA16" s="1288"/>
      <c r="AKB16" s="1288"/>
      <c r="AKC16" s="1289"/>
      <c r="AKD16" s="1288"/>
      <c r="AKE16" s="1288"/>
      <c r="AKF16" s="1289"/>
      <c r="AKG16" s="1288"/>
      <c r="AKH16" s="1288"/>
      <c r="AKI16" s="1288"/>
      <c r="AKJ16" s="1290"/>
      <c r="AKK16" s="1288"/>
      <c r="AKL16" s="1289"/>
      <c r="AKM16" s="1288"/>
      <c r="AKN16" s="1288"/>
      <c r="AKO16" s="1288"/>
      <c r="AKP16" s="1290"/>
      <c r="AKQ16" s="1288"/>
      <c r="AKR16" s="1289"/>
      <c r="AKS16" s="1288"/>
      <c r="AKT16" s="1288"/>
      <c r="AKU16" s="1289"/>
      <c r="AKV16" s="1288"/>
      <c r="AKW16" s="1288"/>
      <c r="AKX16" s="1289"/>
      <c r="AKY16" s="1288"/>
      <c r="AKZ16" s="1288"/>
      <c r="ALA16" s="1289"/>
      <c r="ALB16" s="1288"/>
      <c r="ALC16" s="1288"/>
      <c r="ALD16" s="1288"/>
      <c r="ALE16" s="1290"/>
      <c r="ALF16" s="1288"/>
      <c r="ALG16" s="1289"/>
      <c r="ALH16" s="1288"/>
      <c r="ALI16" s="1288"/>
      <c r="ALJ16" s="1288"/>
      <c r="ALK16" s="1290"/>
      <c r="ALL16" s="1288"/>
      <c r="ALM16" s="1289"/>
      <c r="ALN16" s="1288"/>
      <c r="ALO16" s="1288"/>
      <c r="ALP16" s="1289"/>
      <c r="ALQ16" s="1288"/>
      <c r="ALR16" s="1288"/>
      <c r="ALS16" s="1289"/>
      <c r="ALT16" s="1288"/>
      <c r="ALU16" s="1288"/>
      <c r="ALV16" s="1289"/>
      <c r="ALW16" s="1288"/>
      <c r="ALX16" s="1288"/>
      <c r="ALY16" s="1288"/>
      <c r="ALZ16" s="1290"/>
      <c r="AMA16" s="1288"/>
      <c r="AMB16" s="1289"/>
      <c r="AMC16" s="1288"/>
      <c r="AMD16" s="1288"/>
      <c r="AME16" s="1288"/>
      <c r="AMF16" s="1290"/>
      <c r="AMG16" s="1288"/>
      <c r="AMH16" s="1289"/>
      <c r="AMI16" s="1288"/>
      <c r="AMJ16" s="1288"/>
      <c r="AMK16" s="1289"/>
      <c r="AML16" s="1288"/>
      <c r="AMM16" s="1288"/>
      <c r="AMN16" s="1289"/>
      <c r="AMO16" s="1288"/>
      <c r="AMP16" s="1288"/>
      <c r="AMQ16" s="1289"/>
      <c r="AMR16" s="1288"/>
      <c r="AMS16" s="1288"/>
      <c r="AMT16" s="1288"/>
      <c r="AMU16" s="1290"/>
      <c r="AMV16" s="1288"/>
      <c r="AMW16" s="1289"/>
      <c r="AMX16" s="1288"/>
      <c r="AMY16" s="1288"/>
      <c r="AMZ16" s="1288"/>
      <c r="ANA16" s="1290"/>
      <c r="ANB16" s="1288"/>
      <c r="ANC16" s="1289"/>
      <c r="AND16" s="1288"/>
      <c r="ANE16" s="1288"/>
      <c r="ANF16" s="1289"/>
      <c r="ANG16" s="1288"/>
      <c r="ANH16" s="1288"/>
      <c r="ANI16" s="1289"/>
      <c r="ANJ16" s="1288"/>
      <c r="ANK16" s="1288"/>
      <c r="ANL16" s="1289"/>
      <c r="ANM16" s="1288"/>
      <c r="ANN16" s="1288"/>
      <c r="ANO16" s="1288"/>
      <c r="ANP16" s="1290"/>
      <c r="ANQ16" s="1288"/>
      <c r="ANR16" s="1289"/>
      <c r="ANS16" s="1288"/>
      <c r="ANT16" s="1288"/>
      <c r="ANU16" s="1288"/>
      <c r="ANV16" s="1290"/>
      <c r="ANW16" s="1288"/>
      <c r="ANX16" s="1289"/>
      <c r="ANY16" s="1288"/>
      <c r="ANZ16" s="1288"/>
      <c r="AOA16" s="1289"/>
      <c r="AOB16" s="1288"/>
      <c r="AOC16" s="1288"/>
      <c r="AOD16" s="1289"/>
      <c r="AOE16" s="1288"/>
      <c r="AOF16" s="1288"/>
      <c r="AOG16" s="1289"/>
      <c r="AOH16" s="1288"/>
      <c r="AOI16" s="1288"/>
      <c r="AOJ16" s="1288"/>
      <c r="AOK16" s="1290"/>
      <c r="AOL16" s="1288"/>
      <c r="AOM16" s="1289"/>
      <c r="AON16" s="1288"/>
      <c r="AOO16" s="1288"/>
      <c r="AOP16" s="1288"/>
      <c r="AOQ16" s="1290"/>
      <c r="AOR16" s="1288"/>
      <c r="AOS16" s="1289"/>
      <c r="AOT16" s="1288"/>
      <c r="AOU16" s="1288"/>
      <c r="AOV16" s="1289"/>
      <c r="AOW16" s="1288"/>
      <c r="AOX16" s="1288"/>
      <c r="AOY16" s="1289"/>
      <c r="AOZ16" s="1288"/>
      <c r="APA16" s="1288"/>
      <c r="APB16" s="1289"/>
      <c r="APC16" s="1288"/>
      <c r="APD16" s="1288"/>
      <c r="APE16" s="1288"/>
      <c r="APF16" s="1290"/>
      <c r="APG16" s="1288"/>
      <c r="APH16" s="1289"/>
      <c r="API16" s="1288"/>
      <c r="APJ16" s="1288"/>
      <c r="APK16" s="1288"/>
      <c r="APL16" s="1290"/>
      <c r="APM16" s="1288"/>
      <c r="APN16" s="1289"/>
      <c r="APO16" s="1288"/>
      <c r="APP16" s="1288"/>
      <c r="APQ16" s="1289"/>
      <c r="APR16" s="1288"/>
      <c r="APS16" s="1288"/>
      <c r="APT16" s="1289"/>
      <c r="APU16" s="1288"/>
      <c r="APV16" s="1288"/>
      <c r="APW16" s="1289"/>
      <c r="APX16" s="1288"/>
      <c r="APY16" s="1288"/>
      <c r="APZ16" s="1288"/>
      <c r="AQA16" s="1290"/>
      <c r="AQB16" s="1288"/>
      <c r="AQC16" s="1289"/>
      <c r="AQD16" s="1288"/>
      <c r="AQE16" s="1288"/>
      <c r="AQF16" s="1289"/>
      <c r="AQG16" s="1288"/>
      <c r="AQH16" s="1288"/>
      <c r="AQI16" s="1289"/>
      <c r="AQJ16" s="1288"/>
      <c r="AQK16" s="1288"/>
      <c r="AQL16" s="1289"/>
      <c r="AQM16" s="1288"/>
      <c r="AQN16" s="1288"/>
      <c r="AQO16" s="1288"/>
      <c r="AQP16" s="1290"/>
      <c r="AQQ16" s="1288"/>
      <c r="AQR16" s="1288"/>
      <c r="AQS16" s="1290"/>
      <c r="AQT16" s="1288"/>
      <c r="AQU16" s="1289"/>
      <c r="AQV16" s="1288"/>
      <c r="AQW16" s="1288"/>
      <c r="AQX16" s="1289"/>
      <c r="AQY16" s="1288"/>
      <c r="AQZ16" s="1288"/>
      <c r="ARA16" s="1289"/>
      <c r="ARB16" s="1288"/>
      <c r="ARC16" s="1288"/>
      <c r="ARD16" s="1289"/>
      <c r="ARE16" s="1288"/>
      <c r="ARF16" s="1288"/>
      <c r="ARG16" s="1289"/>
      <c r="ARH16" s="1288"/>
      <c r="ARI16" s="1288"/>
      <c r="ARJ16" s="1289"/>
      <c r="ARK16" s="1288"/>
      <c r="ARL16" s="1288"/>
      <c r="ARM16" s="1289"/>
      <c r="ARN16" s="1288"/>
      <c r="ARO16" s="1288"/>
      <c r="ARP16" s="1289"/>
      <c r="ARQ16" s="1288"/>
      <c r="ARR16" s="1288"/>
      <c r="ARS16" s="1289"/>
      <c r="ART16" s="1288"/>
      <c r="ARU16" s="1288"/>
      <c r="ARV16" s="1289"/>
      <c r="ARW16" s="1288"/>
      <c r="ARX16" s="1288"/>
      <c r="ARY16" s="1289"/>
      <c r="ARZ16" s="1288"/>
      <c r="ASA16" s="1288"/>
      <c r="ASB16" s="1289"/>
      <c r="ASC16" s="1288"/>
      <c r="ASD16" s="1288"/>
      <c r="ASE16" s="1288"/>
      <c r="ASF16" s="1290"/>
      <c r="ASG16" s="1288"/>
      <c r="ASH16" s="1289"/>
      <c r="ASI16" s="1288"/>
      <c r="ASJ16" s="1288"/>
      <c r="ASK16" s="1288"/>
      <c r="ASL16" s="1290"/>
      <c r="ASM16" s="1288"/>
      <c r="ASN16" s="1289"/>
      <c r="ASO16" s="1288"/>
      <c r="ASP16" s="1288"/>
      <c r="ASQ16" s="1288"/>
      <c r="ASR16" s="1290"/>
      <c r="ASS16" s="1288"/>
      <c r="AST16" s="1289"/>
      <c r="ASU16" s="1288"/>
      <c r="ASV16" s="1288"/>
      <c r="ASW16" s="1289"/>
      <c r="ASX16" s="1288"/>
      <c r="ASY16" s="1288"/>
      <c r="ASZ16" s="1288"/>
      <c r="ATA16" s="1290"/>
      <c r="ATB16" s="1288"/>
      <c r="ATC16" s="1289"/>
      <c r="ATD16" s="1288"/>
      <c r="ATE16" s="1288"/>
      <c r="ATF16" s="1288"/>
      <c r="ATG16" s="1290"/>
      <c r="ATH16" s="1288"/>
      <c r="ATI16" s="1289"/>
      <c r="ATJ16" s="1288"/>
      <c r="ATK16" s="1288"/>
      <c r="ATL16" s="1289"/>
      <c r="ATM16" s="1288"/>
      <c r="ATN16" s="1288"/>
      <c r="ATO16" s="1289"/>
      <c r="ATP16" s="1288"/>
      <c r="ATQ16" s="1288"/>
      <c r="ATR16" s="1289"/>
      <c r="ATS16" s="1288"/>
      <c r="ATT16" s="1288"/>
      <c r="ATU16" s="1289"/>
      <c r="ATV16" s="1288"/>
      <c r="ATW16" s="1288"/>
      <c r="ATX16" s="1289"/>
      <c r="ATY16" s="1288"/>
      <c r="ATZ16" s="1288"/>
      <c r="AUA16" s="1288"/>
      <c r="AUB16" s="1290"/>
      <c r="AUC16" s="1288"/>
      <c r="AUD16" s="1289"/>
      <c r="AUE16" s="1288"/>
      <c r="AUF16" s="1288"/>
      <c r="AUG16" s="1289"/>
      <c r="AUH16" s="1288"/>
      <c r="AUI16" s="1288"/>
      <c r="AUJ16" s="1289"/>
      <c r="AUK16" s="1288"/>
      <c r="AUL16" s="1288"/>
      <c r="AUM16" s="1288"/>
      <c r="AUN16" s="1290"/>
      <c r="AUO16" s="1288"/>
      <c r="AUP16" s="1288"/>
      <c r="AUQ16" s="1290"/>
      <c r="AUR16" s="1288"/>
      <c r="AUS16" s="1288"/>
      <c r="AUT16" s="1290"/>
      <c r="AUU16" s="1288"/>
      <c r="AUV16" s="1288"/>
      <c r="AUW16" s="1290"/>
      <c r="AUX16" s="1288"/>
      <c r="AUY16" s="1288"/>
      <c r="AUZ16" s="1290"/>
      <c r="AVA16" s="1288"/>
      <c r="AVB16" s="1288"/>
      <c r="AVC16" s="1290"/>
      <c r="AVD16" s="1288"/>
      <c r="AVE16" s="1288"/>
      <c r="AVF16" s="1290"/>
      <c r="AVG16" s="1288"/>
      <c r="AVH16" s="1288"/>
      <c r="AVI16" s="1290"/>
      <c r="AVJ16" s="1288"/>
      <c r="AVK16" s="1288"/>
      <c r="AVL16" s="1290"/>
      <c r="AVM16" s="1288"/>
      <c r="AVN16" s="1288"/>
      <c r="AVO16" s="1290"/>
      <c r="AVP16" s="1288"/>
      <c r="AVQ16" s="1288"/>
      <c r="AVR16" s="1290"/>
      <c r="AVS16" s="1288"/>
      <c r="AVT16" s="1288"/>
      <c r="AVU16" s="1290"/>
      <c r="AVV16" s="1288"/>
      <c r="AVW16" s="1288"/>
      <c r="AVX16" s="1290"/>
      <c r="AVY16" s="1288"/>
      <c r="AVZ16" s="1288"/>
      <c r="AWA16" s="1290"/>
      <c r="AWB16" s="1288"/>
      <c r="AWC16" s="1288"/>
      <c r="AWD16" s="1290"/>
      <c r="AWE16" s="1288"/>
      <c r="AWF16" s="1288"/>
      <c r="AWG16" s="1290"/>
      <c r="AWH16" s="1288"/>
      <c r="AWI16" s="1288"/>
      <c r="AWJ16" s="1290"/>
      <c r="AWK16" s="1288"/>
      <c r="AWL16" s="1288"/>
      <c r="AWM16" s="1290"/>
      <c r="AWN16" s="1288"/>
      <c r="AWO16" s="1289"/>
      <c r="AWP16" s="1288"/>
      <c r="AWQ16" s="1288"/>
      <c r="AWR16" s="1289"/>
      <c r="AWS16" s="1288"/>
      <c r="AWT16" s="1288"/>
      <c r="AWU16" s="1289"/>
      <c r="AWV16" s="1288"/>
      <c r="AWW16" s="1288"/>
      <c r="AWX16" s="1289"/>
      <c r="AWY16" s="1288"/>
      <c r="AWZ16" s="1288"/>
      <c r="AXA16" s="1288"/>
      <c r="AXB16" s="1290"/>
      <c r="AXC16" s="1288"/>
      <c r="AXD16" s="1289"/>
      <c r="AXE16" s="1288"/>
      <c r="AXF16" s="1288"/>
      <c r="AXG16" s="1288"/>
      <c r="AXH16" s="1290"/>
      <c r="AXI16" s="1288"/>
      <c r="AXJ16" s="1289"/>
      <c r="AXK16" s="1288"/>
      <c r="AXL16" s="1288"/>
      <c r="AXM16" s="1289"/>
      <c r="AXN16" s="1288"/>
      <c r="AXO16" s="1288"/>
      <c r="AXP16" s="1289"/>
      <c r="AXQ16" s="1288"/>
      <c r="AXR16" s="1288"/>
      <c r="AXS16" s="1289"/>
      <c r="AXT16" s="1288"/>
      <c r="AXU16" s="1288"/>
      <c r="AXV16" s="1288"/>
      <c r="AXW16" s="1290"/>
      <c r="AXX16" s="1288"/>
      <c r="AXY16" s="1289"/>
      <c r="AXZ16" s="1288"/>
      <c r="AYA16" s="1288"/>
      <c r="AYB16" s="1288"/>
      <c r="AYC16" s="1290"/>
      <c r="AYD16" s="1288"/>
      <c r="AYE16" s="1289"/>
      <c r="AYF16" s="1288"/>
      <c r="AYG16" s="1288"/>
      <c r="AYH16" s="1289"/>
      <c r="AYI16" s="1288"/>
      <c r="AYJ16" s="1288"/>
      <c r="AYK16" s="1289"/>
      <c r="AYL16" s="1288"/>
      <c r="AYM16" s="1288"/>
      <c r="AYN16" s="1289"/>
      <c r="AYO16" s="1288"/>
      <c r="AYP16" s="1288"/>
      <c r="AYQ16" s="1288"/>
      <c r="AYR16" s="1290"/>
      <c r="AYS16" s="1288"/>
      <c r="AYT16" s="1289"/>
      <c r="AYU16" s="1288"/>
      <c r="AYV16" s="1288"/>
      <c r="AYW16" s="1288"/>
      <c r="AYX16" s="1290"/>
      <c r="AYY16" s="1288"/>
      <c r="AYZ16" s="1289"/>
      <c r="AZA16" s="1288"/>
      <c r="AZB16" s="1288"/>
      <c r="AZC16" s="1289"/>
      <c r="AZD16" s="1288"/>
      <c r="AZE16" s="1288"/>
      <c r="AZF16" s="1289"/>
      <c r="AZG16" s="1288"/>
      <c r="AZH16" s="1288"/>
      <c r="AZI16" s="1289"/>
      <c r="AZJ16" s="1288"/>
      <c r="AZK16" s="1288"/>
      <c r="AZL16" s="1288"/>
      <c r="AZM16" s="1290"/>
      <c r="AZN16" s="1288"/>
      <c r="AZO16" s="1289"/>
      <c r="AZP16" s="1288"/>
      <c r="AZQ16" s="1288"/>
      <c r="AZR16" s="1288"/>
      <c r="AZS16" s="1290"/>
      <c r="AZT16" s="1288"/>
      <c r="AZU16" s="1289"/>
      <c r="AZV16" s="1288"/>
      <c r="AZW16" s="1288"/>
      <c r="AZX16" s="1289"/>
      <c r="AZY16" s="1288"/>
      <c r="AZZ16" s="1288"/>
      <c r="BAA16" s="1289"/>
      <c r="BAB16" s="1288"/>
      <c r="BAC16" s="1288"/>
      <c r="BAD16" s="1289"/>
      <c r="BAE16" s="1288"/>
      <c r="BAF16" s="1288"/>
      <c r="BAG16" s="1288"/>
      <c r="BAH16" s="1290"/>
      <c r="BAI16" s="1288"/>
      <c r="BAJ16" s="1289"/>
    </row>
    <row r="17" spans="1:1399">
      <c r="A17" s="382"/>
      <c r="B17" s="1247" t="s">
        <v>346</v>
      </c>
      <c r="C17" s="1248"/>
      <c r="D17" s="1248"/>
      <c r="E17" s="1249"/>
      <c r="F17" s="1250"/>
      <c r="G17" s="1250"/>
      <c r="H17" s="1250"/>
      <c r="I17" s="1250"/>
      <c r="J17" s="1250"/>
      <c r="K17" s="1250"/>
      <c r="L17" s="1250"/>
      <c r="M17" s="1250"/>
      <c r="N17" s="1250"/>
      <c r="O17" s="1250"/>
      <c r="P17" s="1250"/>
      <c r="Q17" s="1250"/>
      <c r="R17" s="1250"/>
      <c r="S17" s="1250"/>
      <c r="T17" s="1250"/>
      <c r="U17" s="1250"/>
      <c r="V17" s="1250"/>
      <c r="W17" s="1250"/>
      <c r="X17" s="1250"/>
      <c r="Y17" s="1250"/>
      <c r="Z17" s="1250"/>
      <c r="AA17" s="1250"/>
      <c r="AB17" s="1250"/>
      <c r="AC17" s="1250"/>
      <c r="AD17" s="1250"/>
      <c r="AE17" s="1250"/>
      <c r="AF17" s="1250"/>
      <c r="AG17" s="1250"/>
      <c r="AH17" s="1250"/>
      <c r="AI17" s="1250"/>
      <c r="AJ17" s="1250"/>
      <c r="AK17" s="1250"/>
      <c r="AL17" s="1250"/>
      <c r="AM17" s="1250"/>
      <c r="AN17" s="1250"/>
      <c r="AO17" s="1250"/>
      <c r="AP17" s="1250"/>
      <c r="AQ17" s="1250"/>
      <c r="AR17" s="1250"/>
      <c r="AS17" s="1250"/>
      <c r="AT17" s="1250"/>
      <c r="AU17" s="1250"/>
      <c r="AV17" s="1250"/>
      <c r="AW17" s="1250"/>
      <c r="AX17" s="1250"/>
      <c r="AY17" s="1250"/>
      <c r="AZ17" s="1250"/>
      <c r="BA17" s="1250"/>
      <c r="BB17" s="1250"/>
      <c r="BC17" s="1250"/>
      <c r="BD17" s="1250"/>
      <c r="BE17" s="1250"/>
      <c r="BF17" s="1250"/>
      <c r="BG17" s="1250"/>
      <c r="BH17" s="1250"/>
      <c r="BI17" s="1250"/>
      <c r="BJ17" s="1250"/>
      <c r="BK17" s="1250"/>
      <c r="BL17" s="1250"/>
      <c r="BM17" s="1250"/>
      <c r="BN17" s="1250"/>
      <c r="BO17" s="1250"/>
      <c r="BP17" s="1250"/>
      <c r="BQ17" s="1250"/>
      <c r="BR17" s="1250"/>
      <c r="BS17" s="1250"/>
      <c r="BT17" s="1250"/>
      <c r="BU17" s="1250"/>
      <c r="BV17" s="1250"/>
      <c r="BW17" s="1250"/>
      <c r="BX17" s="1250"/>
      <c r="BY17" s="1250"/>
      <c r="BZ17" s="1250"/>
      <c r="CA17" s="1250"/>
      <c r="CB17" s="1250"/>
      <c r="CC17" s="1250"/>
      <c r="CD17" s="1250"/>
      <c r="CE17" s="1250"/>
      <c r="CF17" s="1250"/>
      <c r="CG17" s="1250"/>
      <c r="CH17" s="1250"/>
      <c r="CI17" s="1250"/>
      <c r="CJ17" s="1250"/>
      <c r="CK17" s="1250"/>
      <c r="CL17" s="1250"/>
      <c r="CM17" s="1250"/>
      <c r="CN17" s="1250"/>
      <c r="CO17" s="1250"/>
      <c r="CP17" s="1250"/>
      <c r="CQ17" s="1250"/>
      <c r="CR17" s="1250"/>
      <c r="CS17" s="1250"/>
      <c r="CT17" s="1250"/>
      <c r="CU17" s="1250"/>
      <c r="CV17" s="1250"/>
      <c r="CW17" s="1250"/>
      <c r="CX17" s="1250"/>
      <c r="CY17" s="1250"/>
      <c r="CZ17" s="1250"/>
      <c r="DA17" s="1250"/>
      <c r="DB17" s="1250"/>
      <c r="DC17" s="1250"/>
      <c r="DD17" s="1250"/>
      <c r="DE17" s="1250"/>
      <c r="DF17" s="1250"/>
      <c r="DG17" s="1250"/>
      <c r="DH17" s="1250"/>
      <c r="DI17" s="1250"/>
      <c r="DJ17" s="1250"/>
      <c r="DK17" s="1250"/>
      <c r="DL17" s="1250"/>
      <c r="DM17" s="1250"/>
      <c r="DN17" s="1250"/>
      <c r="DO17" s="1250"/>
      <c r="DP17" s="1250"/>
      <c r="DQ17" s="1250"/>
      <c r="DR17" s="1250"/>
      <c r="DS17" s="1250"/>
      <c r="DT17" s="1250"/>
      <c r="DU17" s="1250"/>
      <c r="DV17" s="1250"/>
      <c r="DW17" s="1250"/>
      <c r="DX17" s="1250"/>
      <c r="DY17" s="1250"/>
      <c r="DZ17" s="1250"/>
      <c r="EA17" s="1250"/>
      <c r="EB17" s="1250"/>
      <c r="EC17" s="1250"/>
      <c r="ED17" s="1250"/>
      <c r="EE17" s="1250"/>
      <c r="EF17" s="1250"/>
      <c r="EG17" s="1250"/>
      <c r="EH17" s="1250"/>
      <c r="EI17" s="1250"/>
      <c r="EJ17" s="1250"/>
      <c r="EK17" s="1250"/>
      <c r="EL17" s="1250"/>
      <c r="EM17" s="1250"/>
      <c r="EN17" s="1250"/>
      <c r="EO17" s="1250"/>
      <c r="EP17" s="1250"/>
      <c r="EQ17" s="1250"/>
      <c r="ER17" s="1250"/>
      <c r="ES17" s="1250"/>
      <c r="ET17" s="1250"/>
      <c r="EU17" s="1250"/>
      <c r="EV17" s="1250"/>
      <c r="EW17" s="1250"/>
      <c r="EX17" s="1250"/>
      <c r="EY17" s="1250"/>
      <c r="EZ17" s="1250"/>
      <c r="FA17" s="1250"/>
      <c r="FB17" s="1250"/>
      <c r="FC17" s="1250"/>
      <c r="FD17" s="1250"/>
      <c r="FE17" s="1250"/>
      <c r="FF17" s="1250"/>
      <c r="FG17" s="1250"/>
      <c r="FH17" s="1250"/>
      <c r="FI17" s="1250"/>
      <c r="FJ17" s="1250"/>
      <c r="FK17" s="1250"/>
      <c r="FL17" s="1250"/>
      <c r="FM17" s="1250"/>
      <c r="FN17" s="1250"/>
      <c r="FO17" s="1250"/>
      <c r="FP17" s="1250"/>
      <c r="FQ17" s="1250"/>
      <c r="FR17" s="1250"/>
      <c r="FS17" s="1250"/>
      <c r="FT17" s="1250"/>
      <c r="FU17" s="1250"/>
      <c r="FV17" s="1250"/>
      <c r="FW17" s="1250"/>
      <c r="FX17" s="1250"/>
      <c r="FY17" s="1250"/>
      <c r="FZ17" s="1250"/>
      <c r="GA17" s="1250"/>
      <c r="GB17" s="1250"/>
      <c r="GC17" s="1250"/>
      <c r="GD17" s="1250"/>
      <c r="GE17" s="1250"/>
      <c r="GF17" s="1250"/>
      <c r="GG17" s="1250"/>
      <c r="GH17" s="1250"/>
      <c r="GI17" s="1250"/>
      <c r="GJ17" s="1250"/>
      <c r="GK17" s="1250"/>
      <c r="GL17" s="1250"/>
      <c r="GM17" s="1250"/>
      <c r="GN17" s="1250"/>
      <c r="GO17" s="1250"/>
      <c r="GP17" s="1250"/>
      <c r="GQ17" s="1250"/>
      <c r="GR17" s="1250"/>
      <c r="GS17" s="1250"/>
      <c r="GT17" s="1250"/>
      <c r="GU17" s="1250"/>
      <c r="GV17" s="1250"/>
      <c r="GW17" s="1250"/>
      <c r="GX17" s="1250"/>
      <c r="GY17" s="1250"/>
      <c r="GZ17" s="1250"/>
      <c r="HA17" s="1250"/>
      <c r="HB17" s="1250"/>
      <c r="HC17" s="1250"/>
      <c r="HD17" s="1250"/>
      <c r="HE17" s="1250"/>
      <c r="HF17" s="1250"/>
      <c r="HG17" s="1250"/>
      <c r="HH17" s="1250"/>
      <c r="HI17" s="1250"/>
      <c r="HJ17" s="1250"/>
      <c r="HK17" s="1250"/>
      <c r="HL17" s="1250"/>
      <c r="HM17" s="1250"/>
      <c r="HN17" s="1250"/>
      <c r="HO17" s="1250"/>
      <c r="HP17" s="1250"/>
      <c r="HQ17" s="1250"/>
      <c r="HR17" s="1250"/>
      <c r="HS17" s="1250"/>
      <c r="HT17" s="1250"/>
      <c r="HU17" s="1250"/>
      <c r="HV17" s="1250"/>
      <c r="HW17" s="1250"/>
      <c r="HX17" s="1250"/>
      <c r="HY17" s="1250"/>
      <c r="HZ17" s="1250"/>
      <c r="IA17" s="1250"/>
      <c r="IB17" s="1250"/>
      <c r="IC17" s="1250"/>
      <c r="ID17" s="1250"/>
      <c r="IE17" s="1250"/>
      <c r="IF17" s="1250"/>
      <c r="IG17" s="1250"/>
      <c r="IH17" s="1250"/>
      <c r="II17" s="1250"/>
      <c r="IJ17" s="1250"/>
      <c r="IK17" s="1250"/>
      <c r="IL17" s="1250"/>
      <c r="IM17" s="1250"/>
      <c r="IN17" s="1250"/>
      <c r="IO17" s="1250"/>
      <c r="IP17" s="1250"/>
      <c r="IQ17" s="1250"/>
      <c r="IR17" s="1250"/>
      <c r="IS17" s="1250"/>
      <c r="IT17" s="1250"/>
      <c r="IU17" s="1250"/>
      <c r="IV17" s="1250"/>
      <c r="IW17" s="1250"/>
      <c r="IX17" s="1250"/>
      <c r="IY17" s="1250"/>
      <c r="IZ17" s="1250"/>
      <c r="JA17" s="1250"/>
      <c r="JB17" s="1250"/>
      <c r="JC17" s="1250"/>
      <c r="JD17" s="1250"/>
      <c r="JE17" s="1250"/>
      <c r="JF17" s="1250"/>
      <c r="JG17" s="1250"/>
      <c r="JH17" s="1250"/>
      <c r="JI17" s="1250"/>
      <c r="JJ17" s="1250"/>
      <c r="JK17" s="1250"/>
      <c r="JL17" s="1250"/>
      <c r="JM17" s="1250"/>
      <c r="JN17" s="1250"/>
      <c r="JO17" s="1250"/>
      <c r="JP17" s="1250"/>
      <c r="JQ17" s="1250"/>
      <c r="JR17" s="1250"/>
      <c r="JS17" s="1250"/>
      <c r="JT17" s="1250"/>
      <c r="JU17" s="1250"/>
      <c r="JV17" s="1250"/>
      <c r="JW17" s="1250"/>
      <c r="JX17" s="1250"/>
      <c r="JY17" s="1250"/>
      <c r="JZ17" s="1250"/>
      <c r="KA17" s="1250"/>
      <c r="KB17" s="1250"/>
      <c r="KC17" s="1250"/>
      <c r="KD17" s="1250"/>
      <c r="KE17" s="1250"/>
      <c r="KF17" s="1250"/>
      <c r="KG17" s="1250"/>
      <c r="KH17" s="1250"/>
      <c r="KI17" s="1250"/>
      <c r="KJ17" s="1250"/>
      <c r="KK17" s="1250"/>
      <c r="KL17" s="1250"/>
      <c r="KM17" s="1250"/>
      <c r="KN17" s="1250"/>
      <c r="KO17" s="1250"/>
      <c r="KP17" s="1250"/>
      <c r="KQ17" s="1250"/>
      <c r="KR17" s="1250"/>
      <c r="KS17" s="1250"/>
      <c r="KT17" s="1250"/>
      <c r="KU17" s="1250"/>
      <c r="KV17" s="1250"/>
      <c r="KW17" s="1250"/>
      <c r="KX17" s="1250"/>
      <c r="KY17" s="1250"/>
      <c r="KZ17" s="1250"/>
      <c r="LA17" s="1250"/>
      <c r="LB17" s="1250"/>
      <c r="LC17" s="1250"/>
      <c r="LD17" s="1250"/>
      <c r="LE17" s="1250"/>
      <c r="LF17" s="1250"/>
      <c r="LG17" s="1250"/>
      <c r="LH17" s="1250"/>
      <c r="LI17" s="1250"/>
      <c r="LJ17" s="1250"/>
      <c r="LK17" s="1250"/>
      <c r="LL17" s="1250"/>
      <c r="LM17" s="1250"/>
      <c r="LN17" s="1250"/>
      <c r="LO17" s="1250"/>
      <c r="LP17" s="1250"/>
      <c r="LQ17" s="1250"/>
      <c r="LR17" s="1250"/>
      <c r="LS17" s="1250"/>
      <c r="LT17" s="1250"/>
      <c r="LU17" s="1250"/>
      <c r="LV17" s="1250"/>
      <c r="LW17" s="1250"/>
      <c r="LX17" s="1250"/>
      <c r="LY17" s="1250"/>
      <c r="LZ17" s="1250"/>
      <c r="MA17" s="1250"/>
      <c r="MB17" s="1250"/>
      <c r="MC17" s="1250"/>
      <c r="MD17" s="1250"/>
      <c r="ME17" s="1250"/>
      <c r="MF17" s="1250"/>
      <c r="MG17" s="1250"/>
      <c r="MH17" s="1250"/>
      <c r="MI17" s="1250"/>
      <c r="MJ17" s="1250"/>
      <c r="MK17" s="1250"/>
      <c r="ML17" s="1250"/>
      <c r="MM17" s="1250"/>
      <c r="MN17" s="1250"/>
      <c r="MO17" s="1250"/>
      <c r="MP17" s="1250"/>
      <c r="MQ17" s="1250"/>
      <c r="MR17" s="1250"/>
      <c r="MS17" s="1250"/>
      <c r="MT17" s="1250"/>
      <c r="MU17" s="1250"/>
      <c r="MV17" s="1250"/>
      <c r="MW17" s="1250"/>
      <c r="MX17" s="1250"/>
      <c r="MY17" s="1250"/>
      <c r="MZ17" s="1250"/>
      <c r="NA17" s="1250"/>
      <c r="NB17" s="1250"/>
      <c r="NC17" s="1250"/>
      <c r="ND17" s="1250"/>
      <c r="NE17" s="1250"/>
      <c r="NF17" s="1250"/>
      <c r="NG17" s="1250"/>
      <c r="NH17" s="1250"/>
      <c r="NI17" s="1250"/>
      <c r="NJ17" s="1250"/>
      <c r="NK17" s="1250"/>
      <c r="NL17" s="1250"/>
      <c r="NM17" s="1250"/>
      <c r="NN17" s="1250"/>
      <c r="NO17" s="1250"/>
      <c r="NP17" s="1250"/>
      <c r="NQ17" s="1250"/>
      <c r="NR17" s="1250"/>
      <c r="NS17" s="1250"/>
      <c r="NT17" s="1250"/>
      <c r="NU17" s="1250"/>
      <c r="NV17" s="1250"/>
      <c r="NW17" s="1250"/>
      <c r="NX17" s="1250"/>
      <c r="NY17" s="1250"/>
      <c r="NZ17" s="1250"/>
      <c r="OA17" s="1250"/>
      <c r="OB17" s="1250"/>
      <c r="OC17" s="1250"/>
      <c r="OD17" s="1250"/>
      <c r="OE17" s="1250"/>
      <c r="OF17" s="1250"/>
      <c r="OG17" s="1250"/>
      <c r="OH17" s="1250"/>
      <c r="OI17" s="1250"/>
      <c r="OJ17" s="1250"/>
      <c r="OK17" s="1250"/>
      <c r="OL17" s="1250"/>
      <c r="OM17" s="1250"/>
      <c r="ON17" s="1250"/>
      <c r="OO17" s="1250"/>
      <c r="OP17" s="1250"/>
      <c r="OQ17" s="1250"/>
      <c r="OR17" s="1250"/>
      <c r="OS17" s="1250"/>
      <c r="OT17" s="1250"/>
      <c r="OU17" s="1250"/>
      <c r="OV17" s="1250"/>
      <c r="OW17" s="1250"/>
      <c r="OX17" s="1250"/>
      <c r="OY17" s="1250"/>
      <c r="OZ17" s="1250"/>
      <c r="PA17" s="1250"/>
      <c r="PB17" s="1250"/>
      <c r="PC17" s="1250"/>
      <c r="PD17" s="1250"/>
      <c r="PE17" s="1250"/>
      <c r="PF17" s="1250"/>
      <c r="PG17" s="1250"/>
      <c r="PH17" s="1250"/>
      <c r="PI17" s="1250"/>
      <c r="PJ17" s="1250"/>
      <c r="PK17" s="1250"/>
      <c r="PL17" s="1250"/>
      <c r="PM17" s="1250"/>
      <c r="PN17" s="1250"/>
      <c r="PO17" s="1250"/>
      <c r="PP17" s="1250"/>
      <c r="PQ17" s="1250"/>
      <c r="PR17" s="1250"/>
      <c r="PS17" s="1250"/>
      <c r="PT17" s="1250"/>
      <c r="PU17" s="1250"/>
      <c r="PV17" s="1250"/>
      <c r="PW17" s="1250"/>
      <c r="PX17" s="1250"/>
      <c r="PY17" s="1250"/>
      <c r="PZ17" s="1250"/>
      <c r="QA17" s="1250"/>
      <c r="QB17" s="1250"/>
      <c r="QC17" s="1250"/>
      <c r="QD17" s="1250"/>
      <c r="QE17" s="1250"/>
      <c r="QF17" s="1250"/>
      <c r="QG17" s="1250"/>
      <c r="QH17" s="1250"/>
      <c r="QI17" s="1250"/>
      <c r="QJ17" s="1250"/>
      <c r="QK17" s="1250"/>
      <c r="QL17" s="1250"/>
      <c r="QM17" s="1250"/>
      <c r="QN17" s="1250"/>
      <c r="QO17" s="1250"/>
      <c r="QP17" s="1250"/>
      <c r="QQ17" s="1250"/>
      <c r="QR17" s="1250"/>
      <c r="QS17" s="1250"/>
      <c r="QT17" s="1250"/>
      <c r="QU17" s="1250"/>
      <c r="QV17" s="1250"/>
      <c r="QW17" s="1250"/>
      <c r="QX17" s="1250"/>
      <c r="QY17" s="1250"/>
      <c r="QZ17" s="1250"/>
      <c r="RA17" s="1250"/>
      <c r="RB17" s="1250"/>
      <c r="RC17" s="1250"/>
      <c r="RD17" s="1250"/>
      <c r="RE17" s="1250"/>
      <c r="RF17" s="1250"/>
      <c r="RG17" s="1250"/>
      <c r="RH17" s="1250"/>
      <c r="RI17" s="1250"/>
      <c r="RJ17" s="1250"/>
      <c r="RK17" s="1250"/>
      <c r="RL17" s="1250"/>
      <c r="RM17" s="1250"/>
      <c r="RN17" s="1250"/>
      <c r="RO17" s="1250"/>
      <c r="RP17" s="1250"/>
      <c r="RQ17" s="1250"/>
      <c r="RR17" s="1250"/>
      <c r="RS17" s="1250"/>
      <c r="RT17" s="1250"/>
      <c r="RU17" s="1250"/>
      <c r="RV17" s="1250"/>
      <c r="RW17" s="1250"/>
      <c r="RX17" s="1250"/>
      <c r="RY17" s="1250"/>
      <c r="RZ17" s="1250"/>
      <c r="SA17" s="1250"/>
      <c r="SB17" s="1250"/>
      <c r="SC17" s="1250"/>
      <c r="SD17" s="1250"/>
      <c r="SE17" s="1250"/>
      <c r="SF17" s="1250"/>
      <c r="SG17" s="1250"/>
      <c r="SH17" s="1250"/>
      <c r="SI17" s="1250"/>
      <c r="SJ17" s="1250"/>
      <c r="SK17" s="1250"/>
      <c r="SL17" s="1250"/>
      <c r="SM17" s="1250"/>
      <c r="SN17" s="1250"/>
      <c r="SO17" s="1250"/>
      <c r="SP17" s="1250"/>
      <c r="SQ17" s="1250"/>
      <c r="SR17" s="1250"/>
      <c r="SS17" s="1250"/>
      <c r="ST17" s="1250"/>
      <c r="SU17" s="1250"/>
      <c r="SV17" s="1250"/>
      <c r="SW17" s="1250"/>
      <c r="SX17" s="1250"/>
      <c r="SY17" s="1250"/>
      <c r="SZ17" s="1250"/>
      <c r="TA17" s="1250"/>
      <c r="TB17" s="1250"/>
      <c r="TC17" s="1250"/>
      <c r="TD17" s="1250"/>
      <c r="TE17" s="1250"/>
      <c r="TF17" s="1250"/>
      <c r="TG17" s="1250"/>
      <c r="TH17" s="1250"/>
      <c r="TI17" s="1250"/>
      <c r="TJ17" s="1250"/>
      <c r="TK17" s="1250"/>
      <c r="TL17" s="1250"/>
      <c r="TM17" s="1250"/>
      <c r="TN17" s="1250"/>
      <c r="TO17" s="1250"/>
      <c r="TP17" s="1250"/>
      <c r="TQ17" s="1250"/>
      <c r="TR17" s="1250"/>
      <c r="TS17" s="1250"/>
      <c r="TT17" s="1250"/>
      <c r="TU17" s="1250"/>
      <c r="TV17" s="1250"/>
      <c r="TW17" s="1250"/>
      <c r="TX17" s="1250"/>
      <c r="TY17" s="1250"/>
      <c r="TZ17" s="1250"/>
      <c r="UA17" s="1250"/>
      <c r="UB17" s="1250"/>
      <c r="UC17" s="1250"/>
      <c r="UD17" s="1250"/>
      <c r="UE17" s="1250"/>
      <c r="UF17" s="1250"/>
      <c r="UG17" s="1250"/>
      <c r="UH17" s="1250"/>
      <c r="UI17" s="1250"/>
      <c r="UJ17" s="1250"/>
      <c r="UK17" s="1250"/>
      <c r="UL17" s="1250"/>
      <c r="UM17" s="1250"/>
      <c r="UN17" s="1250"/>
      <c r="UO17" s="1250"/>
      <c r="UP17" s="1250"/>
      <c r="UQ17" s="1250"/>
      <c r="UR17" s="1250"/>
      <c r="US17" s="1250"/>
      <c r="UT17" s="1250"/>
      <c r="UU17" s="1250"/>
      <c r="UV17" s="1250"/>
      <c r="UW17" s="1250"/>
      <c r="UX17" s="1250"/>
      <c r="UY17" s="1250"/>
      <c r="UZ17" s="1250"/>
      <c r="VA17" s="1250"/>
      <c r="VB17" s="1250"/>
      <c r="VC17" s="1250"/>
      <c r="VD17" s="1250"/>
      <c r="VE17" s="1250"/>
      <c r="VF17" s="1250"/>
      <c r="VG17" s="1250"/>
      <c r="VH17" s="1250"/>
      <c r="VI17" s="1250"/>
      <c r="VJ17" s="1250"/>
      <c r="VK17" s="1250"/>
      <c r="VL17" s="1250"/>
      <c r="VM17" s="1250"/>
      <c r="VN17" s="1250"/>
      <c r="VO17" s="1250"/>
      <c r="VP17" s="1250"/>
      <c r="VQ17" s="1250"/>
      <c r="VR17" s="1250"/>
      <c r="VS17" s="1250"/>
      <c r="VT17" s="1250"/>
      <c r="VU17" s="1250"/>
      <c r="VV17" s="1250"/>
      <c r="VW17" s="1250"/>
      <c r="VX17" s="1250"/>
      <c r="VY17" s="1250"/>
      <c r="VZ17" s="1250"/>
      <c r="WA17" s="1250"/>
      <c r="WB17" s="1250"/>
      <c r="WC17" s="1250"/>
      <c r="WD17" s="1250"/>
      <c r="WE17" s="1250"/>
      <c r="WF17" s="1250"/>
      <c r="WG17" s="1250"/>
      <c r="WH17" s="1250"/>
      <c r="WI17" s="1250"/>
      <c r="WJ17" s="1250"/>
      <c r="WK17" s="1250"/>
      <c r="WL17" s="1250"/>
      <c r="WM17" s="1250"/>
      <c r="WN17" s="1250"/>
      <c r="WO17" s="1250"/>
      <c r="WP17" s="1250"/>
      <c r="WQ17" s="1250"/>
      <c r="WR17" s="1250"/>
      <c r="WS17" s="1250"/>
      <c r="WT17" s="1250"/>
      <c r="WU17" s="1250"/>
      <c r="WV17" s="1250"/>
      <c r="WW17" s="1250"/>
      <c r="WX17" s="1250"/>
      <c r="WY17" s="1250"/>
      <c r="WZ17" s="1250"/>
      <c r="XA17" s="1250"/>
      <c r="XB17" s="1250"/>
      <c r="XC17" s="1250"/>
      <c r="XD17" s="1250"/>
      <c r="XE17" s="1250"/>
      <c r="XF17" s="1250"/>
      <c r="XG17" s="1250"/>
      <c r="XH17" s="1250"/>
      <c r="XI17" s="1250"/>
      <c r="XJ17" s="1250"/>
      <c r="XK17" s="1250"/>
      <c r="XL17" s="1250"/>
      <c r="XM17" s="1250"/>
      <c r="XN17" s="1250"/>
      <c r="XO17" s="1250"/>
      <c r="XP17" s="1250"/>
      <c r="XQ17" s="1250"/>
      <c r="XR17" s="1250"/>
      <c r="XS17" s="1250"/>
      <c r="XT17" s="1250"/>
      <c r="XU17" s="1250"/>
      <c r="XV17" s="1250"/>
      <c r="XW17" s="1250"/>
      <c r="XX17" s="1250"/>
      <c r="XY17" s="1250"/>
      <c r="XZ17" s="1250"/>
      <c r="YA17" s="1250"/>
      <c r="YB17" s="1250"/>
      <c r="YC17" s="1250"/>
      <c r="YD17" s="1250"/>
      <c r="YE17" s="1250"/>
      <c r="YF17" s="1250"/>
      <c r="YG17" s="1250"/>
      <c r="YH17" s="1250"/>
      <c r="YI17" s="1250"/>
      <c r="YJ17" s="1250"/>
      <c r="YK17" s="1250"/>
      <c r="YL17" s="1250"/>
      <c r="YM17" s="1250"/>
      <c r="YN17" s="1250"/>
      <c r="YO17" s="1250"/>
      <c r="YP17" s="1250"/>
      <c r="YQ17" s="1250"/>
      <c r="YR17" s="1250"/>
      <c r="YS17" s="1250"/>
      <c r="YT17" s="1250"/>
      <c r="YU17" s="1250"/>
      <c r="YV17" s="1250"/>
      <c r="YW17" s="1250"/>
      <c r="YX17" s="1250"/>
      <c r="YY17" s="1250"/>
      <c r="YZ17" s="1250"/>
      <c r="ZA17" s="1250"/>
      <c r="ZB17" s="1250"/>
      <c r="ZC17" s="1250"/>
      <c r="ZD17" s="1250"/>
      <c r="ZE17" s="1250"/>
      <c r="ZF17" s="1250"/>
      <c r="ZG17" s="1250"/>
      <c r="ZH17" s="1250"/>
      <c r="ZI17" s="1250"/>
      <c r="ZJ17" s="1250"/>
      <c r="ZK17" s="1250"/>
      <c r="ZL17" s="1250"/>
      <c r="ZM17" s="1250"/>
      <c r="ZN17" s="1250"/>
      <c r="ZO17" s="1250"/>
      <c r="ZP17" s="1250"/>
      <c r="ZQ17" s="1250"/>
      <c r="ZR17" s="1250"/>
      <c r="ZS17" s="1250"/>
      <c r="ZT17" s="1250"/>
      <c r="ZU17" s="1250"/>
      <c r="ZV17" s="1250"/>
      <c r="ZW17" s="1250"/>
      <c r="ZX17" s="1250"/>
      <c r="ZY17" s="1250"/>
      <c r="ZZ17" s="1250"/>
      <c r="AAA17" s="1250"/>
      <c r="AAB17" s="1250"/>
      <c r="AAC17" s="1250"/>
      <c r="AAD17" s="1250"/>
      <c r="AAE17" s="1250"/>
      <c r="AAF17" s="1250"/>
      <c r="AAG17" s="1250"/>
      <c r="AAH17" s="1250"/>
      <c r="AAI17" s="1250"/>
      <c r="AAJ17" s="1250"/>
      <c r="AAK17" s="1250"/>
      <c r="AAL17" s="1250"/>
      <c r="AAM17" s="1250"/>
      <c r="AAN17" s="1250"/>
      <c r="AAO17" s="1250"/>
      <c r="AAP17" s="1250"/>
      <c r="AAQ17" s="1250"/>
      <c r="AAR17" s="1250"/>
      <c r="AAS17" s="1250"/>
      <c r="AAT17" s="1250"/>
      <c r="AAU17" s="1250"/>
      <c r="AAV17" s="1250"/>
      <c r="AAW17" s="1250"/>
      <c r="AAX17" s="1250"/>
      <c r="AAY17" s="1250"/>
      <c r="AAZ17" s="1250"/>
      <c r="ABA17" s="1250"/>
      <c r="ABB17" s="1250"/>
      <c r="ABC17" s="1250"/>
      <c r="ABD17" s="1250"/>
      <c r="ABE17" s="1250"/>
      <c r="ABF17" s="1250"/>
      <c r="ABG17" s="1250"/>
      <c r="ABH17" s="1250"/>
      <c r="ABI17" s="1250"/>
      <c r="ABJ17" s="1250"/>
      <c r="ABK17" s="1250"/>
      <c r="ABL17" s="1250"/>
      <c r="ABM17" s="1250"/>
      <c r="ABN17" s="1250"/>
      <c r="ABO17" s="1250"/>
      <c r="ABP17" s="1250"/>
      <c r="ABQ17" s="1250"/>
      <c r="ABR17" s="1250"/>
      <c r="ABS17" s="1250"/>
      <c r="ABT17" s="1250"/>
      <c r="ABU17" s="1250"/>
      <c r="ABV17" s="1250"/>
      <c r="ABW17" s="1250"/>
      <c r="ABX17" s="1250"/>
      <c r="ABY17" s="1250"/>
      <c r="ABZ17" s="1250"/>
      <c r="ACA17" s="1250"/>
      <c r="ACB17" s="1250"/>
      <c r="ACC17" s="1250"/>
      <c r="ACD17" s="1250"/>
      <c r="ACE17" s="1250"/>
      <c r="ACF17" s="1250"/>
      <c r="ACG17" s="1250"/>
      <c r="ACH17" s="1250"/>
      <c r="ACI17" s="1250"/>
      <c r="ACJ17" s="1250"/>
      <c r="ACK17" s="1250"/>
      <c r="ACL17" s="1250"/>
      <c r="ACM17" s="1250"/>
      <c r="ACN17" s="1250"/>
      <c r="ACO17" s="1250"/>
      <c r="ACP17" s="1250"/>
      <c r="ACQ17" s="1250"/>
      <c r="ACR17" s="1250"/>
      <c r="ACS17" s="1250"/>
      <c r="ACT17" s="1250"/>
      <c r="ACU17" s="1250"/>
      <c r="ACV17" s="1250"/>
      <c r="ACW17" s="1250"/>
      <c r="ACX17" s="1250"/>
      <c r="ACY17" s="1250"/>
      <c r="ACZ17" s="1250"/>
      <c r="ADA17" s="1250"/>
      <c r="ADB17" s="1250"/>
      <c r="ADC17" s="1250"/>
      <c r="ADD17" s="1250"/>
      <c r="ADE17" s="1250"/>
      <c r="ADF17" s="1250"/>
      <c r="ADG17" s="1250"/>
      <c r="ADH17" s="1250"/>
      <c r="ADI17" s="1250"/>
      <c r="ADJ17" s="1250"/>
      <c r="ADK17" s="1250"/>
      <c r="ADL17" s="1250"/>
      <c r="ADM17" s="1250"/>
      <c r="ADN17" s="1250"/>
      <c r="ADO17" s="1250"/>
      <c r="ADP17" s="1250"/>
      <c r="ADQ17" s="1250"/>
      <c r="ADR17" s="1250"/>
      <c r="ADS17" s="1250"/>
      <c r="ADT17" s="1250"/>
      <c r="ADU17" s="1250"/>
      <c r="ADV17" s="1250"/>
      <c r="ADW17" s="1250"/>
      <c r="ADX17" s="1250"/>
      <c r="ADY17" s="1250"/>
      <c r="ADZ17" s="1250"/>
      <c r="AEA17" s="1250"/>
      <c r="AEB17" s="1250"/>
      <c r="AEC17" s="1250"/>
      <c r="AED17" s="1250"/>
      <c r="AEE17" s="1250"/>
      <c r="AEF17" s="1250"/>
      <c r="AEG17" s="1250"/>
      <c r="AEH17" s="1250"/>
      <c r="AEI17" s="1250"/>
      <c r="AEJ17" s="1250"/>
      <c r="AEK17" s="1250"/>
      <c r="AEL17" s="1250"/>
      <c r="AEM17" s="1250"/>
      <c r="AEN17" s="1250"/>
      <c r="AEO17" s="1250"/>
      <c r="AEP17" s="1250"/>
      <c r="AEQ17" s="1250"/>
      <c r="AER17" s="1250"/>
      <c r="AES17" s="1250"/>
      <c r="AET17" s="1250"/>
      <c r="AEU17" s="1250"/>
      <c r="AEV17" s="1250"/>
      <c r="AEW17" s="1250"/>
      <c r="AEX17" s="1250"/>
      <c r="AEY17" s="1250"/>
      <c r="AEZ17" s="1250"/>
      <c r="AFA17" s="1250"/>
      <c r="AFB17" s="1250"/>
      <c r="AFC17" s="1250"/>
      <c r="AFD17" s="1250"/>
      <c r="AFE17" s="1250"/>
      <c r="AFF17" s="1250"/>
      <c r="AFG17" s="1250"/>
      <c r="AFH17" s="1250"/>
      <c r="AFI17" s="1250"/>
      <c r="AFJ17" s="1250"/>
      <c r="AFK17" s="1250"/>
      <c r="AFL17" s="1250"/>
      <c r="AFM17" s="1250"/>
      <c r="AFN17" s="1250"/>
      <c r="AFO17" s="1250"/>
      <c r="AFP17" s="1250"/>
      <c r="AFQ17" s="1250"/>
      <c r="AFR17" s="1250"/>
      <c r="AFS17" s="1250"/>
      <c r="AFT17" s="1250"/>
      <c r="AFU17" s="1250"/>
      <c r="AFV17" s="1250"/>
      <c r="AFW17" s="1250"/>
      <c r="AFX17" s="1250"/>
      <c r="AFY17" s="1250"/>
      <c r="AFZ17" s="1250"/>
      <c r="AGA17" s="1250"/>
      <c r="AGB17" s="1250"/>
      <c r="AGC17" s="1250"/>
      <c r="AGD17" s="1250"/>
      <c r="AGE17" s="1250"/>
      <c r="AGF17" s="1250"/>
      <c r="AGG17" s="1250"/>
      <c r="AGH17" s="1250"/>
      <c r="AGI17" s="1250"/>
      <c r="AGJ17" s="1250"/>
      <c r="AGK17" s="1250"/>
      <c r="AGL17" s="1250"/>
      <c r="AGM17" s="1250"/>
      <c r="AGN17" s="1250"/>
      <c r="AGO17" s="1250"/>
      <c r="AGP17" s="1250"/>
      <c r="AGQ17" s="1250"/>
      <c r="AGR17" s="1250"/>
      <c r="AGS17" s="1250"/>
      <c r="AGT17" s="1250"/>
      <c r="AGU17" s="1250"/>
      <c r="AGV17" s="1250"/>
      <c r="AGW17" s="1250"/>
      <c r="AGX17" s="1250"/>
      <c r="AGY17" s="1250"/>
      <c r="AGZ17" s="1250"/>
      <c r="AHA17" s="1250"/>
      <c r="AHB17" s="1250"/>
      <c r="AHC17" s="1250"/>
      <c r="AHD17" s="1250"/>
      <c r="AHE17" s="1250"/>
      <c r="AHF17" s="1250"/>
      <c r="AHG17" s="1250"/>
      <c r="AHH17" s="1250"/>
      <c r="AHI17" s="1250"/>
      <c r="AHJ17" s="1250"/>
      <c r="AHK17" s="1250"/>
      <c r="AHL17" s="1250"/>
      <c r="AHM17" s="1250"/>
      <c r="AHN17" s="1250"/>
      <c r="AHO17" s="1250"/>
      <c r="AHP17" s="1250"/>
      <c r="AHQ17" s="1250"/>
      <c r="AHR17" s="1250"/>
      <c r="AHS17" s="1250"/>
      <c r="AHT17" s="1250"/>
      <c r="AHU17" s="1250"/>
      <c r="AHV17" s="1250"/>
      <c r="AHW17" s="1250"/>
      <c r="AHX17" s="1250"/>
      <c r="AHY17" s="1250"/>
      <c r="AHZ17" s="1250"/>
      <c r="AIA17" s="1250"/>
      <c r="AIB17" s="1250"/>
      <c r="AIC17" s="1250"/>
      <c r="AID17" s="1250"/>
      <c r="AIE17" s="1250"/>
      <c r="AIF17" s="1250"/>
      <c r="AIG17" s="1250"/>
      <c r="AIH17" s="1250"/>
      <c r="AII17" s="1250"/>
      <c r="AIJ17" s="1250"/>
      <c r="AIK17" s="1250"/>
      <c r="AIL17" s="1250"/>
      <c r="AIM17" s="1250"/>
      <c r="AIN17" s="1250"/>
      <c r="AIO17" s="1250"/>
      <c r="AIP17" s="1250"/>
      <c r="AIQ17" s="1250"/>
      <c r="AIR17" s="1250"/>
      <c r="AIS17" s="1250"/>
      <c r="AIT17" s="1250"/>
      <c r="AIU17" s="1250"/>
      <c r="AIV17" s="1250"/>
      <c r="AIW17" s="1250"/>
      <c r="AIX17" s="1250"/>
      <c r="AIY17" s="1250"/>
      <c r="AIZ17" s="1250"/>
      <c r="AJA17" s="1250"/>
      <c r="AJB17" s="1250"/>
      <c r="AJC17" s="1250"/>
      <c r="AJD17" s="1250"/>
      <c r="AJE17" s="1250"/>
      <c r="AJF17" s="1250"/>
      <c r="AJG17" s="1250"/>
      <c r="AJH17" s="1250"/>
      <c r="AJI17" s="1250"/>
      <c r="AJJ17" s="1250"/>
      <c r="AJK17" s="1250"/>
      <c r="AJL17" s="1250"/>
      <c r="AJM17" s="1250"/>
      <c r="AJN17" s="1250"/>
      <c r="AJO17" s="1250"/>
      <c r="AJP17" s="1250"/>
      <c r="AJQ17" s="1250"/>
      <c r="AJR17" s="1250"/>
      <c r="AJS17" s="1250"/>
      <c r="AJT17" s="1250"/>
      <c r="AJU17" s="1250"/>
      <c r="AJV17" s="1250"/>
      <c r="AJW17" s="1250"/>
      <c r="AJX17" s="1250"/>
      <c r="AJY17" s="1250"/>
      <c r="AJZ17" s="1250"/>
      <c r="AKA17" s="1250"/>
      <c r="AKB17" s="1250"/>
      <c r="AKC17" s="1250"/>
      <c r="AKD17" s="1250"/>
      <c r="AKE17" s="1250"/>
      <c r="AKF17" s="1250"/>
      <c r="AKG17" s="1250"/>
      <c r="AKH17" s="1250"/>
      <c r="AKI17" s="1250"/>
      <c r="AKJ17" s="1250"/>
      <c r="AKK17" s="1250"/>
      <c r="AKL17" s="1250"/>
      <c r="AKM17" s="1250"/>
      <c r="AKN17" s="1250"/>
      <c r="AKO17" s="1250"/>
      <c r="AKP17" s="1250"/>
      <c r="AKQ17" s="1250"/>
      <c r="AKR17" s="1250"/>
      <c r="AKS17" s="1250"/>
      <c r="AKT17" s="1250"/>
      <c r="AKU17" s="1250"/>
      <c r="AKV17" s="1250"/>
      <c r="AKW17" s="1250"/>
      <c r="AKX17" s="1250"/>
      <c r="AKY17" s="1250"/>
      <c r="AKZ17" s="1250"/>
      <c r="ALA17" s="1250"/>
      <c r="ALB17" s="1250"/>
      <c r="ALC17" s="1250"/>
      <c r="ALD17" s="1250"/>
      <c r="ALE17" s="1250"/>
      <c r="ALF17" s="1250"/>
      <c r="ALG17" s="1250"/>
      <c r="ALH17" s="1250"/>
      <c r="ALI17" s="1250"/>
      <c r="ALJ17" s="1250"/>
      <c r="ALK17" s="1250"/>
      <c r="ALL17" s="1250"/>
      <c r="ALM17" s="1250"/>
      <c r="ALN17" s="1250"/>
      <c r="ALO17" s="1250"/>
      <c r="ALP17" s="1250"/>
      <c r="ALQ17" s="1250"/>
      <c r="ALR17" s="1250"/>
      <c r="ALS17" s="1250"/>
      <c r="ALT17" s="1250"/>
      <c r="ALU17" s="1250"/>
      <c r="ALV17" s="1250"/>
      <c r="ALW17" s="1277">
        <f>+ALW18+ALW23+ALW28</f>
        <v>26</v>
      </c>
      <c r="ALX17" s="1278"/>
      <c r="ALY17" s="1278"/>
      <c r="ALZ17" s="1277">
        <f t="shared" ref="ALZ17" si="1554">+ALZ18+ALZ23+ALZ28</f>
        <v>0</v>
      </c>
      <c r="AMA17" s="1278"/>
      <c r="AMB17" s="1278"/>
      <c r="AMC17" s="1277">
        <f t="shared" ref="AMC17" si="1555">+AMC18+AMC23+AMC28</f>
        <v>22</v>
      </c>
      <c r="AMD17" s="1278"/>
      <c r="AME17" s="1278"/>
      <c r="AMF17" s="1277">
        <f t="shared" ref="AMF17" si="1556">+AMF18+AMF23+AMF28</f>
        <v>0</v>
      </c>
      <c r="AMG17" s="1278"/>
      <c r="AMH17" s="1278"/>
      <c r="AMI17" s="1277">
        <f t="shared" ref="AMI17" si="1557">+AMI18+AMI23+AMI28</f>
        <v>29</v>
      </c>
      <c r="AMJ17" s="1278"/>
      <c r="AMK17" s="1278"/>
      <c r="AML17" s="1277">
        <f t="shared" ref="AML17" si="1558">+AML18+AML23+AML28</f>
        <v>29</v>
      </c>
      <c r="AMM17" s="1278"/>
      <c r="AMN17" s="1278"/>
      <c r="AMO17" s="1277">
        <f t="shared" ref="AMO17" si="1559">+AMO18+AMO23+AMO28</f>
        <v>30</v>
      </c>
      <c r="AMP17" s="1278"/>
      <c r="AMQ17" s="1278"/>
      <c r="AMR17" s="1277">
        <f t="shared" ref="AMR17" si="1560">+AMR18+AMR23+AMR28</f>
        <v>31</v>
      </c>
      <c r="AMS17" s="1278"/>
      <c r="AMT17" s="1278"/>
      <c r="AMU17" s="1277">
        <f t="shared" ref="AMU17" si="1561">+AMU18+AMU23+AMU28</f>
        <v>31</v>
      </c>
      <c r="AMV17" s="1278"/>
      <c r="AMW17" s="1278"/>
      <c r="AMX17" s="1277">
        <f t="shared" ref="AMX17" si="1562">+AMX18+AMX23+AMX28</f>
        <v>29</v>
      </c>
      <c r="AMY17" s="1278"/>
      <c r="AMZ17" s="1278"/>
      <c r="ANA17" s="1277">
        <f t="shared" ref="ANA17" si="1563">+ANA18+ANA23+ANA28</f>
        <v>0</v>
      </c>
      <c r="ANB17" s="1278"/>
      <c r="ANC17" s="1278"/>
      <c r="AND17" s="1277">
        <f t="shared" ref="AND17" si="1564">+AND18+AND23+AND28</f>
        <v>26</v>
      </c>
      <c r="ANE17" s="1278"/>
      <c r="ANF17" s="1278"/>
      <c r="ANG17" s="1277">
        <f t="shared" ref="ANG17" si="1565">+ANG18+ANG23+ANG28</f>
        <v>26</v>
      </c>
      <c r="ANH17" s="1278"/>
      <c r="ANI17" s="1278"/>
      <c r="ANJ17" s="1277">
        <f t="shared" ref="ANJ17" si="1566">+ANJ18+ANJ23+ANJ28</f>
        <v>23</v>
      </c>
      <c r="ANK17" s="1278"/>
      <c r="ANL17" s="1278"/>
      <c r="ANM17" s="1277">
        <f t="shared" ref="ANM17" si="1567">+ANM18+ANM23+ANM28</f>
        <v>29</v>
      </c>
      <c r="ANN17" s="1278"/>
      <c r="ANO17" s="1278"/>
      <c r="ANP17" s="1277">
        <f t="shared" ref="ANP17" si="1568">+ANP18+ANP23+ANP28</f>
        <v>20</v>
      </c>
      <c r="ANQ17" s="1278"/>
      <c r="ANR17" s="1278"/>
      <c r="ANS17" s="1277">
        <f t="shared" ref="ANS17" si="1569">+ANS18+ANS23+ANS28</f>
        <v>23</v>
      </c>
      <c r="ANT17" s="1278"/>
      <c r="ANU17" s="1278"/>
      <c r="ANV17" s="1277">
        <f t="shared" ref="ANV17" si="1570">+ANV18+ANV23+ANV28</f>
        <v>0</v>
      </c>
      <c r="ANW17" s="1278"/>
      <c r="ANX17" s="1278"/>
      <c r="ANY17" s="1277">
        <f t="shared" ref="ANY17" si="1571">+ANY18+ANY23+ANY28</f>
        <v>24</v>
      </c>
      <c r="ANZ17" s="1278"/>
      <c r="AOA17" s="1278"/>
      <c r="AOB17" s="1277">
        <f t="shared" ref="AOB17" si="1572">+AOB18+AOB23+AOB28</f>
        <v>26</v>
      </c>
      <c r="AOC17" s="1278"/>
      <c r="AOD17" s="1278"/>
      <c r="AOE17" s="1277">
        <f t="shared" ref="AOE17" si="1573">+AOE18+AOE23+AOE28</f>
        <v>26</v>
      </c>
      <c r="AOF17" s="1278"/>
      <c r="AOG17" s="1278"/>
      <c r="AOH17" s="1277">
        <f t="shared" ref="AOH17" si="1574">+AOH18+AOH23+AOH28</f>
        <v>26</v>
      </c>
      <c r="AOI17" s="1278"/>
      <c r="AOJ17" s="1278"/>
      <c r="AOK17" s="1277">
        <f t="shared" ref="AOK17" si="1575">+AOK18+AOK23+AOK28</f>
        <v>23</v>
      </c>
      <c r="AOL17" s="1278"/>
      <c r="AOM17" s="1278"/>
      <c r="AON17" s="1277">
        <f t="shared" ref="AON17" si="1576">+AON18+AON23+AON28</f>
        <v>20</v>
      </c>
      <c r="AOO17" s="1278"/>
      <c r="AOP17" s="1278"/>
      <c r="AOQ17" s="1277">
        <f t="shared" ref="AOQ17" si="1577">+AOQ18+AOQ23+AOQ28</f>
        <v>0</v>
      </c>
      <c r="AOR17" s="1278"/>
      <c r="AOS17" s="1278"/>
      <c r="AOT17" s="1277">
        <f t="shared" ref="AOT17" si="1578">+AOT18+AOT23+AOT28</f>
        <v>22</v>
      </c>
      <c r="AOU17" s="1278"/>
      <c r="AOV17" s="1278"/>
      <c r="AOW17" s="1277">
        <f t="shared" ref="AOW17" si="1579">+AOW18+AOW23+AOW28</f>
        <v>22</v>
      </c>
      <c r="AOX17" s="1278"/>
      <c r="AOY17" s="1278"/>
      <c r="AOZ17" s="1277">
        <f t="shared" ref="AOZ17" si="1580">+AOZ18+AOZ23+AOZ28</f>
        <v>25</v>
      </c>
      <c r="APA17" s="1278"/>
      <c r="APB17" s="1278"/>
      <c r="APC17" s="1277">
        <f t="shared" ref="APC17" si="1581">+APC18+APC23+APC28</f>
        <v>23</v>
      </c>
      <c r="APD17" s="1278"/>
      <c r="APE17" s="1278"/>
      <c r="APF17" s="1277">
        <f t="shared" ref="APF17" si="1582">+APF18+APF23+APF28</f>
        <v>19</v>
      </c>
      <c r="APG17" s="1278"/>
      <c r="APH17" s="1278"/>
      <c r="API17" s="1277">
        <f t="shared" ref="API17" si="1583">+API18+API23+API28</f>
        <v>21</v>
      </c>
      <c r="APJ17" s="1278"/>
      <c r="APK17" s="1278"/>
      <c r="APL17" s="1277">
        <f t="shared" ref="APL17" si="1584">+APL18+APL23+APL28</f>
        <v>0</v>
      </c>
      <c r="APM17" s="1278"/>
      <c r="APN17" s="1278"/>
      <c r="APO17" s="1277">
        <f t="shared" ref="APO17" si="1585">+APO18+APO23+APO28</f>
        <v>18</v>
      </c>
      <c r="APP17" s="1278"/>
      <c r="APQ17" s="1278"/>
      <c r="APR17" s="1277">
        <f t="shared" ref="APR17" si="1586">+APR18+APR23+APR28</f>
        <v>22</v>
      </c>
      <c r="APS17" s="1278"/>
      <c r="APT17" s="1278"/>
      <c r="APU17" s="1277">
        <f t="shared" ref="APU17" si="1587">+APU18+APU23+APU28</f>
        <v>22</v>
      </c>
      <c r="APV17" s="1278"/>
      <c r="APW17" s="1278"/>
      <c r="APX17" s="1277">
        <f t="shared" ref="APX17" si="1588">+APX18+APX23+APX28</f>
        <v>21</v>
      </c>
      <c r="APY17" s="1278"/>
      <c r="APZ17" s="1278"/>
      <c r="AQA17" s="1277">
        <f t="shared" ref="AQA17" si="1589">+AQA18+AQA23+AQA28</f>
        <v>18</v>
      </c>
      <c r="AQB17" s="1278"/>
      <c r="AQC17" s="1278"/>
      <c r="AQD17" s="1277">
        <f t="shared" ref="AQD17" si="1590">+AQD18+AQD23+AQD28</f>
        <v>25</v>
      </c>
      <c r="AQE17" s="1278"/>
      <c r="AQF17" s="1278"/>
      <c r="AQG17" s="1277">
        <f t="shared" ref="AQG17" si="1591">+AQG18+AQG23+AQG28</f>
        <v>0</v>
      </c>
      <c r="AQH17" s="1278"/>
      <c r="AQI17" s="1278"/>
      <c r="AQJ17" s="1277">
        <f t="shared" ref="AQJ17" si="1592">+AQJ18+AQJ23+AQJ28</f>
        <v>20</v>
      </c>
      <c r="AQK17" s="1278"/>
      <c r="AQL17" s="1278"/>
      <c r="AQM17" s="1277">
        <f t="shared" ref="AQM17" si="1593">+AQM18+AQM23+AQM28</f>
        <v>24</v>
      </c>
      <c r="AQN17" s="1278"/>
      <c r="AQO17" s="1278"/>
      <c r="AQP17" s="1277">
        <f t="shared" ref="AQP17" si="1594">+AQP18+AQP23+AQP28</f>
        <v>23</v>
      </c>
      <c r="AQQ17" s="1278"/>
      <c r="AQR17" s="1278"/>
      <c r="AQS17" s="1277">
        <f t="shared" ref="AQS17" si="1595">+AQS18+AQS23+AQS28</f>
        <v>22</v>
      </c>
      <c r="AQT17" s="1278"/>
      <c r="AQU17" s="1278"/>
      <c r="AQV17" s="1277">
        <f t="shared" ref="AQV17" si="1596">+AQV18+AQV23+AQV28</f>
        <v>23</v>
      </c>
      <c r="AQW17" s="1278"/>
      <c r="AQX17" s="1278"/>
      <c r="AQY17" s="1277">
        <f t="shared" ref="AQY17" si="1597">+AQY18+AQY23+AQY28</f>
        <v>31</v>
      </c>
      <c r="AQZ17" s="1278"/>
      <c r="ARA17" s="1278"/>
      <c r="ARB17" s="1277">
        <f t="shared" ref="ARB17" si="1598">+ARB18+ARB23+ARB28</f>
        <v>0</v>
      </c>
      <c r="ARC17" s="1278"/>
      <c r="ARD17" s="1278"/>
      <c r="ARE17" s="1277">
        <f t="shared" ref="ARE17" si="1599">+ARE18+ARE23+ARE28</f>
        <v>0</v>
      </c>
      <c r="ARF17" s="1278"/>
      <c r="ARG17" s="1278"/>
      <c r="ARH17" s="1277">
        <f t="shared" ref="ARH17" si="1600">+ARH18+ARH23+ARH28</f>
        <v>0</v>
      </c>
      <c r="ARI17" s="1278"/>
      <c r="ARJ17" s="1278"/>
      <c r="ARK17" s="1277">
        <f t="shared" ref="ARK17" si="1601">+ARK18+ARK23+ARK28</f>
        <v>31</v>
      </c>
      <c r="ARL17" s="1278"/>
      <c r="ARM17" s="1278"/>
      <c r="ARN17" s="1277">
        <f t="shared" ref="ARN17" si="1602">+ARN18+ARN23+ARN28</f>
        <v>29</v>
      </c>
      <c r="ARO17" s="1278"/>
      <c r="ARP17" s="1278"/>
      <c r="ARQ17" s="1277">
        <f t="shared" ref="ARQ17" si="1603">+ARQ18+ARQ23+ARQ28</f>
        <v>34</v>
      </c>
      <c r="ARR17" s="1278"/>
      <c r="ARS17" s="1278"/>
      <c r="ART17" s="1277">
        <f t="shared" ref="ART17" si="1604">+ART18+ART23+ART28</f>
        <v>33</v>
      </c>
      <c r="ARU17" s="1278"/>
      <c r="ARV17" s="1278"/>
      <c r="ARW17" s="1277">
        <f t="shared" ref="ARW17" si="1605">+ARW18+ARW23+ARW28</f>
        <v>0</v>
      </c>
      <c r="ARX17" s="1278"/>
      <c r="ARY17" s="1278"/>
      <c r="ARZ17" s="1277">
        <f t="shared" ref="ARZ17" si="1606">+ARZ18+ARZ23+ARZ28</f>
        <v>18</v>
      </c>
      <c r="ASA17" s="1278"/>
      <c r="ASB17" s="1278"/>
      <c r="ASC17" s="1277">
        <f t="shared" ref="ASC17" si="1607">+ASC18+ASC23+ASC28</f>
        <v>29</v>
      </c>
      <c r="ASD17" s="1278"/>
      <c r="ASE17" s="1278"/>
      <c r="ASF17" s="1277">
        <f t="shared" ref="ASF17" si="1608">+ASF18+ASF23+ASF28</f>
        <v>33</v>
      </c>
      <c r="ASG17" s="1278"/>
      <c r="ASH17" s="1278"/>
      <c r="ASI17" s="1277">
        <f t="shared" ref="ASI17" si="1609">+ASI18+ASI23+ASI28</f>
        <v>35</v>
      </c>
      <c r="ASJ17" s="1278"/>
      <c r="ASK17" s="1278"/>
      <c r="ASL17" s="1277">
        <f t="shared" ref="ASL17" si="1610">+ASL18+ASL23+ASL28</f>
        <v>32</v>
      </c>
      <c r="ASM17" s="1278"/>
      <c r="ASN17" s="1278"/>
      <c r="ASO17" s="1277">
        <f t="shared" ref="ASO17" si="1611">+ASO18+ASO23+ASO28</f>
        <v>34</v>
      </c>
      <c r="ASP17" s="1278"/>
      <c r="ASQ17" s="1278"/>
      <c r="ASR17" s="1277">
        <f t="shared" ref="ASR17" si="1612">+ASR18+ASR23+ASR28</f>
        <v>0</v>
      </c>
      <c r="ASS17" s="1278"/>
      <c r="AST17" s="1278"/>
      <c r="ASU17" s="1277">
        <f t="shared" ref="ASU17" si="1613">+ASU18+ASU23+ASU28</f>
        <v>26</v>
      </c>
      <c r="ASV17" s="1278"/>
      <c r="ASW17" s="1278"/>
      <c r="ASX17" s="1277">
        <f t="shared" ref="ASX17" si="1614">+ASX18+ASX23+ASX28</f>
        <v>29</v>
      </c>
      <c r="ASY17" s="1278"/>
      <c r="ASZ17" s="1278"/>
      <c r="ATA17" s="1277">
        <f t="shared" ref="ATA17" si="1615">+ATA18+ATA23+ATA28</f>
        <v>35</v>
      </c>
      <c r="ATB17" s="1278"/>
      <c r="ATC17" s="1278"/>
      <c r="ATD17" s="1277">
        <f t="shared" ref="ATD17" si="1616">+ATD18+ATD23+ATD28</f>
        <v>32</v>
      </c>
      <c r="ATE17" s="1278"/>
      <c r="ATF17" s="1278"/>
      <c r="ATG17" s="1277">
        <f t="shared" ref="ATG17" si="1617">+ATG18+ATG23+ATG28</f>
        <v>35</v>
      </c>
      <c r="ATH17" s="1278"/>
      <c r="ATI17" s="1278"/>
      <c r="ATJ17" s="1277">
        <f t="shared" ref="ATJ17" si="1618">+ATJ18+ATJ23+ATJ28</f>
        <v>27</v>
      </c>
      <c r="ATK17" s="1278"/>
      <c r="ATL17" s="1278"/>
      <c r="ATM17" s="1277">
        <f t="shared" ref="ATM17" si="1619">+ATM18+ATM23+ATM28</f>
        <v>0</v>
      </c>
      <c r="ATN17" s="1278"/>
      <c r="ATO17" s="1278"/>
      <c r="ATP17" s="1277">
        <f t="shared" ref="ATP17" si="1620">+ATP18+ATP23+ATP28</f>
        <v>32</v>
      </c>
      <c r="ATQ17" s="1278"/>
      <c r="ATR17" s="1278"/>
      <c r="ATS17" s="1277">
        <f t="shared" ref="ATS17" si="1621">+ATS18+ATS23+ATS28</f>
        <v>33</v>
      </c>
      <c r="ATT17" s="1278"/>
      <c r="ATU17" s="1278"/>
      <c r="ATV17" s="1277">
        <f t="shared" ref="ATV17" si="1622">+ATV18+ATV23+ATV28</f>
        <v>31</v>
      </c>
      <c r="ATW17" s="1278"/>
      <c r="ATX17" s="1278"/>
      <c r="ATY17" s="1277">
        <f t="shared" ref="ATY17" si="1623">+ATY18+ATY23+ATY28</f>
        <v>36</v>
      </c>
      <c r="ATZ17" s="1278"/>
      <c r="AUA17" s="1278"/>
      <c r="AUB17" s="1277">
        <f t="shared" ref="AUB17" si="1624">+AUB18+AUB23+AUB28</f>
        <v>28</v>
      </c>
      <c r="AUC17" s="1278"/>
      <c r="AUD17" s="1278"/>
      <c r="AUE17" s="1277">
        <f t="shared" ref="AUE17" si="1625">+AUE18+AUE23+AUE28</f>
        <v>31</v>
      </c>
      <c r="AUF17" s="1278"/>
      <c r="AUG17" s="1278"/>
      <c r="AUH17" s="1277">
        <f t="shared" ref="AUH17" si="1626">+AUH18+AUH23+AUH28</f>
        <v>0</v>
      </c>
      <c r="AUI17" s="1278"/>
      <c r="AUJ17" s="1278"/>
      <c r="AUK17" s="1277">
        <f t="shared" ref="AUK17" si="1627">+AUK18+AUK23+AUK28</f>
        <v>32</v>
      </c>
      <c r="AUL17" s="1278"/>
      <c r="AUM17" s="1278"/>
      <c r="AUN17" s="1277">
        <f t="shared" ref="AUN17" si="1628">+AUN18+AUN23+AUN28</f>
        <v>28</v>
      </c>
      <c r="AUO17" s="1278"/>
      <c r="AUP17" s="1278"/>
      <c r="AUQ17" s="1277">
        <f t="shared" ref="AUQ17" si="1629">+AUQ18+AUQ23+AUQ28</f>
        <v>32</v>
      </c>
      <c r="AUR17" s="1278"/>
      <c r="AUS17" s="1278"/>
      <c r="AUT17" s="1277">
        <f t="shared" ref="AUT17" si="1630">+AUT18+AUT23+AUT28</f>
        <v>32</v>
      </c>
      <c r="AUU17" s="1278"/>
      <c r="AUV17" s="1278"/>
      <c r="AUW17" s="1277">
        <f t="shared" ref="AUW17" si="1631">+AUW18+AUW23+AUW28</f>
        <v>36</v>
      </c>
      <c r="AUX17" s="1278"/>
      <c r="AUY17" s="1278"/>
      <c r="AUZ17" s="1277">
        <f t="shared" ref="AUZ17" si="1632">+AUZ18+AUZ23+AUZ28</f>
        <v>34</v>
      </c>
      <c r="AVA17" s="1278"/>
      <c r="AVB17" s="1278"/>
      <c r="AVC17" s="1277">
        <f t="shared" ref="AVC17" si="1633">+AVC18+AVC23+AVC28</f>
        <v>0</v>
      </c>
      <c r="AVD17" s="1278"/>
      <c r="AVE17" s="1278"/>
      <c r="AVF17" s="1277">
        <f t="shared" ref="AVF17" si="1634">+AVF18+AVF23+AVF28</f>
        <v>32</v>
      </c>
      <c r="AVG17" s="1278"/>
      <c r="AVH17" s="1278"/>
      <c r="AVI17" s="1277">
        <f t="shared" ref="AVI17" si="1635">+AVI18+AVI23+AVI28</f>
        <v>0</v>
      </c>
      <c r="AVJ17" s="1278"/>
      <c r="AVK17" s="1278"/>
      <c r="AVL17" s="1277">
        <f t="shared" ref="AVL17" si="1636">+AVL18+AVL23+AVL28</f>
        <v>30</v>
      </c>
      <c r="AVM17" s="1278"/>
      <c r="AVN17" s="1278"/>
      <c r="AVO17" s="1277">
        <f t="shared" ref="AVO17" si="1637">+AVO18+AVO23+AVO28</f>
        <v>35</v>
      </c>
      <c r="AVP17" s="1278"/>
      <c r="AVQ17" s="1278"/>
      <c r="AVR17" s="1277">
        <f t="shared" ref="AVR17" si="1638">+AVR18+AVR23+AVR28</f>
        <v>0</v>
      </c>
      <c r="AVS17" s="1278"/>
      <c r="AVT17" s="1278"/>
      <c r="AVU17" s="1277">
        <f t="shared" ref="AVU17" si="1639">+AVU18+AVU23+AVU28</f>
        <v>0</v>
      </c>
      <c r="AVV17" s="1278"/>
      <c r="AVW17" s="1278"/>
      <c r="AVX17" s="1277">
        <f t="shared" ref="AVX17" si="1640">+AVX18+AVX23+AVX28</f>
        <v>0</v>
      </c>
      <c r="AVY17" s="1278"/>
      <c r="AVZ17" s="1278"/>
      <c r="AWA17" s="1277">
        <f t="shared" ref="AWA17" si="1641">+AWA18+AWA23+AWA28</f>
        <v>0</v>
      </c>
      <c r="AWB17" s="1278"/>
      <c r="AWC17" s="1278"/>
      <c r="AWD17" s="1277">
        <f t="shared" ref="AWD17" si="1642">+AWD18+AWD23+AWD28</f>
        <v>0</v>
      </c>
      <c r="AWE17" s="1278"/>
      <c r="AWF17" s="1278"/>
      <c r="AWG17" s="1277">
        <f t="shared" ref="AWG17" si="1643">+AWG18+AWG23+AWG28</f>
        <v>0</v>
      </c>
      <c r="AWH17" s="1278"/>
      <c r="AWI17" s="1278"/>
      <c r="AWJ17" s="1277">
        <f t="shared" ref="AWJ17" si="1644">+AWJ18+AWJ23+AWJ28</f>
        <v>0</v>
      </c>
      <c r="AWK17" s="1278"/>
      <c r="AWL17" s="1278"/>
      <c r="AWM17" s="1277">
        <f t="shared" ref="AWM17" si="1645">+AWM18+AWM23+AWM28</f>
        <v>0</v>
      </c>
      <c r="AWN17" s="1278"/>
      <c r="AWO17" s="1278"/>
      <c r="AWP17" s="1277">
        <f t="shared" ref="AWP17" si="1646">+AWP18+AWP23+AWP28</f>
        <v>0</v>
      </c>
      <c r="AWQ17" s="1278"/>
      <c r="AWR17" s="1278"/>
      <c r="AWS17" s="1277">
        <f t="shared" ref="AWS17" si="1647">+AWS18+AWS23+AWS28</f>
        <v>0</v>
      </c>
      <c r="AWT17" s="1278"/>
      <c r="AWU17" s="1278"/>
      <c r="AWV17" s="1277">
        <f t="shared" ref="AWV17" si="1648">+AWV18+AWV23+AWV28</f>
        <v>0</v>
      </c>
      <c r="AWW17" s="1278"/>
      <c r="AWX17" s="1278"/>
      <c r="AWY17" s="1277">
        <f t="shared" ref="AWY17" si="1649">+AWY18+AWY23+AWY28</f>
        <v>0</v>
      </c>
      <c r="AWZ17" s="1278"/>
      <c r="AXA17" s="1278"/>
      <c r="AXB17" s="1277">
        <f t="shared" ref="AXB17" si="1650">+AXB18+AXB23+AXB28</f>
        <v>0</v>
      </c>
      <c r="AXC17" s="1278"/>
      <c r="AXD17" s="1278"/>
      <c r="AXE17" s="1277">
        <f t="shared" ref="AXE17" si="1651">+AXE18+AXE23+AXE28</f>
        <v>0</v>
      </c>
      <c r="AXF17" s="1278"/>
      <c r="AXG17" s="1278"/>
      <c r="AXH17" s="1277">
        <f t="shared" ref="AXH17" si="1652">+AXH18+AXH23+AXH28</f>
        <v>0</v>
      </c>
      <c r="AXI17" s="1278"/>
      <c r="AXJ17" s="1278"/>
      <c r="AXK17" s="1277">
        <f t="shared" ref="AXK17" si="1653">+AXK18+AXK23+AXK28</f>
        <v>0</v>
      </c>
      <c r="AXL17" s="1278"/>
      <c r="AXM17" s="1278"/>
      <c r="AXN17" s="1277">
        <f t="shared" ref="AXN17" si="1654">+AXN18+AXN23+AXN28</f>
        <v>0</v>
      </c>
      <c r="AXO17" s="1278"/>
      <c r="AXP17" s="1278"/>
      <c r="AXQ17" s="1277">
        <f t="shared" ref="AXQ17" si="1655">+AXQ18+AXQ23+AXQ28</f>
        <v>0</v>
      </c>
      <c r="AXR17" s="1278"/>
      <c r="AXS17" s="1278"/>
      <c r="AXT17" s="1277">
        <f t="shared" ref="AXT17" si="1656">+AXT18+AXT23+AXT28</f>
        <v>0</v>
      </c>
      <c r="AXU17" s="1278"/>
      <c r="AXV17" s="1278"/>
      <c r="AXW17" s="1277">
        <f t="shared" ref="AXW17" si="1657">+AXW18+AXW23+AXW28</f>
        <v>0</v>
      </c>
      <c r="AXX17" s="1278"/>
      <c r="AXY17" s="1278"/>
      <c r="AXZ17" s="1277">
        <f t="shared" ref="AXZ17" si="1658">+AXZ18+AXZ23+AXZ28</f>
        <v>0</v>
      </c>
      <c r="AYA17" s="1278"/>
      <c r="AYB17" s="1278"/>
      <c r="AYC17" s="1277">
        <f t="shared" ref="AYC17" si="1659">+AYC18+AYC23+AYC28</f>
        <v>0</v>
      </c>
      <c r="AYD17" s="1278"/>
      <c r="AYE17" s="1278"/>
      <c r="AYF17" s="1277">
        <f t="shared" ref="AYF17" si="1660">+AYF18+AYF23+AYF28</f>
        <v>0</v>
      </c>
      <c r="AYG17" s="1278"/>
      <c r="AYH17" s="1278"/>
      <c r="AYI17" s="1277">
        <f t="shared" ref="AYI17" si="1661">+AYI18+AYI23+AYI28</f>
        <v>0</v>
      </c>
      <c r="AYJ17" s="1278"/>
      <c r="AYK17" s="1278"/>
      <c r="AYL17" s="1277">
        <f t="shared" ref="AYL17" si="1662">+AYL18+AYL23+AYL28</f>
        <v>0</v>
      </c>
      <c r="AYM17" s="1278"/>
      <c r="AYN17" s="1278"/>
      <c r="AYO17" s="1277">
        <f t="shared" ref="AYO17" si="1663">+AYO18+AYO23+AYO28</f>
        <v>0</v>
      </c>
      <c r="AYP17" s="1278"/>
      <c r="AYQ17" s="1278"/>
      <c r="AYR17" s="1277">
        <f t="shared" ref="AYR17" si="1664">+AYR18+AYR23+AYR28</f>
        <v>0</v>
      </c>
      <c r="AYS17" s="1278"/>
      <c r="AYT17" s="1278"/>
      <c r="AYU17" s="1277">
        <f t="shared" ref="AYU17" si="1665">+AYU18+AYU23+AYU28</f>
        <v>0</v>
      </c>
      <c r="AYV17" s="1278"/>
      <c r="AYW17" s="1278"/>
      <c r="AYX17" s="1277">
        <f t="shared" ref="AYX17" si="1666">+AYX18+AYX23+AYX28</f>
        <v>0</v>
      </c>
      <c r="AYY17" s="1278"/>
      <c r="AYZ17" s="1278"/>
      <c r="AZA17" s="1277">
        <f t="shared" ref="AZA17" si="1667">+AZA18+AZA23+AZA28</f>
        <v>0</v>
      </c>
      <c r="AZB17" s="1278"/>
      <c r="AZC17" s="1278"/>
      <c r="AZD17" s="1277">
        <f t="shared" ref="AZD17" si="1668">+AZD18+AZD23+AZD28</f>
        <v>0</v>
      </c>
      <c r="AZE17" s="1278"/>
      <c r="AZF17" s="1278"/>
      <c r="AZG17" s="1277">
        <f t="shared" ref="AZG17" si="1669">+AZG18+AZG23+AZG28</f>
        <v>0</v>
      </c>
      <c r="AZH17" s="1278"/>
      <c r="AZI17" s="1278"/>
      <c r="AZJ17" s="1277">
        <f t="shared" ref="AZJ17" si="1670">+AZJ18+AZJ23+AZJ28</f>
        <v>0</v>
      </c>
      <c r="AZK17" s="1278"/>
      <c r="AZL17" s="1278"/>
      <c r="AZM17" s="1277">
        <f t="shared" ref="AZM17" si="1671">+AZM18+AZM23+AZM28</f>
        <v>0</v>
      </c>
      <c r="AZN17" s="1278"/>
      <c r="AZO17" s="1278"/>
      <c r="AZP17" s="1277">
        <f t="shared" ref="AZP17" si="1672">+AZP18+AZP23+AZP28</f>
        <v>0</v>
      </c>
      <c r="AZQ17" s="1278"/>
      <c r="AZR17" s="1278"/>
      <c r="AZS17" s="1277">
        <f t="shared" ref="AZS17" si="1673">+AZS18+AZS23+AZS28</f>
        <v>0</v>
      </c>
      <c r="AZT17" s="1278"/>
      <c r="AZU17" s="1278"/>
      <c r="AZV17" s="1277">
        <f t="shared" ref="AZV17" si="1674">+AZV18+AZV23+AZV28</f>
        <v>0</v>
      </c>
      <c r="AZW17" s="1278"/>
      <c r="AZX17" s="1278"/>
      <c r="AZY17" s="1277">
        <f t="shared" ref="AZY17" si="1675">+AZY18+AZY23+AZY28</f>
        <v>0</v>
      </c>
      <c r="AZZ17" s="1278"/>
      <c r="BAA17" s="1278"/>
      <c r="BAB17" s="1277">
        <f t="shared" ref="BAB17" si="1676">+BAB18+BAB23+BAB28</f>
        <v>0</v>
      </c>
      <c r="BAC17" s="1278"/>
      <c r="BAD17" s="1278"/>
      <c r="BAE17" s="1277">
        <f t="shared" ref="BAE17" si="1677">+BAE18+BAE23+BAE28</f>
        <v>0</v>
      </c>
      <c r="BAF17" s="1278"/>
      <c r="BAG17" s="1278"/>
      <c r="BAH17" s="1277">
        <f t="shared" ref="BAH17" si="1678">+BAH18+BAH23+BAH28</f>
        <v>0</v>
      </c>
      <c r="BAI17" s="1278"/>
      <c r="BAJ17" s="1278"/>
      <c r="BAK17" s="382"/>
      <c r="BAL17" s="382"/>
      <c r="BAM17" s="382"/>
      <c r="BAN17" s="382"/>
      <c r="BAO17" s="382"/>
      <c r="BAP17" s="382"/>
      <c r="BAQ17" s="382"/>
      <c r="BAR17" s="382"/>
      <c r="BAS17" s="382"/>
      <c r="BAT17" s="382"/>
      <c r="BAU17" s="382"/>
    </row>
    <row r="18" spans="1:1399">
      <c r="A18" s="382"/>
      <c r="B18" s="1220" t="s">
        <v>347</v>
      </c>
      <c r="C18" s="1221"/>
      <c r="D18" s="1221"/>
      <c r="E18" s="1222"/>
      <c r="F18" s="1223"/>
      <c r="G18" s="1223"/>
      <c r="H18" s="1224"/>
      <c r="I18" s="1223"/>
      <c r="J18" s="1223"/>
      <c r="K18" s="1224"/>
      <c r="L18" s="1223"/>
      <c r="M18" s="1223"/>
      <c r="N18" s="1224"/>
      <c r="O18" s="1223"/>
      <c r="P18" s="1223"/>
      <c r="Q18" s="1224"/>
      <c r="R18" s="1223"/>
      <c r="S18" s="1223"/>
      <c r="T18" s="1224"/>
      <c r="U18" s="1223"/>
      <c r="V18" s="1223"/>
      <c r="W18" s="1224"/>
      <c r="X18" s="1223"/>
      <c r="Y18" s="1223"/>
      <c r="Z18" s="1224"/>
      <c r="AA18" s="1223"/>
      <c r="AB18" s="1223"/>
      <c r="AC18" s="1224"/>
      <c r="AD18" s="1223"/>
      <c r="AE18" s="1223"/>
      <c r="AF18" s="1224"/>
      <c r="AG18" s="1223"/>
      <c r="AH18" s="1223"/>
      <c r="AI18" s="1224"/>
      <c r="AJ18" s="1223"/>
      <c r="AK18" s="1223"/>
      <c r="AL18" s="1224"/>
      <c r="AM18" s="1223"/>
      <c r="AN18" s="1223"/>
      <c r="AO18" s="1224"/>
      <c r="AP18" s="1223"/>
      <c r="AQ18" s="1223"/>
      <c r="AR18" s="1224"/>
      <c r="AS18" s="1223"/>
      <c r="AT18" s="1223"/>
      <c r="AU18" s="1224"/>
      <c r="AV18" s="1223"/>
      <c r="AW18" s="1223"/>
      <c r="AX18" s="1224"/>
      <c r="AY18" s="1223"/>
      <c r="AZ18" s="1223"/>
      <c r="BA18" s="1224"/>
      <c r="BB18" s="1223"/>
      <c r="BC18" s="1223"/>
      <c r="BD18" s="1224"/>
      <c r="BE18" s="1223"/>
      <c r="BF18" s="1223"/>
      <c r="BG18" s="1224"/>
      <c r="BH18" s="1223"/>
      <c r="BI18" s="1223"/>
      <c r="BJ18" s="1224"/>
      <c r="BK18" s="1223"/>
      <c r="BL18" s="1223"/>
      <c r="BM18" s="1224"/>
      <c r="BN18" s="1223"/>
      <c r="BO18" s="1223"/>
      <c r="BP18" s="1224"/>
      <c r="BQ18" s="1223"/>
      <c r="BR18" s="1223"/>
      <c r="BS18" s="1224"/>
      <c r="BT18" s="1223"/>
      <c r="BU18" s="1223"/>
      <c r="BV18" s="1224"/>
      <c r="BW18" s="1223"/>
      <c r="BX18" s="1223"/>
      <c r="BY18" s="1224"/>
      <c r="BZ18" s="1223"/>
      <c r="CA18" s="1223"/>
      <c r="CB18" s="1224"/>
      <c r="CC18" s="1223"/>
      <c r="CD18" s="1223"/>
      <c r="CE18" s="1224"/>
      <c r="CF18" s="1223"/>
      <c r="CG18" s="1223"/>
      <c r="CH18" s="1224"/>
      <c r="CI18" s="1223"/>
      <c r="CJ18" s="1223"/>
      <c r="CK18" s="1224"/>
      <c r="CL18" s="1223"/>
      <c r="CM18" s="1223"/>
      <c r="CN18" s="1224"/>
      <c r="CO18" s="1223"/>
      <c r="CP18" s="1223"/>
      <c r="CQ18" s="1224"/>
      <c r="CR18" s="1223"/>
      <c r="CS18" s="1223"/>
      <c r="CT18" s="1224"/>
      <c r="CU18" s="1223"/>
      <c r="CV18" s="1223"/>
      <c r="CW18" s="1224"/>
      <c r="CX18" s="1223"/>
      <c r="CY18" s="1223"/>
      <c r="CZ18" s="1224"/>
      <c r="DA18" s="1223"/>
      <c r="DB18" s="1223"/>
      <c r="DC18" s="1224"/>
      <c r="DD18" s="1223"/>
      <c r="DE18" s="1223"/>
      <c r="DF18" s="1224"/>
      <c r="DG18" s="1223"/>
      <c r="DH18" s="1223"/>
      <c r="DI18" s="1224"/>
      <c r="DJ18" s="1223"/>
      <c r="DK18" s="1223"/>
      <c r="DL18" s="1224"/>
      <c r="DM18" s="1223"/>
      <c r="DN18" s="1223"/>
      <c r="DO18" s="1224"/>
      <c r="DP18" s="1223"/>
      <c r="DQ18" s="1223"/>
      <c r="DR18" s="1224"/>
      <c r="DS18" s="1223"/>
      <c r="DT18" s="1223"/>
      <c r="DU18" s="1224"/>
      <c r="DV18" s="1223"/>
      <c r="DW18" s="1223"/>
      <c r="DX18" s="1224"/>
      <c r="DY18" s="1223"/>
      <c r="DZ18" s="1223"/>
      <c r="EA18" s="1224"/>
      <c r="EB18" s="1223"/>
      <c r="EC18" s="1223"/>
      <c r="ED18" s="1224"/>
      <c r="EE18" s="1223"/>
      <c r="EF18" s="1223"/>
      <c r="EG18" s="1224"/>
      <c r="EH18" s="1223"/>
      <c r="EI18" s="1223"/>
      <c r="EJ18" s="1224"/>
      <c r="EK18" s="1223"/>
      <c r="EL18" s="1223"/>
      <c r="EM18" s="1224"/>
      <c r="EN18" s="1223"/>
      <c r="EO18" s="1223"/>
      <c r="EP18" s="1224"/>
      <c r="EQ18" s="1223"/>
      <c r="ER18" s="1223"/>
      <c r="ES18" s="1224"/>
      <c r="ET18" s="1223"/>
      <c r="EU18" s="1223"/>
      <c r="EV18" s="1224"/>
      <c r="EW18" s="1223"/>
      <c r="EX18" s="1223"/>
      <c r="EY18" s="1224"/>
      <c r="EZ18" s="1223"/>
      <c r="FA18" s="1223"/>
      <c r="FB18" s="1224"/>
      <c r="FC18" s="1223"/>
      <c r="FD18" s="1223"/>
      <c r="FE18" s="1224"/>
      <c r="FF18" s="1223"/>
      <c r="FG18" s="1223"/>
      <c r="FH18" s="1224"/>
      <c r="FI18" s="1223"/>
      <c r="FJ18" s="1223"/>
      <c r="FK18" s="1224"/>
      <c r="FL18" s="1223"/>
      <c r="FM18" s="1223"/>
      <c r="FN18" s="1224"/>
      <c r="FO18" s="1223"/>
      <c r="FP18" s="1223"/>
      <c r="FQ18" s="1224"/>
      <c r="FR18" s="1223"/>
      <c r="FS18" s="1223"/>
      <c r="FT18" s="1224"/>
      <c r="FU18" s="1223"/>
      <c r="FV18" s="1223"/>
      <c r="FW18" s="1224"/>
      <c r="FX18" s="1223"/>
      <c r="FY18" s="1223"/>
      <c r="FZ18" s="1224"/>
      <c r="GA18" s="1223"/>
      <c r="GB18" s="1223"/>
      <c r="GC18" s="1224"/>
      <c r="GD18" s="1223"/>
      <c r="GE18" s="1223"/>
      <c r="GF18" s="1224"/>
      <c r="GG18" s="1223"/>
      <c r="GH18" s="1223"/>
      <c r="GI18" s="1224"/>
      <c r="GJ18" s="1223"/>
      <c r="GK18" s="1223"/>
      <c r="GL18" s="1224"/>
      <c r="GM18" s="1223"/>
      <c r="GN18" s="1223"/>
      <c r="GO18" s="1224"/>
      <c r="GP18" s="1223"/>
      <c r="GQ18" s="1223"/>
      <c r="GR18" s="1224"/>
      <c r="GS18" s="1223"/>
      <c r="GT18" s="1223"/>
      <c r="GU18" s="1224"/>
      <c r="GV18" s="1223"/>
      <c r="GW18" s="1223"/>
      <c r="GX18" s="1224"/>
      <c r="GY18" s="1223"/>
      <c r="GZ18" s="1223"/>
      <c r="HA18" s="1224"/>
      <c r="HB18" s="1223"/>
      <c r="HC18" s="1223"/>
      <c r="HD18" s="1224"/>
      <c r="HE18" s="1223"/>
      <c r="HF18" s="1223"/>
      <c r="HG18" s="1224"/>
      <c r="HH18" s="1223"/>
      <c r="HI18" s="1223"/>
      <c r="HJ18" s="1224"/>
      <c r="HK18" s="1223"/>
      <c r="HL18" s="1223"/>
      <c r="HM18" s="1224"/>
      <c r="HN18" s="1223"/>
      <c r="HO18" s="1223"/>
      <c r="HP18" s="1224"/>
      <c r="HQ18" s="1223"/>
      <c r="HR18" s="1223"/>
      <c r="HS18" s="1224"/>
      <c r="HT18" s="1223"/>
      <c r="HU18" s="1223"/>
      <c r="HV18" s="1224"/>
      <c r="HW18" s="1223"/>
      <c r="HX18" s="1223"/>
      <c r="HY18" s="1224"/>
      <c r="HZ18" s="1223"/>
      <c r="IA18" s="1223"/>
      <c r="IB18" s="1224"/>
      <c r="IC18" s="1223"/>
      <c r="ID18" s="1223"/>
      <c r="IE18" s="1224"/>
      <c r="IF18" s="1223"/>
      <c r="IG18" s="1223"/>
      <c r="IH18" s="1224"/>
      <c r="II18" s="1223"/>
      <c r="IJ18" s="1223"/>
      <c r="IK18" s="1224"/>
      <c r="IL18" s="1223"/>
      <c r="IM18" s="1223"/>
      <c r="IN18" s="1224"/>
      <c r="IO18" s="1223"/>
      <c r="IP18" s="1223"/>
      <c r="IQ18" s="1224"/>
      <c r="IR18" s="1223"/>
      <c r="IS18" s="1223"/>
      <c r="IT18" s="1224"/>
      <c r="IU18" s="1223"/>
      <c r="IV18" s="1223"/>
      <c r="IW18" s="1224"/>
      <c r="IX18" s="1223"/>
      <c r="IY18" s="1223"/>
      <c r="IZ18" s="1224"/>
      <c r="JA18" s="1223"/>
      <c r="JB18" s="1223"/>
      <c r="JC18" s="1224"/>
      <c r="JD18" s="1223"/>
      <c r="JE18" s="1223"/>
      <c r="JF18" s="1224"/>
      <c r="JG18" s="1223"/>
      <c r="JH18" s="1223"/>
      <c r="JI18" s="1224"/>
      <c r="JJ18" s="1223"/>
      <c r="JK18" s="1223"/>
      <c r="JL18" s="1224"/>
      <c r="JM18" s="1223"/>
      <c r="JN18" s="1223"/>
      <c r="JO18" s="1224"/>
      <c r="JP18" s="1223"/>
      <c r="JQ18" s="1223"/>
      <c r="JR18" s="1224"/>
      <c r="JS18" s="1223"/>
      <c r="JT18" s="1223"/>
      <c r="JU18" s="1224"/>
      <c r="JV18" s="1223"/>
      <c r="JW18" s="1223"/>
      <c r="JX18" s="1224"/>
      <c r="JY18" s="1223"/>
      <c r="JZ18" s="1223"/>
      <c r="KA18" s="1224"/>
      <c r="KB18" s="1223"/>
      <c r="KC18" s="1223"/>
      <c r="KD18" s="1224"/>
      <c r="KE18" s="1223"/>
      <c r="KF18" s="1223"/>
      <c r="KG18" s="1224"/>
      <c r="KH18" s="1223"/>
      <c r="KI18" s="1223"/>
      <c r="KJ18" s="1224"/>
      <c r="KK18" s="1223"/>
      <c r="KL18" s="1223"/>
      <c r="KM18" s="1224"/>
      <c r="KN18" s="1223"/>
      <c r="KO18" s="1223"/>
      <c r="KP18" s="1224"/>
      <c r="KQ18" s="1223"/>
      <c r="KR18" s="1223"/>
      <c r="KS18" s="1224"/>
      <c r="KT18" s="1223"/>
      <c r="KU18" s="1223"/>
      <c r="KV18" s="1224"/>
      <c r="KW18" s="1223"/>
      <c r="KX18" s="1223"/>
      <c r="KY18" s="1224"/>
      <c r="KZ18" s="1223"/>
      <c r="LA18" s="1223"/>
      <c r="LB18" s="1224"/>
      <c r="LC18" s="1223"/>
      <c r="LD18" s="1223"/>
      <c r="LE18" s="1224"/>
      <c r="LF18" s="1223"/>
      <c r="LG18" s="1223"/>
      <c r="LH18" s="1224"/>
      <c r="LI18" s="1223"/>
      <c r="LJ18" s="1223"/>
      <c r="LK18" s="1224"/>
      <c r="LL18" s="1223"/>
      <c r="LM18" s="1223"/>
      <c r="LN18" s="1224"/>
      <c r="LO18" s="1223"/>
      <c r="LP18" s="1223"/>
      <c r="LQ18" s="1224"/>
      <c r="LR18" s="1223"/>
      <c r="LS18" s="1223"/>
      <c r="LT18" s="1224"/>
      <c r="LU18" s="1223"/>
      <c r="LV18" s="1223"/>
      <c r="LW18" s="1224"/>
      <c r="LX18" s="1223"/>
      <c r="LY18" s="1223"/>
      <c r="LZ18" s="1224"/>
      <c r="MA18" s="1223"/>
      <c r="MB18" s="1223"/>
      <c r="MC18" s="1224"/>
      <c r="MD18" s="1223"/>
      <c r="ME18" s="1223"/>
      <c r="MF18" s="1224"/>
      <c r="MG18" s="1223"/>
      <c r="MH18" s="1223"/>
      <c r="MI18" s="1224"/>
      <c r="MJ18" s="1223"/>
      <c r="MK18" s="1223"/>
      <c r="ML18" s="1224"/>
      <c r="MM18" s="1223"/>
      <c r="MN18" s="1223"/>
      <c r="MO18" s="1224"/>
      <c r="MP18" s="1223"/>
      <c r="MQ18" s="1223"/>
      <c r="MR18" s="1224"/>
      <c r="MS18" s="1223"/>
      <c r="MT18" s="1223"/>
      <c r="MU18" s="1224"/>
      <c r="MV18" s="1223"/>
      <c r="MW18" s="1223"/>
      <c r="MX18" s="1224"/>
      <c r="MY18" s="1223"/>
      <c r="MZ18" s="1223"/>
      <c r="NA18" s="1224"/>
      <c r="NB18" s="1223"/>
      <c r="NC18" s="1223"/>
      <c r="ND18" s="1224"/>
      <c r="NE18" s="1225"/>
      <c r="NF18" s="1225"/>
      <c r="NG18" s="1226"/>
      <c r="NH18" s="1225"/>
      <c r="NI18" s="1225"/>
      <c r="NJ18" s="1226"/>
      <c r="NK18" s="1227"/>
      <c r="NL18" s="1225"/>
      <c r="NM18" s="1226"/>
      <c r="NN18" s="1227"/>
      <c r="NO18" s="1225"/>
      <c r="NP18" s="1226"/>
      <c r="NQ18" s="1227"/>
      <c r="NR18" s="1225"/>
      <c r="NS18" s="1226"/>
      <c r="NT18" s="1227"/>
      <c r="NU18" s="1225"/>
      <c r="NV18" s="1226"/>
      <c r="NW18" s="1227"/>
      <c r="NX18" s="1225"/>
      <c r="NY18" s="1226"/>
      <c r="NZ18" s="1225"/>
      <c r="OA18" s="1225"/>
      <c r="OB18" s="1226"/>
      <c r="OC18" s="1225"/>
      <c r="OD18" s="1225"/>
      <c r="OE18" s="1226"/>
      <c r="OF18" s="1227"/>
      <c r="OG18" s="1225"/>
      <c r="OH18" s="1226"/>
      <c r="OI18" s="1225"/>
      <c r="OJ18" s="1225"/>
      <c r="OK18" s="1226"/>
      <c r="OL18" s="1225"/>
      <c r="OM18" s="1225"/>
      <c r="ON18" s="1226"/>
      <c r="OO18" s="1225"/>
      <c r="OP18" s="1225"/>
      <c r="OQ18" s="1226"/>
      <c r="OR18" s="1225"/>
      <c r="OS18" s="1225"/>
      <c r="OT18" s="1226"/>
      <c r="OU18" s="1225"/>
      <c r="OV18" s="1225"/>
      <c r="OW18" s="1226"/>
      <c r="OX18" s="1225"/>
      <c r="OY18" s="1225"/>
      <c r="OZ18" s="1226"/>
      <c r="PA18" s="1227"/>
      <c r="PB18" s="1225"/>
      <c r="PC18" s="1226"/>
      <c r="PD18" s="1225"/>
      <c r="PE18" s="1225"/>
      <c r="PF18" s="1226"/>
      <c r="PG18" s="1225"/>
      <c r="PH18" s="1225"/>
      <c r="PI18" s="1226"/>
      <c r="PJ18" s="1225"/>
      <c r="PK18" s="1225"/>
      <c r="PL18" s="1226"/>
      <c r="PM18" s="1225"/>
      <c r="PN18" s="1225"/>
      <c r="PO18" s="1226"/>
      <c r="PP18" s="1225"/>
      <c r="PQ18" s="1225"/>
      <c r="PR18" s="1226"/>
      <c r="PS18" s="1225"/>
      <c r="PT18" s="1225"/>
      <c r="PU18" s="1226"/>
      <c r="PV18" s="1225"/>
      <c r="PW18" s="1225"/>
      <c r="PX18" s="1226"/>
      <c r="PY18" s="1225"/>
      <c r="PZ18" s="1225"/>
      <c r="QA18" s="1226"/>
      <c r="QB18" s="1225"/>
      <c r="QC18" s="1225"/>
      <c r="QD18" s="1226"/>
      <c r="QE18" s="1225"/>
      <c r="QF18" s="1225"/>
      <c r="QG18" s="1226"/>
      <c r="QH18" s="1225"/>
      <c r="QI18" s="1225"/>
      <c r="QJ18" s="1226"/>
      <c r="QK18" s="1225"/>
      <c r="QL18" s="1225"/>
      <c r="QM18" s="1226"/>
      <c r="QN18" s="1225"/>
      <c r="QO18" s="1225"/>
      <c r="QP18" s="1226"/>
      <c r="QQ18" s="1227"/>
      <c r="QR18" s="1225"/>
      <c r="QS18" s="1226"/>
      <c r="QT18" s="1225"/>
      <c r="QU18" s="1225"/>
      <c r="QV18" s="1226"/>
      <c r="QW18" s="1225"/>
      <c r="QX18" s="1225"/>
      <c r="QY18" s="1226"/>
      <c r="QZ18" s="1225"/>
      <c r="RA18" s="1225"/>
      <c r="RB18" s="1226"/>
      <c r="RC18" s="1225"/>
      <c r="RD18" s="1225"/>
      <c r="RE18" s="1226"/>
      <c r="RF18" s="1225"/>
      <c r="RG18" s="1225"/>
      <c r="RH18" s="1226"/>
      <c r="RI18" s="1225"/>
      <c r="RJ18" s="1225"/>
      <c r="RK18" s="1226"/>
      <c r="RL18" s="1227"/>
      <c r="RM18" s="1225"/>
      <c r="RN18" s="1226"/>
      <c r="RO18" s="1225"/>
      <c r="RP18" s="1225"/>
      <c r="RQ18" s="1226"/>
      <c r="RR18" s="1225"/>
      <c r="RS18" s="1225"/>
      <c r="RT18" s="1226"/>
      <c r="RU18" s="1225"/>
      <c r="RV18" s="1225"/>
      <c r="RW18" s="1226"/>
      <c r="RX18" s="1225"/>
      <c r="RY18" s="1225"/>
      <c r="RZ18" s="1226"/>
      <c r="SA18" s="1225"/>
      <c r="SB18" s="1225"/>
      <c r="SC18" s="1226"/>
      <c r="SD18" s="1225"/>
      <c r="SE18" s="1225"/>
      <c r="SF18" s="1226"/>
      <c r="SG18" s="1227"/>
      <c r="SH18" s="1225"/>
      <c r="SI18" s="1226"/>
      <c r="SJ18" s="1225"/>
      <c r="SK18" s="1225"/>
      <c r="SL18" s="1226"/>
      <c r="SM18" s="1225"/>
      <c r="SN18" s="1225"/>
      <c r="SO18" s="1226"/>
      <c r="SP18" s="1225"/>
      <c r="SQ18" s="1225"/>
      <c r="SR18" s="1226"/>
      <c r="SS18" s="1225"/>
      <c r="ST18" s="1225"/>
      <c r="SU18" s="1226"/>
      <c r="SV18" s="1225"/>
      <c r="SW18" s="1225"/>
      <c r="SX18" s="1226"/>
      <c r="SY18" s="1225"/>
      <c r="SZ18" s="1225"/>
      <c r="TA18" s="1226"/>
      <c r="TB18" s="1227"/>
      <c r="TC18" s="1225"/>
      <c r="TD18" s="1226"/>
      <c r="TE18" s="1225"/>
      <c r="TF18" s="1225"/>
      <c r="TG18" s="1226"/>
      <c r="TH18" s="1225"/>
      <c r="TI18" s="1225"/>
      <c r="TJ18" s="1226"/>
      <c r="TK18" s="1225"/>
      <c r="TL18" s="1225"/>
      <c r="TM18" s="1226"/>
      <c r="TN18" s="1225"/>
      <c r="TO18" s="1225"/>
      <c r="TP18" s="1226"/>
      <c r="TQ18" s="1225"/>
      <c r="TR18" s="1225"/>
      <c r="TS18" s="1226"/>
      <c r="TT18" s="1225"/>
      <c r="TU18" s="1225"/>
      <c r="TV18" s="1226"/>
      <c r="TW18" s="1227"/>
      <c r="TX18" s="1225"/>
      <c r="TY18" s="1226"/>
      <c r="TZ18" s="1225"/>
      <c r="UA18" s="1225"/>
      <c r="UB18" s="1226"/>
      <c r="UC18" s="1225"/>
      <c r="UD18" s="1225"/>
      <c r="UE18" s="1226"/>
      <c r="UF18" s="1225"/>
      <c r="UG18" s="1225"/>
      <c r="UH18" s="1226"/>
      <c r="UI18" s="1225"/>
      <c r="UJ18" s="1225"/>
      <c r="UK18" s="1226"/>
      <c r="UL18" s="1225"/>
      <c r="UM18" s="1225"/>
      <c r="UN18" s="1226"/>
      <c r="UO18" s="1225"/>
      <c r="UP18" s="1225"/>
      <c r="UQ18" s="1226"/>
      <c r="UR18" s="1227"/>
      <c r="US18" s="1225"/>
      <c r="UT18" s="1226"/>
      <c r="UU18" s="1225"/>
      <c r="UV18" s="1225"/>
      <c r="UW18" s="1226"/>
      <c r="UX18" s="1225"/>
      <c r="UY18" s="1225"/>
      <c r="UZ18" s="1226"/>
      <c r="VA18" s="1225"/>
      <c r="VB18" s="1225"/>
      <c r="VC18" s="1226"/>
      <c r="VD18" s="1225"/>
      <c r="VE18" s="1225"/>
      <c r="VF18" s="1226"/>
      <c r="VG18" s="1225"/>
      <c r="VH18" s="1225"/>
      <c r="VI18" s="1226"/>
      <c r="VJ18" s="1225"/>
      <c r="VK18" s="1225"/>
      <c r="VL18" s="1226"/>
      <c r="VM18" s="1227"/>
      <c r="VN18" s="1225"/>
      <c r="VO18" s="1226"/>
      <c r="VP18" s="1225"/>
      <c r="VQ18" s="1225"/>
      <c r="VR18" s="1226"/>
      <c r="VS18" s="1225"/>
      <c r="VT18" s="1225"/>
      <c r="VU18" s="1226"/>
      <c r="VV18" s="1225"/>
      <c r="VW18" s="1225"/>
      <c r="VX18" s="1226"/>
      <c r="VY18" s="1225"/>
      <c r="VZ18" s="1225"/>
      <c r="WA18" s="1226"/>
      <c r="WB18" s="1225"/>
      <c r="WC18" s="1225"/>
      <c r="WD18" s="1226"/>
      <c r="WE18" s="1225"/>
      <c r="WF18" s="1225"/>
      <c r="WG18" s="1226"/>
      <c r="WH18" s="1227"/>
      <c r="WI18" s="1225"/>
      <c r="WJ18" s="1226"/>
      <c r="WK18" s="1225"/>
      <c r="WL18" s="1225"/>
      <c r="WM18" s="1226"/>
      <c r="WN18" s="1225"/>
      <c r="WO18" s="1225"/>
      <c r="WP18" s="1226"/>
      <c r="WQ18" s="1225"/>
      <c r="WR18" s="1225"/>
      <c r="WS18" s="1226"/>
      <c r="WT18" s="1225"/>
      <c r="WU18" s="1225"/>
      <c r="WV18" s="1226"/>
      <c r="WW18" s="1225"/>
      <c r="WX18" s="1225"/>
      <c r="WY18" s="1226"/>
      <c r="WZ18" s="1225"/>
      <c r="XA18" s="1225"/>
      <c r="XB18" s="1226"/>
      <c r="XC18" s="1227"/>
      <c r="XD18" s="1225"/>
      <c r="XE18" s="1226"/>
      <c r="XF18" s="1225"/>
      <c r="XG18" s="1225"/>
      <c r="XH18" s="1226"/>
      <c r="XI18" s="1225"/>
      <c r="XJ18" s="1225"/>
      <c r="XK18" s="1226"/>
      <c r="XL18" s="1225"/>
      <c r="XM18" s="1225"/>
      <c r="XN18" s="1226"/>
      <c r="XO18" s="1225"/>
      <c r="XP18" s="1225"/>
      <c r="XQ18" s="1226"/>
      <c r="XR18" s="1225"/>
      <c r="XS18" s="1225"/>
      <c r="XT18" s="1226"/>
      <c r="XU18" s="1225"/>
      <c r="XV18" s="1225"/>
      <c r="XW18" s="1226"/>
      <c r="XX18" s="1227"/>
      <c r="XY18" s="1225"/>
      <c r="XZ18" s="1226"/>
      <c r="YA18" s="1225"/>
      <c r="YB18" s="1225"/>
      <c r="YC18" s="1226"/>
      <c r="YD18" s="1225"/>
      <c r="YE18" s="1225"/>
      <c r="YF18" s="1226"/>
      <c r="YG18" s="1225"/>
      <c r="YH18" s="1225"/>
      <c r="YI18" s="1226"/>
      <c r="YJ18" s="1225"/>
      <c r="YK18" s="1225"/>
      <c r="YL18" s="1226"/>
      <c r="YM18" s="1225"/>
      <c r="YN18" s="1225"/>
      <c r="YO18" s="1226"/>
      <c r="YP18" s="1225"/>
      <c r="YQ18" s="1225"/>
      <c r="YR18" s="1226"/>
      <c r="YS18" s="1227"/>
      <c r="YT18" s="1225"/>
      <c r="YU18" s="1226"/>
      <c r="YV18" s="1225"/>
      <c r="YW18" s="1225"/>
      <c r="YX18" s="1226"/>
      <c r="YY18" s="1225"/>
      <c r="YZ18" s="1225"/>
      <c r="ZA18" s="1226"/>
      <c r="ZB18" s="1225"/>
      <c r="ZC18" s="1225"/>
      <c r="ZD18" s="1226"/>
      <c r="ZE18" s="1225"/>
      <c r="ZF18" s="1225"/>
      <c r="ZG18" s="1226"/>
      <c r="ZH18" s="1225"/>
      <c r="ZI18" s="1225"/>
      <c r="ZJ18" s="1226"/>
      <c r="ZK18" s="1225"/>
      <c r="ZL18" s="1225"/>
      <c r="ZM18" s="1226"/>
      <c r="ZN18" s="1227"/>
      <c r="ZO18" s="1225"/>
      <c r="ZP18" s="1226"/>
      <c r="ZQ18" s="1225"/>
      <c r="ZR18" s="1225"/>
      <c r="ZS18" s="1226"/>
      <c r="ZT18" s="1225"/>
      <c r="ZU18" s="1225"/>
      <c r="ZV18" s="1226"/>
      <c r="ZW18" s="1225"/>
      <c r="ZX18" s="1225"/>
      <c r="ZY18" s="1226"/>
      <c r="ZZ18" s="1225"/>
      <c r="AAA18" s="1225"/>
      <c r="AAB18" s="1226"/>
      <c r="AAC18" s="1225"/>
      <c r="AAD18" s="1225"/>
      <c r="AAE18" s="1226"/>
      <c r="AAF18" s="1225"/>
      <c r="AAG18" s="1225"/>
      <c r="AAH18" s="1226"/>
      <c r="AAI18" s="1227"/>
      <c r="AAJ18" s="1225"/>
      <c r="AAK18" s="1226"/>
      <c r="AAL18" s="1225"/>
      <c r="AAM18" s="1225"/>
      <c r="AAN18" s="1226"/>
      <c r="AAO18" s="1225"/>
      <c r="AAP18" s="1225"/>
      <c r="AAQ18" s="1226"/>
      <c r="AAR18" s="1225"/>
      <c r="AAS18" s="1225"/>
      <c r="AAT18" s="1226"/>
      <c r="AAU18" s="1225"/>
      <c r="AAV18" s="1225"/>
      <c r="AAW18" s="1226"/>
      <c r="AAX18" s="1225"/>
      <c r="AAY18" s="1225"/>
      <c r="AAZ18" s="1226"/>
      <c r="ABA18" s="1225"/>
      <c r="ABB18" s="1225"/>
      <c r="ABC18" s="1226"/>
      <c r="ABD18" s="1227"/>
      <c r="ABE18" s="1225"/>
      <c r="ABF18" s="1226"/>
      <c r="ABG18" s="1225"/>
      <c r="ABH18" s="1225"/>
      <c r="ABI18" s="1226"/>
      <c r="ABJ18" s="1225"/>
      <c r="ABK18" s="1225"/>
      <c r="ABL18" s="1226"/>
      <c r="ABM18" s="1225"/>
      <c r="ABN18" s="1225"/>
      <c r="ABO18" s="1226"/>
      <c r="ABP18" s="1225"/>
      <c r="ABQ18" s="1225"/>
      <c r="ABR18" s="1226"/>
      <c r="ABS18" s="1225"/>
      <c r="ABT18" s="1225"/>
      <c r="ABU18" s="1226"/>
      <c r="ABV18" s="1225"/>
      <c r="ABW18" s="1225"/>
      <c r="ABX18" s="1226"/>
      <c r="ABY18" s="1227"/>
      <c r="ABZ18" s="1225"/>
      <c r="ACA18" s="1226"/>
      <c r="ACB18" s="1225"/>
      <c r="ACC18" s="1225"/>
      <c r="ACD18" s="1226"/>
      <c r="ACE18" s="1225"/>
      <c r="ACF18" s="1225"/>
      <c r="ACG18" s="1226"/>
      <c r="ACH18" s="1225"/>
      <c r="ACI18" s="1225"/>
      <c r="ACJ18" s="1226"/>
      <c r="ACK18" s="1225"/>
      <c r="ACL18" s="1225"/>
      <c r="ACM18" s="1226"/>
      <c r="ACN18" s="1225"/>
      <c r="ACO18" s="1225"/>
      <c r="ACP18" s="1226"/>
      <c r="ACQ18" s="1225"/>
      <c r="ACR18" s="1225"/>
      <c r="ACS18" s="1226"/>
      <c r="ACT18" s="1227"/>
      <c r="ACU18" s="1225"/>
      <c r="ACV18" s="1226"/>
      <c r="ACW18" s="1225"/>
      <c r="ACX18" s="1225"/>
      <c r="ACY18" s="1226"/>
      <c r="ACZ18" s="1225"/>
      <c r="ADA18" s="1225"/>
      <c r="ADB18" s="1226"/>
      <c r="ADC18" s="1225"/>
      <c r="ADD18" s="1225"/>
      <c r="ADE18" s="1226"/>
      <c r="ADF18" s="1225"/>
      <c r="ADG18" s="1225"/>
      <c r="ADH18" s="1226"/>
      <c r="ADI18" s="1225"/>
      <c r="ADJ18" s="1225"/>
      <c r="ADK18" s="1226"/>
      <c r="ADL18" s="1225"/>
      <c r="ADM18" s="1225"/>
      <c r="ADN18" s="1226"/>
      <c r="ADO18" s="1227"/>
      <c r="ADP18" s="1225"/>
      <c r="ADQ18" s="1226"/>
      <c r="ADR18" s="1225"/>
      <c r="ADS18" s="1225"/>
      <c r="ADT18" s="1226"/>
      <c r="ADU18" s="1225"/>
      <c r="ADV18" s="1225"/>
      <c r="ADW18" s="1226"/>
      <c r="ADX18" s="1225"/>
      <c r="ADY18" s="1225"/>
      <c r="ADZ18" s="1226"/>
      <c r="AEA18" s="1225"/>
      <c r="AEB18" s="1225"/>
      <c r="AEC18" s="1226"/>
      <c r="AED18" s="1225"/>
      <c r="AEE18" s="1225"/>
      <c r="AEF18" s="1226"/>
      <c r="AEG18" s="1225"/>
      <c r="AEH18" s="1225"/>
      <c r="AEI18" s="1226"/>
      <c r="AEJ18" s="1227"/>
      <c r="AEK18" s="1225"/>
      <c r="AEL18" s="1226"/>
      <c r="AEM18" s="1225"/>
      <c r="AEN18" s="1225"/>
      <c r="AEO18" s="1226"/>
      <c r="AEP18" s="1225"/>
      <c r="AEQ18" s="1225"/>
      <c r="AER18" s="1226"/>
      <c r="AES18" s="1228"/>
      <c r="AET18" s="1228"/>
      <c r="AEU18" s="1229"/>
      <c r="AEV18" s="1228"/>
      <c r="AEW18" s="1228"/>
      <c r="AEX18" s="1229"/>
      <c r="AEY18" s="1228"/>
      <c r="AEZ18" s="1228"/>
      <c r="AFA18" s="1229"/>
      <c r="AFB18" s="1228"/>
      <c r="AFC18" s="1228"/>
      <c r="AFD18" s="1229"/>
      <c r="AFE18" s="1230"/>
      <c r="AFF18" s="1228"/>
      <c r="AFG18" s="1229"/>
      <c r="AFH18" s="1228"/>
      <c r="AFI18" s="1228"/>
      <c r="AFJ18" s="1229"/>
      <c r="AFK18" s="1228"/>
      <c r="AFL18" s="1228"/>
      <c r="AFM18" s="1229"/>
      <c r="AFN18" s="1228"/>
      <c r="AFO18" s="1228"/>
      <c r="AFP18" s="1229"/>
      <c r="AFQ18" s="1228"/>
      <c r="AFR18" s="1228"/>
      <c r="AFS18" s="1229"/>
      <c r="AFT18" s="1228"/>
      <c r="AFU18" s="1228"/>
      <c r="AFV18" s="1229"/>
      <c r="AFW18" s="1228"/>
      <c r="AFX18" s="1228"/>
      <c r="AFY18" s="1229"/>
      <c r="AFZ18" s="1231"/>
      <c r="AGA18" s="1232"/>
      <c r="AGB18" s="1233"/>
      <c r="AGC18" s="1228"/>
      <c r="AGD18" s="1228"/>
      <c r="AGE18" s="1229"/>
      <c r="AGF18" s="1228"/>
      <c r="AGG18" s="1228"/>
      <c r="AGH18" s="1229"/>
      <c r="AGI18" s="1228"/>
      <c r="AGJ18" s="1228"/>
      <c r="AGK18" s="1229"/>
      <c r="AGL18" s="1228"/>
      <c r="AGM18" s="1228"/>
      <c r="AGN18" s="1229"/>
      <c r="AGO18" s="1228"/>
      <c r="AGP18" s="1228"/>
      <c r="AGQ18" s="1229"/>
      <c r="AGR18" s="1228"/>
      <c r="AGS18" s="1228"/>
      <c r="AGT18" s="1229"/>
      <c r="AGU18" s="1230"/>
      <c r="AGV18" s="1228"/>
      <c r="AGW18" s="1229"/>
      <c r="AGX18" s="1228"/>
      <c r="AGY18" s="1228"/>
      <c r="AGZ18" s="1229"/>
      <c r="AHA18" s="1228"/>
      <c r="AHB18" s="1228"/>
      <c r="AHC18" s="1229"/>
      <c r="AHD18" s="1228"/>
      <c r="AHE18" s="1228"/>
      <c r="AHF18" s="1229"/>
      <c r="AHG18" s="1228"/>
      <c r="AHH18" s="1228"/>
      <c r="AHI18" s="1229"/>
      <c r="AHJ18" s="1228"/>
      <c r="AHK18" s="1228"/>
      <c r="AHL18" s="1229"/>
      <c r="AHM18" s="1228"/>
      <c r="AHN18" s="1228"/>
      <c r="AHO18" s="1229"/>
      <c r="AHP18" s="1230"/>
      <c r="AHQ18" s="1228"/>
      <c r="AHR18" s="1229"/>
      <c r="AHS18" s="1228"/>
      <c r="AHT18" s="1228"/>
      <c r="AHU18" s="1229"/>
      <c r="AHV18" s="1228"/>
      <c r="AHW18" s="1228"/>
      <c r="AHX18" s="1229"/>
      <c r="AHY18" s="1228"/>
      <c r="AHZ18" s="1228"/>
      <c r="AIA18" s="1229"/>
      <c r="AIB18" s="1228"/>
      <c r="AIC18" s="1228"/>
      <c r="AID18" s="1229"/>
      <c r="AIE18" s="1230"/>
      <c r="AIF18" s="1228"/>
      <c r="AIG18" s="1229"/>
      <c r="AIH18" s="1228"/>
      <c r="AII18" s="1228"/>
      <c r="AIJ18" s="1229"/>
      <c r="AIK18" s="1228"/>
      <c r="AIL18" s="1228"/>
      <c r="AIM18" s="1229"/>
      <c r="AIN18" s="1228"/>
      <c r="AIO18" s="1228"/>
      <c r="AIP18" s="1229"/>
      <c r="AIQ18" s="1228"/>
      <c r="AIR18" s="1228"/>
      <c r="AIS18" s="1228"/>
      <c r="AIT18" s="1230"/>
      <c r="AIU18" s="1228"/>
      <c r="AIV18" s="1229"/>
      <c r="AIW18" s="1228"/>
      <c r="AIX18" s="1228"/>
      <c r="AIY18" s="1228"/>
      <c r="AIZ18" s="1230"/>
      <c r="AJA18" s="1228"/>
      <c r="AJB18" s="1229"/>
      <c r="AJC18" s="1228"/>
      <c r="AJD18" s="1228"/>
      <c r="AJE18" s="1229"/>
      <c r="AJF18" s="1228"/>
      <c r="AJG18" s="1228"/>
      <c r="AJH18" s="1229"/>
      <c r="AJI18" s="1228"/>
      <c r="AJJ18" s="1228"/>
      <c r="AJK18" s="1229"/>
      <c r="AJL18" s="1228"/>
      <c r="AJM18" s="1228"/>
      <c r="AJN18" s="1228"/>
      <c r="AJO18" s="1230"/>
      <c r="AJP18" s="1228"/>
      <c r="AJQ18" s="1229"/>
      <c r="AJR18" s="1228"/>
      <c r="AJS18" s="1228"/>
      <c r="AJT18" s="1228"/>
      <c r="AJU18" s="1230"/>
      <c r="AJV18" s="1228"/>
      <c r="AJW18" s="1229"/>
      <c r="AJX18" s="1230"/>
      <c r="AJY18" s="1228"/>
      <c r="AJZ18" s="1229"/>
      <c r="AKA18" s="1228"/>
      <c r="AKB18" s="1228"/>
      <c r="AKC18" s="1229"/>
      <c r="AKD18" s="1228"/>
      <c r="AKE18" s="1228"/>
      <c r="AKF18" s="1229"/>
      <c r="AKG18" s="1228"/>
      <c r="AKH18" s="1228"/>
      <c r="AKI18" s="1228"/>
      <c r="AKJ18" s="1230"/>
      <c r="AKK18" s="1228"/>
      <c r="AKL18" s="1229"/>
      <c r="AKM18" s="1228"/>
      <c r="AKN18" s="1228"/>
      <c r="AKO18" s="1228"/>
      <c r="AKP18" s="1230"/>
      <c r="AKQ18" s="1228"/>
      <c r="AKR18" s="1229"/>
      <c r="AKS18" s="1228"/>
      <c r="AKT18" s="1228"/>
      <c r="AKU18" s="1229"/>
      <c r="AKV18" s="1228"/>
      <c r="AKW18" s="1228"/>
      <c r="AKX18" s="1229"/>
      <c r="AKY18" s="1228"/>
      <c r="AKZ18" s="1228"/>
      <c r="ALA18" s="1229"/>
      <c r="ALB18" s="1228"/>
      <c r="ALC18" s="1228"/>
      <c r="ALD18" s="1228"/>
      <c r="ALE18" s="1230"/>
      <c r="ALF18" s="1228"/>
      <c r="ALG18" s="1229"/>
      <c r="ALH18" s="1228"/>
      <c r="ALI18" s="1228"/>
      <c r="ALJ18" s="1228"/>
      <c r="ALK18" s="1230"/>
      <c r="ALL18" s="1228"/>
      <c r="ALM18" s="1229"/>
      <c r="ALN18" s="1228"/>
      <c r="ALO18" s="1228"/>
      <c r="ALP18" s="1229"/>
      <c r="ALQ18" s="1228"/>
      <c r="ALR18" s="1228"/>
      <c r="ALS18" s="1229"/>
      <c r="ALT18" s="1228"/>
      <c r="ALU18" s="1228"/>
      <c r="ALV18" s="1229"/>
      <c r="ALW18" s="1282">
        <f>+SUM(ALW19:ALY22)</f>
        <v>26</v>
      </c>
      <c r="ALX18" s="1283"/>
      <c r="ALY18" s="1284"/>
      <c r="ALZ18" s="1282">
        <f t="shared" ref="ALZ18" si="1679">+SUM(ALZ19:AMB22)</f>
        <v>0</v>
      </c>
      <c r="AMA18" s="1283"/>
      <c r="AMB18" s="1284"/>
      <c r="AMC18" s="1282">
        <f t="shared" ref="AMC18" si="1680">+SUM(AMC19:AME22)</f>
        <v>22</v>
      </c>
      <c r="AMD18" s="1283"/>
      <c r="AME18" s="1284"/>
      <c r="AMF18" s="1282">
        <f t="shared" ref="AMF18" si="1681">+SUM(AMF19:AMH22)</f>
        <v>0</v>
      </c>
      <c r="AMG18" s="1283"/>
      <c r="AMH18" s="1284"/>
      <c r="AMI18" s="1282">
        <f t="shared" ref="AMI18" si="1682">+SUM(AMI19:AMK22)</f>
        <v>29</v>
      </c>
      <c r="AMJ18" s="1283"/>
      <c r="AMK18" s="1284"/>
      <c r="AML18" s="1282">
        <f t="shared" ref="AML18" si="1683">+SUM(AML19:AMN22)</f>
        <v>29</v>
      </c>
      <c r="AMM18" s="1283"/>
      <c r="AMN18" s="1284"/>
      <c r="AMO18" s="1282">
        <f t="shared" ref="AMO18" si="1684">+SUM(AMO19:AMQ22)</f>
        <v>30</v>
      </c>
      <c r="AMP18" s="1283"/>
      <c r="AMQ18" s="1284"/>
      <c r="AMR18" s="1282">
        <f t="shared" ref="AMR18" si="1685">+SUM(AMR19:AMT22)</f>
        <v>31</v>
      </c>
      <c r="AMS18" s="1283"/>
      <c r="AMT18" s="1284"/>
      <c r="AMU18" s="1282">
        <f t="shared" ref="AMU18" si="1686">+SUM(AMU19:AMW22)</f>
        <v>31</v>
      </c>
      <c r="AMV18" s="1283"/>
      <c r="AMW18" s="1284"/>
      <c r="AMX18" s="1282">
        <f t="shared" ref="AMX18" si="1687">+SUM(AMX19:AMZ22)</f>
        <v>29</v>
      </c>
      <c r="AMY18" s="1283"/>
      <c r="AMZ18" s="1284"/>
      <c r="ANA18" s="1282">
        <f t="shared" ref="ANA18" si="1688">+SUM(ANA19:ANC22)</f>
        <v>0</v>
      </c>
      <c r="ANB18" s="1283"/>
      <c r="ANC18" s="1284"/>
      <c r="AND18" s="1282">
        <f t="shared" ref="AND18" si="1689">+SUM(AND19:ANF22)</f>
        <v>26</v>
      </c>
      <c r="ANE18" s="1283"/>
      <c r="ANF18" s="1284"/>
      <c r="ANG18" s="1282">
        <f t="shared" ref="ANG18" si="1690">+SUM(ANG19:ANI22)</f>
        <v>26</v>
      </c>
      <c r="ANH18" s="1283"/>
      <c r="ANI18" s="1284"/>
      <c r="ANJ18" s="1282">
        <f t="shared" ref="ANJ18" si="1691">+SUM(ANJ19:ANL22)</f>
        <v>23</v>
      </c>
      <c r="ANK18" s="1283"/>
      <c r="ANL18" s="1284"/>
      <c r="ANM18" s="1282">
        <f t="shared" ref="ANM18" si="1692">+SUM(ANM19:ANO22)</f>
        <v>29</v>
      </c>
      <c r="ANN18" s="1283"/>
      <c r="ANO18" s="1284"/>
      <c r="ANP18" s="1282">
        <f t="shared" ref="ANP18" si="1693">+SUM(ANP19:ANR22)</f>
        <v>20</v>
      </c>
      <c r="ANQ18" s="1283"/>
      <c r="ANR18" s="1284"/>
      <c r="ANS18" s="1282">
        <f t="shared" ref="ANS18" si="1694">+SUM(ANS19:ANU22)</f>
        <v>23</v>
      </c>
      <c r="ANT18" s="1283"/>
      <c r="ANU18" s="1284"/>
      <c r="ANV18" s="1282">
        <f t="shared" ref="ANV18" si="1695">+SUM(ANV19:ANX22)</f>
        <v>0</v>
      </c>
      <c r="ANW18" s="1283"/>
      <c r="ANX18" s="1284"/>
      <c r="ANY18" s="1282">
        <f t="shared" ref="ANY18" si="1696">+SUM(ANY19:AOA22)</f>
        <v>24</v>
      </c>
      <c r="ANZ18" s="1283"/>
      <c r="AOA18" s="1284"/>
      <c r="AOB18" s="1282">
        <f t="shared" ref="AOB18" si="1697">+SUM(AOB19:AOD22)</f>
        <v>26</v>
      </c>
      <c r="AOC18" s="1283"/>
      <c r="AOD18" s="1284"/>
      <c r="AOE18" s="1282">
        <f t="shared" ref="AOE18" si="1698">+SUM(AOE19:AOG22)</f>
        <v>26</v>
      </c>
      <c r="AOF18" s="1283"/>
      <c r="AOG18" s="1284"/>
      <c r="AOH18" s="1282">
        <f t="shared" ref="AOH18" si="1699">+SUM(AOH19:AOJ22)</f>
        <v>26</v>
      </c>
      <c r="AOI18" s="1283"/>
      <c r="AOJ18" s="1284"/>
      <c r="AOK18" s="1282">
        <f t="shared" ref="AOK18" si="1700">+SUM(AOK19:AOM22)</f>
        <v>23</v>
      </c>
      <c r="AOL18" s="1283"/>
      <c r="AOM18" s="1284"/>
      <c r="AON18" s="1282">
        <f t="shared" ref="AON18" si="1701">+SUM(AON19:AOP22)</f>
        <v>20</v>
      </c>
      <c r="AOO18" s="1283"/>
      <c r="AOP18" s="1284"/>
      <c r="AOQ18" s="1282">
        <f t="shared" ref="AOQ18" si="1702">+SUM(AOQ19:AOS22)</f>
        <v>0</v>
      </c>
      <c r="AOR18" s="1283"/>
      <c r="AOS18" s="1284"/>
      <c r="AOT18" s="1282">
        <f t="shared" ref="AOT18" si="1703">+SUM(AOT19:AOV22)</f>
        <v>22</v>
      </c>
      <c r="AOU18" s="1283"/>
      <c r="AOV18" s="1284"/>
      <c r="AOW18" s="1282">
        <f t="shared" ref="AOW18" si="1704">+SUM(AOW19:AOY22)</f>
        <v>22</v>
      </c>
      <c r="AOX18" s="1283"/>
      <c r="AOY18" s="1284"/>
      <c r="AOZ18" s="1282">
        <f t="shared" ref="AOZ18" si="1705">+SUM(AOZ19:APB22)</f>
        <v>25</v>
      </c>
      <c r="APA18" s="1283"/>
      <c r="APB18" s="1284"/>
      <c r="APC18" s="1282">
        <f t="shared" ref="APC18" si="1706">+SUM(APC19:APE22)</f>
        <v>23</v>
      </c>
      <c r="APD18" s="1283"/>
      <c r="APE18" s="1284"/>
      <c r="APF18" s="1282">
        <f t="shared" ref="APF18" si="1707">+SUM(APF19:APH22)</f>
        <v>19</v>
      </c>
      <c r="APG18" s="1283"/>
      <c r="APH18" s="1284"/>
      <c r="API18" s="1282">
        <f t="shared" ref="API18" si="1708">+SUM(API19:APK22)</f>
        <v>21</v>
      </c>
      <c r="APJ18" s="1283"/>
      <c r="APK18" s="1284"/>
      <c r="APL18" s="1282">
        <f t="shared" ref="APL18" si="1709">+SUM(APL19:APN22)</f>
        <v>0</v>
      </c>
      <c r="APM18" s="1283"/>
      <c r="APN18" s="1284"/>
      <c r="APO18" s="1282">
        <f t="shared" ref="APO18" si="1710">+SUM(APO19:APQ22)</f>
        <v>18</v>
      </c>
      <c r="APP18" s="1283"/>
      <c r="APQ18" s="1284"/>
      <c r="APR18" s="1282">
        <f t="shared" ref="APR18" si="1711">+SUM(APR19:APT22)</f>
        <v>22</v>
      </c>
      <c r="APS18" s="1283"/>
      <c r="APT18" s="1284"/>
      <c r="APU18" s="1282">
        <f t="shared" ref="APU18" si="1712">+SUM(APU19:APW22)</f>
        <v>22</v>
      </c>
      <c r="APV18" s="1283"/>
      <c r="APW18" s="1284"/>
      <c r="APX18" s="1282">
        <f t="shared" ref="APX18" si="1713">+SUM(APX19:APZ22)</f>
        <v>21</v>
      </c>
      <c r="APY18" s="1283"/>
      <c r="APZ18" s="1284"/>
      <c r="AQA18" s="1282">
        <f t="shared" ref="AQA18" si="1714">+SUM(AQA19:AQC22)</f>
        <v>18</v>
      </c>
      <c r="AQB18" s="1283"/>
      <c r="AQC18" s="1284"/>
      <c r="AQD18" s="1282">
        <f t="shared" ref="AQD18" si="1715">+SUM(AQD19:AQF22)</f>
        <v>25</v>
      </c>
      <c r="AQE18" s="1283"/>
      <c r="AQF18" s="1284"/>
      <c r="AQG18" s="1282">
        <f t="shared" ref="AQG18" si="1716">+SUM(AQG19:AQI22)</f>
        <v>0</v>
      </c>
      <c r="AQH18" s="1283"/>
      <c r="AQI18" s="1284"/>
      <c r="AQJ18" s="1282">
        <f t="shared" ref="AQJ18" si="1717">+SUM(AQJ19:AQL22)</f>
        <v>20</v>
      </c>
      <c r="AQK18" s="1283"/>
      <c r="AQL18" s="1284"/>
      <c r="AQM18" s="1282">
        <f t="shared" ref="AQM18" si="1718">+SUM(AQM19:AQO22)</f>
        <v>24</v>
      </c>
      <c r="AQN18" s="1283"/>
      <c r="AQO18" s="1284"/>
      <c r="AQP18" s="1282">
        <f t="shared" ref="AQP18" si="1719">+SUM(AQP19:AQR22)</f>
        <v>23</v>
      </c>
      <c r="AQQ18" s="1283"/>
      <c r="AQR18" s="1284"/>
      <c r="AQS18" s="1282">
        <f t="shared" ref="AQS18" si="1720">+SUM(AQS19:AQU22)</f>
        <v>22</v>
      </c>
      <c r="AQT18" s="1283"/>
      <c r="AQU18" s="1284"/>
      <c r="AQV18" s="1282">
        <f t="shared" ref="AQV18" si="1721">+SUM(AQV19:AQX22)</f>
        <v>23</v>
      </c>
      <c r="AQW18" s="1283"/>
      <c r="AQX18" s="1284"/>
      <c r="AQY18" s="1282">
        <f t="shared" ref="AQY18" si="1722">+SUM(AQY19:ARA22)</f>
        <v>18</v>
      </c>
      <c r="AQZ18" s="1283"/>
      <c r="ARA18" s="1284"/>
      <c r="ARB18" s="1282">
        <f t="shared" ref="ARB18" si="1723">+SUM(ARB19:ARD22)</f>
        <v>0</v>
      </c>
      <c r="ARC18" s="1283"/>
      <c r="ARD18" s="1284"/>
      <c r="ARE18" s="1282">
        <f t="shared" ref="ARE18" si="1724">+SUM(ARE19:ARG22)</f>
        <v>0</v>
      </c>
      <c r="ARF18" s="1283"/>
      <c r="ARG18" s="1284"/>
      <c r="ARH18" s="1282">
        <f t="shared" ref="ARH18" si="1725">+SUM(ARH19:ARJ22)</f>
        <v>0</v>
      </c>
      <c r="ARI18" s="1283"/>
      <c r="ARJ18" s="1284"/>
      <c r="ARK18" s="1282">
        <f t="shared" ref="ARK18" si="1726">+SUM(ARK19:ARM22)</f>
        <v>15</v>
      </c>
      <c r="ARL18" s="1283"/>
      <c r="ARM18" s="1284"/>
      <c r="ARN18" s="1282">
        <f t="shared" ref="ARN18" si="1727">+SUM(ARN19:ARP22)</f>
        <v>15</v>
      </c>
      <c r="ARO18" s="1283"/>
      <c r="ARP18" s="1284"/>
      <c r="ARQ18" s="1282">
        <f t="shared" ref="ARQ18" si="1728">+SUM(ARQ19:ARS22)</f>
        <v>17</v>
      </c>
      <c r="ARR18" s="1283"/>
      <c r="ARS18" s="1284"/>
      <c r="ART18" s="1282">
        <f t="shared" ref="ART18" si="1729">+SUM(ART19:ARV22)</f>
        <v>22</v>
      </c>
      <c r="ARU18" s="1283"/>
      <c r="ARV18" s="1284"/>
      <c r="ARW18" s="1282">
        <f t="shared" ref="ARW18" si="1730">+SUM(ARW19:ARY22)</f>
        <v>0</v>
      </c>
      <c r="ARX18" s="1283"/>
      <c r="ARY18" s="1284"/>
      <c r="ARZ18" s="1282">
        <f t="shared" ref="ARZ18" si="1731">+SUM(ARZ19:ASB22)</f>
        <v>4</v>
      </c>
      <c r="ASA18" s="1283"/>
      <c r="ASB18" s="1284"/>
      <c r="ASC18" s="1282">
        <f t="shared" ref="ASC18" si="1732">+SUM(ASC19:ASE22)</f>
        <v>11</v>
      </c>
      <c r="ASD18" s="1283"/>
      <c r="ASE18" s="1284"/>
      <c r="ASF18" s="1282">
        <f t="shared" ref="ASF18" si="1733">+SUM(ASF19:ASH22)</f>
        <v>8</v>
      </c>
      <c r="ASG18" s="1283"/>
      <c r="ASH18" s="1284"/>
      <c r="ASI18" s="1282">
        <f t="shared" ref="ASI18" si="1734">+SUM(ASI19:ASK22)</f>
        <v>10</v>
      </c>
      <c r="ASJ18" s="1283"/>
      <c r="ASK18" s="1284"/>
      <c r="ASL18" s="1282">
        <f t="shared" ref="ASL18" si="1735">+SUM(ASL19:ASN22)</f>
        <v>5</v>
      </c>
      <c r="ASM18" s="1283"/>
      <c r="ASN18" s="1284"/>
      <c r="ASO18" s="1282">
        <f t="shared" ref="ASO18" si="1736">+SUM(ASO19:ASQ22)</f>
        <v>5</v>
      </c>
      <c r="ASP18" s="1283"/>
      <c r="ASQ18" s="1284"/>
      <c r="ASR18" s="1282">
        <f t="shared" ref="ASR18" si="1737">+SUM(ASR19:AST22)</f>
        <v>0</v>
      </c>
      <c r="ASS18" s="1283"/>
      <c r="AST18" s="1284"/>
      <c r="ASU18" s="1282">
        <f t="shared" ref="ASU18" si="1738">+SUM(ASU19:ASW22)</f>
        <v>1</v>
      </c>
      <c r="ASV18" s="1283"/>
      <c r="ASW18" s="1284"/>
      <c r="ASX18" s="1282">
        <f t="shared" ref="ASX18" si="1739">+SUM(ASX19:ASZ22)</f>
        <v>4</v>
      </c>
      <c r="ASY18" s="1283"/>
      <c r="ASZ18" s="1284"/>
      <c r="ATA18" s="1282">
        <f t="shared" ref="ATA18" si="1740">+SUM(ATA19:ATC22)</f>
        <v>8</v>
      </c>
      <c r="ATB18" s="1283"/>
      <c r="ATC18" s="1284"/>
      <c r="ATD18" s="1282">
        <f t="shared" ref="ATD18" si="1741">+SUM(ATD19:ATF22)</f>
        <v>6</v>
      </c>
      <c r="ATE18" s="1283"/>
      <c r="ATF18" s="1284"/>
      <c r="ATG18" s="1282">
        <f t="shared" ref="ATG18" si="1742">+SUM(ATG19:ATI22)</f>
        <v>8</v>
      </c>
      <c r="ATH18" s="1283"/>
      <c r="ATI18" s="1284"/>
      <c r="ATJ18" s="1282">
        <f t="shared" ref="ATJ18" si="1743">+SUM(ATJ19:ATL22)</f>
        <v>7</v>
      </c>
      <c r="ATK18" s="1283"/>
      <c r="ATL18" s="1284"/>
      <c r="ATM18" s="1282">
        <f t="shared" ref="ATM18" si="1744">+SUM(ATM19:ATO22)</f>
        <v>0</v>
      </c>
      <c r="ATN18" s="1283"/>
      <c r="ATO18" s="1284"/>
      <c r="ATP18" s="1282">
        <f t="shared" ref="ATP18" si="1745">+SUM(ATP19:ATR22)</f>
        <v>7</v>
      </c>
      <c r="ATQ18" s="1283"/>
      <c r="ATR18" s="1284"/>
      <c r="ATS18" s="1282">
        <f t="shared" ref="ATS18" si="1746">+SUM(ATS19:ATU22)</f>
        <v>6</v>
      </c>
      <c r="ATT18" s="1283"/>
      <c r="ATU18" s="1284"/>
      <c r="ATV18" s="1282">
        <f t="shared" ref="ATV18" si="1747">+SUM(ATV19:ATX22)</f>
        <v>6</v>
      </c>
      <c r="ATW18" s="1283"/>
      <c r="ATX18" s="1284"/>
      <c r="ATY18" s="1282">
        <f t="shared" ref="ATY18" si="1748">+SUM(ATY19:AUA22)</f>
        <v>8</v>
      </c>
      <c r="ATZ18" s="1283"/>
      <c r="AUA18" s="1284"/>
      <c r="AUB18" s="1282">
        <f t="shared" ref="AUB18" si="1749">+SUM(AUB19:AUD22)</f>
        <v>6</v>
      </c>
      <c r="AUC18" s="1283"/>
      <c r="AUD18" s="1284"/>
      <c r="AUE18" s="1282">
        <f t="shared" ref="AUE18" si="1750">+SUM(AUE19:AUG22)</f>
        <v>5</v>
      </c>
      <c r="AUF18" s="1283"/>
      <c r="AUG18" s="1284"/>
      <c r="AUH18" s="1282">
        <f t="shared" ref="AUH18" si="1751">+SUM(AUH19:AUJ22)</f>
        <v>0</v>
      </c>
      <c r="AUI18" s="1283"/>
      <c r="AUJ18" s="1284"/>
      <c r="AUK18" s="1282">
        <f t="shared" ref="AUK18" si="1752">+SUM(AUK19:AUM22)</f>
        <v>7</v>
      </c>
      <c r="AUL18" s="1283"/>
      <c r="AUM18" s="1284"/>
      <c r="AUN18" s="1282">
        <f t="shared" ref="AUN18" si="1753">+SUM(AUN19:AUP22)</f>
        <v>6</v>
      </c>
      <c r="AUO18" s="1283"/>
      <c r="AUP18" s="1284"/>
      <c r="AUQ18" s="1282">
        <f t="shared" ref="AUQ18" si="1754">+SUM(AUQ19:AUS22)</f>
        <v>5</v>
      </c>
      <c r="AUR18" s="1283"/>
      <c r="AUS18" s="1284"/>
      <c r="AUT18" s="1282">
        <f t="shared" ref="AUT18" si="1755">+SUM(AUT19:AUV22)</f>
        <v>6</v>
      </c>
      <c r="AUU18" s="1283"/>
      <c r="AUV18" s="1284"/>
      <c r="AUW18" s="1282">
        <f t="shared" ref="AUW18" si="1756">+SUM(AUW19:AUY22)</f>
        <v>7</v>
      </c>
      <c r="AUX18" s="1283"/>
      <c r="AUY18" s="1284"/>
      <c r="AUZ18" s="1282">
        <f t="shared" ref="AUZ18" si="1757">+SUM(AUZ19:AVB22)</f>
        <v>10</v>
      </c>
      <c r="AVA18" s="1283"/>
      <c r="AVB18" s="1284"/>
      <c r="AVC18" s="1282">
        <f t="shared" ref="AVC18" si="1758">+SUM(AVC19:AVE22)</f>
        <v>0</v>
      </c>
      <c r="AVD18" s="1283"/>
      <c r="AVE18" s="1284"/>
      <c r="AVF18" s="1282">
        <f t="shared" ref="AVF18" si="1759">+SUM(AVF19:AVH22)</f>
        <v>4</v>
      </c>
      <c r="AVG18" s="1283"/>
      <c r="AVH18" s="1284"/>
      <c r="AVI18" s="1282">
        <f t="shared" ref="AVI18" si="1760">+SUM(AVI19:AVK22)</f>
        <v>0</v>
      </c>
      <c r="AVJ18" s="1283"/>
      <c r="AVK18" s="1284"/>
      <c r="AVL18" s="1282">
        <f t="shared" ref="AVL18" si="1761">+SUM(AVL19:AVN22)</f>
        <v>6</v>
      </c>
      <c r="AVM18" s="1283"/>
      <c r="AVN18" s="1284"/>
      <c r="AVO18" s="1282">
        <f t="shared" ref="AVO18" si="1762">+SUM(AVO19:AVQ22)</f>
        <v>6</v>
      </c>
      <c r="AVP18" s="1283"/>
      <c r="AVQ18" s="1284"/>
      <c r="AVR18" s="1282">
        <f t="shared" ref="AVR18" si="1763">+SUM(AVR19:AVT22)</f>
        <v>0</v>
      </c>
      <c r="AVS18" s="1283"/>
      <c r="AVT18" s="1284"/>
      <c r="AVU18" s="1282">
        <f t="shared" ref="AVU18" si="1764">+SUM(AVU19:AVW22)</f>
        <v>0</v>
      </c>
      <c r="AVV18" s="1283"/>
      <c r="AVW18" s="1284"/>
      <c r="AVX18" s="1282">
        <f t="shared" ref="AVX18" si="1765">+SUM(AVX19:AVZ22)</f>
        <v>0</v>
      </c>
      <c r="AVY18" s="1283"/>
      <c r="AVZ18" s="1284"/>
      <c r="AWA18" s="1282">
        <f t="shared" ref="AWA18" si="1766">+SUM(AWA19:AWC22)</f>
        <v>0</v>
      </c>
      <c r="AWB18" s="1283"/>
      <c r="AWC18" s="1284"/>
      <c r="AWD18" s="1282">
        <f t="shared" ref="AWD18" si="1767">+SUM(AWD19:AWF22)</f>
        <v>0</v>
      </c>
      <c r="AWE18" s="1283"/>
      <c r="AWF18" s="1284"/>
      <c r="AWG18" s="1282">
        <f t="shared" ref="AWG18" si="1768">+SUM(AWG19:AWI22)</f>
        <v>0</v>
      </c>
      <c r="AWH18" s="1283"/>
      <c r="AWI18" s="1284"/>
      <c r="AWJ18" s="1282">
        <f t="shared" ref="AWJ18" si="1769">+SUM(AWJ19:AWL22)</f>
        <v>0</v>
      </c>
      <c r="AWK18" s="1283"/>
      <c r="AWL18" s="1284"/>
      <c r="AWM18" s="1282">
        <f t="shared" ref="AWM18" si="1770">+SUM(AWM19:AWO22)</f>
        <v>0</v>
      </c>
      <c r="AWN18" s="1283"/>
      <c r="AWO18" s="1284"/>
      <c r="AWP18" s="1282">
        <f t="shared" ref="AWP18" si="1771">+SUM(AWP19:AWR22)</f>
        <v>0</v>
      </c>
      <c r="AWQ18" s="1283"/>
      <c r="AWR18" s="1284"/>
      <c r="AWS18" s="1282">
        <f t="shared" ref="AWS18" si="1772">+SUM(AWS19:AWU22)</f>
        <v>0</v>
      </c>
      <c r="AWT18" s="1283"/>
      <c r="AWU18" s="1284"/>
      <c r="AWV18" s="1282">
        <f t="shared" ref="AWV18" si="1773">+SUM(AWV19:AWX22)</f>
        <v>0</v>
      </c>
      <c r="AWW18" s="1283"/>
      <c r="AWX18" s="1284"/>
      <c r="AWY18" s="1282">
        <f t="shared" ref="AWY18" si="1774">+SUM(AWY19:AXA22)</f>
        <v>0</v>
      </c>
      <c r="AWZ18" s="1283"/>
      <c r="AXA18" s="1284"/>
      <c r="AXB18" s="1282">
        <f t="shared" ref="AXB18" si="1775">+SUM(AXB19:AXD22)</f>
        <v>0</v>
      </c>
      <c r="AXC18" s="1283"/>
      <c r="AXD18" s="1284"/>
      <c r="AXE18" s="1282">
        <f t="shared" ref="AXE18" si="1776">+SUM(AXE19:AXG22)</f>
        <v>0</v>
      </c>
      <c r="AXF18" s="1283"/>
      <c r="AXG18" s="1284"/>
      <c r="AXH18" s="1282">
        <f t="shared" ref="AXH18" si="1777">+SUM(AXH19:AXJ22)</f>
        <v>0</v>
      </c>
      <c r="AXI18" s="1283"/>
      <c r="AXJ18" s="1284"/>
      <c r="AXK18" s="1282">
        <f t="shared" ref="AXK18" si="1778">+SUM(AXK19:AXM22)</f>
        <v>0</v>
      </c>
      <c r="AXL18" s="1283"/>
      <c r="AXM18" s="1284"/>
      <c r="AXN18" s="1282">
        <f t="shared" ref="AXN18" si="1779">+SUM(AXN19:AXP22)</f>
        <v>0</v>
      </c>
      <c r="AXO18" s="1283"/>
      <c r="AXP18" s="1284"/>
      <c r="AXQ18" s="1282">
        <f t="shared" ref="AXQ18" si="1780">+SUM(AXQ19:AXS22)</f>
        <v>0</v>
      </c>
      <c r="AXR18" s="1283"/>
      <c r="AXS18" s="1284"/>
      <c r="AXT18" s="1282">
        <f t="shared" ref="AXT18" si="1781">+SUM(AXT19:AXV22)</f>
        <v>0</v>
      </c>
      <c r="AXU18" s="1283"/>
      <c r="AXV18" s="1284"/>
      <c r="AXW18" s="1282">
        <f t="shared" ref="AXW18" si="1782">+SUM(AXW19:AXY22)</f>
        <v>0</v>
      </c>
      <c r="AXX18" s="1283"/>
      <c r="AXY18" s="1284"/>
      <c r="AXZ18" s="1282">
        <f t="shared" ref="AXZ18" si="1783">+SUM(AXZ19:AYB22)</f>
        <v>0</v>
      </c>
      <c r="AYA18" s="1283"/>
      <c r="AYB18" s="1284"/>
      <c r="AYC18" s="1282">
        <f t="shared" ref="AYC18" si="1784">+SUM(AYC19:AYE22)</f>
        <v>0</v>
      </c>
      <c r="AYD18" s="1283"/>
      <c r="AYE18" s="1284"/>
      <c r="AYF18" s="1282">
        <f t="shared" ref="AYF18" si="1785">+SUM(AYF19:AYH22)</f>
        <v>0</v>
      </c>
      <c r="AYG18" s="1283"/>
      <c r="AYH18" s="1284"/>
      <c r="AYI18" s="1282">
        <f t="shared" ref="AYI18" si="1786">+SUM(AYI19:AYK22)</f>
        <v>0</v>
      </c>
      <c r="AYJ18" s="1283"/>
      <c r="AYK18" s="1284"/>
      <c r="AYL18" s="1282">
        <f t="shared" ref="AYL18" si="1787">+SUM(AYL19:AYN22)</f>
        <v>0</v>
      </c>
      <c r="AYM18" s="1283"/>
      <c r="AYN18" s="1284"/>
      <c r="AYO18" s="1282">
        <f t="shared" ref="AYO18" si="1788">+SUM(AYO19:AYQ22)</f>
        <v>0</v>
      </c>
      <c r="AYP18" s="1283"/>
      <c r="AYQ18" s="1284"/>
      <c r="AYR18" s="1282">
        <f t="shared" ref="AYR18" si="1789">+SUM(AYR19:AYT22)</f>
        <v>0</v>
      </c>
      <c r="AYS18" s="1283"/>
      <c r="AYT18" s="1284"/>
      <c r="AYU18" s="1282">
        <f t="shared" ref="AYU18" si="1790">+SUM(AYU19:AYW22)</f>
        <v>0</v>
      </c>
      <c r="AYV18" s="1283"/>
      <c r="AYW18" s="1284"/>
      <c r="AYX18" s="1282">
        <f t="shared" ref="AYX18" si="1791">+SUM(AYX19:AYZ22)</f>
        <v>0</v>
      </c>
      <c r="AYY18" s="1283"/>
      <c r="AYZ18" s="1284"/>
      <c r="AZA18" s="1282">
        <f t="shared" ref="AZA18" si="1792">+SUM(AZA19:AZC22)</f>
        <v>0</v>
      </c>
      <c r="AZB18" s="1283"/>
      <c r="AZC18" s="1284"/>
      <c r="AZD18" s="1282">
        <f t="shared" ref="AZD18" si="1793">+SUM(AZD19:AZF22)</f>
        <v>0</v>
      </c>
      <c r="AZE18" s="1283"/>
      <c r="AZF18" s="1284"/>
      <c r="AZG18" s="1282">
        <f t="shared" ref="AZG18" si="1794">+SUM(AZG19:AZI22)</f>
        <v>0</v>
      </c>
      <c r="AZH18" s="1283"/>
      <c r="AZI18" s="1284"/>
      <c r="AZJ18" s="1282">
        <f t="shared" ref="AZJ18" si="1795">+SUM(AZJ19:AZL22)</f>
        <v>0</v>
      </c>
      <c r="AZK18" s="1283"/>
      <c r="AZL18" s="1284"/>
      <c r="AZM18" s="1282">
        <f t="shared" ref="AZM18" si="1796">+SUM(AZM19:AZO22)</f>
        <v>0</v>
      </c>
      <c r="AZN18" s="1283"/>
      <c r="AZO18" s="1284"/>
      <c r="AZP18" s="1282">
        <f t="shared" ref="AZP18" si="1797">+SUM(AZP19:AZR22)</f>
        <v>0</v>
      </c>
      <c r="AZQ18" s="1283"/>
      <c r="AZR18" s="1284"/>
      <c r="AZS18" s="1282">
        <f t="shared" ref="AZS18" si="1798">+SUM(AZS19:AZU22)</f>
        <v>0</v>
      </c>
      <c r="AZT18" s="1283"/>
      <c r="AZU18" s="1284"/>
      <c r="AZV18" s="1282">
        <f t="shared" ref="AZV18" si="1799">+SUM(AZV19:AZX22)</f>
        <v>0</v>
      </c>
      <c r="AZW18" s="1283"/>
      <c r="AZX18" s="1284"/>
      <c r="AZY18" s="1282">
        <f t="shared" ref="AZY18" si="1800">+SUM(AZY19:BAA22)</f>
        <v>0</v>
      </c>
      <c r="AZZ18" s="1283"/>
      <c r="BAA18" s="1284"/>
      <c r="BAB18" s="1282">
        <f t="shared" ref="BAB18" si="1801">+SUM(BAB19:BAD22)</f>
        <v>0</v>
      </c>
      <c r="BAC18" s="1283"/>
      <c r="BAD18" s="1284"/>
      <c r="BAE18" s="1282">
        <f t="shared" ref="BAE18" si="1802">+SUM(BAE19:BAG22)</f>
        <v>0</v>
      </c>
      <c r="BAF18" s="1283"/>
      <c r="BAG18" s="1284"/>
      <c r="BAH18" s="1282">
        <f t="shared" ref="BAH18" si="1803">+SUM(BAH19:BAJ22)</f>
        <v>0</v>
      </c>
      <c r="BAI18" s="1283"/>
      <c r="BAJ18" s="1284"/>
      <c r="BAK18" s="382"/>
      <c r="BAL18" s="382"/>
      <c r="BAM18" s="382"/>
      <c r="BAN18" s="382"/>
      <c r="BAO18" s="382"/>
      <c r="BAP18" s="382"/>
      <c r="BAQ18" s="382"/>
      <c r="BAR18" s="382"/>
      <c r="BAS18" s="382"/>
      <c r="BAT18" s="382"/>
      <c r="BAU18" s="382"/>
    </row>
    <row r="19" spans="1:1399">
      <c r="B19" s="5" t="s">
        <v>348</v>
      </c>
      <c r="C19" s="16"/>
      <c r="D19" s="16"/>
      <c r="E19" s="9" t="s">
        <v>349</v>
      </c>
      <c r="F19" s="1285">
        <v>1</v>
      </c>
      <c r="G19" s="1285"/>
      <c r="H19" s="1287"/>
      <c r="I19" s="1285">
        <v>1</v>
      </c>
      <c r="J19" s="1285"/>
      <c r="K19" s="1287"/>
      <c r="L19" s="1285" t="s">
        <v>20</v>
      </c>
      <c r="M19" s="1285"/>
      <c r="N19" s="1287"/>
      <c r="O19" s="1285">
        <v>0</v>
      </c>
      <c r="P19" s="1285"/>
      <c r="Q19" s="1287"/>
      <c r="R19" s="1285">
        <v>0</v>
      </c>
      <c r="S19" s="1285"/>
      <c r="T19" s="1287"/>
      <c r="U19" s="1285">
        <v>2</v>
      </c>
      <c r="V19" s="1285"/>
      <c r="W19" s="1287"/>
      <c r="X19" s="1285">
        <v>1</v>
      </c>
      <c r="Y19" s="1285"/>
      <c r="Z19" s="1287"/>
      <c r="AA19" s="1285">
        <v>1</v>
      </c>
      <c r="AB19" s="1285"/>
      <c r="AC19" s="1287"/>
      <c r="AD19" s="1285">
        <v>1</v>
      </c>
      <c r="AE19" s="1285"/>
      <c r="AF19" s="1287"/>
      <c r="AG19" s="1285" t="s">
        <v>20</v>
      </c>
      <c r="AH19" s="1285"/>
      <c r="AI19" s="1287"/>
      <c r="AJ19" s="1285">
        <v>0</v>
      </c>
      <c r="AK19" s="1285"/>
      <c r="AL19" s="1287"/>
      <c r="AM19" s="1285">
        <v>1</v>
      </c>
      <c r="AN19" s="1285"/>
      <c r="AO19" s="1287"/>
      <c r="AP19" s="1285">
        <v>2</v>
      </c>
      <c r="AQ19" s="1285"/>
      <c r="AR19" s="1287"/>
      <c r="AS19" s="1285">
        <v>0</v>
      </c>
      <c r="AT19" s="1285"/>
      <c r="AU19" s="1287"/>
      <c r="AV19" s="1285">
        <v>0</v>
      </c>
      <c r="AW19" s="1285"/>
      <c r="AX19" s="1287"/>
      <c r="AY19" s="1285">
        <v>1</v>
      </c>
      <c r="AZ19" s="1285"/>
      <c r="BA19" s="1287"/>
      <c r="BB19" s="1285" t="s">
        <v>20</v>
      </c>
      <c r="BC19" s="1285"/>
      <c r="BD19" s="1287"/>
      <c r="BE19" s="1285">
        <v>1</v>
      </c>
      <c r="BF19" s="1285"/>
      <c r="BG19" s="1287"/>
      <c r="BH19" s="1285">
        <v>2</v>
      </c>
      <c r="BI19" s="1285"/>
      <c r="BJ19" s="1287"/>
      <c r="BK19" s="1285">
        <v>1</v>
      </c>
      <c r="BL19" s="1285"/>
      <c r="BM19" s="1287"/>
      <c r="BN19" s="1285">
        <v>1</v>
      </c>
      <c r="BO19" s="1285"/>
      <c r="BP19" s="1287"/>
      <c r="BQ19" s="1285">
        <v>2</v>
      </c>
      <c r="BR19" s="1285"/>
      <c r="BS19" s="1287"/>
      <c r="BT19" s="1285">
        <v>2</v>
      </c>
      <c r="BU19" s="1285"/>
      <c r="BV19" s="1287"/>
      <c r="BW19" s="1285" t="s">
        <v>20</v>
      </c>
      <c r="BX19" s="1285"/>
      <c r="BY19" s="1287"/>
      <c r="BZ19" s="1285">
        <v>3</v>
      </c>
      <c r="CA19" s="1285"/>
      <c r="CB19" s="1287"/>
      <c r="CC19" s="1285">
        <v>1</v>
      </c>
      <c r="CD19" s="1285"/>
      <c r="CE19" s="1287"/>
      <c r="CF19" s="1285">
        <v>1</v>
      </c>
      <c r="CG19" s="1285"/>
      <c r="CH19" s="1287"/>
      <c r="CI19" s="1285">
        <v>1</v>
      </c>
      <c r="CJ19" s="1285"/>
      <c r="CK19" s="1287"/>
      <c r="CL19" s="1285">
        <v>2</v>
      </c>
      <c r="CM19" s="1285"/>
      <c r="CN19" s="1287"/>
      <c r="CO19" s="1285">
        <v>0</v>
      </c>
      <c r="CP19" s="1285"/>
      <c r="CQ19" s="1287"/>
      <c r="CR19" s="1285" t="s">
        <v>20</v>
      </c>
      <c r="CS19" s="1285"/>
      <c r="CT19" s="1287"/>
      <c r="CU19" s="1285">
        <v>2</v>
      </c>
      <c r="CV19" s="1285"/>
      <c r="CW19" s="1287"/>
      <c r="CX19" s="1285">
        <v>2</v>
      </c>
      <c r="CY19" s="1285"/>
      <c r="CZ19" s="1287"/>
      <c r="DA19" s="1285">
        <v>3</v>
      </c>
      <c r="DB19" s="1285"/>
      <c r="DC19" s="1287"/>
      <c r="DD19" s="1285">
        <v>1</v>
      </c>
      <c r="DE19" s="1285"/>
      <c r="DF19" s="1287"/>
      <c r="DG19" s="1285">
        <v>2</v>
      </c>
      <c r="DH19" s="1285"/>
      <c r="DI19" s="1287"/>
      <c r="DJ19" s="1285">
        <v>1</v>
      </c>
      <c r="DK19" s="1285"/>
      <c r="DL19" s="1287"/>
      <c r="DM19" s="1285" t="s">
        <v>20</v>
      </c>
      <c r="DN19" s="1285"/>
      <c r="DO19" s="1287"/>
      <c r="DP19" s="1285">
        <v>0</v>
      </c>
      <c r="DQ19" s="1285"/>
      <c r="DR19" s="1287"/>
      <c r="DS19" s="1285">
        <v>0</v>
      </c>
      <c r="DT19" s="1285"/>
      <c r="DU19" s="1287"/>
      <c r="DV19" s="1285">
        <v>2</v>
      </c>
      <c r="DW19" s="1285"/>
      <c r="DX19" s="1287"/>
      <c r="DY19" s="1285">
        <v>2</v>
      </c>
      <c r="DZ19" s="1285"/>
      <c r="EA19" s="1287"/>
      <c r="EB19" s="1285">
        <v>1</v>
      </c>
      <c r="EC19" s="1285"/>
      <c r="ED19" s="1287"/>
      <c r="EE19" s="1285">
        <v>1</v>
      </c>
      <c r="EF19" s="1285"/>
      <c r="EG19" s="1287"/>
      <c r="EH19" s="1285" t="s">
        <v>20</v>
      </c>
      <c r="EI19" s="1285"/>
      <c r="EJ19" s="1287"/>
      <c r="EK19" s="1285">
        <v>0</v>
      </c>
      <c r="EL19" s="1285"/>
      <c r="EM19" s="1287"/>
      <c r="EN19" s="1285">
        <v>1</v>
      </c>
      <c r="EO19" s="1285"/>
      <c r="EP19" s="1287"/>
      <c r="EQ19" s="1285">
        <v>1</v>
      </c>
      <c r="ER19" s="1285"/>
      <c r="ES19" s="1287"/>
      <c r="ET19" s="1285">
        <v>0</v>
      </c>
      <c r="EU19" s="1285"/>
      <c r="EV19" s="1287"/>
      <c r="EW19" s="1285">
        <v>1</v>
      </c>
      <c r="EX19" s="1285"/>
      <c r="EY19" s="1287"/>
      <c r="EZ19" s="1285">
        <v>2</v>
      </c>
      <c r="FA19" s="1285"/>
      <c r="FB19" s="1287"/>
      <c r="FC19" s="1285" t="s">
        <v>20</v>
      </c>
      <c r="FD19" s="1285"/>
      <c r="FE19" s="1287"/>
      <c r="FF19" s="1285" t="s">
        <v>20</v>
      </c>
      <c r="FG19" s="1285"/>
      <c r="FH19" s="1287"/>
      <c r="FI19" s="1285">
        <v>1</v>
      </c>
      <c r="FJ19" s="1285"/>
      <c r="FK19" s="1287"/>
      <c r="FL19" s="1285">
        <v>2</v>
      </c>
      <c r="FM19" s="1285"/>
      <c r="FN19" s="1287"/>
      <c r="FO19" s="1285">
        <v>1</v>
      </c>
      <c r="FP19" s="1285"/>
      <c r="FQ19" s="1287"/>
      <c r="FR19" s="1285">
        <v>1</v>
      </c>
      <c r="FS19" s="1285"/>
      <c r="FT19" s="1287"/>
      <c r="FU19" s="1285">
        <v>2</v>
      </c>
      <c r="FV19" s="1285"/>
      <c r="FW19" s="1287"/>
      <c r="FX19" s="1285" t="s">
        <v>20</v>
      </c>
      <c r="FY19" s="1285"/>
      <c r="FZ19" s="1287"/>
      <c r="GA19" s="1285">
        <v>1</v>
      </c>
      <c r="GB19" s="1285"/>
      <c r="GC19" s="1287"/>
      <c r="GD19" s="1285">
        <v>1</v>
      </c>
      <c r="GE19" s="1285"/>
      <c r="GF19" s="1287"/>
      <c r="GG19" s="1285">
        <v>0</v>
      </c>
      <c r="GH19" s="1285"/>
      <c r="GI19" s="1287"/>
      <c r="GJ19" s="1285">
        <v>1</v>
      </c>
      <c r="GK19" s="1285"/>
      <c r="GL19" s="1287"/>
      <c r="GM19" s="1285">
        <v>1</v>
      </c>
      <c r="GN19" s="1285"/>
      <c r="GO19" s="1287"/>
      <c r="GP19" s="1285">
        <v>1</v>
      </c>
      <c r="GQ19" s="1285"/>
      <c r="GR19" s="1287"/>
      <c r="GS19" s="1285" t="s">
        <v>20</v>
      </c>
      <c r="GT19" s="1285"/>
      <c r="GU19" s="1287"/>
      <c r="GV19" s="1285">
        <v>1</v>
      </c>
      <c r="GW19" s="1285"/>
      <c r="GX19" s="1287"/>
      <c r="GY19" s="1285">
        <v>0</v>
      </c>
      <c r="GZ19" s="1285"/>
      <c r="HA19" s="1287"/>
      <c r="HB19" s="1285">
        <v>1</v>
      </c>
      <c r="HC19" s="1285"/>
      <c r="HD19" s="1287"/>
      <c r="HE19" s="1285">
        <v>1</v>
      </c>
      <c r="HF19" s="1285"/>
      <c r="HG19" s="1287"/>
      <c r="HH19" s="1285">
        <v>1</v>
      </c>
      <c r="HI19" s="1285"/>
      <c r="HJ19" s="1287"/>
      <c r="HK19" s="1285">
        <v>2</v>
      </c>
      <c r="HL19" s="1285"/>
      <c r="HM19" s="1287"/>
      <c r="HN19" s="1285">
        <v>1</v>
      </c>
      <c r="HO19" s="1285"/>
      <c r="HP19" s="1287"/>
      <c r="HQ19" s="1285">
        <v>0</v>
      </c>
      <c r="HR19" s="1285"/>
      <c r="HS19" s="1287"/>
      <c r="HT19" s="1285">
        <v>2</v>
      </c>
      <c r="HU19" s="1285"/>
      <c r="HV19" s="1287"/>
      <c r="HW19" s="1285">
        <v>1</v>
      </c>
      <c r="HX19" s="1285"/>
      <c r="HY19" s="1287"/>
      <c r="HZ19" s="1285">
        <v>3</v>
      </c>
      <c r="IA19" s="1285"/>
      <c r="IB19" s="1287"/>
      <c r="IC19" s="1285"/>
      <c r="ID19" s="1285"/>
      <c r="IE19" s="1287"/>
      <c r="IF19" s="1285">
        <v>0</v>
      </c>
      <c r="IG19" s="1285"/>
      <c r="IH19" s="1287"/>
      <c r="II19" s="1285"/>
      <c r="IJ19" s="1285"/>
      <c r="IK19" s="1287"/>
      <c r="IL19" s="1285">
        <v>0</v>
      </c>
      <c r="IM19" s="1285"/>
      <c r="IN19" s="1287"/>
      <c r="IO19" s="1285">
        <v>1</v>
      </c>
      <c r="IP19" s="1285"/>
      <c r="IQ19" s="1287"/>
      <c r="IR19" s="1285">
        <v>2</v>
      </c>
      <c r="IS19" s="1285"/>
      <c r="IT19" s="1287"/>
      <c r="IU19" s="1285">
        <v>1</v>
      </c>
      <c r="IV19" s="1285"/>
      <c r="IW19" s="1287"/>
      <c r="IX19" s="1285">
        <v>0</v>
      </c>
      <c r="IY19" s="1285"/>
      <c r="IZ19" s="1287"/>
      <c r="JA19" s="1285">
        <v>1</v>
      </c>
      <c r="JB19" s="1285"/>
      <c r="JC19" s="1287"/>
      <c r="JD19" s="1285">
        <v>2</v>
      </c>
      <c r="JE19" s="1285"/>
      <c r="JF19" s="1287"/>
      <c r="JG19" s="1285">
        <v>0</v>
      </c>
      <c r="JH19" s="1285"/>
      <c r="JI19" s="1287"/>
      <c r="JJ19" s="1285">
        <v>0</v>
      </c>
      <c r="JK19" s="1285"/>
      <c r="JL19" s="1287"/>
      <c r="JM19" s="1285">
        <v>2</v>
      </c>
      <c r="JN19" s="1285"/>
      <c r="JO19" s="1287"/>
      <c r="JP19" s="1285"/>
      <c r="JQ19" s="1285"/>
      <c r="JR19" s="1287"/>
      <c r="JS19" s="1285">
        <v>0</v>
      </c>
      <c r="JT19" s="1285"/>
      <c r="JU19" s="1287"/>
      <c r="JV19" s="1285">
        <v>0</v>
      </c>
      <c r="JW19" s="1285"/>
      <c r="JX19" s="1287"/>
      <c r="JY19" s="1285"/>
      <c r="JZ19" s="1285"/>
      <c r="KA19" s="1287"/>
      <c r="KB19" s="1285">
        <v>2</v>
      </c>
      <c r="KC19" s="1285"/>
      <c r="KD19" s="1287"/>
      <c r="KE19" s="1285">
        <v>2</v>
      </c>
      <c r="KF19" s="1285"/>
      <c r="KG19" s="1287"/>
      <c r="KH19" s="1285">
        <v>1</v>
      </c>
      <c r="KI19" s="1285"/>
      <c r="KJ19" s="1287"/>
      <c r="KK19" s="1285">
        <v>2</v>
      </c>
      <c r="KL19" s="1285"/>
      <c r="KM19" s="1287"/>
      <c r="KN19" s="1285">
        <v>3</v>
      </c>
      <c r="KO19" s="1285"/>
      <c r="KP19" s="1287"/>
      <c r="KQ19" s="1285">
        <v>3</v>
      </c>
      <c r="KR19" s="1285"/>
      <c r="KS19" s="1287"/>
      <c r="KT19" s="1285"/>
      <c r="KU19" s="1285"/>
      <c r="KV19" s="1287"/>
      <c r="KW19" s="1285">
        <v>0</v>
      </c>
      <c r="KX19" s="1285"/>
      <c r="KY19" s="1287"/>
      <c r="KZ19" s="1285">
        <f>1+1</f>
        <v>2</v>
      </c>
      <c r="LA19" s="1285"/>
      <c r="LB19" s="1287"/>
      <c r="LC19" s="1285">
        <v>1</v>
      </c>
      <c r="LD19" s="1285"/>
      <c r="LE19" s="1287"/>
      <c r="LF19" s="1285">
        <v>1</v>
      </c>
      <c r="LG19" s="1285"/>
      <c r="LH19" s="1287"/>
      <c r="LI19" s="1285">
        <v>4</v>
      </c>
      <c r="LJ19" s="1285"/>
      <c r="LK19" s="1287"/>
      <c r="LL19" s="1285">
        <v>0</v>
      </c>
      <c r="LM19" s="1285"/>
      <c r="LN19" s="1287"/>
      <c r="LO19" s="1285"/>
      <c r="LP19" s="1285"/>
      <c r="LQ19" s="1287"/>
      <c r="LR19" s="1285">
        <v>0</v>
      </c>
      <c r="LS19" s="1285"/>
      <c r="LT19" s="1287"/>
      <c r="LU19" s="1285">
        <v>2</v>
      </c>
      <c r="LV19" s="1285"/>
      <c r="LW19" s="1287"/>
      <c r="LX19" s="1285">
        <v>2</v>
      </c>
      <c r="LY19" s="1285"/>
      <c r="LZ19" s="1287"/>
      <c r="MA19" s="1286">
        <v>2</v>
      </c>
      <c r="MB19" s="1285"/>
      <c r="MC19" s="1287"/>
      <c r="MD19" s="1286">
        <v>2</v>
      </c>
      <c r="ME19" s="1285"/>
      <c r="MF19" s="1287"/>
      <c r="MG19" s="1286">
        <v>4</v>
      </c>
      <c r="MH19" s="1285"/>
      <c r="MI19" s="1287"/>
      <c r="MJ19" s="1285"/>
      <c r="MK19" s="1285"/>
      <c r="ML19" s="1287"/>
      <c r="MM19" s="1286">
        <v>1</v>
      </c>
      <c r="MN19" s="1285"/>
      <c r="MO19" s="1287"/>
      <c r="MP19" s="1286">
        <v>2</v>
      </c>
      <c r="MQ19" s="1285"/>
      <c r="MR19" s="1287"/>
      <c r="MS19" s="1286">
        <v>2</v>
      </c>
      <c r="MT19" s="1285"/>
      <c r="MU19" s="1287"/>
      <c r="MV19" s="1286">
        <v>2</v>
      </c>
      <c r="MW19" s="1285"/>
      <c r="MX19" s="1287"/>
      <c r="MY19" s="1286">
        <v>3</v>
      </c>
      <c r="MZ19" s="1285"/>
      <c r="NA19" s="1287"/>
      <c r="NB19" s="1286">
        <v>1</v>
      </c>
      <c r="NC19" s="1285"/>
      <c r="ND19" s="1287"/>
      <c r="NE19" s="1285" t="s">
        <v>20</v>
      </c>
      <c r="NF19" s="1285"/>
      <c r="NG19" s="1287"/>
      <c r="NH19" s="1286">
        <v>1</v>
      </c>
      <c r="NI19" s="1285"/>
      <c r="NJ19" s="1287"/>
      <c r="NK19" s="1286">
        <v>2</v>
      </c>
      <c r="NL19" s="1285"/>
      <c r="NM19" s="1287"/>
      <c r="NN19" s="1286">
        <v>3</v>
      </c>
      <c r="NO19" s="1285"/>
      <c r="NP19" s="1287"/>
      <c r="NQ19" s="1286">
        <v>2</v>
      </c>
      <c r="NR19" s="1285"/>
      <c r="NS19" s="1287"/>
      <c r="NT19" s="1286">
        <v>3</v>
      </c>
      <c r="NU19" s="1285"/>
      <c r="NV19" s="1287"/>
      <c r="NW19" s="1286">
        <v>1</v>
      </c>
      <c r="NX19" s="1285"/>
      <c r="NY19" s="1287"/>
      <c r="NZ19" s="1285" t="s">
        <v>20</v>
      </c>
      <c r="OA19" s="1285"/>
      <c r="OB19" s="1287"/>
      <c r="OC19" s="1285">
        <v>0</v>
      </c>
      <c r="OD19" s="1285"/>
      <c r="OE19" s="1287"/>
      <c r="OF19" s="1286">
        <v>1</v>
      </c>
      <c r="OG19" s="1285"/>
      <c r="OH19" s="1287"/>
      <c r="OI19" s="1285">
        <v>2</v>
      </c>
      <c r="OJ19" s="1285"/>
      <c r="OK19" s="1287"/>
      <c r="OL19" s="1285">
        <v>4</v>
      </c>
      <c r="OM19" s="1285"/>
      <c r="ON19" s="1287"/>
      <c r="OO19" s="1285">
        <v>3</v>
      </c>
      <c r="OP19" s="1285"/>
      <c r="OQ19" s="1287"/>
      <c r="OR19" s="1285">
        <v>1</v>
      </c>
      <c r="OS19" s="1285"/>
      <c r="OT19" s="1287"/>
      <c r="OU19" s="1285"/>
      <c r="OV19" s="1285"/>
      <c r="OW19" s="1287"/>
      <c r="OX19" s="1285"/>
      <c r="OY19" s="1285"/>
      <c r="OZ19" s="1287"/>
      <c r="PA19" s="1286">
        <v>5</v>
      </c>
      <c r="PB19" s="1285"/>
      <c r="PC19" s="1287"/>
      <c r="PD19" s="1285">
        <v>1</v>
      </c>
      <c r="PE19" s="1285"/>
      <c r="PF19" s="1287"/>
      <c r="PG19" s="1285">
        <v>4</v>
      </c>
      <c r="PH19" s="1285"/>
      <c r="PI19" s="1287"/>
      <c r="PJ19" s="1285">
        <v>1</v>
      </c>
      <c r="PK19" s="1285"/>
      <c r="PL19" s="1287"/>
      <c r="PM19" s="1285">
        <v>0</v>
      </c>
      <c r="PN19" s="1285"/>
      <c r="PO19" s="1287"/>
      <c r="PP19" s="1285"/>
      <c r="PQ19" s="1285"/>
      <c r="PR19" s="1287"/>
      <c r="PS19" s="1285">
        <v>0</v>
      </c>
      <c r="PT19" s="1285"/>
      <c r="PU19" s="1287"/>
      <c r="PV19" s="1285">
        <v>2</v>
      </c>
      <c r="PW19" s="1285"/>
      <c r="PX19" s="1287"/>
      <c r="PY19" s="1285">
        <v>1</v>
      </c>
      <c r="PZ19" s="1285"/>
      <c r="QA19" s="1287"/>
      <c r="QB19" s="1285">
        <v>2</v>
      </c>
      <c r="QC19" s="1285"/>
      <c r="QD19" s="1287"/>
      <c r="QE19" s="1285">
        <v>1</v>
      </c>
      <c r="QF19" s="1285"/>
      <c r="QG19" s="1287"/>
      <c r="QH19" s="1285">
        <v>1</v>
      </c>
      <c r="QI19" s="1285"/>
      <c r="QJ19" s="1287"/>
      <c r="QK19" s="1285"/>
      <c r="QL19" s="1285"/>
      <c r="QM19" s="1287"/>
      <c r="QN19" s="1285">
        <v>0</v>
      </c>
      <c r="QO19" s="1285"/>
      <c r="QP19" s="1287"/>
      <c r="QQ19" s="1286">
        <v>2</v>
      </c>
      <c r="QR19" s="1285"/>
      <c r="QS19" s="1287"/>
      <c r="QT19" s="1285">
        <v>1</v>
      </c>
      <c r="QU19" s="1285"/>
      <c r="QV19" s="1287"/>
      <c r="QW19" s="1285">
        <v>0</v>
      </c>
      <c r="QX19" s="1285"/>
      <c r="QY19" s="1287"/>
      <c r="QZ19" s="1285">
        <v>2</v>
      </c>
      <c r="RA19" s="1285"/>
      <c r="RB19" s="1287"/>
      <c r="RC19" s="1285">
        <v>1</v>
      </c>
      <c r="RD19" s="1285"/>
      <c r="RE19" s="1287"/>
      <c r="RF19" s="1285"/>
      <c r="RG19" s="1285"/>
      <c r="RH19" s="1287"/>
      <c r="RI19" s="1285">
        <v>1</v>
      </c>
      <c r="RJ19" s="1285"/>
      <c r="RK19" s="1287"/>
      <c r="RL19" s="1286">
        <v>1</v>
      </c>
      <c r="RM19" s="1285"/>
      <c r="RN19" s="1287"/>
      <c r="RO19" s="1285"/>
      <c r="RP19" s="1285"/>
      <c r="RQ19" s="1287"/>
      <c r="RR19" s="1285">
        <v>1</v>
      </c>
      <c r="RS19" s="1285"/>
      <c r="RT19" s="1287"/>
      <c r="RU19" s="1285">
        <v>0</v>
      </c>
      <c r="RV19" s="1285"/>
      <c r="RW19" s="1287"/>
      <c r="RX19" s="1285">
        <v>0</v>
      </c>
      <c r="RY19" s="1285"/>
      <c r="RZ19" s="1287"/>
      <c r="SA19" s="1285"/>
      <c r="SB19" s="1285"/>
      <c r="SC19" s="1287"/>
      <c r="SD19" s="1285">
        <v>0</v>
      </c>
      <c r="SE19" s="1285"/>
      <c r="SF19" s="1287"/>
      <c r="SG19" s="1286">
        <v>2</v>
      </c>
      <c r="SH19" s="1285"/>
      <c r="SI19" s="1287"/>
      <c r="SJ19" s="1285">
        <v>1</v>
      </c>
      <c r="SK19" s="1285"/>
      <c r="SL19" s="1287"/>
      <c r="SM19" s="1285">
        <v>2</v>
      </c>
      <c r="SN19" s="1285"/>
      <c r="SO19" s="1287"/>
      <c r="SP19" s="1285">
        <v>2</v>
      </c>
      <c r="SQ19" s="1285"/>
      <c r="SR19" s="1287"/>
      <c r="SS19" s="1285">
        <v>2</v>
      </c>
      <c r="ST19" s="1285"/>
      <c r="SU19" s="1287"/>
      <c r="SV19" s="1285"/>
      <c r="SW19" s="1285"/>
      <c r="SX19" s="1287"/>
      <c r="SY19" s="1285">
        <v>2</v>
      </c>
      <c r="SZ19" s="1285"/>
      <c r="TA19" s="1287"/>
      <c r="TB19" s="1286">
        <v>2</v>
      </c>
      <c r="TC19" s="1285"/>
      <c r="TD19" s="1287"/>
      <c r="TE19" s="1285">
        <v>0</v>
      </c>
      <c r="TF19" s="1285"/>
      <c r="TG19" s="1287"/>
      <c r="TH19" s="1285">
        <v>2</v>
      </c>
      <c r="TI19" s="1285"/>
      <c r="TJ19" s="1287"/>
      <c r="TK19" s="1285">
        <v>2</v>
      </c>
      <c r="TL19" s="1285"/>
      <c r="TM19" s="1287"/>
      <c r="TN19" s="1285">
        <v>2</v>
      </c>
      <c r="TO19" s="1285"/>
      <c r="TP19" s="1287"/>
      <c r="TQ19" s="1285"/>
      <c r="TR19" s="1285"/>
      <c r="TS19" s="1287"/>
      <c r="TT19" s="1285">
        <v>1</v>
      </c>
      <c r="TU19" s="1285"/>
      <c r="TV19" s="1287"/>
      <c r="TW19" s="1286">
        <v>2</v>
      </c>
      <c r="TX19" s="1285"/>
      <c r="TY19" s="1287"/>
      <c r="TZ19" s="1285">
        <v>0</v>
      </c>
      <c r="UA19" s="1285"/>
      <c r="UB19" s="1287"/>
      <c r="UC19" s="1285">
        <v>1</v>
      </c>
      <c r="UD19" s="1285"/>
      <c r="UE19" s="1287"/>
      <c r="UF19" s="1285">
        <v>2</v>
      </c>
      <c r="UG19" s="1285"/>
      <c r="UH19" s="1287"/>
      <c r="UI19" s="1285">
        <v>0</v>
      </c>
      <c r="UJ19" s="1285"/>
      <c r="UK19" s="1287"/>
      <c r="UL19" s="1285"/>
      <c r="UM19" s="1285"/>
      <c r="UN19" s="1287"/>
      <c r="UO19" s="1285">
        <v>2</v>
      </c>
      <c r="UP19" s="1285"/>
      <c r="UQ19" s="1287"/>
      <c r="UR19" s="1286">
        <v>0</v>
      </c>
      <c r="US19" s="1285"/>
      <c r="UT19" s="1287"/>
      <c r="UU19" s="1285">
        <v>1</v>
      </c>
      <c r="UV19" s="1285"/>
      <c r="UW19" s="1287"/>
      <c r="UX19" s="1285">
        <v>1</v>
      </c>
      <c r="UY19" s="1285"/>
      <c r="UZ19" s="1287"/>
      <c r="VA19" s="1285">
        <v>1</v>
      </c>
      <c r="VB19" s="1285"/>
      <c r="VC19" s="1287"/>
      <c r="VD19" s="1285">
        <v>1</v>
      </c>
      <c r="VE19" s="1285"/>
      <c r="VF19" s="1287"/>
      <c r="VG19" s="1285"/>
      <c r="VH19" s="1285"/>
      <c r="VI19" s="1287"/>
      <c r="VJ19" s="1285">
        <v>1</v>
      </c>
      <c r="VK19" s="1285"/>
      <c r="VL19" s="1287"/>
      <c r="VM19" s="1286">
        <v>0</v>
      </c>
      <c r="VN19" s="1285"/>
      <c r="VO19" s="1287"/>
      <c r="VP19" s="1285">
        <v>2</v>
      </c>
      <c r="VQ19" s="1285"/>
      <c r="VR19" s="1287"/>
      <c r="VS19" s="1285">
        <v>3</v>
      </c>
      <c r="VT19" s="1285"/>
      <c r="VU19" s="1287"/>
      <c r="VV19" s="1285">
        <v>0</v>
      </c>
      <c r="VW19" s="1285"/>
      <c r="VX19" s="1287"/>
      <c r="VY19" s="1285">
        <v>2</v>
      </c>
      <c r="VZ19" s="1285"/>
      <c r="WA19" s="1287"/>
      <c r="WB19" s="1285"/>
      <c r="WC19" s="1285"/>
      <c r="WD19" s="1287"/>
      <c r="WE19" s="1285">
        <v>1</v>
      </c>
      <c r="WF19" s="1285"/>
      <c r="WG19" s="1287"/>
      <c r="WH19" s="1286">
        <v>0</v>
      </c>
      <c r="WI19" s="1285"/>
      <c r="WJ19" s="1287"/>
      <c r="WK19" s="1285">
        <v>0</v>
      </c>
      <c r="WL19" s="1285"/>
      <c r="WM19" s="1287"/>
      <c r="WN19" s="1285">
        <v>1</v>
      </c>
      <c r="WO19" s="1285"/>
      <c r="WP19" s="1287"/>
      <c r="WQ19" s="1285">
        <v>1</v>
      </c>
      <c r="WR19" s="1285"/>
      <c r="WS19" s="1287"/>
      <c r="WT19" s="1285">
        <v>0</v>
      </c>
      <c r="WU19" s="1285"/>
      <c r="WV19" s="1287"/>
      <c r="WW19" s="1285"/>
      <c r="WX19" s="1285"/>
      <c r="WY19" s="1287"/>
      <c r="WZ19" s="1285">
        <v>0</v>
      </c>
      <c r="XA19" s="1285"/>
      <c r="XB19" s="1287"/>
      <c r="XC19" s="1286">
        <v>2</v>
      </c>
      <c r="XD19" s="1285"/>
      <c r="XE19" s="1287"/>
      <c r="XF19" s="1285">
        <v>1</v>
      </c>
      <c r="XG19" s="1285"/>
      <c r="XH19" s="1287"/>
      <c r="XI19" s="1285">
        <v>1</v>
      </c>
      <c r="XJ19" s="1285"/>
      <c r="XK19" s="1287"/>
      <c r="XL19" s="1285">
        <v>1</v>
      </c>
      <c r="XM19" s="1285"/>
      <c r="XN19" s="1287"/>
      <c r="XO19" s="1285">
        <v>0</v>
      </c>
      <c r="XP19" s="1285"/>
      <c r="XQ19" s="1287"/>
      <c r="XR19" s="1285"/>
      <c r="XS19" s="1285"/>
      <c r="XT19" s="1287"/>
      <c r="XU19" s="1285">
        <v>0</v>
      </c>
      <c r="XV19" s="1285"/>
      <c r="XW19" s="1287"/>
      <c r="XX19" s="1286">
        <v>2</v>
      </c>
      <c r="XY19" s="1285"/>
      <c r="XZ19" s="1287"/>
      <c r="YA19" s="1285">
        <v>2</v>
      </c>
      <c r="YB19" s="1285"/>
      <c r="YC19" s="1287"/>
      <c r="YD19" s="1285">
        <v>2</v>
      </c>
      <c r="YE19" s="1285"/>
      <c r="YF19" s="1287"/>
      <c r="YG19" s="1285">
        <v>3</v>
      </c>
      <c r="YH19" s="1285"/>
      <c r="YI19" s="1287"/>
      <c r="YJ19" s="1285">
        <v>0</v>
      </c>
      <c r="YK19" s="1285"/>
      <c r="YL19" s="1287"/>
      <c r="YM19" s="1285"/>
      <c r="YN19" s="1285"/>
      <c r="YO19" s="1287"/>
      <c r="YP19" s="1285">
        <v>1</v>
      </c>
      <c r="YQ19" s="1285"/>
      <c r="YR19" s="1287"/>
      <c r="YS19" s="1286">
        <v>1</v>
      </c>
      <c r="YT19" s="1285"/>
      <c r="YU19" s="1287"/>
      <c r="YV19" s="1285">
        <v>2</v>
      </c>
      <c r="YW19" s="1285"/>
      <c r="YX19" s="1287"/>
      <c r="YY19" s="1285">
        <v>1</v>
      </c>
      <c r="YZ19" s="1285"/>
      <c r="ZA19" s="1287"/>
      <c r="ZB19" s="1285">
        <v>1</v>
      </c>
      <c r="ZC19" s="1285"/>
      <c r="ZD19" s="1287"/>
      <c r="ZE19" s="1285">
        <v>2</v>
      </c>
      <c r="ZF19" s="1285"/>
      <c r="ZG19" s="1287"/>
      <c r="ZH19" s="1285"/>
      <c r="ZI19" s="1285"/>
      <c r="ZJ19" s="1287"/>
      <c r="ZK19" s="1285">
        <v>2</v>
      </c>
      <c r="ZL19" s="1285"/>
      <c r="ZM19" s="1287"/>
      <c r="ZN19" s="1286">
        <v>2</v>
      </c>
      <c r="ZO19" s="1285"/>
      <c r="ZP19" s="1287"/>
      <c r="ZQ19" s="1285">
        <v>2</v>
      </c>
      <c r="ZR19" s="1285"/>
      <c r="ZS19" s="1287"/>
      <c r="ZT19" s="1285">
        <v>2</v>
      </c>
      <c r="ZU19" s="1285"/>
      <c r="ZV19" s="1287"/>
      <c r="ZW19" s="1285">
        <v>0</v>
      </c>
      <c r="ZX19" s="1285"/>
      <c r="ZY19" s="1287"/>
      <c r="ZZ19" s="1285">
        <v>2</v>
      </c>
      <c r="AAA19" s="1285"/>
      <c r="AAB19" s="1287"/>
      <c r="AAC19" s="1285"/>
      <c r="AAD19" s="1285"/>
      <c r="AAE19" s="1287"/>
      <c r="AAF19" s="1285">
        <v>1</v>
      </c>
      <c r="AAG19" s="1285"/>
      <c r="AAH19" s="1287"/>
      <c r="AAI19" s="1286">
        <v>2</v>
      </c>
      <c r="AAJ19" s="1285"/>
      <c r="AAK19" s="1287"/>
      <c r="AAL19" s="1285">
        <v>2</v>
      </c>
      <c r="AAM19" s="1285"/>
      <c r="AAN19" s="1287"/>
      <c r="AAO19" s="1285">
        <v>2</v>
      </c>
      <c r="AAP19" s="1285"/>
      <c r="AAQ19" s="1287"/>
      <c r="AAR19" s="1285">
        <v>0</v>
      </c>
      <c r="AAS19" s="1285"/>
      <c r="AAT19" s="1287"/>
      <c r="AAU19" s="1285">
        <v>0</v>
      </c>
      <c r="AAV19" s="1285"/>
      <c r="AAW19" s="1287"/>
      <c r="AAX19" s="1285"/>
      <c r="AAY19" s="1285"/>
      <c r="AAZ19" s="1287"/>
      <c r="ABA19" s="1285">
        <v>3</v>
      </c>
      <c r="ABB19" s="1285"/>
      <c r="ABC19" s="1287"/>
      <c r="ABD19" s="1286">
        <v>1</v>
      </c>
      <c r="ABE19" s="1285"/>
      <c r="ABF19" s="1287"/>
      <c r="ABG19" s="1285">
        <v>1</v>
      </c>
      <c r="ABH19" s="1285"/>
      <c r="ABI19" s="1287"/>
      <c r="ABJ19" s="1285">
        <v>1</v>
      </c>
      <c r="ABK19" s="1285"/>
      <c r="ABL19" s="1287"/>
      <c r="ABM19" s="1285">
        <v>1</v>
      </c>
      <c r="ABN19" s="1285"/>
      <c r="ABO19" s="1287"/>
      <c r="ABP19" s="1285">
        <v>1</v>
      </c>
      <c r="ABQ19" s="1285"/>
      <c r="ABR19" s="1287"/>
      <c r="ABS19" s="1285">
        <v>1</v>
      </c>
      <c r="ABT19" s="1285"/>
      <c r="ABU19" s="1287"/>
      <c r="ABV19" s="1285">
        <v>1</v>
      </c>
      <c r="ABW19" s="1285"/>
      <c r="ABX19" s="1287"/>
      <c r="ABY19" s="1286">
        <v>2</v>
      </c>
      <c r="ABZ19" s="1285"/>
      <c r="ACA19" s="1287"/>
      <c r="ACB19" s="1285">
        <v>2</v>
      </c>
      <c r="ACC19" s="1285"/>
      <c r="ACD19" s="1287"/>
      <c r="ACE19" s="1285">
        <v>3</v>
      </c>
      <c r="ACF19" s="1285"/>
      <c r="ACG19" s="1287"/>
      <c r="ACH19" s="1285"/>
      <c r="ACI19" s="1285"/>
      <c r="ACJ19" s="1287"/>
      <c r="ACK19" s="1285">
        <v>1</v>
      </c>
      <c r="ACL19" s="1285"/>
      <c r="ACM19" s="1287"/>
      <c r="ACN19" s="1285"/>
      <c r="ACO19" s="1285"/>
      <c r="ACP19" s="1287"/>
      <c r="ACQ19" s="1285">
        <v>0</v>
      </c>
      <c r="ACR19" s="1285"/>
      <c r="ACS19" s="1287"/>
      <c r="ACT19" s="1286">
        <v>0</v>
      </c>
      <c r="ACU19" s="1285"/>
      <c r="ACV19" s="1287"/>
      <c r="ACW19" s="1285">
        <v>1</v>
      </c>
      <c r="ACX19" s="1285"/>
      <c r="ACY19" s="1287"/>
      <c r="ACZ19" s="1285">
        <v>1</v>
      </c>
      <c r="ADA19" s="1285"/>
      <c r="ADB19" s="1287"/>
      <c r="ADC19" s="1285">
        <v>3</v>
      </c>
      <c r="ADD19" s="1285"/>
      <c r="ADE19" s="1287"/>
      <c r="ADF19" s="1285">
        <v>1</v>
      </c>
      <c r="ADG19" s="1285"/>
      <c r="ADH19" s="1287"/>
      <c r="ADI19" s="1285"/>
      <c r="ADJ19" s="1285"/>
      <c r="ADK19" s="1287"/>
      <c r="ADL19" s="1285">
        <v>2</v>
      </c>
      <c r="ADM19" s="1285"/>
      <c r="ADN19" s="1287"/>
      <c r="ADO19" s="1286">
        <v>0</v>
      </c>
      <c r="ADP19" s="1285"/>
      <c r="ADQ19" s="1287"/>
      <c r="ADR19" s="1285">
        <v>2</v>
      </c>
      <c r="ADS19" s="1285"/>
      <c r="ADT19" s="1287"/>
      <c r="ADU19" s="1285">
        <v>0</v>
      </c>
      <c r="ADV19" s="1285"/>
      <c r="ADW19" s="1287"/>
      <c r="ADX19" s="1285">
        <v>1</v>
      </c>
      <c r="ADY19" s="1285"/>
      <c r="ADZ19" s="1287"/>
      <c r="AEA19" s="1285">
        <v>0</v>
      </c>
      <c r="AEB19" s="1285"/>
      <c r="AEC19" s="1287"/>
      <c r="AED19" s="1285"/>
      <c r="AEE19" s="1285"/>
      <c r="AEF19" s="1287"/>
      <c r="AEG19" s="1285">
        <v>1</v>
      </c>
      <c r="AEH19" s="1285"/>
      <c r="AEI19" s="1287"/>
      <c r="AEJ19" s="1286">
        <v>1</v>
      </c>
      <c r="AEK19" s="1285"/>
      <c r="AEL19" s="1287"/>
      <c r="AEM19" s="1285">
        <v>1</v>
      </c>
      <c r="AEN19" s="1285"/>
      <c r="AEO19" s="1287"/>
      <c r="AEP19" s="1285">
        <v>1</v>
      </c>
      <c r="AEQ19" s="1285"/>
      <c r="AER19" s="1287"/>
      <c r="AES19" s="1285">
        <v>1</v>
      </c>
      <c r="AET19" s="1285"/>
      <c r="AEU19" s="1287"/>
      <c r="AEV19" s="1285">
        <v>1</v>
      </c>
      <c r="AEW19" s="1285"/>
      <c r="AEX19" s="1287"/>
      <c r="AEY19" s="1285"/>
      <c r="AEZ19" s="1285"/>
      <c r="AFA19" s="1287"/>
      <c r="AFB19" s="1285">
        <v>1</v>
      </c>
      <c r="AFC19" s="1285"/>
      <c r="AFD19" s="1287"/>
      <c r="AFE19" s="1286">
        <v>2</v>
      </c>
      <c r="AFF19" s="1285"/>
      <c r="AFG19" s="1287"/>
      <c r="AFH19" s="1285">
        <v>1</v>
      </c>
      <c r="AFI19" s="1285"/>
      <c r="AFJ19" s="1287"/>
      <c r="AFK19" s="1285">
        <v>1</v>
      </c>
      <c r="AFL19" s="1285"/>
      <c r="AFM19" s="1287"/>
      <c r="AFN19" s="1285">
        <v>1</v>
      </c>
      <c r="AFO19" s="1285"/>
      <c r="AFP19" s="1287"/>
      <c r="AFQ19" s="1285">
        <v>1</v>
      </c>
      <c r="AFR19" s="1285"/>
      <c r="AFS19" s="1287"/>
      <c r="AFT19" s="1285"/>
      <c r="AFU19" s="1285"/>
      <c r="AFV19" s="1287"/>
      <c r="AFW19" s="1285">
        <v>0</v>
      </c>
      <c r="AFX19" s="1285"/>
      <c r="AFY19" s="1287"/>
      <c r="AFZ19" s="1286">
        <v>1</v>
      </c>
      <c r="AGA19" s="1285"/>
      <c r="AGB19" s="1287"/>
      <c r="AGC19" s="1285">
        <v>0</v>
      </c>
      <c r="AGD19" s="1285"/>
      <c r="AGE19" s="1287"/>
      <c r="AGF19" s="1285">
        <v>0</v>
      </c>
      <c r="AGG19" s="1285"/>
      <c r="AGH19" s="1287"/>
      <c r="AGI19" s="1285">
        <v>1</v>
      </c>
      <c r="AGJ19" s="1285"/>
      <c r="AGK19" s="1287"/>
      <c r="AGL19" s="1285">
        <v>1</v>
      </c>
      <c r="AGM19" s="1285"/>
      <c r="AGN19" s="1287"/>
      <c r="AGO19" s="1285">
        <v>2</v>
      </c>
      <c r="AGP19" s="1285"/>
      <c r="AGQ19" s="1287"/>
      <c r="AGR19" s="1285">
        <v>2</v>
      </c>
      <c r="AGS19" s="1285"/>
      <c r="AGT19" s="1287"/>
      <c r="AGU19" s="1286">
        <v>1</v>
      </c>
      <c r="AGV19" s="1285"/>
      <c r="AGW19" s="1287"/>
      <c r="AGX19" s="1285">
        <v>2</v>
      </c>
      <c r="AGY19" s="1285"/>
      <c r="AGZ19" s="1287"/>
      <c r="AHA19" s="1285">
        <v>2</v>
      </c>
      <c r="AHB19" s="1285"/>
      <c r="AHC19" s="1287"/>
      <c r="AHD19" s="1285">
        <v>0</v>
      </c>
      <c r="AHE19" s="1285"/>
      <c r="AHF19" s="1287"/>
      <c r="AHG19" s="1285">
        <v>0</v>
      </c>
      <c r="AHH19" s="1285"/>
      <c r="AHI19" s="1287"/>
      <c r="AHJ19" s="1285"/>
      <c r="AHK19" s="1285"/>
      <c r="AHL19" s="1287"/>
      <c r="AHM19" s="1285"/>
      <c r="AHN19" s="1285"/>
      <c r="AHO19" s="1287"/>
      <c r="AHP19" s="1286">
        <v>3</v>
      </c>
      <c r="AHQ19" s="1285"/>
      <c r="AHR19" s="1287"/>
      <c r="AHS19" s="1285">
        <v>0</v>
      </c>
      <c r="AHT19" s="1285"/>
      <c r="AHU19" s="1287"/>
      <c r="AHV19" s="1285">
        <v>0</v>
      </c>
      <c r="AHW19" s="1285"/>
      <c r="AHX19" s="1287"/>
      <c r="AHY19" s="1285">
        <v>1</v>
      </c>
      <c r="AHZ19" s="1285"/>
      <c r="AIA19" s="1287"/>
      <c r="AIB19" s="1285">
        <v>2</v>
      </c>
      <c r="AIC19" s="1285"/>
      <c r="AID19" s="1287"/>
      <c r="AIE19" s="1286" t="s">
        <v>20</v>
      </c>
      <c r="AIF19" s="1285"/>
      <c r="AIG19" s="1287"/>
      <c r="AIH19" s="1285">
        <v>0</v>
      </c>
      <c r="AII19" s="1285"/>
      <c r="AIJ19" s="1287"/>
      <c r="AIK19" s="1285">
        <v>0</v>
      </c>
      <c r="AIL19" s="1285"/>
      <c r="AIM19" s="1287"/>
      <c r="AIN19" s="1285">
        <v>1</v>
      </c>
      <c r="AIO19" s="1285"/>
      <c r="AIP19" s="1287"/>
      <c r="AIQ19" s="1285">
        <v>1</v>
      </c>
      <c r="AIR19" s="1285"/>
      <c r="AIS19" s="1285"/>
      <c r="AIT19" s="1286">
        <v>1</v>
      </c>
      <c r="AIU19" s="1285"/>
      <c r="AIV19" s="1287"/>
      <c r="AIW19" s="1285">
        <v>0</v>
      </c>
      <c r="AIX19" s="1285"/>
      <c r="AIY19" s="1285"/>
      <c r="AIZ19" s="1286"/>
      <c r="AJA19" s="1285"/>
      <c r="AJB19" s="1287"/>
      <c r="AJC19" s="1285"/>
      <c r="AJD19" s="1285"/>
      <c r="AJE19" s="1287"/>
      <c r="AJF19" s="1285">
        <v>1</v>
      </c>
      <c r="AJG19" s="1285"/>
      <c r="AJH19" s="1287"/>
      <c r="AJI19" s="1285">
        <v>0</v>
      </c>
      <c r="AJJ19" s="1285"/>
      <c r="AJK19" s="1287"/>
      <c r="AJL19" s="1285">
        <v>0</v>
      </c>
      <c r="AJM19" s="1285"/>
      <c r="AJN19" s="1285"/>
      <c r="AJO19" s="1286">
        <v>1</v>
      </c>
      <c r="AJP19" s="1285"/>
      <c r="AJQ19" s="1287"/>
      <c r="AJR19" s="1285">
        <v>1</v>
      </c>
      <c r="AJS19" s="1285"/>
      <c r="AJT19" s="1285"/>
      <c r="AJU19" s="1286"/>
      <c r="AJV19" s="1285"/>
      <c r="AJW19" s="1287"/>
      <c r="AJX19" s="1286">
        <v>2</v>
      </c>
      <c r="AJY19" s="1285"/>
      <c r="AJZ19" s="1287"/>
      <c r="AKA19" s="1285">
        <v>1</v>
      </c>
      <c r="AKB19" s="1285"/>
      <c r="AKC19" s="1287"/>
      <c r="AKD19" s="1285">
        <v>1</v>
      </c>
      <c r="AKE19" s="1285"/>
      <c r="AKF19" s="1287"/>
      <c r="AKG19" s="1285">
        <v>0</v>
      </c>
      <c r="AKH19" s="1285"/>
      <c r="AKI19" s="1285"/>
      <c r="AKJ19" s="1286">
        <v>1</v>
      </c>
      <c r="AKK19" s="1285"/>
      <c r="AKL19" s="1287"/>
      <c r="AKM19" s="1285">
        <v>2</v>
      </c>
      <c r="AKN19" s="1285"/>
      <c r="AKO19" s="1285"/>
      <c r="AKP19" s="1286"/>
      <c r="AKQ19" s="1285"/>
      <c r="AKR19" s="1287"/>
      <c r="AKS19" s="1285">
        <v>1</v>
      </c>
      <c r="AKT19" s="1285"/>
      <c r="AKU19" s="1287"/>
      <c r="AKV19" s="1285">
        <v>1</v>
      </c>
      <c r="AKW19" s="1285"/>
      <c r="AKX19" s="1287"/>
      <c r="AKY19" s="1285">
        <v>1</v>
      </c>
      <c r="AKZ19" s="1285"/>
      <c r="ALA19" s="1287"/>
      <c r="ALB19" s="1285"/>
      <c r="ALC19" s="1285"/>
      <c r="ALD19" s="1285"/>
      <c r="ALE19" s="1286">
        <v>1</v>
      </c>
      <c r="ALF19" s="1285"/>
      <c r="ALG19" s="1287"/>
      <c r="ALH19" s="1285">
        <v>1</v>
      </c>
      <c r="ALI19" s="1285"/>
      <c r="ALJ19" s="1285"/>
      <c r="ALK19" s="1286"/>
      <c r="ALL19" s="1285"/>
      <c r="ALM19" s="1287"/>
      <c r="ALN19" s="1285">
        <v>2</v>
      </c>
      <c r="ALO19" s="1285"/>
      <c r="ALP19" s="1287"/>
      <c r="ALQ19" s="1285">
        <v>0</v>
      </c>
      <c r="ALR19" s="1285"/>
      <c r="ALS19" s="1287"/>
      <c r="ALT19" s="1285">
        <v>1</v>
      </c>
      <c r="ALU19" s="1285"/>
      <c r="ALV19" s="1287"/>
      <c r="ALW19" s="1285">
        <v>2</v>
      </c>
      <c r="ALX19" s="1285"/>
      <c r="ALY19" s="1285"/>
      <c r="ALZ19" s="1286"/>
      <c r="AMA19" s="1285"/>
      <c r="AMB19" s="1287"/>
      <c r="AMC19" s="1285">
        <v>1</v>
      </c>
      <c r="AMD19" s="1285"/>
      <c r="AME19" s="1285"/>
      <c r="AMF19" s="1286"/>
      <c r="AMG19" s="1285"/>
      <c r="AMH19" s="1287"/>
      <c r="AMI19" s="1285">
        <v>0</v>
      </c>
      <c r="AMJ19" s="1285"/>
      <c r="AMK19" s="1287"/>
      <c r="AML19" s="1285">
        <v>2</v>
      </c>
      <c r="AMM19" s="1285"/>
      <c r="AMN19" s="1287"/>
      <c r="AMO19" s="1285">
        <v>1</v>
      </c>
      <c r="AMP19" s="1285"/>
      <c r="AMQ19" s="1287"/>
      <c r="AMR19" s="1285">
        <v>0</v>
      </c>
      <c r="AMS19" s="1285"/>
      <c r="AMT19" s="1285"/>
      <c r="AMU19" s="1286">
        <v>1</v>
      </c>
      <c r="AMV19" s="1285"/>
      <c r="AMW19" s="1287"/>
      <c r="AMX19" s="1285">
        <v>1</v>
      </c>
      <c r="AMY19" s="1285"/>
      <c r="AMZ19" s="1285"/>
      <c r="ANA19" s="1286"/>
      <c r="ANB19" s="1285"/>
      <c r="ANC19" s="1287"/>
      <c r="AND19" s="1285">
        <v>1</v>
      </c>
      <c r="ANE19" s="1285"/>
      <c r="ANF19" s="1287"/>
      <c r="ANG19" s="1285">
        <v>1</v>
      </c>
      <c r="ANH19" s="1285"/>
      <c r="ANI19" s="1287"/>
      <c r="ANJ19" s="1285">
        <v>2</v>
      </c>
      <c r="ANK19" s="1285"/>
      <c r="ANL19" s="1287"/>
      <c r="ANM19" s="1285">
        <v>0</v>
      </c>
      <c r="ANN19" s="1285"/>
      <c r="ANO19" s="1285"/>
      <c r="ANP19" s="1286">
        <v>1</v>
      </c>
      <c r="ANQ19" s="1285"/>
      <c r="ANR19" s="1287"/>
      <c r="ANS19" s="1285">
        <v>1</v>
      </c>
      <c r="ANT19" s="1285"/>
      <c r="ANU19" s="1285"/>
      <c r="ANV19" s="1286"/>
      <c r="ANW19" s="1285"/>
      <c r="ANX19" s="1287"/>
      <c r="ANY19" s="1285">
        <v>1</v>
      </c>
      <c r="ANZ19" s="1285"/>
      <c r="AOA19" s="1287"/>
      <c r="AOB19" s="1285">
        <v>0</v>
      </c>
      <c r="AOC19" s="1285"/>
      <c r="AOD19" s="1287"/>
      <c r="AOE19" s="1285">
        <v>1</v>
      </c>
      <c r="AOF19" s="1285"/>
      <c r="AOG19" s="1287"/>
      <c r="AOH19" s="1285">
        <v>0</v>
      </c>
      <c r="AOI19" s="1285"/>
      <c r="AOJ19" s="1285"/>
      <c r="AOK19" s="1286">
        <v>2</v>
      </c>
      <c r="AOL19" s="1285"/>
      <c r="AOM19" s="1287"/>
      <c r="AON19" s="1285">
        <v>1</v>
      </c>
      <c r="AOO19" s="1285"/>
      <c r="AOP19" s="1285"/>
      <c r="AOQ19" s="1286"/>
      <c r="AOR19" s="1285"/>
      <c r="AOS19" s="1287"/>
      <c r="AOT19" s="1285">
        <v>3</v>
      </c>
      <c r="AOU19" s="1285"/>
      <c r="AOV19" s="1287"/>
      <c r="AOW19" s="1285">
        <v>1</v>
      </c>
      <c r="AOX19" s="1285"/>
      <c r="AOY19" s="1287"/>
      <c r="AOZ19" s="1285">
        <v>2</v>
      </c>
      <c r="APA19" s="1285"/>
      <c r="APB19" s="1287"/>
      <c r="APC19" s="1285">
        <v>2</v>
      </c>
      <c r="APD19" s="1285"/>
      <c r="APE19" s="1285"/>
      <c r="APF19" s="1286">
        <v>1</v>
      </c>
      <c r="APG19" s="1285"/>
      <c r="APH19" s="1287"/>
      <c r="API19" s="1285">
        <v>1</v>
      </c>
      <c r="APJ19" s="1285"/>
      <c r="APK19" s="1285"/>
      <c r="APL19" s="1286"/>
      <c r="APM19" s="1285"/>
      <c r="APN19" s="1287"/>
      <c r="APO19" s="1285">
        <v>1</v>
      </c>
      <c r="APP19" s="1285"/>
      <c r="APQ19" s="1287"/>
      <c r="APR19" s="1285">
        <v>1</v>
      </c>
      <c r="APS19" s="1285"/>
      <c r="APT19" s="1287"/>
      <c r="APU19" s="1285">
        <v>2</v>
      </c>
      <c r="APV19" s="1285"/>
      <c r="APW19" s="1287"/>
      <c r="APX19" s="1285">
        <v>1</v>
      </c>
      <c r="APY19" s="1285"/>
      <c r="APZ19" s="1285"/>
      <c r="AQA19" s="1286">
        <v>1</v>
      </c>
      <c r="AQB19" s="1285"/>
      <c r="AQC19" s="1287"/>
      <c r="AQD19" s="1285">
        <v>1</v>
      </c>
      <c r="AQE19" s="1285"/>
      <c r="AQF19" s="1287"/>
      <c r="AQG19" s="1285"/>
      <c r="AQH19" s="1285"/>
      <c r="AQI19" s="1287"/>
      <c r="AQJ19" s="1285">
        <v>1</v>
      </c>
      <c r="AQK19" s="1285"/>
      <c r="AQL19" s="1287"/>
      <c r="AQM19" s="1285">
        <v>1</v>
      </c>
      <c r="AQN19" s="1285"/>
      <c r="AQO19" s="1287"/>
      <c r="AQP19" s="1285">
        <v>0</v>
      </c>
      <c r="AQQ19" s="1285"/>
      <c r="AQR19" s="1285"/>
      <c r="AQS19" s="1286">
        <v>2</v>
      </c>
      <c r="AQT19" s="1285"/>
      <c r="AQU19" s="1287"/>
      <c r="AQV19" s="1285">
        <v>1</v>
      </c>
      <c r="AQW19" s="1285"/>
      <c r="AQX19" s="1287"/>
      <c r="AQY19" s="1285">
        <v>2</v>
      </c>
      <c r="AQZ19" s="1285"/>
      <c r="ARA19" s="1287"/>
      <c r="ARB19" s="1285"/>
      <c r="ARC19" s="1285"/>
      <c r="ARD19" s="1287"/>
      <c r="ARE19" s="1285"/>
      <c r="ARF19" s="1285"/>
      <c r="ARG19" s="1287"/>
      <c r="ARH19" s="1285"/>
      <c r="ARI19" s="1285"/>
      <c r="ARJ19" s="1287"/>
      <c r="ARK19" s="1285">
        <v>1</v>
      </c>
      <c r="ARL19" s="1285"/>
      <c r="ARM19" s="1287"/>
      <c r="ARN19" s="1285">
        <v>3</v>
      </c>
      <c r="ARO19" s="1285"/>
      <c r="ARP19" s="1287"/>
      <c r="ARQ19" s="1285">
        <v>2</v>
      </c>
      <c r="ARR19" s="1285"/>
      <c r="ARS19" s="1287"/>
      <c r="ART19" s="1285">
        <v>2</v>
      </c>
      <c r="ARU19" s="1285"/>
      <c r="ARV19" s="1287"/>
      <c r="ARW19" s="1285"/>
      <c r="ARX19" s="1285"/>
      <c r="ARY19" s="1287"/>
      <c r="ARZ19" s="1285">
        <v>1</v>
      </c>
      <c r="ASA19" s="1285"/>
      <c r="ASB19" s="1287"/>
      <c r="ASC19" s="1285">
        <v>4</v>
      </c>
      <c r="ASD19" s="1285"/>
      <c r="ASE19" s="1285"/>
      <c r="ASF19" s="1286">
        <v>4</v>
      </c>
      <c r="ASG19" s="1285"/>
      <c r="ASH19" s="1287"/>
      <c r="ASI19" s="1285">
        <v>5</v>
      </c>
      <c r="ASJ19" s="1285"/>
      <c r="ASK19" s="1285"/>
      <c r="ASL19" s="1286">
        <v>2</v>
      </c>
      <c r="ASM19" s="1285"/>
      <c r="ASN19" s="1287"/>
      <c r="ASO19" s="1285">
        <v>1</v>
      </c>
      <c r="ASP19" s="1285"/>
      <c r="ASQ19" s="1285"/>
      <c r="ASR19" s="1365"/>
      <c r="ASS19" s="1366"/>
      <c r="AST19" s="1367"/>
      <c r="ASU19" s="1285">
        <v>0</v>
      </c>
      <c r="ASV19" s="1285"/>
      <c r="ASW19" s="1287"/>
      <c r="ASX19" s="1285">
        <v>0</v>
      </c>
      <c r="ASY19" s="1285"/>
      <c r="ASZ19" s="1287"/>
      <c r="ATA19" s="1285">
        <v>1</v>
      </c>
      <c r="ATB19" s="1285"/>
      <c r="ATC19" s="1287"/>
      <c r="ATD19" s="1285">
        <v>1</v>
      </c>
      <c r="ATE19" s="1285"/>
      <c r="ATF19" s="1285"/>
      <c r="ATG19" s="1286">
        <v>1</v>
      </c>
      <c r="ATH19" s="1285"/>
      <c r="ATI19" s="1287"/>
      <c r="ATJ19" s="1285">
        <v>1</v>
      </c>
      <c r="ATK19" s="1285"/>
      <c r="ATL19" s="1287"/>
      <c r="ATM19" s="1285"/>
      <c r="ATN19" s="1285"/>
      <c r="ATO19" s="1287"/>
      <c r="ATP19" s="1285">
        <v>1</v>
      </c>
      <c r="ATQ19" s="1285"/>
      <c r="ATR19" s="1287"/>
      <c r="ATS19" s="1285">
        <v>0</v>
      </c>
      <c r="ATT19" s="1285"/>
      <c r="ATU19" s="1287"/>
      <c r="ATV19" s="1285">
        <v>1</v>
      </c>
      <c r="ATW19" s="1285"/>
      <c r="ATX19" s="1287"/>
      <c r="ATY19" s="1285">
        <v>2</v>
      </c>
      <c r="ATZ19" s="1285"/>
      <c r="AUA19" s="1285"/>
      <c r="AUB19" s="1286">
        <v>2</v>
      </c>
      <c r="AUC19" s="1285"/>
      <c r="AUD19" s="1287"/>
      <c r="AUE19" s="1285">
        <v>2</v>
      </c>
      <c r="AUF19" s="1285"/>
      <c r="AUG19" s="1287"/>
      <c r="AUH19" s="1285"/>
      <c r="AUI19" s="1285"/>
      <c r="AUJ19" s="1287"/>
      <c r="AUK19" s="1285">
        <v>0</v>
      </c>
      <c r="AUL19" s="1285"/>
      <c r="AUM19" s="1285"/>
      <c r="AUN19" s="1286">
        <v>0</v>
      </c>
      <c r="AUO19" s="1285"/>
      <c r="AUP19" s="1285"/>
      <c r="AUQ19" s="1286">
        <v>0</v>
      </c>
      <c r="AUR19" s="1285"/>
      <c r="AUS19" s="1285"/>
      <c r="AUT19" s="1286">
        <v>1</v>
      </c>
      <c r="AUU19" s="1285"/>
      <c r="AUV19" s="1285"/>
      <c r="AUW19" s="1286">
        <v>1</v>
      </c>
      <c r="AUX19" s="1285"/>
      <c r="AUY19" s="1285"/>
      <c r="AUZ19" s="1286">
        <v>2</v>
      </c>
      <c r="AVA19" s="1285"/>
      <c r="AVB19" s="1285"/>
      <c r="AVC19" s="1286"/>
      <c r="AVD19" s="1285"/>
      <c r="AVE19" s="1285"/>
      <c r="AVF19" s="1286">
        <v>1</v>
      </c>
      <c r="AVG19" s="1285"/>
      <c r="AVH19" s="1285"/>
      <c r="AVI19" s="1286"/>
      <c r="AVJ19" s="1285"/>
      <c r="AVK19" s="1285"/>
      <c r="AVL19" s="1286">
        <v>2</v>
      </c>
      <c r="AVM19" s="1285"/>
      <c r="AVN19" s="1285"/>
      <c r="AVO19" s="1286">
        <v>2</v>
      </c>
      <c r="AVP19" s="1285"/>
      <c r="AVQ19" s="1285"/>
      <c r="AVR19" s="1286"/>
      <c r="AVS19" s="1285"/>
      <c r="AVT19" s="1285"/>
      <c r="AVU19" s="1286"/>
      <c r="AVV19" s="1285"/>
      <c r="AVW19" s="1285"/>
      <c r="AVX19" s="1286"/>
      <c r="AVY19" s="1285"/>
      <c r="AVZ19" s="1285"/>
      <c r="AWA19" s="1286"/>
      <c r="AWB19" s="1285"/>
      <c r="AWC19" s="1285"/>
      <c r="AWD19" s="1286"/>
      <c r="AWE19" s="1285"/>
      <c r="AWF19" s="1285"/>
      <c r="AWG19" s="1286"/>
      <c r="AWH19" s="1285"/>
      <c r="AWI19" s="1285"/>
      <c r="AWJ19" s="1286"/>
      <c r="AWK19" s="1285"/>
      <c r="AWL19" s="1285"/>
      <c r="AWM19" s="1286"/>
      <c r="AWN19" s="1285"/>
      <c r="AWO19" s="1287"/>
      <c r="AWP19" s="1285"/>
      <c r="AWQ19" s="1285"/>
      <c r="AWR19" s="1287"/>
      <c r="AWS19" s="1285"/>
      <c r="AWT19" s="1285"/>
      <c r="AWU19" s="1287"/>
      <c r="AWV19" s="1285"/>
      <c r="AWW19" s="1285"/>
      <c r="AWX19" s="1287"/>
      <c r="AWY19" s="1285"/>
      <c r="AWZ19" s="1285"/>
      <c r="AXA19" s="1285"/>
      <c r="AXB19" s="1286"/>
      <c r="AXC19" s="1285"/>
      <c r="AXD19" s="1287"/>
      <c r="AXE19" s="1285"/>
      <c r="AXF19" s="1285"/>
      <c r="AXG19" s="1285"/>
      <c r="AXH19" s="1286"/>
      <c r="AXI19" s="1285"/>
      <c r="AXJ19" s="1287"/>
      <c r="AXK19" s="1285"/>
      <c r="AXL19" s="1285"/>
      <c r="AXM19" s="1287"/>
      <c r="AXN19" s="1285"/>
      <c r="AXO19" s="1285"/>
      <c r="AXP19" s="1287"/>
      <c r="AXQ19" s="1285"/>
      <c r="AXR19" s="1285"/>
      <c r="AXS19" s="1287"/>
      <c r="AXT19" s="1285"/>
      <c r="AXU19" s="1285"/>
      <c r="AXV19" s="1285"/>
      <c r="AXW19" s="1286"/>
      <c r="AXX19" s="1285"/>
      <c r="AXY19" s="1287"/>
      <c r="AXZ19" s="1285"/>
      <c r="AYA19" s="1285"/>
      <c r="AYB19" s="1285"/>
      <c r="AYC19" s="1286"/>
      <c r="AYD19" s="1285"/>
      <c r="AYE19" s="1287"/>
      <c r="AYF19" s="1285"/>
      <c r="AYG19" s="1285"/>
      <c r="AYH19" s="1287"/>
      <c r="AYI19" s="1285"/>
      <c r="AYJ19" s="1285"/>
      <c r="AYK19" s="1287"/>
      <c r="AYL19" s="1285"/>
      <c r="AYM19" s="1285"/>
      <c r="AYN19" s="1287"/>
      <c r="AYO19" s="1285"/>
      <c r="AYP19" s="1285"/>
      <c r="AYQ19" s="1285"/>
      <c r="AYR19" s="1286"/>
      <c r="AYS19" s="1285"/>
      <c r="AYT19" s="1287"/>
      <c r="AYU19" s="1285"/>
      <c r="AYV19" s="1285"/>
      <c r="AYW19" s="1285"/>
      <c r="AYX19" s="1286"/>
      <c r="AYY19" s="1285"/>
      <c r="AYZ19" s="1287"/>
      <c r="AZA19" s="1285"/>
      <c r="AZB19" s="1285"/>
      <c r="AZC19" s="1287"/>
      <c r="AZD19" s="1285"/>
      <c r="AZE19" s="1285"/>
      <c r="AZF19" s="1287"/>
      <c r="AZG19" s="1285"/>
      <c r="AZH19" s="1285"/>
      <c r="AZI19" s="1287"/>
      <c r="AZJ19" s="1285"/>
      <c r="AZK19" s="1285"/>
      <c r="AZL19" s="1285"/>
      <c r="AZM19" s="1286"/>
      <c r="AZN19" s="1285"/>
      <c r="AZO19" s="1287"/>
      <c r="AZP19" s="1285"/>
      <c r="AZQ19" s="1285"/>
      <c r="AZR19" s="1285"/>
      <c r="AZS19" s="1286"/>
      <c r="AZT19" s="1285"/>
      <c r="AZU19" s="1287"/>
      <c r="AZV19" s="1285"/>
      <c r="AZW19" s="1285"/>
      <c r="AZX19" s="1287"/>
      <c r="AZY19" s="1285"/>
      <c r="AZZ19" s="1285"/>
      <c r="BAA19" s="1287"/>
      <c r="BAB19" s="1285"/>
      <c r="BAC19" s="1285"/>
      <c r="BAD19" s="1287"/>
      <c r="BAE19" s="1285"/>
      <c r="BAF19" s="1285"/>
      <c r="BAG19" s="1285"/>
      <c r="BAH19" s="1286"/>
      <c r="BAI19" s="1285"/>
      <c r="BAJ19" s="1287"/>
    </row>
    <row r="20" spans="1:1399">
      <c r="B20" s="5" t="s">
        <v>350</v>
      </c>
      <c r="C20" s="16"/>
      <c r="D20" s="16"/>
      <c r="E20" s="9" t="s">
        <v>349</v>
      </c>
      <c r="F20" s="1285">
        <v>4</v>
      </c>
      <c r="G20" s="1285"/>
      <c r="H20" s="1287"/>
      <c r="I20" s="1285">
        <v>4</v>
      </c>
      <c r="J20" s="1285"/>
      <c r="K20" s="1287"/>
      <c r="L20" s="1285" t="s">
        <v>20</v>
      </c>
      <c r="M20" s="1285"/>
      <c r="N20" s="1287"/>
      <c r="O20" s="1285">
        <v>3</v>
      </c>
      <c r="P20" s="1285"/>
      <c r="Q20" s="1287"/>
      <c r="R20" s="1285">
        <v>4</v>
      </c>
      <c r="S20" s="1285"/>
      <c r="T20" s="1287"/>
      <c r="U20" s="1285">
        <v>1</v>
      </c>
      <c r="V20" s="1285"/>
      <c r="W20" s="1287"/>
      <c r="X20" s="1285">
        <v>2</v>
      </c>
      <c r="Y20" s="1285"/>
      <c r="Z20" s="1287"/>
      <c r="AA20" s="1285">
        <v>2</v>
      </c>
      <c r="AB20" s="1285"/>
      <c r="AC20" s="1287"/>
      <c r="AD20" s="1285">
        <v>3</v>
      </c>
      <c r="AE20" s="1285"/>
      <c r="AF20" s="1287"/>
      <c r="AG20" s="1285" t="s">
        <v>20</v>
      </c>
      <c r="AH20" s="1285"/>
      <c r="AI20" s="1287"/>
      <c r="AJ20" s="1285">
        <v>3</v>
      </c>
      <c r="AK20" s="1285"/>
      <c r="AL20" s="1287"/>
      <c r="AM20" s="1285">
        <v>3</v>
      </c>
      <c r="AN20" s="1285"/>
      <c r="AO20" s="1287"/>
      <c r="AP20" s="1285">
        <v>3</v>
      </c>
      <c r="AQ20" s="1285"/>
      <c r="AR20" s="1287"/>
      <c r="AS20" s="1285">
        <v>5</v>
      </c>
      <c r="AT20" s="1285"/>
      <c r="AU20" s="1287"/>
      <c r="AV20" s="1285">
        <v>4</v>
      </c>
      <c r="AW20" s="1285"/>
      <c r="AX20" s="1287"/>
      <c r="AY20" s="1285">
        <v>1</v>
      </c>
      <c r="AZ20" s="1285"/>
      <c r="BA20" s="1287"/>
      <c r="BB20" s="1285" t="s">
        <v>20</v>
      </c>
      <c r="BC20" s="1285"/>
      <c r="BD20" s="1287"/>
      <c r="BE20" s="1285">
        <v>2</v>
      </c>
      <c r="BF20" s="1285"/>
      <c r="BG20" s="1287"/>
      <c r="BH20" s="1285">
        <v>0</v>
      </c>
      <c r="BI20" s="1285"/>
      <c r="BJ20" s="1287"/>
      <c r="BK20" s="1285">
        <v>5</v>
      </c>
      <c r="BL20" s="1285"/>
      <c r="BM20" s="1287"/>
      <c r="BN20" s="1285">
        <v>3</v>
      </c>
      <c r="BO20" s="1285"/>
      <c r="BP20" s="1287"/>
      <c r="BQ20" s="1285">
        <v>5</v>
      </c>
      <c r="BR20" s="1285"/>
      <c r="BS20" s="1287"/>
      <c r="BT20" s="1285">
        <v>4</v>
      </c>
      <c r="BU20" s="1285"/>
      <c r="BV20" s="1287"/>
      <c r="BW20" s="1285" t="s">
        <v>20</v>
      </c>
      <c r="BX20" s="1285"/>
      <c r="BY20" s="1287"/>
      <c r="BZ20" s="1285">
        <v>3</v>
      </c>
      <c r="CA20" s="1285"/>
      <c r="CB20" s="1287"/>
      <c r="CC20" s="1285">
        <v>4</v>
      </c>
      <c r="CD20" s="1285"/>
      <c r="CE20" s="1287"/>
      <c r="CF20" s="1285">
        <v>1</v>
      </c>
      <c r="CG20" s="1285"/>
      <c r="CH20" s="1287"/>
      <c r="CI20" s="1285">
        <v>9</v>
      </c>
      <c r="CJ20" s="1285"/>
      <c r="CK20" s="1287"/>
      <c r="CL20" s="1285">
        <v>5</v>
      </c>
      <c r="CM20" s="1285"/>
      <c r="CN20" s="1287"/>
      <c r="CO20" s="1285">
        <v>4</v>
      </c>
      <c r="CP20" s="1285"/>
      <c r="CQ20" s="1287"/>
      <c r="CR20" s="1285" t="s">
        <v>20</v>
      </c>
      <c r="CS20" s="1285"/>
      <c r="CT20" s="1287"/>
      <c r="CU20" s="1285">
        <v>0</v>
      </c>
      <c r="CV20" s="1285"/>
      <c r="CW20" s="1287"/>
      <c r="CX20" s="1285">
        <v>2</v>
      </c>
      <c r="CY20" s="1285"/>
      <c r="CZ20" s="1287"/>
      <c r="DA20" s="1285">
        <v>1</v>
      </c>
      <c r="DB20" s="1285"/>
      <c r="DC20" s="1287"/>
      <c r="DD20" s="1285">
        <v>3</v>
      </c>
      <c r="DE20" s="1285"/>
      <c r="DF20" s="1287"/>
      <c r="DG20" s="1285">
        <v>3</v>
      </c>
      <c r="DH20" s="1285"/>
      <c r="DI20" s="1287"/>
      <c r="DJ20" s="1285">
        <v>2</v>
      </c>
      <c r="DK20" s="1285"/>
      <c r="DL20" s="1287"/>
      <c r="DM20" s="1285" t="s">
        <v>20</v>
      </c>
      <c r="DN20" s="1285"/>
      <c r="DO20" s="1287"/>
      <c r="DP20" s="1285">
        <v>2</v>
      </c>
      <c r="DQ20" s="1285"/>
      <c r="DR20" s="1287"/>
      <c r="DS20" s="1285">
        <v>4</v>
      </c>
      <c r="DT20" s="1285"/>
      <c r="DU20" s="1287"/>
      <c r="DV20" s="1285">
        <v>4</v>
      </c>
      <c r="DW20" s="1285"/>
      <c r="DX20" s="1287"/>
      <c r="DY20" s="1285">
        <v>5</v>
      </c>
      <c r="DZ20" s="1285"/>
      <c r="EA20" s="1287"/>
      <c r="EB20" s="1285">
        <v>5</v>
      </c>
      <c r="EC20" s="1285"/>
      <c r="ED20" s="1287"/>
      <c r="EE20" s="1285">
        <v>4</v>
      </c>
      <c r="EF20" s="1285"/>
      <c r="EG20" s="1287"/>
      <c r="EH20" s="1285" t="s">
        <v>20</v>
      </c>
      <c r="EI20" s="1285"/>
      <c r="EJ20" s="1287"/>
      <c r="EK20" s="1285">
        <v>2</v>
      </c>
      <c r="EL20" s="1285"/>
      <c r="EM20" s="1287"/>
      <c r="EN20" s="1285">
        <v>4</v>
      </c>
      <c r="EO20" s="1285"/>
      <c r="EP20" s="1287"/>
      <c r="EQ20" s="1285">
        <v>5</v>
      </c>
      <c r="ER20" s="1285"/>
      <c r="ES20" s="1287"/>
      <c r="ET20" s="1285">
        <v>5</v>
      </c>
      <c r="EU20" s="1285"/>
      <c r="EV20" s="1287"/>
      <c r="EW20" s="1285">
        <v>5</v>
      </c>
      <c r="EX20" s="1285"/>
      <c r="EY20" s="1287"/>
      <c r="EZ20" s="1285">
        <v>14</v>
      </c>
      <c r="FA20" s="1285"/>
      <c r="FB20" s="1287"/>
      <c r="FC20" s="1285" t="s">
        <v>20</v>
      </c>
      <c r="FD20" s="1285"/>
      <c r="FE20" s="1287"/>
      <c r="FF20" s="1285">
        <v>3</v>
      </c>
      <c r="FG20" s="1285"/>
      <c r="FH20" s="1287"/>
      <c r="FI20" s="1285">
        <v>3</v>
      </c>
      <c r="FJ20" s="1285"/>
      <c r="FK20" s="1287"/>
      <c r="FL20" s="1285">
        <v>4</v>
      </c>
      <c r="FM20" s="1285"/>
      <c r="FN20" s="1287"/>
      <c r="FO20" s="1285">
        <v>4</v>
      </c>
      <c r="FP20" s="1285"/>
      <c r="FQ20" s="1287"/>
      <c r="FR20" s="1285">
        <v>4</v>
      </c>
      <c r="FS20" s="1285"/>
      <c r="FT20" s="1287"/>
      <c r="FU20" s="1285">
        <v>4</v>
      </c>
      <c r="FV20" s="1285"/>
      <c r="FW20" s="1287"/>
      <c r="FX20" s="1285" t="s">
        <v>20</v>
      </c>
      <c r="FY20" s="1285"/>
      <c r="FZ20" s="1287"/>
      <c r="GA20" s="1285">
        <v>4</v>
      </c>
      <c r="GB20" s="1285"/>
      <c r="GC20" s="1287"/>
      <c r="GD20" s="1285">
        <v>3</v>
      </c>
      <c r="GE20" s="1285"/>
      <c r="GF20" s="1287"/>
      <c r="GG20" s="1285">
        <v>5</v>
      </c>
      <c r="GH20" s="1285"/>
      <c r="GI20" s="1287"/>
      <c r="GJ20" s="1285">
        <v>2</v>
      </c>
      <c r="GK20" s="1285"/>
      <c r="GL20" s="1287"/>
      <c r="GM20" s="1285">
        <v>3</v>
      </c>
      <c r="GN20" s="1285"/>
      <c r="GO20" s="1287"/>
      <c r="GP20" s="1285">
        <v>2</v>
      </c>
      <c r="GQ20" s="1285"/>
      <c r="GR20" s="1287"/>
      <c r="GS20" s="1285" t="s">
        <v>20</v>
      </c>
      <c r="GT20" s="1285"/>
      <c r="GU20" s="1287"/>
      <c r="GV20" s="1285">
        <v>4</v>
      </c>
      <c r="GW20" s="1285"/>
      <c r="GX20" s="1287"/>
      <c r="GY20" s="1285">
        <v>3</v>
      </c>
      <c r="GZ20" s="1285"/>
      <c r="HA20" s="1287"/>
      <c r="HB20" s="1285">
        <v>3</v>
      </c>
      <c r="HC20" s="1285"/>
      <c r="HD20" s="1287"/>
      <c r="HE20" s="1285">
        <v>5</v>
      </c>
      <c r="HF20" s="1285"/>
      <c r="HG20" s="1287"/>
      <c r="HH20" s="1285">
        <v>2</v>
      </c>
      <c r="HI20" s="1285"/>
      <c r="HJ20" s="1287"/>
      <c r="HK20" s="1285">
        <v>4</v>
      </c>
      <c r="HL20" s="1285"/>
      <c r="HM20" s="1287"/>
      <c r="HN20" s="1285"/>
      <c r="HO20" s="1285"/>
      <c r="HP20" s="1287"/>
      <c r="HQ20" s="1285">
        <v>2</v>
      </c>
      <c r="HR20" s="1285"/>
      <c r="HS20" s="1287"/>
      <c r="HT20" s="1285">
        <v>1</v>
      </c>
      <c r="HU20" s="1285"/>
      <c r="HV20" s="1287"/>
      <c r="HW20" s="1285">
        <v>2</v>
      </c>
      <c r="HX20" s="1285"/>
      <c r="HY20" s="1287"/>
      <c r="HZ20" s="1285">
        <v>3</v>
      </c>
      <c r="IA20" s="1285"/>
      <c r="IB20" s="1287"/>
      <c r="IC20" s="1285"/>
      <c r="ID20" s="1285"/>
      <c r="IE20" s="1287"/>
      <c r="IF20" s="1285">
        <v>2</v>
      </c>
      <c r="IG20" s="1285"/>
      <c r="IH20" s="1287"/>
      <c r="II20" s="1285"/>
      <c r="IJ20" s="1285"/>
      <c r="IK20" s="1287"/>
      <c r="IL20" s="1285">
        <v>4</v>
      </c>
      <c r="IM20" s="1285"/>
      <c r="IN20" s="1287"/>
      <c r="IO20" s="1285">
        <v>4</v>
      </c>
      <c r="IP20" s="1285"/>
      <c r="IQ20" s="1287"/>
      <c r="IR20" s="1285">
        <v>2</v>
      </c>
      <c r="IS20" s="1285"/>
      <c r="IT20" s="1287"/>
      <c r="IU20" s="1285">
        <v>3</v>
      </c>
      <c r="IV20" s="1285"/>
      <c r="IW20" s="1287"/>
      <c r="IX20" s="1285">
        <v>2</v>
      </c>
      <c r="IY20" s="1285"/>
      <c r="IZ20" s="1287"/>
      <c r="JA20" s="1285">
        <v>1</v>
      </c>
      <c r="JB20" s="1285"/>
      <c r="JC20" s="1287"/>
      <c r="JD20" s="1285">
        <v>0</v>
      </c>
      <c r="JE20" s="1285"/>
      <c r="JF20" s="1287"/>
      <c r="JG20" s="1285">
        <v>2</v>
      </c>
      <c r="JH20" s="1285"/>
      <c r="JI20" s="1287"/>
      <c r="JJ20" s="1285">
        <v>3</v>
      </c>
      <c r="JK20" s="1285"/>
      <c r="JL20" s="1287"/>
      <c r="JM20" s="1285">
        <v>2</v>
      </c>
      <c r="JN20" s="1285"/>
      <c r="JO20" s="1287"/>
      <c r="JP20" s="1285"/>
      <c r="JQ20" s="1285"/>
      <c r="JR20" s="1287"/>
      <c r="JS20" s="1285">
        <v>3</v>
      </c>
      <c r="JT20" s="1285"/>
      <c r="JU20" s="1287"/>
      <c r="JV20" s="1285">
        <v>3</v>
      </c>
      <c r="JW20" s="1285"/>
      <c r="JX20" s="1287"/>
      <c r="JY20" s="1285"/>
      <c r="JZ20" s="1285"/>
      <c r="KA20" s="1287"/>
      <c r="KB20" s="1285">
        <v>2</v>
      </c>
      <c r="KC20" s="1285"/>
      <c r="KD20" s="1287"/>
      <c r="KE20" s="1285">
        <v>4</v>
      </c>
      <c r="KF20" s="1285"/>
      <c r="KG20" s="1287"/>
      <c r="KH20" s="1285">
        <v>3</v>
      </c>
      <c r="KI20" s="1285"/>
      <c r="KJ20" s="1287"/>
      <c r="KK20" s="1285">
        <v>4</v>
      </c>
      <c r="KL20" s="1285"/>
      <c r="KM20" s="1287"/>
      <c r="KN20" s="1285">
        <v>3</v>
      </c>
      <c r="KO20" s="1285"/>
      <c r="KP20" s="1287"/>
      <c r="KQ20" s="1285">
        <v>3</v>
      </c>
      <c r="KR20" s="1285"/>
      <c r="KS20" s="1287"/>
      <c r="KT20" s="1285"/>
      <c r="KU20" s="1285"/>
      <c r="KV20" s="1287"/>
      <c r="KW20" s="1285">
        <f>4+1</f>
        <v>5</v>
      </c>
      <c r="KX20" s="1285"/>
      <c r="KY20" s="1287"/>
      <c r="KZ20" s="1285">
        <v>3</v>
      </c>
      <c r="LA20" s="1285"/>
      <c r="LB20" s="1287"/>
      <c r="LC20" s="1285">
        <v>3</v>
      </c>
      <c r="LD20" s="1285"/>
      <c r="LE20" s="1287"/>
      <c r="LF20" s="1285">
        <v>5</v>
      </c>
      <c r="LG20" s="1285"/>
      <c r="LH20" s="1287"/>
      <c r="LI20" s="1285">
        <v>2</v>
      </c>
      <c r="LJ20" s="1285"/>
      <c r="LK20" s="1287"/>
      <c r="LL20" s="1285">
        <v>4</v>
      </c>
      <c r="LM20" s="1285"/>
      <c r="LN20" s="1287"/>
      <c r="LO20" s="1285"/>
      <c r="LP20" s="1285"/>
      <c r="LQ20" s="1287"/>
      <c r="LR20" s="1285">
        <v>2</v>
      </c>
      <c r="LS20" s="1285"/>
      <c r="LT20" s="1287"/>
      <c r="LU20" s="1285">
        <v>3</v>
      </c>
      <c r="LV20" s="1285"/>
      <c r="LW20" s="1287"/>
      <c r="LX20" s="1285">
        <v>3</v>
      </c>
      <c r="LY20" s="1285"/>
      <c r="LZ20" s="1287"/>
      <c r="MA20" s="1285">
        <v>3</v>
      </c>
      <c r="MB20" s="1285"/>
      <c r="MC20" s="1287"/>
      <c r="MD20" s="1285">
        <v>4</v>
      </c>
      <c r="ME20" s="1285"/>
      <c r="MF20" s="1287"/>
      <c r="MG20" s="1285">
        <v>1</v>
      </c>
      <c r="MH20" s="1285"/>
      <c r="MI20" s="1287"/>
      <c r="MJ20" s="1285"/>
      <c r="MK20" s="1285"/>
      <c r="ML20" s="1287"/>
      <c r="MM20" s="1285">
        <v>3</v>
      </c>
      <c r="MN20" s="1285"/>
      <c r="MO20" s="1287"/>
      <c r="MP20" s="1285">
        <v>4</v>
      </c>
      <c r="MQ20" s="1285"/>
      <c r="MR20" s="1287"/>
      <c r="MS20" s="1285">
        <v>3</v>
      </c>
      <c r="MT20" s="1285"/>
      <c r="MU20" s="1287"/>
      <c r="MV20" s="1285">
        <v>3</v>
      </c>
      <c r="MW20" s="1285"/>
      <c r="MX20" s="1287"/>
      <c r="MY20" s="1285">
        <v>3</v>
      </c>
      <c r="MZ20" s="1285"/>
      <c r="NA20" s="1287"/>
      <c r="NB20" s="1285">
        <v>2</v>
      </c>
      <c r="NC20" s="1285"/>
      <c r="ND20" s="1287"/>
      <c r="NE20" s="1285" t="s">
        <v>20</v>
      </c>
      <c r="NF20" s="1285"/>
      <c r="NG20" s="1287"/>
      <c r="NH20" s="1285">
        <v>2</v>
      </c>
      <c r="NI20" s="1285"/>
      <c r="NJ20" s="1287"/>
      <c r="NK20" s="1285">
        <v>2</v>
      </c>
      <c r="NL20" s="1285"/>
      <c r="NM20" s="1287"/>
      <c r="NN20" s="1285">
        <v>2</v>
      </c>
      <c r="NO20" s="1285"/>
      <c r="NP20" s="1287"/>
      <c r="NQ20" s="1285">
        <v>2</v>
      </c>
      <c r="NR20" s="1285"/>
      <c r="NS20" s="1287"/>
      <c r="NT20" s="1285">
        <v>3</v>
      </c>
      <c r="NU20" s="1285"/>
      <c r="NV20" s="1287"/>
      <c r="NW20" s="1285">
        <v>2</v>
      </c>
      <c r="NX20" s="1285"/>
      <c r="NY20" s="1287"/>
      <c r="NZ20" s="1285" t="s">
        <v>20</v>
      </c>
      <c r="OA20" s="1285"/>
      <c r="OB20" s="1287"/>
      <c r="OC20" s="1285">
        <v>2</v>
      </c>
      <c r="OD20" s="1285"/>
      <c r="OE20" s="1287"/>
      <c r="OF20" s="1285">
        <v>2</v>
      </c>
      <c r="OG20" s="1285"/>
      <c r="OH20" s="1287"/>
      <c r="OI20" s="1285">
        <v>2</v>
      </c>
      <c r="OJ20" s="1285"/>
      <c r="OK20" s="1287"/>
      <c r="OL20" s="1285">
        <v>2</v>
      </c>
      <c r="OM20" s="1285"/>
      <c r="ON20" s="1287"/>
      <c r="OO20" s="1285">
        <v>2</v>
      </c>
      <c r="OP20" s="1285"/>
      <c r="OQ20" s="1287"/>
      <c r="OR20" s="1285">
        <v>3</v>
      </c>
      <c r="OS20" s="1285"/>
      <c r="OT20" s="1287"/>
      <c r="OU20" s="1285"/>
      <c r="OV20" s="1285"/>
      <c r="OW20" s="1287"/>
      <c r="OX20" s="1285"/>
      <c r="OY20" s="1285"/>
      <c r="OZ20" s="1287"/>
      <c r="PA20" s="1285">
        <v>4</v>
      </c>
      <c r="PB20" s="1285"/>
      <c r="PC20" s="1287"/>
      <c r="PD20" s="1285">
        <v>2</v>
      </c>
      <c r="PE20" s="1285"/>
      <c r="PF20" s="1287"/>
      <c r="PG20" s="1285">
        <v>5</v>
      </c>
      <c r="PH20" s="1285"/>
      <c r="PI20" s="1287"/>
      <c r="PJ20" s="1285"/>
      <c r="PK20" s="1285"/>
      <c r="PL20" s="1287"/>
      <c r="PM20" s="1285">
        <v>6</v>
      </c>
      <c r="PN20" s="1285"/>
      <c r="PO20" s="1287"/>
      <c r="PP20" s="1285"/>
      <c r="PQ20" s="1285"/>
      <c r="PR20" s="1287"/>
      <c r="PS20" s="1285">
        <v>1</v>
      </c>
      <c r="PT20" s="1285"/>
      <c r="PU20" s="1287"/>
      <c r="PV20" s="1285">
        <v>2</v>
      </c>
      <c r="PW20" s="1285"/>
      <c r="PX20" s="1287"/>
      <c r="PY20" s="1285">
        <v>3</v>
      </c>
      <c r="PZ20" s="1285"/>
      <c r="QA20" s="1287"/>
      <c r="QB20" s="1285">
        <v>1</v>
      </c>
      <c r="QC20" s="1285"/>
      <c r="QD20" s="1287"/>
      <c r="QE20" s="1285">
        <v>4</v>
      </c>
      <c r="QF20" s="1285"/>
      <c r="QG20" s="1287"/>
      <c r="QH20" s="1285">
        <v>3</v>
      </c>
      <c r="QI20" s="1285"/>
      <c r="QJ20" s="1287"/>
      <c r="QK20" s="1285"/>
      <c r="QL20" s="1285"/>
      <c r="QM20" s="1287"/>
      <c r="QN20" s="1285">
        <v>1</v>
      </c>
      <c r="QO20" s="1285"/>
      <c r="QP20" s="1287"/>
      <c r="QQ20" s="1285">
        <v>4</v>
      </c>
      <c r="QR20" s="1285"/>
      <c r="QS20" s="1287"/>
      <c r="QT20" s="1285">
        <v>3</v>
      </c>
      <c r="QU20" s="1285"/>
      <c r="QV20" s="1287"/>
      <c r="QW20" s="1285">
        <v>3</v>
      </c>
      <c r="QX20" s="1285"/>
      <c r="QY20" s="1287"/>
      <c r="QZ20" s="1285">
        <v>3</v>
      </c>
      <c r="RA20" s="1285"/>
      <c r="RB20" s="1287"/>
      <c r="RC20" s="1285">
        <v>3</v>
      </c>
      <c r="RD20" s="1285"/>
      <c r="RE20" s="1287"/>
      <c r="RF20" s="1285"/>
      <c r="RG20" s="1285"/>
      <c r="RH20" s="1287"/>
      <c r="RI20" s="1285">
        <v>2</v>
      </c>
      <c r="RJ20" s="1285"/>
      <c r="RK20" s="1287"/>
      <c r="RL20" s="1285">
        <v>3</v>
      </c>
      <c r="RM20" s="1285"/>
      <c r="RN20" s="1287"/>
      <c r="RO20" s="1285">
        <v>1</v>
      </c>
      <c r="RP20" s="1285"/>
      <c r="RQ20" s="1287"/>
      <c r="RR20" s="1285">
        <v>3</v>
      </c>
      <c r="RS20" s="1285"/>
      <c r="RT20" s="1287"/>
      <c r="RU20" s="1285">
        <v>4</v>
      </c>
      <c r="RV20" s="1285"/>
      <c r="RW20" s="1287"/>
      <c r="RX20" s="1285">
        <v>2</v>
      </c>
      <c r="RY20" s="1285"/>
      <c r="RZ20" s="1287"/>
      <c r="SA20" s="1285"/>
      <c r="SB20" s="1285"/>
      <c r="SC20" s="1287"/>
      <c r="SD20" s="1285">
        <v>3</v>
      </c>
      <c r="SE20" s="1285"/>
      <c r="SF20" s="1287"/>
      <c r="SG20" s="1285">
        <v>2</v>
      </c>
      <c r="SH20" s="1285"/>
      <c r="SI20" s="1287"/>
      <c r="SJ20" s="1285">
        <v>4</v>
      </c>
      <c r="SK20" s="1285"/>
      <c r="SL20" s="1287"/>
      <c r="SM20" s="1285">
        <v>2</v>
      </c>
      <c r="SN20" s="1285"/>
      <c r="SO20" s="1287"/>
      <c r="SP20" s="1285">
        <v>4</v>
      </c>
      <c r="SQ20" s="1285"/>
      <c r="SR20" s="1287"/>
      <c r="SS20" s="1285">
        <v>3</v>
      </c>
      <c r="ST20" s="1285"/>
      <c r="SU20" s="1287"/>
      <c r="SV20" s="1285"/>
      <c r="SW20" s="1285"/>
      <c r="SX20" s="1287"/>
      <c r="SY20" s="1285">
        <v>5</v>
      </c>
      <c r="SZ20" s="1285"/>
      <c r="TA20" s="1287"/>
      <c r="TB20" s="1285">
        <v>3</v>
      </c>
      <c r="TC20" s="1285"/>
      <c r="TD20" s="1287"/>
      <c r="TE20" s="1285">
        <v>7</v>
      </c>
      <c r="TF20" s="1285"/>
      <c r="TG20" s="1287"/>
      <c r="TH20" s="1285">
        <v>2</v>
      </c>
      <c r="TI20" s="1285"/>
      <c r="TJ20" s="1287"/>
      <c r="TK20" s="1285">
        <v>4</v>
      </c>
      <c r="TL20" s="1285"/>
      <c r="TM20" s="1287"/>
      <c r="TN20" s="1285">
        <v>6</v>
      </c>
      <c r="TO20" s="1285"/>
      <c r="TP20" s="1287"/>
      <c r="TQ20" s="1285"/>
      <c r="TR20" s="1285"/>
      <c r="TS20" s="1287"/>
      <c r="TT20" s="1285">
        <v>3</v>
      </c>
      <c r="TU20" s="1285"/>
      <c r="TV20" s="1287"/>
      <c r="TW20" s="1285">
        <v>5</v>
      </c>
      <c r="TX20" s="1285"/>
      <c r="TY20" s="1287"/>
      <c r="TZ20" s="1285">
        <v>3</v>
      </c>
      <c r="UA20" s="1285"/>
      <c r="UB20" s="1287"/>
      <c r="UC20" s="1285">
        <v>5</v>
      </c>
      <c r="UD20" s="1285"/>
      <c r="UE20" s="1287"/>
      <c r="UF20" s="1285">
        <v>2</v>
      </c>
      <c r="UG20" s="1285"/>
      <c r="UH20" s="1287"/>
      <c r="UI20" s="1285">
        <v>2</v>
      </c>
      <c r="UJ20" s="1285"/>
      <c r="UK20" s="1287"/>
      <c r="UL20" s="1285"/>
      <c r="UM20" s="1285"/>
      <c r="UN20" s="1287"/>
      <c r="UO20" s="1285">
        <v>2</v>
      </c>
      <c r="UP20" s="1285"/>
      <c r="UQ20" s="1287"/>
      <c r="UR20" s="1285">
        <v>7</v>
      </c>
      <c r="US20" s="1285"/>
      <c r="UT20" s="1287"/>
      <c r="UU20" s="1285">
        <v>5</v>
      </c>
      <c r="UV20" s="1285"/>
      <c r="UW20" s="1287"/>
      <c r="UX20" s="1285">
        <v>3</v>
      </c>
      <c r="UY20" s="1285"/>
      <c r="UZ20" s="1287"/>
      <c r="VA20" s="1285">
        <v>3</v>
      </c>
      <c r="VB20" s="1285"/>
      <c r="VC20" s="1287"/>
      <c r="VD20" s="1285">
        <v>2</v>
      </c>
      <c r="VE20" s="1285"/>
      <c r="VF20" s="1287"/>
      <c r="VG20" s="1285"/>
      <c r="VH20" s="1285"/>
      <c r="VI20" s="1287"/>
      <c r="VJ20" s="1285">
        <v>4</v>
      </c>
      <c r="VK20" s="1285"/>
      <c r="VL20" s="1287"/>
      <c r="VM20" s="1285">
        <v>4</v>
      </c>
      <c r="VN20" s="1285"/>
      <c r="VO20" s="1287"/>
      <c r="VP20" s="1285">
        <v>4</v>
      </c>
      <c r="VQ20" s="1285"/>
      <c r="VR20" s="1287"/>
      <c r="VS20" s="1285">
        <v>5</v>
      </c>
      <c r="VT20" s="1285"/>
      <c r="VU20" s="1287"/>
      <c r="VV20" s="1285">
        <v>3</v>
      </c>
      <c r="VW20" s="1285"/>
      <c r="VX20" s="1287"/>
      <c r="VY20" s="1285">
        <v>2</v>
      </c>
      <c r="VZ20" s="1285"/>
      <c r="WA20" s="1287"/>
      <c r="WB20" s="1285"/>
      <c r="WC20" s="1285"/>
      <c r="WD20" s="1287"/>
      <c r="WE20" s="1285">
        <v>2</v>
      </c>
      <c r="WF20" s="1285"/>
      <c r="WG20" s="1287"/>
      <c r="WH20" s="1285">
        <v>4</v>
      </c>
      <c r="WI20" s="1285"/>
      <c r="WJ20" s="1287"/>
      <c r="WK20" s="1285">
        <v>5</v>
      </c>
      <c r="WL20" s="1285"/>
      <c r="WM20" s="1287"/>
      <c r="WN20" s="1285">
        <v>3</v>
      </c>
      <c r="WO20" s="1285"/>
      <c r="WP20" s="1287"/>
      <c r="WQ20" s="1285">
        <v>2</v>
      </c>
      <c r="WR20" s="1285"/>
      <c r="WS20" s="1287"/>
      <c r="WT20" s="1285">
        <v>3</v>
      </c>
      <c r="WU20" s="1285"/>
      <c r="WV20" s="1287"/>
      <c r="WW20" s="1285"/>
      <c r="WX20" s="1285"/>
      <c r="WY20" s="1287"/>
      <c r="WZ20" s="1285">
        <v>3</v>
      </c>
      <c r="XA20" s="1285"/>
      <c r="XB20" s="1287"/>
      <c r="XC20" s="1285">
        <v>2</v>
      </c>
      <c r="XD20" s="1285"/>
      <c r="XE20" s="1287"/>
      <c r="XF20" s="1285">
        <v>3</v>
      </c>
      <c r="XG20" s="1285"/>
      <c r="XH20" s="1287"/>
      <c r="XI20" s="1285">
        <v>5</v>
      </c>
      <c r="XJ20" s="1285"/>
      <c r="XK20" s="1287"/>
      <c r="XL20" s="1285">
        <v>5</v>
      </c>
      <c r="XM20" s="1285"/>
      <c r="XN20" s="1287"/>
      <c r="XO20" s="1387">
        <v>2</v>
      </c>
      <c r="XP20" s="1388"/>
      <c r="XQ20" s="1389"/>
      <c r="XR20" s="1285"/>
      <c r="XS20" s="1285"/>
      <c r="XT20" s="1287"/>
      <c r="XU20" s="1285">
        <v>4</v>
      </c>
      <c r="XV20" s="1285"/>
      <c r="XW20" s="1287"/>
      <c r="XX20" s="1285">
        <v>1</v>
      </c>
      <c r="XY20" s="1285"/>
      <c r="XZ20" s="1287"/>
      <c r="YA20" s="1285">
        <v>6</v>
      </c>
      <c r="YB20" s="1285"/>
      <c r="YC20" s="1287"/>
      <c r="YD20" s="1285">
        <v>4</v>
      </c>
      <c r="YE20" s="1285"/>
      <c r="YF20" s="1287"/>
      <c r="YG20" s="1285">
        <v>2</v>
      </c>
      <c r="YH20" s="1285"/>
      <c r="YI20" s="1287"/>
      <c r="YJ20" s="1285">
        <v>2</v>
      </c>
      <c r="YK20" s="1285"/>
      <c r="YL20" s="1287"/>
      <c r="YM20" s="1285"/>
      <c r="YN20" s="1285"/>
      <c r="YO20" s="1287"/>
      <c r="YP20" s="1285">
        <v>4</v>
      </c>
      <c r="YQ20" s="1285"/>
      <c r="YR20" s="1287"/>
      <c r="YS20" s="1285">
        <v>2</v>
      </c>
      <c r="YT20" s="1285"/>
      <c r="YU20" s="1287"/>
      <c r="YV20" s="1285">
        <v>3</v>
      </c>
      <c r="YW20" s="1285"/>
      <c r="YX20" s="1287"/>
      <c r="YY20" s="1285">
        <v>3</v>
      </c>
      <c r="YZ20" s="1285"/>
      <c r="ZA20" s="1287"/>
      <c r="ZB20" s="1285">
        <v>3</v>
      </c>
      <c r="ZC20" s="1285"/>
      <c r="ZD20" s="1287"/>
      <c r="ZE20" s="1285">
        <v>4</v>
      </c>
      <c r="ZF20" s="1285"/>
      <c r="ZG20" s="1287"/>
      <c r="ZH20" s="1285"/>
      <c r="ZI20" s="1285"/>
      <c r="ZJ20" s="1287"/>
      <c r="ZK20" s="1285">
        <v>1</v>
      </c>
      <c r="ZL20" s="1285"/>
      <c r="ZM20" s="1287"/>
      <c r="ZN20" s="1285">
        <v>2</v>
      </c>
      <c r="ZO20" s="1285"/>
      <c r="ZP20" s="1287"/>
      <c r="ZQ20" s="1285">
        <v>5</v>
      </c>
      <c r="ZR20" s="1285"/>
      <c r="ZS20" s="1287"/>
      <c r="ZT20" s="1285">
        <v>3</v>
      </c>
      <c r="ZU20" s="1285"/>
      <c r="ZV20" s="1287"/>
      <c r="ZW20" s="1285">
        <v>3</v>
      </c>
      <c r="ZX20" s="1285"/>
      <c r="ZY20" s="1287"/>
      <c r="ZZ20" s="1285">
        <v>3</v>
      </c>
      <c r="AAA20" s="1285"/>
      <c r="AAB20" s="1287"/>
      <c r="AAC20" s="1285"/>
      <c r="AAD20" s="1285"/>
      <c r="AAE20" s="1287"/>
      <c r="AAF20" s="1285">
        <v>4</v>
      </c>
      <c r="AAG20" s="1285"/>
      <c r="AAH20" s="1287"/>
      <c r="AAI20" s="1285">
        <v>2</v>
      </c>
      <c r="AAJ20" s="1285"/>
      <c r="AAK20" s="1287"/>
      <c r="AAL20" s="1285">
        <v>2</v>
      </c>
      <c r="AAM20" s="1285"/>
      <c r="AAN20" s="1287"/>
      <c r="AAO20" s="1285">
        <v>2</v>
      </c>
      <c r="AAP20" s="1285"/>
      <c r="AAQ20" s="1287"/>
      <c r="AAR20" s="1285">
        <v>4</v>
      </c>
      <c r="AAS20" s="1285"/>
      <c r="AAT20" s="1287"/>
      <c r="AAU20" s="1285">
        <v>4</v>
      </c>
      <c r="AAV20" s="1285"/>
      <c r="AAW20" s="1287"/>
      <c r="AAX20" s="1285"/>
      <c r="AAY20" s="1285"/>
      <c r="AAZ20" s="1287"/>
      <c r="ABA20" s="1285">
        <v>2</v>
      </c>
      <c r="ABB20" s="1285"/>
      <c r="ABC20" s="1287"/>
      <c r="ABD20" s="1285">
        <v>2</v>
      </c>
      <c r="ABE20" s="1285"/>
      <c r="ABF20" s="1287"/>
      <c r="ABG20" s="1285">
        <v>5</v>
      </c>
      <c r="ABH20" s="1285"/>
      <c r="ABI20" s="1287"/>
      <c r="ABJ20" s="1285">
        <v>6</v>
      </c>
      <c r="ABK20" s="1285"/>
      <c r="ABL20" s="1287"/>
      <c r="ABM20" s="1285">
        <v>1</v>
      </c>
      <c r="ABN20" s="1285"/>
      <c r="ABO20" s="1287"/>
      <c r="ABP20" s="1285">
        <v>2</v>
      </c>
      <c r="ABQ20" s="1285"/>
      <c r="ABR20" s="1287"/>
      <c r="ABS20" s="1285">
        <v>2</v>
      </c>
      <c r="ABT20" s="1285"/>
      <c r="ABU20" s="1287"/>
      <c r="ABV20" s="1285">
        <v>2</v>
      </c>
      <c r="ABW20" s="1285"/>
      <c r="ABX20" s="1287"/>
      <c r="ABY20" s="1285">
        <v>4</v>
      </c>
      <c r="ABZ20" s="1285"/>
      <c r="ACA20" s="1287"/>
      <c r="ACB20" s="1285">
        <v>4</v>
      </c>
      <c r="ACC20" s="1285"/>
      <c r="ACD20" s="1287"/>
      <c r="ACE20" s="1285">
        <v>6</v>
      </c>
      <c r="ACF20" s="1285"/>
      <c r="ACG20" s="1287"/>
      <c r="ACH20" s="1285"/>
      <c r="ACI20" s="1285"/>
      <c r="ACJ20" s="1287"/>
      <c r="ACK20" s="1285">
        <v>4</v>
      </c>
      <c r="ACL20" s="1285"/>
      <c r="ACM20" s="1287"/>
      <c r="ACN20" s="1285"/>
      <c r="ACO20" s="1285"/>
      <c r="ACP20" s="1287"/>
      <c r="ACQ20" s="1285">
        <v>2</v>
      </c>
      <c r="ACR20" s="1285"/>
      <c r="ACS20" s="1287"/>
      <c r="ACT20" s="1285">
        <v>3</v>
      </c>
      <c r="ACU20" s="1285"/>
      <c r="ACV20" s="1287"/>
      <c r="ACW20" s="1285">
        <v>3</v>
      </c>
      <c r="ACX20" s="1285"/>
      <c r="ACY20" s="1287"/>
      <c r="ACZ20" s="1285">
        <v>5</v>
      </c>
      <c r="ADA20" s="1285"/>
      <c r="ADB20" s="1287"/>
      <c r="ADC20" s="1285">
        <v>2</v>
      </c>
      <c r="ADD20" s="1285"/>
      <c r="ADE20" s="1287"/>
      <c r="ADF20" s="1285">
        <v>4</v>
      </c>
      <c r="ADG20" s="1285"/>
      <c r="ADH20" s="1287"/>
      <c r="ADI20" s="1285"/>
      <c r="ADJ20" s="1285"/>
      <c r="ADK20" s="1287"/>
      <c r="ADL20" s="1285">
        <v>3</v>
      </c>
      <c r="ADM20" s="1285"/>
      <c r="ADN20" s="1287"/>
      <c r="ADO20" s="1285">
        <v>5</v>
      </c>
      <c r="ADP20" s="1285"/>
      <c r="ADQ20" s="1287"/>
      <c r="ADR20" s="1285">
        <v>2</v>
      </c>
      <c r="ADS20" s="1285"/>
      <c r="ADT20" s="1287"/>
      <c r="ADU20" s="1285">
        <v>1</v>
      </c>
      <c r="ADV20" s="1285"/>
      <c r="ADW20" s="1287"/>
      <c r="ADX20" s="1285">
        <v>5</v>
      </c>
      <c r="ADY20" s="1285"/>
      <c r="ADZ20" s="1287"/>
      <c r="AEA20" s="1285">
        <v>3</v>
      </c>
      <c r="AEB20" s="1285"/>
      <c r="AEC20" s="1287"/>
      <c r="AED20" s="1285"/>
      <c r="AEE20" s="1285"/>
      <c r="AEF20" s="1287"/>
      <c r="AEG20" s="1285">
        <v>2</v>
      </c>
      <c r="AEH20" s="1285"/>
      <c r="AEI20" s="1287"/>
      <c r="AEJ20" s="1285">
        <v>2</v>
      </c>
      <c r="AEK20" s="1285"/>
      <c r="AEL20" s="1287"/>
      <c r="AEM20" s="1285">
        <v>3</v>
      </c>
      <c r="AEN20" s="1285"/>
      <c r="AEO20" s="1287"/>
      <c r="AEP20" s="1285">
        <v>1</v>
      </c>
      <c r="AEQ20" s="1285"/>
      <c r="AER20" s="1287"/>
      <c r="AES20" s="1285">
        <v>3</v>
      </c>
      <c r="AET20" s="1285"/>
      <c r="AEU20" s="1287"/>
      <c r="AEV20" s="1285">
        <v>2</v>
      </c>
      <c r="AEW20" s="1285"/>
      <c r="AEX20" s="1287"/>
      <c r="AEY20" s="1285"/>
      <c r="AEZ20" s="1285"/>
      <c r="AFA20" s="1287"/>
      <c r="AFB20" s="1285">
        <v>3</v>
      </c>
      <c r="AFC20" s="1285"/>
      <c r="AFD20" s="1287"/>
      <c r="AFE20" s="1285">
        <v>1</v>
      </c>
      <c r="AFF20" s="1285"/>
      <c r="AFG20" s="1287"/>
      <c r="AFH20" s="1285">
        <v>3</v>
      </c>
      <c r="AFI20" s="1285"/>
      <c r="AFJ20" s="1287"/>
      <c r="AFK20" s="1285">
        <v>5</v>
      </c>
      <c r="AFL20" s="1285"/>
      <c r="AFM20" s="1287"/>
      <c r="AFN20" s="1285">
        <v>2</v>
      </c>
      <c r="AFO20" s="1285"/>
      <c r="AFP20" s="1287"/>
      <c r="AFQ20" s="1286">
        <v>2</v>
      </c>
      <c r="AFR20" s="1285"/>
      <c r="AFS20" s="1287"/>
      <c r="AFT20" s="1285"/>
      <c r="AFU20" s="1285"/>
      <c r="AFV20" s="1287"/>
      <c r="AFW20" s="1285">
        <v>5</v>
      </c>
      <c r="AFX20" s="1285"/>
      <c r="AFY20" s="1287"/>
      <c r="AFZ20" s="1285">
        <v>3</v>
      </c>
      <c r="AGA20" s="1285"/>
      <c r="AGB20" s="1287"/>
      <c r="AGC20" s="1285">
        <v>3</v>
      </c>
      <c r="AGD20" s="1285"/>
      <c r="AGE20" s="1287"/>
      <c r="AGF20" s="1285">
        <v>4</v>
      </c>
      <c r="AGG20" s="1285"/>
      <c r="AGH20" s="1287"/>
      <c r="AGI20" s="1285">
        <v>3</v>
      </c>
      <c r="AGJ20" s="1285"/>
      <c r="AGK20" s="1287"/>
      <c r="AGL20" s="1285">
        <v>3</v>
      </c>
      <c r="AGM20" s="1285"/>
      <c r="AGN20" s="1287"/>
      <c r="AGO20" s="1285">
        <v>1</v>
      </c>
      <c r="AGP20" s="1285"/>
      <c r="AGQ20" s="1287"/>
      <c r="AGR20" s="1285">
        <v>1</v>
      </c>
      <c r="AGS20" s="1285"/>
      <c r="AGT20" s="1287"/>
      <c r="AGU20" s="1285">
        <v>3</v>
      </c>
      <c r="AGV20" s="1285"/>
      <c r="AGW20" s="1287"/>
      <c r="AGX20" s="1285">
        <v>5</v>
      </c>
      <c r="AGY20" s="1285"/>
      <c r="AGZ20" s="1287"/>
      <c r="AHA20" s="1285">
        <v>3</v>
      </c>
      <c r="AHB20" s="1285"/>
      <c r="AHC20" s="1287"/>
      <c r="AHD20" s="1285">
        <v>3</v>
      </c>
      <c r="AHE20" s="1285"/>
      <c r="AHF20" s="1287"/>
      <c r="AHG20" s="1285">
        <v>6</v>
      </c>
      <c r="AHH20" s="1285"/>
      <c r="AHI20" s="1287"/>
      <c r="AHJ20" s="1285"/>
      <c r="AHK20" s="1285"/>
      <c r="AHL20" s="1287"/>
      <c r="AHM20" s="1285"/>
      <c r="AHN20" s="1285"/>
      <c r="AHO20" s="1287"/>
      <c r="AHP20" s="1285">
        <v>4</v>
      </c>
      <c r="AHQ20" s="1285"/>
      <c r="AHR20" s="1287"/>
      <c r="AHS20" s="1285">
        <v>3</v>
      </c>
      <c r="AHT20" s="1285"/>
      <c r="AHU20" s="1287"/>
      <c r="AHV20" s="1285">
        <v>2</v>
      </c>
      <c r="AHW20" s="1285"/>
      <c r="AHX20" s="1287"/>
      <c r="AHY20" s="1285">
        <v>2</v>
      </c>
      <c r="AHZ20" s="1285"/>
      <c r="AIA20" s="1287"/>
      <c r="AIB20" s="1285">
        <v>3</v>
      </c>
      <c r="AIC20" s="1285"/>
      <c r="AID20" s="1287"/>
      <c r="AIE20" s="1286" t="s">
        <v>20</v>
      </c>
      <c r="AIF20" s="1285"/>
      <c r="AIG20" s="1287"/>
      <c r="AIH20" s="1285">
        <v>2</v>
      </c>
      <c r="AII20" s="1285"/>
      <c r="AIJ20" s="1287"/>
      <c r="AIK20" s="1285">
        <v>1</v>
      </c>
      <c r="AIL20" s="1285"/>
      <c r="AIM20" s="1287"/>
      <c r="AIN20" s="1285">
        <v>4</v>
      </c>
      <c r="AIO20" s="1285"/>
      <c r="AIP20" s="1287"/>
      <c r="AIQ20" s="1285">
        <v>3</v>
      </c>
      <c r="AIR20" s="1285"/>
      <c r="AIS20" s="1285"/>
      <c r="AIT20" s="1286">
        <v>4</v>
      </c>
      <c r="AIU20" s="1285"/>
      <c r="AIV20" s="1287"/>
      <c r="AIW20" s="1285">
        <v>3</v>
      </c>
      <c r="AIX20" s="1285"/>
      <c r="AIY20" s="1285"/>
      <c r="AIZ20" s="1286"/>
      <c r="AJA20" s="1285"/>
      <c r="AJB20" s="1287"/>
      <c r="AJC20" s="1285"/>
      <c r="AJD20" s="1285"/>
      <c r="AJE20" s="1287"/>
      <c r="AJF20" s="1285">
        <v>3</v>
      </c>
      <c r="AJG20" s="1285"/>
      <c r="AJH20" s="1287"/>
      <c r="AJI20" s="1285">
        <v>5</v>
      </c>
      <c r="AJJ20" s="1285"/>
      <c r="AJK20" s="1287"/>
      <c r="AJL20" s="1285">
        <v>5</v>
      </c>
      <c r="AJM20" s="1285"/>
      <c r="AJN20" s="1285"/>
      <c r="AJO20" s="1286">
        <v>3</v>
      </c>
      <c r="AJP20" s="1285"/>
      <c r="AJQ20" s="1287"/>
      <c r="AJR20" s="1285">
        <v>7</v>
      </c>
      <c r="AJS20" s="1285"/>
      <c r="AJT20" s="1285"/>
      <c r="AJU20" s="1286"/>
      <c r="AJV20" s="1285"/>
      <c r="AJW20" s="1287"/>
      <c r="AJX20" s="1286">
        <v>3</v>
      </c>
      <c r="AJY20" s="1285"/>
      <c r="AJZ20" s="1287"/>
      <c r="AKA20" s="1285">
        <v>4</v>
      </c>
      <c r="AKB20" s="1285"/>
      <c r="AKC20" s="1287"/>
      <c r="AKD20" s="1285">
        <v>3</v>
      </c>
      <c r="AKE20" s="1285"/>
      <c r="AKF20" s="1287"/>
      <c r="AKG20" s="1285">
        <v>5</v>
      </c>
      <c r="AKH20" s="1285"/>
      <c r="AKI20" s="1285"/>
      <c r="AKJ20" s="1286">
        <v>5</v>
      </c>
      <c r="AKK20" s="1285"/>
      <c r="AKL20" s="1287"/>
      <c r="AKM20" s="1285">
        <v>2</v>
      </c>
      <c r="AKN20" s="1285"/>
      <c r="AKO20" s="1285"/>
      <c r="AKP20" s="1286"/>
      <c r="AKQ20" s="1285"/>
      <c r="AKR20" s="1287"/>
      <c r="AKS20" s="1285">
        <v>0</v>
      </c>
      <c r="AKT20" s="1285"/>
      <c r="AKU20" s="1287"/>
      <c r="AKV20" s="1285">
        <v>1</v>
      </c>
      <c r="AKW20" s="1285"/>
      <c r="AKX20" s="1287"/>
      <c r="AKY20" s="1285">
        <v>4</v>
      </c>
      <c r="AKZ20" s="1285"/>
      <c r="ALA20" s="1287"/>
      <c r="ALB20" s="1285"/>
      <c r="ALC20" s="1285"/>
      <c r="ALD20" s="1285"/>
      <c r="ALE20" s="1286">
        <v>3</v>
      </c>
      <c r="ALF20" s="1285"/>
      <c r="ALG20" s="1287"/>
      <c r="ALH20" s="1285">
        <v>4</v>
      </c>
      <c r="ALI20" s="1285"/>
      <c r="ALJ20" s="1285"/>
      <c r="ALK20" s="1286"/>
      <c r="ALL20" s="1285"/>
      <c r="ALM20" s="1287"/>
      <c r="ALN20" s="1285">
        <v>5</v>
      </c>
      <c r="ALO20" s="1285"/>
      <c r="ALP20" s="1287"/>
      <c r="ALQ20" s="1285">
        <v>4</v>
      </c>
      <c r="ALR20" s="1285"/>
      <c r="ALS20" s="1287"/>
      <c r="ALT20" s="1285">
        <v>3</v>
      </c>
      <c r="ALU20" s="1285"/>
      <c r="ALV20" s="1287"/>
      <c r="ALW20" s="1285">
        <v>3</v>
      </c>
      <c r="ALX20" s="1285"/>
      <c r="ALY20" s="1285"/>
      <c r="ALZ20" s="1286"/>
      <c r="AMA20" s="1285"/>
      <c r="AMB20" s="1287"/>
      <c r="AMC20" s="1285">
        <v>5</v>
      </c>
      <c r="AMD20" s="1285"/>
      <c r="AME20" s="1285"/>
      <c r="AMF20" s="1286"/>
      <c r="AMG20" s="1285"/>
      <c r="AMH20" s="1287"/>
      <c r="AMI20" s="1285">
        <v>4</v>
      </c>
      <c r="AMJ20" s="1285"/>
      <c r="AMK20" s="1287"/>
      <c r="AML20" s="1285">
        <v>2</v>
      </c>
      <c r="AMM20" s="1285"/>
      <c r="AMN20" s="1287"/>
      <c r="AMO20" s="1285">
        <v>3</v>
      </c>
      <c r="AMP20" s="1285"/>
      <c r="AMQ20" s="1287"/>
      <c r="AMR20" s="1285">
        <v>7</v>
      </c>
      <c r="AMS20" s="1285"/>
      <c r="AMT20" s="1285"/>
      <c r="AMU20" s="1286">
        <v>4</v>
      </c>
      <c r="AMV20" s="1285"/>
      <c r="AMW20" s="1287"/>
      <c r="AMX20" s="1285">
        <v>3</v>
      </c>
      <c r="AMY20" s="1285"/>
      <c r="AMZ20" s="1285"/>
      <c r="ANA20" s="1286"/>
      <c r="ANB20" s="1285"/>
      <c r="ANC20" s="1287"/>
      <c r="AND20" s="1285">
        <v>4</v>
      </c>
      <c r="ANE20" s="1285"/>
      <c r="ANF20" s="1287"/>
      <c r="ANG20" s="1285">
        <v>4</v>
      </c>
      <c r="ANH20" s="1285"/>
      <c r="ANI20" s="1287"/>
      <c r="ANJ20" s="1285">
        <v>3</v>
      </c>
      <c r="ANK20" s="1285"/>
      <c r="ANL20" s="1287"/>
      <c r="ANM20" s="1285">
        <v>6</v>
      </c>
      <c r="ANN20" s="1285"/>
      <c r="ANO20" s="1285"/>
      <c r="ANP20" s="1286">
        <v>2</v>
      </c>
      <c r="ANQ20" s="1285"/>
      <c r="ANR20" s="1287"/>
      <c r="ANS20" s="1285">
        <v>5</v>
      </c>
      <c r="ANT20" s="1285"/>
      <c r="ANU20" s="1285"/>
      <c r="ANV20" s="1286"/>
      <c r="ANW20" s="1285"/>
      <c r="ANX20" s="1287"/>
      <c r="ANY20" s="1285">
        <v>2</v>
      </c>
      <c r="ANZ20" s="1285"/>
      <c r="AOA20" s="1287"/>
      <c r="AOB20" s="1285">
        <v>3</v>
      </c>
      <c r="AOC20" s="1285"/>
      <c r="AOD20" s="1287"/>
      <c r="AOE20" s="1285">
        <v>3</v>
      </c>
      <c r="AOF20" s="1285"/>
      <c r="AOG20" s="1287"/>
      <c r="AOH20" s="1285">
        <v>4</v>
      </c>
      <c r="AOI20" s="1285"/>
      <c r="AOJ20" s="1285"/>
      <c r="AOK20" s="1286">
        <v>2</v>
      </c>
      <c r="AOL20" s="1285"/>
      <c r="AOM20" s="1287"/>
      <c r="AON20" s="1285">
        <v>2</v>
      </c>
      <c r="AOO20" s="1285"/>
      <c r="AOP20" s="1285"/>
      <c r="AOQ20" s="1286"/>
      <c r="AOR20" s="1285"/>
      <c r="AOS20" s="1287"/>
      <c r="AOT20" s="1285">
        <v>1</v>
      </c>
      <c r="AOU20" s="1285"/>
      <c r="AOV20" s="1287"/>
      <c r="AOW20" s="1285">
        <v>3</v>
      </c>
      <c r="AOX20" s="1285"/>
      <c r="AOY20" s="1287"/>
      <c r="AOZ20" s="1285">
        <v>1</v>
      </c>
      <c r="APA20" s="1285"/>
      <c r="APB20" s="1287"/>
      <c r="APC20" s="1285">
        <v>2</v>
      </c>
      <c r="APD20" s="1285"/>
      <c r="APE20" s="1285"/>
      <c r="APF20" s="1286">
        <v>3</v>
      </c>
      <c r="APG20" s="1285"/>
      <c r="APH20" s="1287"/>
      <c r="API20" s="1285">
        <v>3</v>
      </c>
      <c r="APJ20" s="1285"/>
      <c r="APK20" s="1285"/>
      <c r="APL20" s="1286"/>
      <c r="APM20" s="1285"/>
      <c r="APN20" s="1287"/>
      <c r="APO20" s="1285">
        <v>1</v>
      </c>
      <c r="APP20" s="1285"/>
      <c r="APQ20" s="1287"/>
      <c r="APR20" s="1285">
        <v>2</v>
      </c>
      <c r="APS20" s="1285"/>
      <c r="APT20" s="1287"/>
      <c r="APU20" s="1285">
        <v>6</v>
      </c>
      <c r="APV20" s="1285"/>
      <c r="APW20" s="1287"/>
      <c r="APX20" s="1285">
        <v>4</v>
      </c>
      <c r="APY20" s="1285"/>
      <c r="APZ20" s="1285"/>
      <c r="AQA20" s="1286">
        <v>5</v>
      </c>
      <c r="AQB20" s="1285"/>
      <c r="AQC20" s="1287"/>
      <c r="AQD20" s="1285">
        <v>3</v>
      </c>
      <c r="AQE20" s="1285"/>
      <c r="AQF20" s="1287"/>
      <c r="AQG20" s="1285"/>
      <c r="AQH20" s="1285"/>
      <c r="AQI20" s="1287"/>
      <c r="AQJ20" s="1285">
        <v>1</v>
      </c>
      <c r="AQK20" s="1285"/>
      <c r="AQL20" s="1287"/>
      <c r="AQM20" s="1285">
        <v>3</v>
      </c>
      <c r="AQN20" s="1285"/>
      <c r="AQO20" s="1287"/>
      <c r="AQP20" s="1285">
        <v>4</v>
      </c>
      <c r="AQQ20" s="1285"/>
      <c r="AQR20" s="1285"/>
      <c r="AQS20" s="1286">
        <v>1</v>
      </c>
      <c r="AQT20" s="1285"/>
      <c r="AQU20" s="1287"/>
      <c r="AQV20" s="1285">
        <v>4</v>
      </c>
      <c r="AQW20" s="1285"/>
      <c r="AQX20" s="1287"/>
      <c r="AQY20" s="1285">
        <v>2</v>
      </c>
      <c r="AQZ20" s="1285"/>
      <c r="ARA20" s="1287"/>
      <c r="ARB20" s="1285"/>
      <c r="ARC20" s="1285"/>
      <c r="ARD20" s="1287"/>
      <c r="ARE20" s="1285"/>
      <c r="ARF20" s="1285"/>
      <c r="ARG20" s="1287"/>
      <c r="ARH20" s="1285"/>
      <c r="ARI20" s="1285"/>
      <c r="ARJ20" s="1287"/>
      <c r="ARK20" s="1285">
        <v>1</v>
      </c>
      <c r="ARL20" s="1285"/>
      <c r="ARM20" s="1287"/>
      <c r="ARN20" s="1285">
        <v>3</v>
      </c>
      <c r="ARO20" s="1285"/>
      <c r="ARP20" s="1287"/>
      <c r="ARQ20" s="1285">
        <v>2</v>
      </c>
      <c r="ARR20" s="1285"/>
      <c r="ARS20" s="1287"/>
      <c r="ART20" s="1285">
        <v>4</v>
      </c>
      <c r="ARU20" s="1285"/>
      <c r="ARV20" s="1287"/>
      <c r="ARW20" s="1285"/>
      <c r="ARX20" s="1285"/>
      <c r="ARY20" s="1287"/>
      <c r="ARZ20" s="1285">
        <v>1</v>
      </c>
      <c r="ASA20" s="1285"/>
      <c r="ASB20" s="1287"/>
      <c r="ASC20" s="1285">
        <v>2</v>
      </c>
      <c r="ASD20" s="1285"/>
      <c r="ASE20" s="1285"/>
      <c r="ASF20" s="1286">
        <v>2</v>
      </c>
      <c r="ASG20" s="1285"/>
      <c r="ASH20" s="1287"/>
      <c r="ASI20" s="1285">
        <v>0</v>
      </c>
      <c r="ASJ20" s="1285"/>
      <c r="ASK20" s="1285"/>
      <c r="ASL20" s="1286">
        <v>1</v>
      </c>
      <c r="ASM20" s="1285"/>
      <c r="ASN20" s="1287"/>
      <c r="ASO20" s="1285">
        <v>1</v>
      </c>
      <c r="ASP20" s="1285"/>
      <c r="ASQ20" s="1285"/>
      <c r="ASR20" s="1286"/>
      <c r="ASS20" s="1285"/>
      <c r="AST20" s="1287"/>
      <c r="ASU20" s="1285">
        <v>1</v>
      </c>
      <c r="ASV20" s="1285"/>
      <c r="ASW20" s="1287"/>
      <c r="ASX20" s="1285">
        <v>1</v>
      </c>
      <c r="ASY20" s="1285"/>
      <c r="ASZ20" s="1287"/>
      <c r="ATA20" s="1285">
        <v>3</v>
      </c>
      <c r="ATB20" s="1285"/>
      <c r="ATC20" s="1287"/>
      <c r="ATD20" s="1285">
        <v>2</v>
      </c>
      <c r="ATE20" s="1285"/>
      <c r="ATF20" s="1285"/>
      <c r="ATG20" s="1286">
        <v>2</v>
      </c>
      <c r="ATH20" s="1285"/>
      <c r="ATI20" s="1287"/>
      <c r="ATJ20" s="1285">
        <v>3</v>
      </c>
      <c r="ATK20" s="1285"/>
      <c r="ATL20" s="1287"/>
      <c r="ATM20" s="1285"/>
      <c r="ATN20" s="1285"/>
      <c r="ATO20" s="1287"/>
      <c r="ATP20" s="1285">
        <v>1</v>
      </c>
      <c r="ATQ20" s="1285"/>
      <c r="ATR20" s="1287"/>
      <c r="ATS20" s="1285">
        <v>1</v>
      </c>
      <c r="ATT20" s="1285"/>
      <c r="ATU20" s="1287"/>
      <c r="ATV20" s="1285">
        <v>2</v>
      </c>
      <c r="ATW20" s="1285"/>
      <c r="ATX20" s="1287"/>
      <c r="ATY20" s="1285">
        <v>1</v>
      </c>
      <c r="ATZ20" s="1285"/>
      <c r="AUA20" s="1285"/>
      <c r="AUB20" s="1286">
        <v>2</v>
      </c>
      <c r="AUC20" s="1285"/>
      <c r="AUD20" s="1287"/>
      <c r="AUE20" s="1285">
        <v>1</v>
      </c>
      <c r="AUF20" s="1285"/>
      <c r="AUG20" s="1287"/>
      <c r="AUH20" s="1285"/>
      <c r="AUI20" s="1285"/>
      <c r="AUJ20" s="1287"/>
      <c r="AUK20" s="1285">
        <v>2</v>
      </c>
      <c r="AUL20" s="1285"/>
      <c r="AUM20" s="1285"/>
      <c r="AUN20" s="1286">
        <v>3</v>
      </c>
      <c r="AUO20" s="1285"/>
      <c r="AUP20" s="1285"/>
      <c r="AUQ20" s="1286">
        <v>3</v>
      </c>
      <c r="AUR20" s="1285"/>
      <c r="AUS20" s="1285"/>
      <c r="AUT20" s="1286">
        <v>3</v>
      </c>
      <c r="AUU20" s="1285"/>
      <c r="AUV20" s="1285"/>
      <c r="AUW20" s="1286">
        <v>2</v>
      </c>
      <c r="AUX20" s="1285"/>
      <c r="AUY20" s="1285"/>
      <c r="AUZ20" s="1286">
        <v>1</v>
      </c>
      <c r="AVA20" s="1285"/>
      <c r="AVB20" s="1285"/>
      <c r="AVC20" s="1286"/>
      <c r="AVD20" s="1285"/>
      <c r="AVE20" s="1285"/>
      <c r="AVF20" s="1286">
        <v>1</v>
      </c>
      <c r="AVG20" s="1285"/>
      <c r="AVH20" s="1285"/>
      <c r="AVI20" s="1286"/>
      <c r="AVJ20" s="1285"/>
      <c r="AVK20" s="1285"/>
      <c r="AVL20" s="1286">
        <v>1</v>
      </c>
      <c r="AVM20" s="1285"/>
      <c r="AVN20" s="1285"/>
      <c r="AVO20" s="1286">
        <v>2</v>
      </c>
      <c r="AVP20" s="1285"/>
      <c r="AVQ20" s="1285"/>
      <c r="AVR20" s="1286"/>
      <c r="AVS20" s="1285"/>
      <c r="AVT20" s="1285"/>
      <c r="AVU20" s="1286"/>
      <c r="AVV20" s="1285"/>
      <c r="AVW20" s="1285"/>
      <c r="AVX20" s="1286"/>
      <c r="AVY20" s="1285"/>
      <c r="AVZ20" s="1285"/>
      <c r="AWA20" s="1286"/>
      <c r="AWB20" s="1285"/>
      <c r="AWC20" s="1285"/>
      <c r="AWD20" s="1286"/>
      <c r="AWE20" s="1285"/>
      <c r="AWF20" s="1285"/>
      <c r="AWG20" s="1286"/>
      <c r="AWH20" s="1285"/>
      <c r="AWI20" s="1285"/>
      <c r="AWJ20" s="1286"/>
      <c r="AWK20" s="1285"/>
      <c r="AWL20" s="1285"/>
      <c r="AWM20" s="1286"/>
      <c r="AWN20" s="1285"/>
      <c r="AWO20" s="1287"/>
      <c r="AWP20" s="1285"/>
      <c r="AWQ20" s="1285"/>
      <c r="AWR20" s="1287"/>
      <c r="AWS20" s="1285"/>
      <c r="AWT20" s="1285"/>
      <c r="AWU20" s="1287"/>
      <c r="AWV20" s="1285"/>
      <c r="AWW20" s="1285"/>
      <c r="AWX20" s="1287"/>
      <c r="AWY20" s="1285"/>
      <c r="AWZ20" s="1285"/>
      <c r="AXA20" s="1285"/>
      <c r="AXB20" s="1286"/>
      <c r="AXC20" s="1285"/>
      <c r="AXD20" s="1287"/>
      <c r="AXE20" s="1285"/>
      <c r="AXF20" s="1285"/>
      <c r="AXG20" s="1285"/>
      <c r="AXH20" s="1286"/>
      <c r="AXI20" s="1285"/>
      <c r="AXJ20" s="1287"/>
      <c r="AXK20" s="1285"/>
      <c r="AXL20" s="1285"/>
      <c r="AXM20" s="1287"/>
      <c r="AXN20" s="1285"/>
      <c r="AXO20" s="1285"/>
      <c r="AXP20" s="1287"/>
      <c r="AXQ20" s="1285"/>
      <c r="AXR20" s="1285"/>
      <c r="AXS20" s="1287"/>
      <c r="AXT20" s="1285"/>
      <c r="AXU20" s="1285"/>
      <c r="AXV20" s="1285"/>
      <c r="AXW20" s="1286"/>
      <c r="AXX20" s="1285"/>
      <c r="AXY20" s="1287"/>
      <c r="AXZ20" s="1285"/>
      <c r="AYA20" s="1285"/>
      <c r="AYB20" s="1285"/>
      <c r="AYC20" s="1286"/>
      <c r="AYD20" s="1285"/>
      <c r="AYE20" s="1287"/>
      <c r="AYF20" s="1285"/>
      <c r="AYG20" s="1285"/>
      <c r="AYH20" s="1287"/>
      <c r="AYI20" s="1285"/>
      <c r="AYJ20" s="1285"/>
      <c r="AYK20" s="1287"/>
      <c r="AYL20" s="1285"/>
      <c r="AYM20" s="1285"/>
      <c r="AYN20" s="1287"/>
      <c r="AYO20" s="1285"/>
      <c r="AYP20" s="1285"/>
      <c r="AYQ20" s="1285"/>
      <c r="AYR20" s="1286"/>
      <c r="AYS20" s="1285"/>
      <c r="AYT20" s="1287"/>
      <c r="AYU20" s="1285"/>
      <c r="AYV20" s="1285"/>
      <c r="AYW20" s="1285"/>
      <c r="AYX20" s="1286"/>
      <c r="AYY20" s="1285"/>
      <c r="AYZ20" s="1287"/>
      <c r="AZA20" s="1285"/>
      <c r="AZB20" s="1285"/>
      <c r="AZC20" s="1287"/>
      <c r="AZD20" s="1285"/>
      <c r="AZE20" s="1285"/>
      <c r="AZF20" s="1287"/>
      <c r="AZG20" s="1285"/>
      <c r="AZH20" s="1285"/>
      <c r="AZI20" s="1287"/>
      <c r="AZJ20" s="1285"/>
      <c r="AZK20" s="1285"/>
      <c r="AZL20" s="1285"/>
      <c r="AZM20" s="1286"/>
      <c r="AZN20" s="1285"/>
      <c r="AZO20" s="1287"/>
      <c r="AZP20" s="1285"/>
      <c r="AZQ20" s="1285"/>
      <c r="AZR20" s="1285"/>
      <c r="AZS20" s="1286"/>
      <c r="AZT20" s="1285"/>
      <c r="AZU20" s="1287"/>
      <c r="AZV20" s="1285"/>
      <c r="AZW20" s="1285"/>
      <c r="AZX20" s="1287"/>
      <c r="AZY20" s="1285"/>
      <c r="AZZ20" s="1285"/>
      <c r="BAA20" s="1287"/>
      <c r="BAB20" s="1285"/>
      <c r="BAC20" s="1285"/>
      <c r="BAD20" s="1287"/>
      <c r="BAE20" s="1285"/>
      <c r="BAF20" s="1285"/>
      <c r="BAG20" s="1285"/>
      <c r="BAH20" s="1286"/>
      <c r="BAI20" s="1285"/>
      <c r="BAJ20" s="1287"/>
    </row>
    <row r="21" spans="1:1399">
      <c r="B21" s="5" t="s">
        <v>351</v>
      </c>
      <c r="C21" s="16"/>
      <c r="D21" s="16"/>
      <c r="E21" s="9" t="s">
        <v>349</v>
      </c>
      <c r="F21" s="1285">
        <v>16</v>
      </c>
      <c r="G21" s="1285"/>
      <c r="H21" s="1287"/>
      <c r="I21" s="1285">
        <v>15</v>
      </c>
      <c r="J21" s="1285"/>
      <c r="K21" s="1287"/>
      <c r="L21" s="1285" t="s">
        <v>20</v>
      </c>
      <c r="M21" s="1285"/>
      <c r="N21" s="1287"/>
      <c r="O21" s="1285">
        <v>14</v>
      </c>
      <c r="P21" s="1285"/>
      <c r="Q21" s="1287"/>
      <c r="R21" s="1285">
        <v>11</v>
      </c>
      <c r="S21" s="1285"/>
      <c r="T21" s="1287"/>
      <c r="U21" s="1285">
        <v>14</v>
      </c>
      <c r="V21" s="1285"/>
      <c r="W21" s="1287"/>
      <c r="X21" s="1285">
        <v>13</v>
      </c>
      <c r="Y21" s="1285"/>
      <c r="Z21" s="1287"/>
      <c r="AA21" s="1285">
        <v>16</v>
      </c>
      <c r="AB21" s="1285"/>
      <c r="AC21" s="1287"/>
      <c r="AD21" s="1285">
        <v>13</v>
      </c>
      <c r="AE21" s="1285"/>
      <c r="AF21" s="1287"/>
      <c r="AG21" s="1285" t="s">
        <v>20</v>
      </c>
      <c r="AH21" s="1285"/>
      <c r="AI21" s="1287"/>
      <c r="AJ21" s="1285">
        <v>12</v>
      </c>
      <c r="AK21" s="1285"/>
      <c r="AL21" s="1287"/>
      <c r="AM21" s="1285">
        <v>13</v>
      </c>
      <c r="AN21" s="1285"/>
      <c r="AO21" s="1287"/>
      <c r="AP21" s="1285">
        <v>11</v>
      </c>
      <c r="AQ21" s="1285"/>
      <c r="AR21" s="1287"/>
      <c r="AS21" s="1285">
        <v>19</v>
      </c>
      <c r="AT21" s="1285"/>
      <c r="AU21" s="1287"/>
      <c r="AV21" s="1285">
        <v>17</v>
      </c>
      <c r="AW21" s="1285"/>
      <c r="AX21" s="1287"/>
      <c r="AY21" s="1285">
        <v>14</v>
      </c>
      <c r="AZ21" s="1285"/>
      <c r="BA21" s="1287"/>
      <c r="BB21" s="1285" t="s">
        <v>20</v>
      </c>
      <c r="BC21" s="1285"/>
      <c r="BD21" s="1287"/>
      <c r="BE21" s="1285">
        <v>9</v>
      </c>
      <c r="BF21" s="1285"/>
      <c r="BG21" s="1287"/>
      <c r="BH21" s="1285">
        <v>15</v>
      </c>
      <c r="BI21" s="1285"/>
      <c r="BJ21" s="1287"/>
      <c r="BK21" s="1285">
        <v>15</v>
      </c>
      <c r="BL21" s="1285"/>
      <c r="BM21" s="1287"/>
      <c r="BN21" s="1285">
        <v>17</v>
      </c>
      <c r="BO21" s="1285"/>
      <c r="BP21" s="1287"/>
      <c r="BQ21" s="1285">
        <v>15</v>
      </c>
      <c r="BR21" s="1285"/>
      <c r="BS21" s="1287"/>
      <c r="BT21" s="1285">
        <v>14</v>
      </c>
      <c r="BU21" s="1285"/>
      <c r="BV21" s="1287"/>
      <c r="BW21" s="1285" t="s">
        <v>20</v>
      </c>
      <c r="BX21" s="1285"/>
      <c r="BY21" s="1287"/>
      <c r="BZ21" s="1285">
        <v>16</v>
      </c>
      <c r="CA21" s="1285"/>
      <c r="CB21" s="1287"/>
      <c r="CC21" s="1285">
        <v>16</v>
      </c>
      <c r="CD21" s="1285"/>
      <c r="CE21" s="1287"/>
      <c r="CF21" s="1285">
        <v>17</v>
      </c>
      <c r="CG21" s="1285"/>
      <c r="CH21" s="1287"/>
      <c r="CI21" s="1285">
        <v>15</v>
      </c>
      <c r="CJ21" s="1285"/>
      <c r="CK21" s="1287"/>
      <c r="CL21" s="1285">
        <v>15</v>
      </c>
      <c r="CM21" s="1285"/>
      <c r="CN21" s="1287"/>
      <c r="CO21" s="1285">
        <v>16</v>
      </c>
      <c r="CP21" s="1285"/>
      <c r="CQ21" s="1287"/>
      <c r="CR21" s="1285" t="s">
        <v>20</v>
      </c>
      <c r="CS21" s="1285"/>
      <c r="CT21" s="1287"/>
      <c r="CU21" s="1285">
        <v>0</v>
      </c>
      <c r="CV21" s="1285"/>
      <c r="CW21" s="1287"/>
      <c r="CX21" s="1285">
        <v>5</v>
      </c>
      <c r="CY21" s="1285"/>
      <c r="CZ21" s="1287"/>
      <c r="DA21" s="1285">
        <v>11</v>
      </c>
      <c r="DB21" s="1285"/>
      <c r="DC21" s="1287"/>
      <c r="DD21" s="1285">
        <v>10</v>
      </c>
      <c r="DE21" s="1285"/>
      <c r="DF21" s="1287"/>
      <c r="DG21" s="1285">
        <v>15</v>
      </c>
      <c r="DH21" s="1285"/>
      <c r="DI21" s="1287"/>
      <c r="DJ21" s="1285">
        <v>14</v>
      </c>
      <c r="DK21" s="1285"/>
      <c r="DL21" s="1287"/>
      <c r="DM21" s="1285" t="s">
        <v>20</v>
      </c>
      <c r="DN21" s="1285"/>
      <c r="DO21" s="1287"/>
      <c r="DP21" s="1285">
        <v>13</v>
      </c>
      <c r="DQ21" s="1285"/>
      <c r="DR21" s="1287"/>
      <c r="DS21" s="1285">
        <v>11</v>
      </c>
      <c r="DT21" s="1285"/>
      <c r="DU21" s="1287"/>
      <c r="DV21" s="1285">
        <v>11</v>
      </c>
      <c r="DW21" s="1285"/>
      <c r="DX21" s="1287"/>
      <c r="DY21" s="1285">
        <v>14</v>
      </c>
      <c r="DZ21" s="1285"/>
      <c r="EA21" s="1287"/>
      <c r="EB21" s="1285">
        <v>16</v>
      </c>
      <c r="EC21" s="1285"/>
      <c r="ED21" s="1287"/>
      <c r="EE21" s="1285">
        <v>6</v>
      </c>
      <c r="EF21" s="1285"/>
      <c r="EG21" s="1287"/>
      <c r="EH21" s="1285" t="s">
        <v>20</v>
      </c>
      <c r="EI21" s="1285"/>
      <c r="EJ21" s="1287"/>
      <c r="EK21" s="1285">
        <v>8</v>
      </c>
      <c r="EL21" s="1285"/>
      <c r="EM21" s="1287"/>
      <c r="EN21" s="1285">
        <v>18</v>
      </c>
      <c r="EO21" s="1285"/>
      <c r="EP21" s="1287"/>
      <c r="EQ21" s="1285">
        <v>13</v>
      </c>
      <c r="ER21" s="1285"/>
      <c r="ES21" s="1287"/>
      <c r="ET21" s="1285">
        <v>15</v>
      </c>
      <c r="EU21" s="1285"/>
      <c r="EV21" s="1287"/>
      <c r="EW21" s="1285">
        <v>14</v>
      </c>
      <c r="EX21" s="1285"/>
      <c r="EY21" s="1287"/>
      <c r="EZ21" s="1285">
        <v>3</v>
      </c>
      <c r="FA21" s="1285"/>
      <c r="FB21" s="1287"/>
      <c r="FC21" s="1285" t="s">
        <v>20</v>
      </c>
      <c r="FD21" s="1285"/>
      <c r="FE21" s="1287"/>
      <c r="FF21" s="1285" t="s">
        <v>20</v>
      </c>
      <c r="FG21" s="1285"/>
      <c r="FH21" s="1287"/>
      <c r="FI21" s="1285">
        <v>11</v>
      </c>
      <c r="FJ21" s="1285"/>
      <c r="FK21" s="1287"/>
      <c r="FL21" s="1285">
        <v>13</v>
      </c>
      <c r="FM21" s="1285"/>
      <c r="FN21" s="1287"/>
      <c r="FO21" s="1285">
        <v>17</v>
      </c>
      <c r="FP21" s="1285"/>
      <c r="FQ21" s="1287"/>
      <c r="FR21" s="1285">
        <v>15</v>
      </c>
      <c r="FS21" s="1285"/>
      <c r="FT21" s="1287"/>
      <c r="FU21" s="1285">
        <v>11</v>
      </c>
      <c r="FV21" s="1285"/>
      <c r="FW21" s="1287"/>
      <c r="FX21" s="1285" t="s">
        <v>20</v>
      </c>
      <c r="FY21" s="1285"/>
      <c r="FZ21" s="1287"/>
      <c r="GA21" s="1285">
        <v>14</v>
      </c>
      <c r="GB21" s="1285"/>
      <c r="GC21" s="1287"/>
      <c r="GD21" s="1285">
        <v>18</v>
      </c>
      <c r="GE21" s="1285"/>
      <c r="GF21" s="1287"/>
      <c r="GG21" s="1285">
        <v>0</v>
      </c>
      <c r="GH21" s="1285"/>
      <c r="GI21" s="1287"/>
      <c r="GJ21" s="1285">
        <v>21</v>
      </c>
      <c r="GK21" s="1285"/>
      <c r="GL21" s="1287"/>
      <c r="GM21" s="1285">
        <v>18</v>
      </c>
      <c r="GN21" s="1285"/>
      <c r="GO21" s="1287"/>
      <c r="GP21" s="1285">
        <v>11</v>
      </c>
      <c r="GQ21" s="1285"/>
      <c r="GR21" s="1287"/>
      <c r="GS21" s="1285" t="s">
        <v>20</v>
      </c>
      <c r="GT21" s="1285"/>
      <c r="GU21" s="1287"/>
      <c r="GV21" s="1285">
        <v>11</v>
      </c>
      <c r="GW21" s="1285"/>
      <c r="GX21" s="1287"/>
      <c r="GY21" s="1285">
        <v>16</v>
      </c>
      <c r="GZ21" s="1285"/>
      <c r="HA21" s="1287"/>
      <c r="HB21" s="1285">
        <v>14</v>
      </c>
      <c r="HC21" s="1285"/>
      <c r="HD21" s="1287"/>
      <c r="HE21" s="1285">
        <v>13</v>
      </c>
      <c r="HF21" s="1285"/>
      <c r="HG21" s="1287"/>
      <c r="HH21" s="1285">
        <v>16</v>
      </c>
      <c r="HI21" s="1285"/>
      <c r="HJ21" s="1287"/>
      <c r="HK21" s="1285">
        <v>12</v>
      </c>
      <c r="HL21" s="1285"/>
      <c r="HM21" s="1287"/>
      <c r="HN21" s="1285"/>
      <c r="HO21" s="1285"/>
      <c r="HP21" s="1287"/>
      <c r="HQ21" s="1285">
        <v>13</v>
      </c>
      <c r="HR21" s="1285"/>
      <c r="HS21" s="1287"/>
      <c r="HT21" s="1285">
        <v>14</v>
      </c>
      <c r="HU21" s="1285"/>
      <c r="HV21" s="1287"/>
      <c r="HW21" s="1285">
        <v>18</v>
      </c>
      <c r="HX21" s="1285"/>
      <c r="HY21" s="1287"/>
      <c r="HZ21" s="1285">
        <v>17</v>
      </c>
      <c r="IA21" s="1285"/>
      <c r="IB21" s="1287"/>
      <c r="IC21" s="1285"/>
      <c r="ID21" s="1285"/>
      <c r="IE21" s="1287"/>
      <c r="IF21" s="1285">
        <v>16</v>
      </c>
      <c r="IG21" s="1285"/>
      <c r="IH21" s="1287"/>
      <c r="II21" s="1285"/>
      <c r="IJ21" s="1285"/>
      <c r="IK21" s="1287"/>
      <c r="IL21" s="1285">
        <v>14</v>
      </c>
      <c r="IM21" s="1285"/>
      <c r="IN21" s="1287"/>
      <c r="IO21" s="1285">
        <v>11</v>
      </c>
      <c r="IP21" s="1285"/>
      <c r="IQ21" s="1287"/>
      <c r="IR21" s="1285">
        <v>17</v>
      </c>
      <c r="IS21" s="1285"/>
      <c r="IT21" s="1287"/>
      <c r="IU21" s="1285">
        <v>17</v>
      </c>
      <c r="IV21" s="1285"/>
      <c r="IW21" s="1287"/>
      <c r="IX21" s="1285">
        <v>17</v>
      </c>
      <c r="IY21" s="1285"/>
      <c r="IZ21" s="1287"/>
      <c r="JA21" s="1285">
        <v>16</v>
      </c>
      <c r="JB21" s="1285"/>
      <c r="JC21" s="1287"/>
      <c r="JD21" s="1285">
        <v>0</v>
      </c>
      <c r="JE21" s="1285"/>
      <c r="JF21" s="1287"/>
      <c r="JG21" s="1285">
        <v>10</v>
      </c>
      <c r="JH21" s="1285"/>
      <c r="JI21" s="1287"/>
      <c r="JJ21" s="1285">
        <v>17</v>
      </c>
      <c r="JK21" s="1285"/>
      <c r="JL21" s="1287"/>
      <c r="JM21" s="1285">
        <v>13</v>
      </c>
      <c r="JN21" s="1285"/>
      <c r="JO21" s="1287"/>
      <c r="JP21" s="1285"/>
      <c r="JQ21" s="1285"/>
      <c r="JR21" s="1287"/>
      <c r="JS21" s="1285">
        <v>17</v>
      </c>
      <c r="JT21" s="1285"/>
      <c r="JU21" s="1287"/>
      <c r="JV21" s="1285">
        <v>13</v>
      </c>
      <c r="JW21" s="1285"/>
      <c r="JX21" s="1287"/>
      <c r="JY21" s="1285"/>
      <c r="JZ21" s="1285"/>
      <c r="KA21" s="1287"/>
      <c r="KB21" s="1285">
        <v>10</v>
      </c>
      <c r="KC21" s="1285"/>
      <c r="KD21" s="1287"/>
      <c r="KE21" s="1285">
        <v>14</v>
      </c>
      <c r="KF21" s="1285"/>
      <c r="KG21" s="1287"/>
      <c r="KH21" s="1285">
        <v>14</v>
      </c>
      <c r="KI21" s="1285"/>
      <c r="KJ21" s="1287"/>
      <c r="KK21" s="1285">
        <v>11</v>
      </c>
      <c r="KL21" s="1285"/>
      <c r="KM21" s="1287"/>
      <c r="KN21" s="1285">
        <v>16</v>
      </c>
      <c r="KO21" s="1285"/>
      <c r="KP21" s="1287"/>
      <c r="KQ21" s="1285">
        <v>12</v>
      </c>
      <c r="KR21" s="1285"/>
      <c r="KS21" s="1287"/>
      <c r="KT21" s="1285"/>
      <c r="KU21" s="1285"/>
      <c r="KV21" s="1287"/>
      <c r="KW21" s="1285">
        <f>13+1</f>
        <v>14</v>
      </c>
      <c r="KX21" s="1285"/>
      <c r="KY21" s="1287"/>
      <c r="KZ21" s="1285">
        <v>15</v>
      </c>
      <c r="LA21" s="1285"/>
      <c r="LB21" s="1287"/>
      <c r="LC21" s="1285">
        <v>13</v>
      </c>
      <c r="LD21" s="1285"/>
      <c r="LE21" s="1287"/>
      <c r="LF21" s="1285">
        <v>12</v>
      </c>
      <c r="LG21" s="1285"/>
      <c r="LH21" s="1287"/>
      <c r="LI21" s="1285">
        <v>10</v>
      </c>
      <c r="LJ21" s="1285"/>
      <c r="LK21" s="1287"/>
      <c r="LL21" s="1285">
        <v>10</v>
      </c>
      <c r="LM21" s="1285"/>
      <c r="LN21" s="1287"/>
      <c r="LO21" s="1285"/>
      <c r="LP21" s="1285"/>
      <c r="LQ21" s="1287"/>
      <c r="LR21" s="1285">
        <v>12</v>
      </c>
      <c r="LS21" s="1285"/>
      <c r="LT21" s="1287"/>
      <c r="LU21" s="1285">
        <v>12</v>
      </c>
      <c r="LV21" s="1285"/>
      <c r="LW21" s="1287"/>
      <c r="LX21" s="1285">
        <v>15</v>
      </c>
      <c r="LY21" s="1285"/>
      <c r="LZ21" s="1287"/>
      <c r="MA21" s="1285">
        <v>15</v>
      </c>
      <c r="MB21" s="1285"/>
      <c r="MC21" s="1287"/>
      <c r="MD21" s="1285">
        <v>16</v>
      </c>
      <c r="ME21" s="1285"/>
      <c r="MF21" s="1287"/>
      <c r="MG21" s="1285">
        <v>9</v>
      </c>
      <c r="MH21" s="1285"/>
      <c r="MI21" s="1287"/>
      <c r="MJ21" s="1285"/>
      <c r="MK21" s="1285"/>
      <c r="ML21" s="1287"/>
      <c r="MM21" s="1285">
        <v>10</v>
      </c>
      <c r="MN21" s="1285"/>
      <c r="MO21" s="1287"/>
      <c r="MP21" s="1285">
        <v>12</v>
      </c>
      <c r="MQ21" s="1285"/>
      <c r="MR21" s="1287"/>
      <c r="MS21" s="1285">
        <v>8</v>
      </c>
      <c r="MT21" s="1285"/>
      <c r="MU21" s="1287"/>
      <c r="MV21" s="1285">
        <v>13</v>
      </c>
      <c r="MW21" s="1285"/>
      <c r="MX21" s="1287"/>
      <c r="MY21" s="1285">
        <v>14</v>
      </c>
      <c r="MZ21" s="1285"/>
      <c r="NA21" s="1287"/>
      <c r="NB21" s="1285">
        <v>9</v>
      </c>
      <c r="NC21" s="1285"/>
      <c r="ND21" s="1287"/>
      <c r="NE21" s="1285" t="s">
        <v>20</v>
      </c>
      <c r="NF21" s="1285"/>
      <c r="NG21" s="1287"/>
      <c r="NH21" s="1285">
        <v>5</v>
      </c>
      <c r="NI21" s="1285"/>
      <c r="NJ21" s="1287"/>
      <c r="NK21" s="1285">
        <v>13</v>
      </c>
      <c r="NL21" s="1285"/>
      <c r="NM21" s="1287"/>
      <c r="NN21" s="1285">
        <v>15</v>
      </c>
      <c r="NO21" s="1285"/>
      <c r="NP21" s="1287"/>
      <c r="NQ21" s="1285">
        <v>13</v>
      </c>
      <c r="NR21" s="1285"/>
      <c r="NS21" s="1287"/>
      <c r="NT21" s="1285">
        <v>14</v>
      </c>
      <c r="NU21" s="1285"/>
      <c r="NV21" s="1287"/>
      <c r="NW21" s="1285">
        <v>8</v>
      </c>
      <c r="NX21" s="1285"/>
      <c r="NY21" s="1287"/>
      <c r="NZ21" s="1285" t="s">
        <v>20</v>
      </c>
      <c r="OA21" s="1285"/>
      <c r="OB21" s="1287"/>
      <c r="OC21" s="1285">
        <v>8</v>
      </c>
      <c r="OD21" s="1285"/>
      <c r="OE21" s="1287"/>
      <c r="OF21" s="1285">
        <v>10</v>
      </c>
      <c r="OG21" s="1285"/>
      <c r="OH21" s="1287"/>
      <c r="OI21" s="1285">
        <v>15</v>
      </c>
      <c r="OJ21" s="1285"/>
      <c r="OK21" s="1287"/>
      <c r="OL21" s="1285">
        <v>14</v>
      </c>
      <c r="OM21" s="1285"/>
      <c r="ON21" s="1287"/>
      <c r="OO21" s="1285">
        <v>14</v>
      </c>
      <c r="OP21" s="1285"/>
      <c r="OQ21" s="1287"/>
      <c r="OR21" s="1285">
        <v>10</v>
      </c>
      <c r="OS21" s="1285"/>
      <c r="OT21" s="1287"/>
      <c r="OU21" s="1285"/>
      <c r="OV21" s="1285"/>
      <c r="OW21" s="1287"/>
      <c r="OX21" s="1285"/>
      <c r="OY21" s="1285"/>
      <c r="OZ21" s="1287"/>
      <c r="PA21" s="1285">
        <v>13</v>
      </c>
      <c r="PB21" s="1285"/>
      <c r="PC21" s="1287"/>
      <c r="PD21" s="1285">
        <v>11</v>
      </c>
      <c r="PE21" s="1285"/>
      <c r="PF21" s="1287"/>
      <c r="PG21" s="1285">
        <v>15</v>
      </c>
      <c r="PH21" s="1285"/>
      <c r="PI21" s="1287"/>
      <c r="PJ21" s="1285"/>
      <c r="PK21" s="1285"/>
      <c r="PL21" s="1287"/>
      <c r="PM21" s="1285">
        <v>13</v>
      </c>
      <c r="PN21" s="1285"/>
      <c r="PO21" s="1287"/>
      <c r="PP21" s="1285"/>
      <c r="PQ21" s="1285"/>
      <c r="PR21" s="1287"/>
      <c r="PS21" s="1285">
        <v>8</v>
      </c>
      <c r="PT21" s="1285"/>
      <c r="PU21" s="1287"/>
      <c r="PV21" s="1285">
        <v>13</v>
      </c>
      <c r="PW21" s="1285"/>
      <c r="PX21" s="1287"/>
      <c r="PY21" s="1285">
        <v>17</v>
      </c>
      <c r="PZ21" s="1285"/>
      <c r="QA21" s="1287"/>
      <c r="QB21" s="1285">
        <v>16</v>
      </c>
      <c r="QC21" s="1285"/>
      <c r="QD21" s="1287"/>
      <c r="QE21" s="1285">
        <v>16</v>
      </c>
      <c r="QF21" s="1285"/>
      <c r="QG21" s="1287"/>
      <c r="QH21" s="1285">
        <v>11</v>
      </c>
      <c r="QI21" s="1285"/>
      <c r="QJ21" s="1287"/>
      <c r="QK21" s="1285"/>
      <c r="QL21" s="1285"/>
      <c r="QM21" s="1287"/>
      <c r="QN21" s="1285">
        <v>10</v>
      </c>
      <c r="QO21" s="1285"/>
      <c r="QP21" s="1287"/>
      <c r="QQ21" s="1285">
        <v>11</v>
      </c>
      <c r="QR21" s="1285"/>
      <c r="QS21" s="1287"/>
      <c r="QT21" s="1285">
        <v>15</v>
      </c>
      <c r="QU21" s="1285"/>
      <c r="QV21" s="1287"/>
      <c r="QW21" s="1285">
        <v>15</v>
      </c>
      <c r="QX21" s="1285"/>
      <c r="QY21" s="1287"/>
      <c r="QZ21" s="1285">
        <v>18</v>
      </c>
      <c r="RA21" s="1285"/>
      <c r="RB21" s="1287"/>
      <c r="RC21" s="1285">
        <v>9</v>
      </c>
      <c r="RD21" s="1285"/>
      <c r="RE21" s="1287"/>
      <c r="RF21" s="1285"/>
      <c r="RG21" s="1285"/>
      <c r="RH21" s="1287"/>
      <c r="RI21" s="1285">
        <v>11</v>
      </c>
      <c r="RJ21" s="1285"/>
      <c r="RK21" s="1287"/>
      <c r="RL21" s="1285">
        <v>14</v>
      </c>
      <c r="RM21" s="1285"/>
      <c r="RN21" s="1287"/>
      <c r="RO21" s="1285">
        <v>0</v>
      </c>
      <c r="RP21" s="1285"/>
      <c r="RQ21" s="1287"/>
      <c r="RR21" s="1285">
        <v>13</v>
      </c>
      <c r="RS21" s="1285"/>
      <c r="RT21" s="1287"/>
      <c r="RU21" s="1285">
        <v>17</v>
      </c>
      <c r="RV21" s="1285"/>
      <c r="RW21" s="1287"/>
      <c r="RX21" s="1285">
        <v>10</v>
      </c>
      <c r="RY21" s="1285"/>
      <c r="RZ21" s="1287"/>
      <c r="SA21" s="1285"/>
      <c r="SB21" s="1285"/>
      <c r="SC21" s="1287"/>
      <c r="SD21" s="1285">
        <v>16</v>
      </c>
      <c r="SE21" s="1285"/>
      <c r="SF21" s="1287"/>
      <c r="SG21" s="1285">
        <v>11</v>
      </c>
      <c r="SH21" s="1285"/>
      <c r="SI21" s="1287"/>
      <c r="SJ21" s="1285">
        <v>17</v>
      </c>
      <c r="SK21" s="1285"/>
      <c r="SL21" s="1287"/>
      <c r="SM21" s="1285">
        <v>18</v>
      </c>
      <c r="SN21" s="1285"/>
      <c r="SO21" s="1287"/>
      <c r="SP21" s="1285">
        <v>17</v>
      </c>
      <c r="SQ21" s="1285"/>
      <c r="SR21" s="1287"/>
      <c r="SS21" s="1285">
        <v>13</v>
      </c>
      <c r="ST21" s="1285"/>
      <c r="SU21" s="1287"/>
      <c r="SV21" s="1285"/>
      <c r="SW21" s="1285"/>
      <c r="SX21" s="1287"/>
      <c r="SY21" s="1285">
        <v>10</v>
      </c>
      <c r="SZ21" s="1285"/>
      <c r="TA21" s="1287"/>
      <c r="TB21" s="1285">
        <v>11</v>
      </c>
      <c r="TC21" s="1285"/>
      <c r="TD21" s="1287"/>
      <c r="TE21" s="1285">
        <v>13</v>
      </c>
      <c r="TF21" s="1285"/>
      <c r="TG21" s="1287"/>
      <c r="TH21" s="1285">
        <v>16</v>
      </c>
      <c r="TI21" s="1285"/>
      <c r="TJ21" s="1287"/>
      <c r="TK21" s="1285">
        <v>14</v>
      </c>
      <c r="TL21" s="1285"/>
      <c r="TM21" s="1287"/>
      <c r="TN21" s="1285">
        <v>15</v>
      </c>
      <c r="TO21" s="1285"/>
      <c r="TP21" s="1287"/>
      <c r="TQ21" s="1285"/>
      <c r="TR21" s="1285"/>
      <c r="TS21" s="1287"/>
      <c r="TT21" s="1285">
        <v>14</v>
      </c>
      <c r="TU21" s="1285"/>
      <c r="TV21" s="1287"/>
      <c r="TW21" s="1285">
        <v>14</v>
      </c>
      <c r="TX21" s="1285"/>
      <c r="TY21" s="1287"/>
      <c r="TZ21" s="1285">
        <v>18</v>
      </c>
      <c r="UA21" s="1285"/>
      <c r="UB21" s="1287"/>
      <c r="UC21" s="1285">
        <v>14</v>
      </c>
      <c r="UD21" s="1285"/>
      <c r="UE21" s="1287"/>
      <c r="UF21" s="1285">
        <v>13</v>
      </c>
      <c r="UG21" s="1285"/>
      <c r="UH21" s="1287"/>
      <c r="UI21" s="1285">
        <v>7</v>
      </c>
      <c r="UJ21" s="1285"/>
      <c r="UK21" s="1287"/>
      <c r="UL21" s="1285"/>
      <c r="UM21" s="1285"/>
      <c r="UN21" s="1287"/>
      <c r="UO21" s="1285">
        <v>10</v>
      </c>
      <c r="UP21" s="1285"/>
      <c r="UQ21" s="1287"/>
      <c r="UR21" s="1285">
        <v>14</v>
      </c>
      <c r="US21" s="1285"/>
      <c r="UT21" s="1287"/>
      <c r="UU21" s="1285">
        <v>14</v>
      </c>
      <c r="UV21" s="1285"/>
      <c r="UW21" s="1287"/>
      <c r="UX21" s="1285">
        <v>14</v>
      </c>
      <c r="UY21" s="1285"/>
      <c r="UZ21" s="1287"/>
      <c r="VA21" s="1285">
        <v>16</v>
      </c>
      <c r="VB21" s="1285"/>
      <c r="VC21" s="1287"/>
      <c r="VD21" s="1285">
        <v>14</v>
      </c>
      <c r="VE21" s="1285"/>
      <c r="VF21" s="1287"/>
      <c r="VG21" s="1285"/>
      <c r="VH21" s="1285"/>
      <c r="VI21" s="1287"/>
      <c r="VJ21" s="1285">
        <v>12</v>
      </c>
      <c r="VK21" s="1285"/>
      <c r="VL21" s="1287"/>
      <c r="VM21" s="1285">
        <v>14</v>
      </c>
      <c r="VN21" s="1285"/>
      <c r="VO21" s="1287"/>
      <c r="VP21" s="1285">
        <v>15</v>
      </c>
      <c r="VQ21" s="1285"/>
      <c r="VR21" s="1287"/>
      <c r="VS21" s="1285">
        <v>13</v>
      </c>
      <c r="VT21" s="1285"/>
      <c r="VU21" s="1287"/>
      <c r="VV21" s="1285">
        <v>18</v>
      </c>
      <c r="VW21" s="1285"/>
      <c r="VX21" s="1287"/>
      <c r="VY21" s="1285">
        <v>8</v>
      </c>
      <c r="VZ21" s="1285"/>
      <c r="WA21" s="1287"/>
      <c r="WB21" s="1285"/>
      <c r="WC21" s="1285"/>
      <c r="WD21" s="1287"/>
      <c r="WE21" s="1285">
        <v>8</v>
      </c>
      <c r="WF21" s="1285"/>
      <c r="WG21" s="1287"/>
      <c r="WH21" s="1285">
        <v>13</v>
      </c>
      <c r="WI21" s="1285"/>
      <c r="WJ21" s="1287"/>
      <c r="WK21" s="1285">
        <v>15</v>
      </c>
      <c r="WL21" s="1285"/>
      <c r="WM21" s="1287"/>
      <c r="WN21" s="1285">
        <v>13</v>
      </c>
      <c r="WO21" s="1285"/>
      <c r="WP21" s="1287"/>
      <c r="WQ21" s="1285">
        <v>14</v>
      </c>
      <c r="WR21" s="1285"/>
      <c r="WS21" s="1287"/>
      <c r="WT21" s="1285">
        <v>9</v>
      </c>
      <c r="WU21" s="1285"/>
      <c r="WV21" s="1287"/>
      <c r="WW21" s="1285"/>
      <c r="WX21" s="1285"/>
      <c r="WY21" s="1287"/>
      <c r="WZ21" s="1285">
        <v>10</v>
      </c>
      <c r="XA21" s="1285"/>
      <c r="XB21" s="1287"/>
      <c r="XC21" s="1285">
        <v>10</v>
      </c>
      <c r="XD21" s="1285"/>
      <c r="XE21" s="1287"/>
      <c r="XF21" s="1285">
        <v>14</v>
      </c>
      <c r="XG21" s="1285"/>
      <c r="XH21" s="1287"/>
      <c r="XI21" s="1285">
        <v>14</v>
      </c>
      <c r="XJ21" s="1285"/>
      <c r="XK21" s="1287"/>
      <c r="XL21" s="1285">
        <v>16</v>
      </c>
      <c r="XM21" s="1285"/>
      <c r="XN21" s="1287"/>
      <c r="XO21" s="7"/>
      <c r="XP21" s="7">
        <v>11</v>
      </c>
      <c r="XQ21" s="4"/>
      <c r="XR21" s="1285"/>
      <c r="XS21" s="1285"/>
      <c r="XT21" s="1287"/>
      <c r="XU21" s="1285">
        <v>9</v>
      </c>
      <c r="XV21" s="1285"/>
      <c r="XW21" s="1287"/>
      <c r="XX21" s="1285">
        <v>12</v>
      </c>
      <c r="XY21" s="1285"/>
      <c r="XZ21" s="1287"/>
      <c r="YA21" s="1285">
        <v>12</v>
      </c>
      <c r="YB21" s="1285"/>
      <c r="YC21" s="1287"/>
      <c r="YD21" s="1285">
        <v>14</v>
      </c>
      <c r="YE21" s="1285"/>
      <c r="YF21" s="1287"/>
      <c r="YG21" s="1285">
        <v>16</v>
      </c>
      <c r="YH21" s="1285"/>
      <c r="YI21" s="1287"/>
      <c r="YJ21" s="1285">
        <v>11</v>
      </c>
      <c r="YK21" s="1285"/>
      <c r="YL21" s="1287"/>
      <c r="YM21" s="1285"/>
      <c r="YN21" s="1285"/>
      <c r="YO21" s="1287"/>
      <c r="YP21" s="1285">
        <v>10</v>
      </c>
      <c r="YQ21" s="1285"/>
      <c r="YR21" s="1287"/>
      <c r="YS21" s="1285">
        <v>14</v>
      </c>
      <c r="YT21" s="1285"/>
      <c r="YU21" s="1287"/>
      <c r="YV21" s="1285">
        <v>12</v>
      </c>
      <c r="YW21" s="1285"/>
      <c r="YX21" s="1287"/>
      <c r="YY21" s="1285">
        <v>16</v>
      </c>
      <c r="YZ21" s="1285"/>
      <c r="ZA21" s="1287"/>
      <c r="ZB21" s="1285">
        <v>14</v>
      </c>
      <c r="ZC21" s="1285"/>
      <c r="ZD21" s="1287"/>
      <c r="ZE21" s="1285">
        <v>8</v>
      </c>
      <c r="ZF21" s="1285"/>
      <c r="ZG21" s="1287"/>
      <c r="ZH21" s="1285"/>
      <c r="ZI21" s="1285"/>
      <c r="ZJ21" s="1287"/>
      <c r="ZK21" s="1285">
        <v>11</v>
      </c>
      <c r="ZL21" s="1285"/>
      <c r="ZM21" s="1287"/>
      <c r="ZN21" s="1285">
        <v>11</v>
      </c>
      <c r="ZO21" s="1285"/>
      <c r="ZP21" s="1287"/>
      <c r="ZQ21" s="1285">
        <v>13</v>
      </c>
      <c r="ZR21" s="1285"/>
      <c r="ZS21" s="1287"/>
      <c r="ZT21" s="1285">
        <v>15</v>
      </c>
      <c r="ZU21" s="1285"/>
      <c r="ZV21" s="1287"/>
      <c r="ZW21" s="1285">
        <v>15</v>
      </c>
      <c r="ZX21" s="1285"/>
      <c r="ZY21" s="1287"/>
      <c r="ZZ21" s="1285">
        <v>12</v>
      </c>
      <c r="AAA21" s="1285"/>
      <c r="AAB21" s="1287"/>
      <c r="AAC21" s="1285"/>
      <c r="AAD21" s="1285"/>
      <c r="AAE21" s="1287"/>
      <c r="AAF21" s="1285">
        <v>10</v>
      </c>
      <c r="AAG21" s="1285"/>
      <c r="AAH21" s="1287"/>
      <c r="AAI21" s="1285">
        <v>7</v>
      </c>
      <c r="AAJ21" s="1285"/>
      <c r="AAK21" s="1287"/>
      <c r="AAL21" s="1285">
        <v>11</v>
      </c>
      <c r="AAM21" s="1285"/>
      <c r="AAN21" s="1287"/>
      <c r="AAO21" s="1285">
        <v>16</v>
      </c>
      <c r="AAP21" s="1285"/>
      <c r="AAQ21" s="1287"/>
      <c r="AAR21" s="1285">
        <v>16</v>
      </c>
      <c r="AAS21" s="1285"/>
      <c r="AAT21" s="1287"/>
      <c r="AAU21" s="1285">
        <v>9</v>
      </c>
      <c r="AAV21" s="1285"/>
      <c r="AAW21" s="1287"/>
      <c r="AAX21" s="1285"/>
      <c r="AAY21" s="1285"/>
      <c r="AAZ21" s="1287"/>
      <c r="ABA21" s="1285">
        <v>8</v>
      </c>
      <c r="ABB21" s="1285"/>
      <c r="ABC21" s="1287"/>
      <c r="ABD21" s="1285">
        <v>15</v>
      </c>
      <c r="ABE21" s="1285"/>
      <c r="ABF21" s="1287"/>
      <c r="ABG21" s="1285">
        <v>9</v>
      </c>
      <c r="ABH21" s="1285"/>
      <c r="ABI21" s="1287"/>
      <c r="ABJ21" s="1285">
        <v>12</v>
      </c>
      <c r="ABK21" s="1285"/>
      <c r="ABL21" s="1287"/>
      <c r="ABM21" s="1285">
        <v>11</v>
      </c>
      <c r="ABN21" s="1285"/>
      <c r="ABO21" s="1287"/>
      <c r="ABP21" s="1285">
        <v>9</v>
      </c>
      <c r="ABQ21" s="1285"/>
      <c r="ABR21" s="1287"/>
      <c r="ABS21" s="1285">
        <v>11</v>
      </c>
      <c r="ABT21" s="1285"/>
      <c r="ABU21" s="1287"/>
      <c r="ABV21" s="1285">
        <v>17</v>
      </c>
      <c r="ABW21" s="1285"/>
      <c r="ABX21" s="1287"/>
      <c r="ABY21" s="1285">
        <v>14</v>
      </c>
      <c r="ABZ21" s="1285"/>
      <c r="ACA21" s="1287"/>
      <c r="ACB21" s="1285">
        <v>14</v>
      </c>
      <c r="ACC21" s="1285"/>
      <c r="ACD21" s="1287"/>
      <c r="ACE21" s="1285">
        <v>14</v>
      </c>
      <c r="ACF21" s="1285"/>
      <c r="ACG21" s="1287"/>
      <c r="ACH21" s="1285"/>
      <c r="ACI21" s="1285"/>
      <c r="ACJ21" s="1287"/>
      <c r="ACK21" s="1285">
        <v>15</v>
      </c>
      <c r="ACL21" s="1285"/>
      <c r="ACM21" s="1287"/>
      <c r="ACN21" s="1285"/>
      <c r="ACO21" s="1285"/>
      <c r="ACP21" s="1287"/>
      <c r="ACQ21" s="1285">
        <v>12</v>
      </c>
      <c r="ACR21" s="1285"/>
      <c r="ACS21" s="1287"/>
      <c r="ACT21" s="1285">
        <v>10</v>
      </c>
      <c r="ACU21" s="1285"/>
      <c r="ACV21" s="1287"/>
      <c r="ACW21" s="1285">
        <v>15</v>
      </c>
      <c r="ACX21" s="1285"/>
      <c r="ACY21" s="1287"/>
      <c r="ACZ21" s="1285">
        <v>17</v>
      </c>
      <c r="ADA21" s="1285"/>
      <c r="ADB21" s="1287"/>
      <c r="ADC21" s="1285">
        <v>14</v>
      </c>
      <c r="ADD21" s="1285"/>
      <c r="ADE21" s="1287"/>
      <c r="ADF21" s="1285">
        <v>12</v>
      </c>
      <c r="ADG21" s="1285"/>
      <c r="ADH21" s="1287"/>
      <c r="ADI21" s="1285"/>
      <c r="ADJ21" s="1285"/>
      <c r="ADK21" s="1287"/>
      <c r="ADL21" s="1285">
        <v>9</v>
      </c>
      <c r="ADM21" s="1285"/>
      <c r="ADN21" s="1287"/>
      <c r="ADO21" s="1285">
        <v>12</v>
      </c>
      <c r="ADP21" s="1285"/>
      <c r="ADQ21" s="1287"/>
      <c r="ADR21" s="1285">
        <v>12</v>
      </c>
      <c r="ADS21" s="1285"/>
      <c r="ADT21" s="1287"/>
      <c r="ADU21" s="1285">
        <v>20</v>
      </c>
      <c r="ADV21" s="1285"/>
      <c r="ADW21" s="1287"/>
      <c r="ADX21" s="1285">
        <v>15</v>
      </c>
      <c r="ADY21" s="1285"/>
      <c r="ADZ21" s="1287"/>
      <c r="AEA21" s="1285">
        <v>13</v>
      </c>
      <c r="AEB21" s="1285"/>
      <c r="AEC21" s="1287"/>
      <c r="AED21" s="1285"/>
      <c r="AEE21" s="1285"/>
      <c r="AEF21" s="1287"/>
      <c r="AEG21" s="1285">
        <v>11</v>
      </c>
      <c r="AEH21" s="1285"/>
      <c r="AEI21" s="1287"/>
      <c r="AEJ21" s="1285">
        <v>13</v>
      </c>
      <c r="AEK21" s="1285"/>
      <c r="AEL21" s="1287"/>
      <c r="AEM21" s="1285">
        <v>9</v>
      </c>
      <c r="AEN21" s="1285"/>
      <c r="AEO21" s="1287"/>
      <c r="AEP21" s="1285">
        <v>18</v>
      </c>
      <c r="AEQ21" s="1285"/>
      <c r="AER21" s="1287"/>
      <c r="AES21" s="1285">
        <v>16</v>
      </c>
      <c r="AET21" s="1285"/>
      <c r="AEU21" s="1287"/>
      <c r="AEV21" s="1285">
        <v>9</v>
      </c>
      <c r="AEW21" s="1285"/>
      <c r="AEX21" s="1287"/>
      <c r="AEY21" s="1285"/>
      <c r="AEZ21" s="1285"/>
      <c r="AFA21" s="1287"/>
      <c r="AFB21" s="1285">
        <v>11</v>
      </c>
      <c r="AFC21" s="1285"/>
      <c r="AFD21" s="1287"/>
      <c r="AFE21" s="1285">
        <v>13</v>
      </c>
      <c r="AFF21" s="1285"/>
      <c r="AFG21" s="1287"/>
      <c r="AFH21" s="1285">
        <v>13</v>
      </c>
      <c r="AFI21" s="1285"/>
      <c r="AFJ21" s="1287"/>
      <c r="AFK21" s="1285">
        <v>12</v>
      </c>
      <c r="AFL21" s="1285"/>
      <c r="AFM21" s="1287"/>
      <c r="AFN21" s="1285">
        <v>14</v>
      </c>
      <c r="AFO21" s="1285"/>
      <c r="AFP21" s="1287"/>
      <c r="AFQ21" s="1285">
        <v>15</v>
      </c>
      <c r="AFR21" s="1285"/>
      <c r="AFS21" s="1287"/>
      <c r="AFT21" s="1285"/>
      <c r="AFU21" s="1285"/>
      <c r="AFV21" s="1287"/>
      <c r="AFW21" s="1285">
        <v>7</v>
      </c>
      <c r="AFX21" s="1285"/>
      <c r="AFY21" s="1287"/>
      <c r="AFZ21" s="1285">
        <v>15</v>
      </c>
      <c r="AGA21" s="1285"/>
      <c r="AGB21" s="1287"/>
      <c r="AGC21" s="1285">
        <v>15</v>
      </c>
      <c r="AGD21" s="1285"/>
      <c r="AGE21" s="1287"/>
      <c r="AGF21" s="1285">
        <v>15</v>
      </c>
      <c r="AGG21" s="1285"/>
      <c r="AGH21" s="1287"/>
      <c r="AGI21" s="1285">
        <v>11</v>
      </c>
      <c r="AGJ21" s="1285"/>
      <c r="AGK21" s="1287"/>
      <c r="AGL21" s="1285">
        <v>13</v>
      </c>
      <c r="AGM21" s="1285"/>
      <c r="AGN21" s="1287"/>
      <c r="AGO21" s="1285">
        <v>13</v>
      </c>
      <c r="AGP21" s="1285"/>
      <c r="AGQ21" s="1287"/>
      <c r="AGR21" s="1285">
        <v>13</v>
      </c>
      <c r="AGS21" s="1285"/>
      <c r="AGT21" s="1287"/>
      <c r="AGU21" s="1285">
        <v>15</v>
      </c>
      <c r="AGV21" s="1285"/>
      <c r="AGW21" s="1287"/>
      <c r="AGX21" s="1285">
        <v>12</v>
      </c>
      <c r="AGY21" s="1285"/>
      <c r="AGZ21" s="1287"/>
      <c r="AHA21" s="1285">
        <v>16</v>
      </c>
      <c r="AHB21" s="1285"/>
      <c r="AHC21" s="1287"/>
      <c r="AHD21" s="1285">
        <v>14</v>
      </c>
      <c r="AHE21" s="1285"/>
      <c r="AHF21" s="1287"/>
      <c r="AHG21" s="1285">
        <v>8</v>
      </c>
      <c r="AHH21" s="1285"/>
      <c r="AHI21" s="1287"/>
      <c r="AHJ21" s="1285"/>
      <c r="AHK21" s="1285"/>
      <c r="AHL21" s="1287"/>
      <c r="AHM21" s="1285"/>
      <c r="AHN21" s="1285"/>
      <c r="AHO21" s="1287"/>
      <c r="AHP21" s="1285">
        <v>14</v>
      </c>
      <c r="AHQ21" s="1285"/>
      <c r="AHR21" s="1287"/>
      <c r="AHS21" s="1285">
        <v>15</v>
      </c>
      <c r="AHT21" s="1285"/>
      <c r="AHU21" s="1287"/>
      <c r="AHV21" s="1285">
        <v>12</v>
      </c>
      <c r="AHW21" s="1285"/>
      <c r="AHX21" s="1287"/>
      <c r="AHY21" s="1285">
        <v>12</v>
      </c>
      <c r="AHZ21" s="1285"/>
      <c r="AIA21" s="1287"/>
      <c r="AIB21" s="1285">
        <v>14</v>
      </c>
      <c r="AIC21" s="1285"/>
      <c r="AID21" s="1287"/>
      <c r="AIE21" s="1286" t="s">
        <v>20</v>
      </c>
      <c r="AIF21" s="1285"/>
      <c r="AIG21" s="1287"/>
      <c r="AIH21" s="1285">
        <v>10</v>
      </c>
      <c r="AII21" s="1285"/>
      <c r="AIJ21" s="1287"/>
      <c r="AIK21" s="1285">
        <v>14</v>
      </c>
      <c r="AIL21" s="1285"/>
      <c r="AIM21" s="1287"/>
      <c r="AIN21" s="1285">
        <v>14</v>
      </c>
      <c r="AIO21" s="1285"/>
      <c r="AIP21" s="1287"/>
      <c r="AIQ21" s="1285">
        <v>17</v>
      </c>
      <c r="AIR21" s="1285"/>
      <c r="AIS21" s="1285"/>
      <c r="AIT21" s="1286">
        <v>15</v>
      </c>
      <c r="AIU21" s="1285"/>
      <c r="AIV21" s="1287"/>
      <c r="AIW21" s="1285">
        <v>16</v>
      </c>
      <c r="AIX21" s="1285"/>
      <c r="AIY21" s="1285"/>
      <c r="AIZ21" s="1286"/>
      <c r="AJA21" s="1285"/>
      <c r="AJB21" s="1287"/>
      <c r="AJC21" s="1285"/>
      <c r="AJD21" s="1285"/>
      <c r="AJE21" s="1287"/>
      <c r="AJF21" s="1285">
        <v>15</v>
      </c>
      <c r="AJG21" s="1285"/>
      <c r="AJH21" s="1287"/>
      <c r="AJI21" s="1285">
        <v>14</v>
      </c>
      <c r="AJJ21" s="1285"/>
      <c r="AJK21" s="1287"/>
      <c r="AJL21" s="1285">
        <v>17</v>
      </c>
      <c r="AJM21" s="1285"/>
      <c r="AJN21" s="1285"/>
      <c r="AJO21" s="1286">
        <v>15</v>
      </c>
      <c r="AJP21" s="1285"/>
      <c r="AJQ21" s="1287"/>
      <c r="AJR21" s="1285">
        <v>14</v>
      </c>
      <c r="AJS21" s="1285"/>
      <c r="AJT21" s="1285"/>
      <c r="AJU21" s="1286"/>
      <c r="AJV21" s="1285"/>
      <c r="AJW21" s="1287"/>
      <c r="AJX21" s="1286">
        <v>13</v>
      </c>
      <c r="AJY21" s="1285"/>
      <c r="AJZ21" s="1287"/>
      <c r="AKA21" s="1285">
        <v>17</v>
      </c>
      <c r="AKB21" s="1285"/>
      <c r="AKC21" s="1287"/>
      <c r="AKD21" s="1285">
        <v>15</v>
      </c>
      <c r="AKE21" s="1285"/>
      <c r="AKF21" s="1287"/>
      <c r="AKG21" s="1285">
        <v>18</v>
      </c>
      <c r="AKH21" s="1285"/>
      <c r="AKI21" s="1285"/>
      <c r="AKJ21" s="1286">
        <v>12</v>
      </c>
      <c r="AKK21" s="1285"/>
      <c r="AKL21" s="1287"/>
      <c r="AKM21" s="1285">
        <v>17</v>
      </c>
      <c r="AKN21" s="1285"/>
      <c r="AKO21" s="1285"/>
      <c r="AKP21" s="1286"/>
      <c r="AKQ21" s="1285"/>
      <c r="AKR21" s="1287"/>
      <c r="AKS21" s="1285">
        <v>17</v>
      </c>
      <c r="AKT21" s="1285"/>
      <c r="AKU21" s="1287"/>
      <c r="AKV21" s="1285">
        <v>17</v>
      </c>
      <c r="AKW21" s="1285"/>
      <c r="AKX21" s="1287"/>
      <c r="AKY21" s="1285">
        <v>17</v>
      </c>
      <c r="AKZ21" s="1285"/>
      <c r="ALA21" s="1287"/>
      <c r="ALB21" s="1285"/>
      <c r="ALC21" s="1285"/>
      <c r="ALD21" s="1285"/>
      <c r="ALE21" s="1286">
        <v>21</v>
      </c>
      <c r="ALF21" s="1285"/>
      <c r="ALG21" s="1287"/>
      <c r="ALH21" s="1285">
        <v>12</v>
      </c>
      <c r="ALI21" s="1285"/>
      <c r="ALJ21" s="1285"/>
      <c r="ALK21" s="1286"/>
      <c r="ALL21" s="1285"/>
      <c r="ALM21" s="1287"/>
      <c r="ALN21" s="1285">
        <v>12</v>
      </c>
      <c r="ALO21" s="1285"/>
      <c r="ALP21" s="1287"/>
      <c r="ALQ21" s="1285">
        <v>17</v>
      </c>
      <c r="ALR21" s="1285"/>
      <c r="ALS21" s="1287"/>
      <c r="ALT21" s="1285">
        <v>12</v>
      </c>
      <c r="ALU21" s="1285"/>
      <c r="ALV21" s="1287"/>
      <c r="ALW21" s="1285">
        <v>13</v>
      </c>
      <c r="ALX21" s="1285"/>
      <c r="ALY21" s="1285"/>
      <c r="ALZ21" s="1286"/>
      <c r="AMA21" s="1285"/>
      <c r="AMB21" s="1287"/>
      <c r="AMC21" s="1285">
        <v>11</v>
      </c>
      <c r="AMD21" s="1285"/>
      <c r="AME21" s="1285"/>
      <c r="AMF21" s="1286"/>
      <c r="AMG21" s="1285"/>
      <c r="AMH21" s="1287"/>
      <c r="AMI21" s="1285">
        <v>15</v>
      </c>
      <c r="AMJ21" s="1285"/>
      <c r="AMK21" s="1287"/>
      <c r="AML21" s="1285">
        <v>10</v>
      </c>
      <c r="AMM21" s="1285"/>
      <c r="AMN21" s="1287"/>
      <c r="AMO21" s="1285">
        <v>11</v>
      </c>
      <c r="AMP21" s="1285"/>
      <c r="AMQ21" s="1287"/>
      <c r="AMR21" s="1285">
        <v>15</v>
      </c>
      <c r="AMS21" s="1285"/>
      <c r="AMT21" s="1285"/>
      <c r="AMU21" s="1286">
        <v>13</v>
      </c>
      <c r="AMV21" s="1285"/>
      <c r="AMW21" s="1287"/>
      <c r="AMX21" s="1285">
        <v>15</v>
      </c>
      <c r="AMY21" s="1285"/>
      <c r="AMZ21" s="1285"/>
      <c r="ANA21" s="1286"/>
      <c r="ANB21" s="1285"/>
      <c r="ANC21" s="1287"/>
      <c r="AND21" s="1285">
        <v>12</v>
      </c>
      <c r="ANE21" s="1285"/>
      <c r="ANF21" s="1287"/>
      <c r="ANG21" s="1285">
        <v>16</v>
      </c>
      <c r="ANH21" s="1285"/>
      <c r="ANI21" s="1287"/>
      <c r="ANJ21" s="1285">
        <v>15</v>
      </c>
      <c r="ANK21" s="1285"/>
      <c r="ANL21" s="1287"/>
      <c r="ANM21" s="1285">
        <v>14</v>
      </c>
      <c r="ANN21" s="1285"/>
      <c r="ANO21" s="1285"/>
      <c r="ANP21" s="1286">
        <v>15</v>
      </c>
      <c r="ANQ21" s="1285"/>
      <c r="ANR21" s="1287"/>
      <c r="ANS21" s="1285">
        <v>11</v>
      </c>
      <c r="ANT21" s="1285"/>
      <c r="ANU21" s="1285"/>
      <c r="ANV21" s="1286"/>
      <c r="ANW21" s="1285"/>
      <c r="ANX21" s="1287"/>
      <c r="ANY21" s="1285">
        <v>14</v>
      </c>
      <c r="ANZ21" s="1285"/>
      <c r="AOA21" s="1287"/>
      <c r="AOB21" s="1285">
        <v>17</v>
      </c>
      <c r="AOC21" s="1285"/>
      <c r="AOD21" s="1287"/>
      <c r="AOE21" s="1285">
        <v>14</v>
      </c>
      <c r="AOF21" s="1285"/>
      <c r="AOG21" s="1287"/>
      <c r="AOH21" s="1285">
        <v>16</v>
      </c>
      <c r="AOI21" s="1285"/>
      <c r="AOJ21" s="1285"/>
      <c r="AOK21" s="1286">
        <v>17</v>
      </c>
      <c r="AOL21" s="1285"/>
      <c r="AOM21" s="1287"/>
      <c r="AON21" s="1285">
        <v>12</v>
      </c>
      <c r="AOO21" s="1285"/>
      <c r="AOP21" s="1285"/>
      <c r="AOQ21" s="1286"/>
      <c r="AOR21" s="1285"/>
      <c r="AOS21" s="1287"/>
      <c r="AOT21" s="1285">
        <v>10</v>
      </c>
      <c r="AOU21" s="1285"/>
      <c r="AOV21" s="1287"/>
      <c r="AOW21" s="1285">
        <v>13</v>
      </c>
      <c r="AOX21" s="1285"/>
      <c r="AOY21" s="1287"/>
      <c r="AOZ21" s="1285">
        <v>15</v>
      </c>
      <c r="APA21" s="1285"/>
      <c r="APB21" s="1287"/>
      <c r="APC21" s="1285">
        <v>13</v>
      </c>
      <c r="APD21" s="1285"/>
      <c r="APE21" s="1285"/>
      <c r="APF21" s="1286">
        <v>12</v>
      </c>
      <c r="APG21" s="1285"/>
      <c r="APH21" s="1287"/>
      <c r="API21" s="1285">
        <v>10</v>
      </c>
      <c r="APJ21" s="1285"/>
      <c r="APK21" s="1285"/>
      <c r="APL21" s="1286"/>
      <c r="APM21" s="1285"/>
      <c r="APN21" s="1287"/>
      <c r="APO21" s="1285">
        <v>10</v>
      </c>
      <c r="APP21" s="1285"/>
      <c r="APQ21" s="1287"/>
      <c r="APR21" s="1285">
        <v>14</v>
      </c>
      <c r="APS21" s="1285"/>
      <c r="APT21" s="1287"/>
      <c r="APU21" s="1285">
        <v>10</v>
      </c>
      <c r="APV21" s="1285"/>
      <c r="APW21" s="1287"/>
      <c r="APX21" s="1285">
        <v>12</v>
      </c>
      <c r="APY21" s="1285"/>
      <c r="APZ21" s="1285"/>
      <c r="AQA21" s="1286">
        <v>11</v>
      </c>
      <c r="AQB21" s="1285"/>
      <c r="AQC21" s="1287"/>
      <c r="AQD21" s="1285">
        <v>14</v>
      </c>
      <c r="AQE21" s="1285"/>
      <c r="AQF21" s="1287"/>
      <c r="AQG21" s="1285"/>
      <c r="AQH21" s="1285"/>
      <c r="AQI21" s="1287"/>
      <c r="AQJ21" s="1285">
        <v>10</v>
      </c>
      <c r="AQK21" s="1285"/>
      <c r="AQL21" s="1287"/>
      <c r="AQM21" s="1285">
        <v>15</v>
      </c>
      <c r="AQN21" s="1285"/>
      <c r="AQO21" s="1287"/>
      <c r="AQP21" s="1285">
        <v>13</v>
      </c>
      <c r="AQQ21" s="1285"/>
      <c r="AQR21" s="1285"/>
      <c r="AQS21" s="1286">
        <v>14</v>
      </c>
      <c r="AQT21" s="1285"/>
      <c r="AQU21" s="1287"/>
      <c r="AQV21" s="1285">
        <v>14</v>
      </c>
      <c r="AQW21" s="1285"/>
      <c r="AQX21" s="1287"/>
      <c r="AQY21" s="1285">
        <v>11</v>
      </c>
      <c r="AQZ21" s="1285"/>
      <c r="ARA21" s="1287"/>
      <c r="ARB21" s="1285"/>
      <c r="ARC21" s="1285"/>
      <c r="ARD21" s="1287"/>
      <c r="ARE21" s="1285"/>
      <c r="ARF21" s="1285"/>
      <c r="ARG21" s="1287"/>
      <c r="ARH21" s="1285"/>
      <c r="ARI21" s="1285"/>
      <c r="ARJ21" s="1287"/>
      <c r="ARK21" s="1285">
        <v>11</v>
      </c>
      <c r="ARL21" s="1285"/>
      <c r="ARM21" s="1287"/>
      <c r="ARN21" s="1285">
        <v>9</v>
      </c>
      <c r="ARO21" s="1285"/>
      <c r="ARP21" s="1287"/>
      <c r="ARQ21" s="1285">
        <v>11</v>
      </c>
      <c r="ARR21" s="1285"/>
      <c r="ARS21" s="1287"/>
      <c r="ART21" s="1285">
        <v>10</v>
      </c>
      <c r="ARU21" s="1285"/>
      <c r="ARV21" s="1287"/>
      <c r="ARW21" s="1285"/>
      <c r="ARX21" s="1285"/>
      <c r="ARY21" s="1287"/>
      <c r="ARZ21" s="1285">
        <v>2</v>
      </c>
      <c r="ASA21" s="1285"/>
      <c r="ASB21" s="1287"/>
      <c r="ASC21" s="1285">
        <v>3</v>
      </c>
      <c r="ASD21" s="1285"/>
      <c r="ASE21" s="1285"/>
      <c r="ASF21" s="1286">
        <v>2</v>
      </c>
      <c r="ASG21" s="1285"/>
      <c r="ASH21" s="1287"/>
      <c r="ASI21" s="1285">
        <v>4</v>
      </c>
      <c r="ASJ21" s="1285"/>
      <c r="ASK21" s="1285"/>
      <c r="ASL21" s="1286">
        <v>1</v>
      </c>
      <c r="ASM21" s="1285"/>
      <c r="ASN21" s="1287"/>
      <c r="ASO21" s="1285">
        <v>3</v>
      </c>
      <c r="ASP21" s="1285"/>
      <c r="ASQ21" s="1285"/>
      <c r="ASR21" s="1286"/>
      <c r="ASS21" s="1285"/>
      <c r="AST21" s="1287"/>
      <c r="ASU21" s="1285">
        <v>0</v>
      </c>
      <c r="ASV21" s="1285"/>
      <c r="ASW21" s="1287"/>
      <c r="ASX21" s="1285">
        <v>3</v>
      </c>
      <c r="ASY21" s="1285"/>
      <c r="ASZ21" s="1287"/>
      <c r="ATA21" s="1285">
        <v>1</v>
      </c>
      <c r="ATB21" s="1285"/>
      <c r="ATC21" s="1287"/>
      <c r="ATD21" s="1285">
        <v>2</v>
      </c>
      <c r="ATE21" s="1285"/>
      <c r="ATF21" s="1285"/>
      <c r="ATG21" s="1286">
        <v>5</v>
      </c>
      <c r="ATH21" s="1285"/>
      <c r="ATI21" s="1287"/>
      <c r="ATJ21" s="1285">
        <v>3</v>
      </c>
      <c r="ATK21" s="1285"/>
      <c r="ATL21" s="1287"/>
      <c r="ATM21" s="1285"/>
      <c r="ATN21" s="1285"/>
      <c r="ATO21" s="1287"/>
      <c r="ATP21" s="1285">
        <v>5</v>
      </c>
      <c r="ATQ21" s="1285"/>
      <c r="ATR21" s="1287"/>
      <c r="ATS21" s="1285">
        <v>5</v>
      </c>
      <c r="ATT21" s="1285"/>
      <c r="ATU21" s="1287"/>
      <c r="ATV21" s="1285">
        <v>2</v>
      </c>
      <c r="ATW21" s="1285"/>
      <c r="ATX21" s="1287"/>
      <c r="ATY21" s="1285">
        <v>5</v>
      </c>
      <c r="ATZ21" s="1285"/>
      <c r="AUA21" s="1285"/>
      <c r="AUB21" s="1286">
        <v>2</v>
      </c>
      <c r="AUC21" s="1285"/>
      <c r="AUD21" s="1287"/>
      <c r="AUE21" s="1285">
        <v>2</v>
      </c>
      <c r="AUF21" s="1285"/>
      <c r="AUG21" s="1287"/>
      <c r="AUH21" s="1285"/>
      <c r="AUI21" s="1285"/>
      <c r="AUJ21" s="1287"/>
      <c r="AUK21" s="1285">
        <v>5</v>
      </c>
      <c r="AUL21" s="1285"/>
      <c r="AUM21" s="1285"/>
      <c r="AUN21" s="1286">
        <v>2</v>
      </c>
      <c r="AUO21" s="1285"/>
      <c r="AUP21" s="1285"/>
      <c r="AUQ21" s="1286">
        <v>2</v>
      </c>
      <c r="AUR21" s="1285"/>
      <c r="AUS21" s="1285"/>
      <c r="AUT21" s="1286">
        <v>1</v>
      </c>
      <c r="AUU21" s="1285"/>
      <c r="AUV21" s="1285"/>
      <c r="AUW21" s="1286">
        <v>4</v>
      </c>
      <c r="AUX21" s="1285"/>
      <c r="AUY21" s="1285"/>
      <c r="AUZ21" s="1286">
        <v>5</v>
      </c>
      <c r="AVA21" s="1285"/>
      <c r="AVB21" s="1285"/>
      <c r="AVC21" s="1286"/>
      <c r="AVD21" s="1285"/>
      <c r="AVE21" s="1285"/>
      <c r="AVF21" s="1286">
        <v>2</v>
      </c>
      <c r="AVG21" s="1285"/>
      <c r="AVH21" s="1285"/>
      <c r="AVI21" s="1286"/>
      <c r="AVJ21" s="1285"/>
      <c r="AVK21" s="1285"/>
      <c r="AVL21" s="1286">
        <v>3</v>
      </c>
      <c r="AVM21" s="1285"/>
      <c r="AVN21" s="1285"/>
      <c r="AVO21" s="1286">
        <v>2</v>
      </c>
      <c r="AVP21" s="1285"/>
      <c r="AVQ21" s="1285"/>
      <c r="AVR21" s="1286"/>
      <c r="AVS21" s="1285"/>
      <c r="AVT21" s="1285"/>
      <c r="AVU21" s="1286"/>
      <c r="AVV21" s="1285"/>
      <c r="AVW21" s="1285"/>
      <c r="AVX21" s="1286"/>
      <c r="AVY21" s="1285"/>
      <c r="AVZ21" s="1285"/>
      <c r="AWA21" s="1286"/>
      <c r="AWB21" s="1285"/>
      <c r="AWC21" s="1285"/>
      <c r="AWD21" s="1286"/>
      <c r="AWE21" s="1285"/>
      <c r="AWF21" s="1285"/>
      <c r="AWG21" s="1286"/>
      <c r="AWH21" s="1285"/>
      <c r="AWI21" s="1285"/>
      <c r="AWJ21" s="1286"/>
      <c r="AWK21" s="1285"/>
      <c r="AWL21" s="1285"/>
      <c r="AWM21" s="1286"/>
      <c r="AWN21" s="1285"/>
      <c r="AWO21" s="1287"/>
      <c r="AWP21" s="1285"/>
      <c r="AWQ21" s="1285"/>
      <c r="AWR21" s="1287"/>
      <c r="AWS21" s="1285"/>
      <c r="AWT21" s="1285"/>
      <c r="AWU21" s="1287"/>
      <c r="AWV21" s="1285"/>
      <c r="AWW21" s="1285"/>
      <c r="AWX21" s="1287"/>
      <c r="AWY21" s="1285"/>
      <c r="AWZ21" s="1285"/>
      <c r="AXA21" s="1285"/>
      <c r="AXB21" s="1286"/>
      <c r="AXC21" s="1285"/>
      <c r="AXD21" s="1287"/>
      <c r="AXE21" s="1285"/>
      <c r="AXF21" s="1285"/>
      <c r="AXG21" s="1285"/>
      <c r="AXH21" s="1286"/>
      <c r="AXI21" s="1285"/>
      <c r="AXJ21" s="1287"/>
      <c r="AXK21" s="1285"/>
      <c r="AXL21" s="1285"/>
      <c r="AXM21" s="1287"/>
      <c r="AXN21" s="1285"/>
      <c r="AXO21" s="1285"/>
      <c r="AXP21" s="1287"/>
      <c r="AXQ21" s="1285"/>
      <c r="AXR21" s="1285"/>
      <c r="AXS21" s="1287"/>
      <c r="AXT21" s="1285"/>
      <c r="AXU21" s="1285"/>
      <c r="AXV21" s="1285"/>
      <c r="AXW21" s="1286"/>
      <c r="AXX21" s="1285"/>
      <c r="AXY21" s="1287"/>
      <c r="AXZ21" s="1285"/>
      <c r="AYA21" s="1285"/>
      <c r="AYB21" s="1285"/>
      <c r="AYC21" s="1286"/>
      <c r="AYD21" s="1285"/>
      <c r="AYE21" s="1287"/>
      <c r="AYF21" s="1285"/>
      <c r="AYG21" s="1285"/>
      <c r="AYH21" s="1287"/>
      <c r="AYI21" s="1285"/>
      <c r="AYJ21" s="1285"/>
      <c r="AYK21" s="1287"/>
      <c r="AYL21" s="1285"/>
      <c r="AYM21" s="1285"/>
      <c r="AYN21" s="1287"/>
      <c r="AYO21" s="1285"/>
      <c r="AYP21" s="1285"/>
      <c r="AYQ21" s="1285"/>
      <c r="AYR21" s="1286"/>
      <c r="AYS21" s="1285"/>
      <c r="AYT21" s="1287"/>
      <c r="AYU21" s="1285"/>
      <c r="AYV21" s="1285"/>
      <c r="AYW21" s="1285"/>
      <c r="AYX21" s="1286"/>
      <c r="AYY21" s="1285"/>
      <c r="AYZ21" s="1287"/>
      <c r="AZA21" s="1285"/>
      <c r="AZB21" s="1285"/>
      <c r="AZC21" s="1287"/>
      <c r="AZD21" s="1285"/>
      <c r="AZE21" s="1285"/>
      <c r="AZF21" s="1287"/>
      <c r="AZG21" s="1285"/>
      <c r="AZH21" s="1285"/>
      <c r="AZI21" s="1287"/>
      <c r="AZJ21" s="1285"/>
      <c r="AZK21" s="1285"/>
      <c r="AZL21" s="1285"/>
      <c r="AZM21" s="1286"/>
      <c r="AZN21" s="1285"/>
      <c r="AZO21" s="1287"/>
      <c r="AZP21" s="1285"/>
      <c r="AZQ21" s="1285"/>
      <c r="AZR21" s="1285"/>
      <c r="AZS21" s="1286"/>
      <c r="AZT21" s="1285"/>
      <c r="AZU21" s="1287"/>
      <c r="AZV21" s="1285"/>
      <c r="AZW21" s="1285"/>
      <c r="AZX21" s="1287"/>
      <c r="AZY21" s="1285"/>
      <c r="AZZ21" s="1285"/>
      <c r="BAA21" s="1287"/>
      <c r="BAB21" s="1285"/>
      <c r="BAC21" s="1285"/>
      <c r="BAD21" s="1287"/>
      <c r="BAE21" s="1285"/>
      <c r="BAF21" s="1285"/>
      <c r="BAG21" s="1285"/>
      <c r="BAH21" s="1286"/>
      <c r="BAI21" s="1285"/>
      <c r="BAJ21" s="1287"/>
    </row>
    <row r="22" spans="1:1399">
      <c r="B22" s="5" t="s">
        <v>352</v>
      </c>
      <c r="C22" s="16"/>
      <c r="D22" s="16"/>
      <c r="E22" s="9" t="s">
        <v>349</v>
      </c>
      <c r="F22" s="1285">
        <v>14</v>
      </c>
      <c r="G22" s="1285"/>
      <c r="H22" s="1287"/>
      <c r="I22" s="1285">
        <v>10</v>
      </c>
      <c r="J22" s="1285"/>
      <c r="K22" s="1287"/>
      <c r="L22" s="1285" t="s">
        <v>20</v>
      </c>
      <c r="M22" s="1285"/>
      <c r="N22" s="1287"/>
      <c r="O22" s="1285">
        <v>10</v>
      </c>
      <c r="P22" s="1285"/>
      <c r="Q22" s="1287"/>
      <c r="R22" s="1285">
        <v>9</v>
      </c>
      <c r="S22" s="1285"/>
      <c r="T22" s="1287"/>
      <c r="U22" s="1285">
        <v>10</v>
      </c>
      <c r="V22" s="1285"/>
      <c r="W22" s="1287"/>
      <c r="X22" s="1285">
        <v>8</v>
      </c>
      <c r="Y22" s="1285"/>
      <c r="Z22" s="1287"/>
      <c r="AA22" s="1285">
        <v>10</v>
      </c>
      <c r="AB22" s="1285"/>
      <c r="AC22" s="1287"/>
      <c r="AD22" s="1285">
        <v>8</v>
      </c>
      <c r="AE22" s="1285"/>
      <c r="AF22" s="1287"/>
      <c r="AG22" s="1285" t="s">
        <v>20</v>
      </c>
      <c r="AH22" s="1285"/>
      <c r="AI22" s="1287"/>
      <c r="AJ22" s="1285">
        <v>12</v>
      </c>
      <c r="AK22" s="1285"/>
      <c r="AL22" s="1287"/>
      <c r="AM22" s="1285">
        <v>7</v>
      </c>
      <c r="AN22" s="1285"/>
      <c r="AO22" s="1287"/>
      <c r="AP22" s="1285">
        <v>5</v>
      </c>
      <c r="AQ22" s="1285"/>
      <c r="AR22" s="1287"/>
      <c r="AS22" s="1285">
        <v>10</v>
      </c>
      <c r="AT22" s="1285"/>
      <c r="AU22" s="1287"/>
      <c r="AV22" s="1285">
        <v>10</v>
      </c>
      <c r="AW22" s="1285"/>
      <c r="AX22" s="1287"/>
      <c r="AY22" s="1285">
        <v>8</v>
      </c>
      <c r="AZ22" s="1285"/>
      <c r="BA22" s="1287"/>
      <c r="BB22" s="1285" t="s">
        <v>20</v>
      </c>
      <c r="BC22" s="1285"/>
      <c r="BD22" s="1287"/>
      <c r="BE22" s="1285">
        <v>10</v>
      </c>
      <c r="BF22" s="1285"/>
      <c r="BG22" s="1287"/>
      <c r="BH22" s="1285">
        <v>9</v>
      </c>
      <c r="BI22" s="1285"/>
      <c r="BJ22" s="1287"/>
      <c r="BK22" s="1285">
        <v>9</v>
      </c>
      <c r="BL22" s="1285"/>
      <c r="BM22" s="1287"/>
      <c r="BN22" s="1285">
        <v>9</v>
      </c>
      <c r="BO22" s="1285"/>
      <c r="BP22" s="1287"/>
      <c r="BQ22" s="1285">
        <v>10</v>
      </c>
      <c r="BR22" s="1285"/>
      <c r="BS22" s="1287"/>
      <c r="BT22" s="1285">
        <v>6</v>
      </c>
      <c r="BU22" s="1285"/>
      <c r="BV22" s="1287"/>
      <c r="BW22" s="1285" t="s">
        <v>20</v>
      </c>
      <c r="BX22" s="1285"/>
      <c r="BY22" s="1287"/>
      <c r="BZ22" s="1285">
        <v>11</v>
      </c>
      <c r="CA22" s="1285"/>
      <c r="CB22" s="1287"/>
      <c r="CC22" s="1285">
        <v>10</v>
      </c>
      <c r="CD22" s="1285"/>
      <c r="CE22" s="1287"/>
      <c r="CF22" s="1285">
        <v>9</v>
      </c>
      <c r="CG22" s="1285"/>
      <c r="CH22" s="1287"/>
      <c r="CI22" s="1285">
        <v>7</v>
      </c>
      <c r="CJ22" s="1285"/>
      <c r="CK22" s="1287"/>
      <c r="CL22" s="1285">
        <v>12</v>
      </c>
      <c r="CM22" s="1285"/>
      <c r="CN22" s="1287"/>
      <c r="CO22" s="1285">
        <v>9</v>
      </c>
      <c r="CP22" s="1285"/>
      <c r="CQ22" s="1287"/>
      <c r="CR22" s="1285" t="s">
        <v>20</v>
      </c>
      <c r="CS22" s="1285"/>
      <c r="CT22" s="1287"/>
      <c r="CU22" s="1285">
        <v>0</v>
      </c>
      <c r="CV22" s="1285"/>
      <c r="CW22" s="1287"/>
      <c r="CX22" s="1285">
        <v>0</v>
      </c>
      <c r="CY22" s="1285"/>
      <c r="CZ22" s="1287"/>
      <c r="DA22" s="1285">
        <v>7</v>
      </c>
      <c r="DB22" s="1285"/>
      <c r="DC22" s="1287"/>
      <c r="DD22" s="1285">
        <v>9</v>
      </c>
      <c r="DE22" s="1285"/>
      <c r="DF22" s="1287"/>
      <c r="DG22" s="1285">
        <v>11</v>
      </c>
      <c r="DH22" s="1285"/>
      <c r="DI22" s="1287"/>
      <c r="DJ22" s="1285">
        <v>5</v>
      </c>
      <c r="DK22" s="1285"/>
      <c r="DL22" s="1287"/>
      <c r="DM22" s="1285" t="s">
        <v>20</v>
      </c>
      <c r="DN22" s="1285"/>
      <c r="DO22" s="1287"/>
      <c r="DP22" s="1285">
        <v>11</v>
      </c>
      <c r="DQ22" s="1285"/>
      <c r="DR22" s="1287"/>
      <c r="DS22" s="1285">
        <v>10</v>
      </c>
      <c r="DT22" s="1285"/>
      <c r="DU22" s="1287"/>
      <c r="DV22" s="1285">
        <v>9</v>
      </c>
      <c r="DW22" s="1285"/>
      <c r="DX22" s="1287"/>
      <c r="DY22" s="1285">
        <v>11</v>
      </c>
      <c r="DZ22" s="1285"/>
      <c r="EA22" s="1287"/>
      <c r="EB22" s="1285">
        <v>12</v>
      </c>
      <c r="EC22" s="1285"/>
      <c r="ED22" s="1287"/>
      <c r="EE22" s="1285">
        <v>10</v>
      </c>
      <c r="EF22" s="1285"/>
      <c r="EG22" s="1287"/>
      <c r="EH22" s="1285" t="s">
        <v>20</v>
      </c>
      <c r="EI22" s="1285"/>
      <c r="EJ22" s="1287"/>
      <c r="EK22" s="1285">
        <v>8</v>
      </c>
      <c r="EL22" s="1285"/>
      <c r="EM22" s="1287"/>
      <c r="EN22" s="1285">
        <v>9</v>
      </c>
      <c r="EO22" s="1285"/>
      <c r="EP22" s="1287"/>
      <c r="EQ22" s="1285">
        <v>9</v>
      </c>
      <c r="ER22" s="1285"/>
      <c r="ES22" s="1287"/>
      <c r="ET22" s="1285">
        <v>10</v>
      </c>
      <c r="EU22" s="1285"/>
      <c r="EV22" s="1287"/>
      <c r="EW22" s="1285">
        <v>12</v>
      </c>
      <c r="EX22" s="1285"/>
      <c r="EY22" s="1287"/>
      <c r="EZ22" s="1285">
        <v>9</v>
      </c>
      <c r="FA22" s="1285"/>
      <c r="FB22" s="1287"/>
      <c r="FC22" s="1285" t="s">
        <v>20</v>
      </c>
      <c r="FD22" s="1285"/>
      <c r="FE22" s="1287"/>
      <c r="FF22" s="1285" t="s">
        <v>20</v>
      </c>
      <c r="FG22" s="1285"/>
      <c r="FH22" s="1287"/>
      <c r="FI22" s="1285">
        <v>12</v>
      </c>
      <c r="FJ22" s="1285"/>
      <c r="FK22" s="1287"/>
      <c r="FL22" s="1285">
        <v>9</v>
      </c>
      <c r="FM22" s="1285"/>
      <c r="FN22" s="1287"/>
      <c r="FO22" s="1285">
        <v>12</v>
      </c>
      <c r="FP22" s="1285"/>
      <c r="FQ22" s="1287"/>
      <c r="FR22" s="1285">
        <v>12</v>
      </c>
      <c r="FS22" s="1285"/>
      <c r="FT22" s="1287"/>
      <c r="FU22" s="1285">
        <v>11</v>
      </c>
      <c r="FV22" s="1285"/>
      <c r="FW22" s="1287"/>
      <c r="FX22" s="1285" t="s">
        <v>20</v>
      </c>
      <c r="FY22" s="1285"/>
      <c r="FZ22" s="1287"/>
      <c r="GA22" s="1285">
        <v>13</v>
      </c>
      <c r="GB22" s="1285"/>
      <c r="GC22" s="1287"/>
      <c r="GD22" s="1285">
        <v>13</v>
      </c>
      <c r="GE22" s="1285"/>
      <c r="GF22" s="1287"/>
      <c r="GG22" s="1285">
        <v>0</v>
      </c>
      <c r="GH22" s="1285"/>
      <c r="GI22" s="1287"/>
      <c r="GJ22" s="1285">
        <v>13</v>
      </c>
      <c r="GK22" s="1285"/>
      <c r="GL22" s="1287"/>
      <c r="GM22" s="1285">
        <v>12</v>
      </c>
      <c r="GN22" s="1285"/>
      <c r="GO22" s="1287"/>
      <c r="GP22" s="1285">
        <v>7</v>
      </c>
      <c r="GQ22" s="1285"/>
      <c r="GR22" s="1287"/>
      <c r="GS22" s="1285" t="s">
        <v>20</v>
      </c>
      <c r="GT22" s="1285"/>
      <c r="GU22" s="1287"/>
      <c r="GV22" s="1285">
        <v>9</v>
      </c>
      <c r="GW22" s="1285"/>
      <c r="GX22" s="1287"/>
      <c r="GY22" s="1285">
        <v>11</v>
      </c>
      <c r="GZ22" s="1285"/>
      <c r="HA22" s="1287"/>
      <c r="HB22" s="1285">
        <v>14</v>
      </c>
      <c r="HC22" s="1285"/>
      <c r="HD22" s="1287"/>
      <c r="HE22" s="1285">
        <v>13</v>
      </c>
      <c r="HF22" s="1285"/>
      <c r="HG22" s="1287"/>
      <c r="HH22" s="1285">
        <v>14</v>
      </c>
      <c r="HI22" s="1285"/>
      <c r="HJ22" s="1287"/>
      <c r="HK22" s="1285">
        <v>7</v>
      </c>
      <c r="HL22" s="1285"/>
      <c r="HM22" s="1287"/>
      <c r="HN22" s="1285"/>
      <c r="HO22" s="1285"/>
      <c r="HP22" s="1287"/>
      <c r="HQ22" s="1285">
        <v>11</v>
      </c>
      <c r="HR22" s="1285"/>
      <c r="HS22" s="1287"/>
      <c r="HT22" s="1285">
        <v>11</v>
      </c>
      <c r="HU22" s="1285"/>
      <c r="HV22" s="1287"/>
      <c r="HW22" s="1285">
        <v>12</v>
      </c>
      <c r="HX22" s="1285"/>
      <c r="HY22" s="1287"/>
      <c r="HZ22" s="1285">
        <v>12</v>
      </c>
      <c r="IA22" s="1285"/>
      <c r="IB22" s="1287"/>
      <c r="IC22" s="1285"/>
      <c r="ID22" s="1285"/>
      <c r="IE22" s="1287"/>
      <c r="IF22" s="1285">
        <v>12</v>
      </c>
      <c r="IG22" s="1285"/>
      <c r="IH22" s="1287"/>
      <c r="II22" s="1285"/>
      <c r="IJ22" s="1285"/>
      <c r="IK22" s="1287"/>
      <c r="IL22" s="1285">
        <v>14</v>
      </c>
      <c r="IM22" s="1285"/>
      <c r="IN22" s="1287"/>
      <c r="IO22" s="1285">
        <v>13</v>
      </c>
      <c r="IP22" s="1285"/>
      <c r="IQ22" s="1287"/>
      <c r="IR22" s="1285">
        <v>14</v>
      </c>
      <c r="IS22" s="1285"/>
      <c r="IT22" s="1287"/>
      <c r="IU22" s="1285">
        <v>10</v>
      </c>
      <c r="IV22" s="1285"/>
      <c r="IW22" s="1287"/>
      <c r="IX22" s="1285">
        <v>8</v>
      </c>
      <c r="IY22" s="1285"/>
      <c r="IZ22" s="1287"/>
      <c r="JA22" s="1285">
        <v>7</v>
      </c>
      <c r="JB22" s="1285"/>
      <c r="JC22" s="1287"/>
      <c r="JD22" s="1285">
        <v>0</v>
      </c>
      <c r="JE22" s="1285"/>
      <c r="JF22" s="1287"/>
      <c r="JG22" s="1285">
        <v>9</v>
      </c>
      <c r="JH22" s="1285"/>
      <c r="JI22" s="1287"/>
      <c r="JJ22" s="1285">
        <v>13</v>
      </c>
      <c r="JK22" s="1285"/>
      <c r="JL22" s="1287"/>
      <c r="JM22" s="1285">
        <v>12</v>
      </c>
      <c r="JN22" s="1285"/>
      <c r="JO22" s="1287"/>
      <c r="JP22" s="1285"/>
      <c r="JQ22" s="1285"/>
      <c r="JR22" s="1287"/>
      <c r="JS22" s="1285">
        <v>11</v>
      </c>
      <c r="JT22" s="1285"/>
      <c r="JU22" s="1287"/>
      <c r="JV22" s="1285">
        <v>10</v>
      </c>
      <c r="JW22" s="1285"/>
      <c r="JX22" s="1287"/>
      <c r="JY22" s="1285"/>
      <c r="JZ22" s="1285"/>
      <c r="KA22" s="1287"/>
      <c r="KB22" s="1285">
        <v>11</v>
      </c>
      <c r="KC22" s="1285"/>
      <c r="KD22" s="1287"/>
      <c r="KE22" s="1285">
        <v>15</v>
      </c>
      <c r="KF22" s="1285"/>
      <c r="KG22" s="1287"/>
      <c r="KH22" s="1285">
        <v>16</v>
      </c>
      <c r="KI22" s="1285"/>
      <c r="KJ22" s="1287"/>
      <c r="KK22" s="1285">
        <v>12</v>
      </c>
      <c r="KL22" s="1285"/>
      <c r="KM22" s="1287"/>
      <c r="KN22" s="1285">
        <v>14</v>
      </c>
      <c r="KO22" s="1285"/>
      <c r="KP22" s="1287"/>
      <c r="KQ22" s="1285">
        <v>7</v>
      </c>
      <c r="KR22" s="1285"/>
      <c r="KS22" s="1287"/>
      <c r="KT22" s="1285"/>
      <c r="KU22" s="1285"/>
      <c r="KV22" s="1287"/>
      <c r="KW22" s="1285">
        <v>8</v>
      </c>
      <c r="KX22" s="1285"/>
      <c r="KY22" s="1287"/>
      <c r="KZ22" s="1285">
        <v>12</v>
      </c>
      <c r="LA22" s="1285"/>
      <c r="LB22" s="1287"/>
      <c r="LC22" s="1285">
        <v>10</v>
      </c>
      <c r="LD22" s="1285"/>
      <c r="LE22" s="1287"/>
      <c r="LF22" s="1285">
        <v>12</v>
      </c>
      <c r="LG22" s="1285"/>
      <c r="LH22" s="1287"/>
      <c r="LI22" s="1285">
        <v>14</v>
      </c>
      <c r="LJ22" s="1285"/>
      <c r="LK22" s="1287"/>
      <c r="LL22" s="1285">
        <v>5</v>
      </c>
      <c r="LM22" s="1285"/>
      <c r="LN22" s="1287"/>
      <c r="LO22" s="1285"/>
      <c r="LP22" s="1285"/>
      <c r="LQ22" s="1287"/>
      <c r="LR22" s="1285">
        <v>9</v>
      </c>
      <c r="LS22" s="1285"/>
      <c r="LT22" s="1287"/>
      <c r="LU22" s="1285">
        <v>7</v>
      </c>
      <c r="LV22" s="1285"/>
      <c r="LW22" s="1287"/>
      <c r="LX22" s="1285">
        <v>12</v>
      </c>
      <c r="LY22" s="1285"/>
      <c r="LZ22" s="1287"/>
      <c r="MA22" s="1285">
        <v>15</v>
      </c>
      <c r="MB22" s="1285"/>
      <c r="MC22" s="1287"/>
      <c r="MD22" s="1285">
        <v>11</v>
      </c>
      <c r="ME22" s="1285"/>
      <c r="MF22" s="1287"/>
      <c r="MG22" s="1285">
        <v>3</v>
      </c>
      <c r="MH22" s="1285"/>
      <c r="MI22" s="1287"/>
      <c r="MJ22" s="1285"/>
      <c r="MK22" s="1285"/>
      <c r="ML22" s="1287"/>
      <c r="MM22" s="1285">
        <v>5</v>
      </c>
      <c r="MN22" s="1285"/>
      <c r="MO22" s="1287"/>
      <c r="MP22" s="1285">
        <v>6</v>
      </c>
      <c r="MQ22" s="1285"/>
      <c r="MR22" s="1287"/>
      <c r="MS22" s="1285">
        <v>8</v>
      </c>
      <c r="MT22" s="1285"/>
      <c r="MU22" s="1287"/>
      <c r="MV22" s="1285">
        <v>11</v>
      </c>
      <c r="MW22" s="1285"/>
      <c r="MX22" s="1287"/>
      <c r="MY22" s="1285">
        <v>8</v>
      </c>
      <c r="MZ22" s="1285"/>
      <c r="NA22" s="1287"/>
      <c r="NB22" s="1285">
        <v>9</v>
      </c>
      <c r="NC22" s="1285"/>
      <c r="ND22" s="1287"/>
      <c r="NE22" s="1285" t="s">
        <v>20</v>
      </c>
      <c r="NF22" s="1285"/>
      <c r="NG22" s="1287"/>
      <c r="NH22" s="1285">
        <v>8</v>
      </c>
      <c r="NI22" s="1285"/>
      <c r="NJ22" s="1287"/>
      <c r="NK22" s="1285">
        <v>9</v>
      </c>
      <c r="NL22" s="1285"/>
      <c r="NM22" s="1287"/>
      <c r="NN22" s="1285">
        <v>11</v>
      </c>
      <c r="NO22" s="1285"/>
      <c r="NP22" s="1287"/>
      <c r="NQ22" s="1285">
        <v>12</v>
      </c>
      <c r="NR22" s="1285"/>
      <c r="NS22" s="1287"/>
      <c r="NT22" s="1285">
        <v>14</v>
      </c>
      <c r="NU22" s="1285"/>
      <c r="NV22" s="1287"/>
      <c r="NW22" s="1285">
        <v>6</v>
      </c>
      <c r="NX22" s="1285"/>
      <c r="NY22" s="1287"/>
      <c r="NZ22" s="1285" t="s">
        <v>20</v>
      </c>
      <c r="OA22" s="1285"/>
      <c r="OB22" s="1287"/>
      <c r="OC22" s="1285">
        <v>9</v>
      </c>
      <c r="OD22" s="1285"/>
      <c r="OE22" s="1287"/>
      <c r="OF22" s="1285">
        <v>10</v>
      </c>
      <c r="OG22" s="1285"/>
      <c r="OH22" s="1287"/>
      <c r="OI22" s="1285">
        <v>14</v>
      </c>
      <c r="OJ22" s="1285"/>
      <c r="OK22" s="1287"/>
      <c r="OL22" s="1285">
        <v>13</v>
      </c>
      <c r="OM22" s="1285"/>
      <c r="ON22" s="1287"/>
      <c r="OO22" s="1285">
        <v>10</v>
      </c>
      <c r="OP22" s="1285"/>
      <c r="OQ22" s="1287"/>
      <c r="OR22" s="1285">
        <v>10</v>
      </c>
      <c r="OS22" s="1285"/>
      <c r="OT22" s="1287"/>
      <c r="OU22" s="1285"/>
      <c r="OV22" s="1285"/>
      <c r="OW22" s="1287"/>
      <c r="OX22" s="1285"/>
      <c r="OY22" s="1285"/>
      <c r="OZ22" s="1287"/>
      <c r="PA22" s="1285">
        <v>13</v>
      </c>
      <c r="PB22" s="1285"/>
      <c r="PC22" s="1287"/>
      <c r="PD22" s="1285">
        <v>13</v>
      </c>
      <c r="PE22" s="1285"/>
      <c r="PF22" s="1287"/>
      <c r="PG22" s="1285">
        <v>15</v>
      </c>
      <c r="PH22" s="1285"/>
      <c r="PI22" s="1287"/>
      <c r="PJ22" s="1285"/>
      <c r="PK22" s="1285"/>
      <c r="PL22" s="1287"/>
      <c r="PM22" s="1285">
        <v>10</v>
      </c>
      <c r="PN22" s="1285"/>
      <c r="PO22" s="1287"/>
      <c r="PP22" s="1285"/>
      <c r="PQ22" s="1285"/>
      <c r="PR22" s="1287"/>
      <c r="PS22" s="1285">
        <v>11</v>
      </c>
      <c r="PT22" s="1285"/>
      <c r="PU22" s="1287"/>
      <c r="PV22" s="1285">
        <v>13</v>
      </c>
      <c r="PW22" s="1285"/>
      <c r="PX22" s="1287"/>
      <c r="PY22" s="1285">
        <v>13</v>
      </c>
      <c r="PZ22" s="1285"/>
      <c r="QA22" s="1287"/>
      <c r="QB22" s="1285">
        <v>13</v>
      </c>
      <c r="QC22" s="1285"/>
      <c r="QD22" s="1287"/>
      <c r="QE22" s="1285">
        <v>14</v>
      </c>
      <c r="QF22" s="1285"/>
      <c r="QG22" s="1287"/>
      <c r="QH22" s="1285">
        <v>9</v>
      </c>
      <c r="QI22" s="1285"/>
      <c r="QJ22" s="1287"/>
      <c r="QK22" s="1285"/>
      <c r="QL22" s="1285"/>
      <c r="QM22" s="1287"/>
      <c r="QN22" s="1285">
        <v>13</v>
      </c>
      <c r="QO22" s="1285"/>
      <c r="QP22" s="1287"/>
      <c r="QQ22" s="1285">
        <v>11</v>
      </c>
      <c r="QR22" s="1285"/>
      <c r="QS22" s="1287"/>
      <c r="QT22" s="1285">
        <v>12</v>
      </c>
      <c r="QU22" s="1285"/>
      <c r="QV22" s="1287"/>
      <c r="QW22" s="1285">
        <v>14</v>
      </c>
      <c r="QX22" s="1285"/>
      <c r="QY22" s="1287"/>
      <c r="QZ22" s="1285">
        <v>14</v>
      </c>
      <c r="RA22" s="1285"/>
      <c r="RB22" s="1287"/>
      <c r="RC22" s="1285">
        <v>10</v>
      </c>
      <c r="RD22" s="1285"/>
      <c r="RE22" s="1287"/>
      <c r="RF22" s="1285"/>
      <c r="RG22" s="1285"/>
      <c r="RH22" s="1287"/>
      <c r="RI22" s="1285">
        <v>12</v>
      </c>
      <c r="RJ22" s="1285"/>
      <c r="RK22" s="1287"/>
      <c r="RL22" s="1285">
        <v>14</v>
      </c>
      <c r="RM22" s="1285"/>
      <c r="RN22" s="1287"/>
      <c r="RO22" s="1285">
        <v>0</v>
      </c>
      <c r="RP22" s="1285"/>
      <c r="RQ22" s="1287"/>
      <c r="RR22" s="1285">
        <v>16</v>
      </c>
      <c r="RS22" s="1285"/>
      <c r="RT22" s="1287"/>
      <c r="RU22" s="1285">
        <v>16</v>
      </c>
      <c r="RV22" s="1285"/>
      <c r="RW22" s="1287"/>
      <c r="RX22" s="1285">
        <v>7</v>
      </c>
      <c r="RY22" s="1285"/>
      <c r="RZ22" s="1287"/>
      <c r="SA22" s="1285"/>
      <c r="SB22" s="1285"/>
      <c r="SC22" s="1287"/>
      <c r="SD22" s="1285">
        <v>13</v>
      </c>
      <c r="SE22" s="1285"/>
      <c r="SF22" s="1287"/>
      <c r="SG22" s="1285">
        <v>7</v>
      </c>
      <c r="SH22" s="1285"/>
      <c r="SI22" s="1287"/>
      <c r="SJ22" s="1285">
        <v>8</v>
      </c>
      <c r="SK22" s="1285"/>
      <c r="SL22" s="1287"/>
      <c r="SM22" s="1285">
        <v>13</v>
      </c>
      <c r="SN22" s="1285"/>
      <c r="SO22" s="1287"/>
      <c r="SP22" s="1285">
        <v>13</v>
      </c>
      <c r="SQ22" s="1285"/>
      <c r="SR22" s="1287"/>
      <c r="SS22" s="1285">
        <v>7</v>
      </c>
      <c r="ST22" s="1285"/>
      <c r="SU22" s="1287"/>
      <c r="SV22" s="1285"/>
      <c r="SW22" s="1285"/>
      <c r="SX22" s="1287"/>
      <c r="SY22" s="1285">
        <v>12</v>
      </c>
      <c r="SZ22" s="1285"/>
      <c r="TA22" s="1287"/>
      <c r="TB22" s="1285">
        <v>11</v>
      </c>
      <c r="TC22" s="1285"/>
      <c r="TD22" s="1287"/>
      <c r="TE22" s="1285">
        <v>11</v>
      </c>
      <c r="TF22" s="1285"/>
      <c r="TG22" s="1287"/>
      <c r="TH22" s="1285">
        <v>14</v>
      </c>
      <c r="TI22" s="1285"/>
      <c r="TJ22" s="1287"/>
      <c r="TK22" s="1285">
        <v>10</v>
      </c>
      <c r="TL22" s="1285"/>
      <c r="TM22" s="1287"/>
      <c r="TN22" s="1285">
        <v>8</v>
      </c>
      <c r="TO22" s="1285"/>
      <c r="TP22" s="1287"/>
      <c r="TQ22" s="1285"/>
      <c r="TR22" s="1285"/>
      <c r="TS22" s="1287"/>
      <c r="TT22" s="1285">
        <v>13</v>
      </c>
      <c r="TU22" s="1285"/>
      <c r="TV22" s="1287"/>
      <c r="TW22" s="1285">
        <v>11</v>
      </c>
      <c r="TX22" s="1285"/>
      <c r="TY22" s="1287"/>
      <c r="TZ22" s="1285">
        <v>13</v>
      </c>
      <c r="UA22" s="1285"/>
      <c r="UB22" s="1287"/>
      <c r="UC22" s="1285">
        <v>11</v>
      </c>
      <c r="UD22" s="1285"/>
      <c r="UE22" s="1287"/>
      <c r="UF22" s="1285">
        <v>13</v>
      </c>
      <c r="UG22" s="1285"/>
      <c r="UH22" s="1287"/>
      <c r="UI22" s="1285">
        <v>3</v>
      </c>
      <c r="UJ22" s="1285"/>
      <c r="UK22" s="1287"/>
      <c r="UL22" s="1285"/>
      <c r="UM22" s="1285"/>
      <c r="UN22" s="1287"/>
      <c r="UO22" s="1285">
        <v>9</v>
      </c>
      <c r="UP22" s="1285"/>
      <c r="UQ22" s="1287"/>
      <c r="UR22" s="1285">
        <v>13</v>
      </c>
      <c r="US22" s="1285"/>
      <c r="UT22" s="1287"/>
      <c r="UU22" s="1285">
        <v>14</v>
      </c>
      <c r="UV22" s="1285"/>
      <c r="UW22" s="1287"/>
      <c r="UX22" s="1285">
        <v>14</v>
      </c>
      <c r="UY22" s="1285"/>
      <c r="UZ22" s="1287"/>
      <c r="VA22" s="1285">
        <v>14</v>
      </c>
      <c r="VB22" s="1285"/>
      <c r="VC22" s="1287"/>
      <c r="VD22" s="1285">
        <v>7</v>
      </c>
      <c r="VE22" s="1285"/>
      <c r="VF22" s="1287"/>
      <c r="VG22" s="1285"/>
      <c r="VH22" s="1285"/>
      <c r="VI22" s="1287"/>
      <c r="VJ22" s="1285">
        <v>12</v>
      </c>
      <c r="VK22" s="1285"/>
      <c r="VL22" s="1287"/>
      <c r="VM22" s="1285">
        <v>10</v>
      </c>
      <c r="VN22" s="1285"/>
      <c r="VO22" s="1287"/>
      <c r="VP22" s="1285">
        <v>15</v>
      </c>
      <c r="VQ22" s="1285"/>
      <c r="VR22" s="1287"/>
      <c r="VS22" s="1285">
        <v>15</v>
      </c>
      <c r="VT22" s="1285"/>
      <c r="VU22" s="1287"/>
      <c r="VV22" s="1285">
        <v>14</v>
      </c>
      <c r="VW22" s="1285"/>
      <c r="VX22" s="1287"/>
      <c r="VY22" s="1285">
        <v>6</v>
      </c>
      <c r="VZ22" s="1285"/>
      <c r="WA22" s="1287"/>
      <c r="WB22" s="1285"/>
      <c r="WC22" s="1285"/>
      <c r="WD22" s="1287"/>
      <c r="WE22" s="1285">
        <v>11</v>
      </c>
      <c r="WF22" s="1285"/>
      <c r="WG22" s="1287"/>
      <c r="WH22" s="1285">
        <v>8</v>
      </c>
      <c r="WI22" s="1285"/>
      <c r="WJ22" s="1287"/>
      <c r="WK22" s="1285">
        <v>14</v>
      </c>
      <c r="WL22" s="1285"/>
      <c r="WM22" s="1287"/>
      <c r="WN22" s="1285">
        <v>16</v>
      </c>
      <c r="WO22" s="1285"/>
      <c r="WP22" s="1287"/>
      <c r="WQ22" s="1285">
        <v>14</v>
      </c>
      <c r="WR22" s="1285"/>
      <c r="WS22" s="1287"/>
      <c r="WT22" s="1285">
        <v>6</v>
      </c>
      <c r="WU22" s="1285"/>
      <c r="WV22" s="1287"/>
      <c r="WW22" s="1285"/>
      <c r="WX22" s="1285"/>
      <c r="WY22" s="1287"/>
      <c r="WZ22" s="1285">
        <v>12</v>
      </c>
      <c r="XA22" s="1285"/>
      <c r="XB22" s="1287"/>
      <c r="XC22" s="1285">
        <v>13</v>
      </c>
      <c r="XD22" s="1285"/>
      <c r="XE22" s="1287"/>
      <c r="XF22" s="1285">
        <v>11</v>
      </c>
      <c r="XG22" s="1285"/>
      <c r="XH22" s="1287"/>
      <c r="XI22" s="1285">
        <v>9</v>
      </c>
      <c r="XJ22" s="1285"/>
      <c r="XK22" s="1287"/>
      <c r="XL22" s="1285">
        <v>14</v>
      </c>
      <c r="XM22" s="1285"/>
      <c r="XN22" s="1287"/>
      <c r="XO22" s="1285">
        <v>4</v>
      </c>
      <c r="XP22" s="1285"/>
      <c r="XQ22" s="1287"/>
      <c r="XR22" s="1285"/>
      <c r="XS22" s="1285"/>
      <c r="XT22" s="1287"/>
      <c r="XU22" s="1285">
        <v>12</v>
      </c>
      <c r="XV22" s="1285"/>
      <c r="XW22" s="1287"/>
      <c r="XX22" s="1285">
        <v>13</v>
      </c>
      <c r="XY22" s="1285"/>
      <c r="XZ22" s="1287"/>
      <c r="YA22" s="1285">
        <v>13</v>
      </c>
      <c r="YB22" s="1285"/>
      <c r="YC22" s="1287"/>
      <c r="YD22" s="1285">
        <v>13</v>
      </c>
      <c r="YE22" s="1285"/>
      <c r="YF22" s="1287"/>
      <c r="YG22" s="1285">
        <v>14</v>
      </c>
      <c r="YH22" s="1285"/>
      <c r="YI22" s="1287"/>
      <c r="YJ22" s="1285">
        <v>6</v>
      </c>
      <c r="YK22" s="1285"/>
      <c r="YL22" s="1287"/>
      <c r="YM22" s="1285"/>
      <c r="YN22" s="1285"/>
      <c r="YO22" s="1287"/>
      <c r="YP22" s="1285">
        <v>13</v>
      </c>
      <c r="YQ22" s="1285"/>
      <c r="YR22" s="1287"/>
      <c r="YS22" s="1285">
        <v>10</v>
      </c>
      <c r="YT22" s="1285"/>
      <c r="YU22" s="1287"/>
      <c r="YV22" s="1285">
        <v>12</v>
      </c>
      <c r="YW22" s="1285"/>
      <c r="YX22" s="1287"/>
      <c r="YY22" s="1285">
        <v>16</v>
      </c>
      <c r="YZ22" s="1285"/>
      <c r="ZA22" s="1287"/>
      <c r="ZB22" s="1285">
        <v>16</v>
      </c>
      <c r="ZC22" s="1285"/>
      <c r="ZD22" s="1287"/>
      <c r="ZE22" s="1285">
        <v>9</v>
      </c>
      <c r="ZF22" s="1285"/>
      <c r="ZG22" s="1287"/>
      <c r="ZH22" s="1285"/>
      <c r="ZI22" s="1285"/>
      <c r="ZJ22" s="1287"/>
      <c r="ZK22" s="1285">
        <v>12</v>
      </c>
      <c r="ZL22" s="1285"/>
      <c r="ZM22" s="1287"/>
      <c r="ZN22" s="1285">
        <v>10</v>
      </c>
      <c r="ZO22" s="1285"/>
      <c r="ZP22" s="1287"/>
      <c r="ZQ22" s="1285">
        <v>10</v>
      </c>
      <c r="ZR22" s="1285"/>
      <c r="ZS22" s="1287"/>
      <c r="ZT22" s="1285">
        <v>13</v>
      </c>
      <c r="ZU22" s="1285"/>
      <c r="ZV22" s="1287"/>
      <c r="ZW22" s="1285">
        <v>10</v>
      </c>
      <c r="ZX22" s="1285"/>
      <c r="ZY22" s="1287"/>
      <c r="ZZ22" s="1285">
        <v>8</v>
      </c>
      <c r="AAA22" s="1285"/>
      <c r="AAB22" s="1287"/>
      <c r="AAC22" s="1285"/>
      <c r="AAD22" s="1285"/>
      <c r="AAE22" s="1287"/>
      <c r="AAF22" s="1285">
        <v>13</v>
      </c>
      <c r="AAG22" s="1285"/>
      <c r="AAH22" s="1287"/>
      <c r="AAI22" s="1285">
        <v>13</v>
      </c>
      <c r="AAJ22" s="1285"/>
      <c r="AAK22" s="1287"/>
      <c r="AAL22" s="1285">
        <v>14</v>
      </c>
      <c r="AAM22" s="1285"/>
      <c r="AAN22" s="1287"/>
      <c r="AAO22" s="1285">
        <v>13</v>
      </c>
      <c r="AAP22" s="1285"/>
      <c r="AAQ22" s="1287"/>
      <c r="AAR22" s="1285">
        <v>15</v>
      </c>
      <c r="AAS22" s="1285"/>
      <c r="AAT22" s="1287"/>
      <c r="AAU22" s="1285">
        <v>6</v>
      </c>
      <c r="AAV22" s="1285"/>
      <c r="AAW22" s="1287"/>
      <c r="AAX22" s="1285"/>
      <c r="AAY22" s="1285"/>
      <c r="AAZ22" s="1287"/>
      <c r="ABA22" s="1285">
        <v>2</v>
      </c>
      <c r="ABB22" s="1285"/>
      <c r="ABC22" s="1287"/>
      <c r="ABD22" s="1285">
        <v>14</v>
      </c>
      <c r="ABE22" s="1285"/>
      <c r="ABF22" s="1287"/>
      <c r="ABG22" s="1285">
        <v>7</v>
      </c>
      <c r="ABH22" s="1285"/>
      <c r="ABI22" s="1287"/>
      <c r="ABJ22" s="1285">
        <v>13</v>
      </c>
      <c r="ABK22" s="1285"/>
      <c r="ABL22" s="1287"/>
      <c r="ABM22" s="1285">
        <v>14</v>
      </c>
      <c r="ABN22" s="1285"/>
      <c r="ABO22" s="1287"/>
      <c r="ABP22" s="1285">
        <v>8</v>
      </c>
      <c r="ABQ22" s="1285"/>
      <c r="ABR22" s="1287"/>
      <c r="ABS22" s="1285">
        <v>13</v>
      </c>
      <c r="ABT22" s="1285"/>
      <c r="ABU22" s="1287"/>
      <c r="ABV22" s="1285">
        <v>14</v>
      </c>
      <c r="ABW22" s="1285"/>
      <c r="ABX22" s="1287"/>
      <c r="ABY22" s="1285">
        <v>11</v>
      </c>
      <c r="ABZ22" s="1285"/>
      <c r="ACA22" s="1287"/>
      <c r="ACB22" s="1285">
        <v>11</v>
      </c>
      <c r="ACC22" s="1285"/>
      <c r="ACD22" s="1287"/>
      <c r="ACE22" s="1285">
        <v>10</v>
      </c>
      <c r="ACF22" s="1285"/>
      <c r="ACG22" s="1287"/>
      <c r="ACH22" s="1285"/>
      <c r="ACI22" s="1285"/>
      <c r="ACJ22" s="1287"/>
      <c r="ACK22" s="1285">
        <v>10</v>
      </c>
      <c r="ACL22" s="1285"/>
      <c r="ACM22" s="1287"/>
      <c r="ACN22" s="1285"/>
      <c r="ACO22" s="1285"/>
      <c r="ACP22" s="1287"/>
      <c r="ACQ22" s="1285">
        <v>15</v>
      </c>
      <c r="ACR22" s="1285"/>
      <c r="ACS22" s="1287"/>
      <c r="ACT22" s="1285">
        <v>10</v>
      </c>
      <c r="ACU22" s="1285"/>
      <c r="ACV22" s="1287"/>
      <c r="ACW22" s="1285">
        <v>15</v>
      </c>
      <c r="ACX22" s="1285"/>
      <c r="ACY22" s="1287"/>
      <c r="ACZ22" s="1285">
        <v>12</v>
      </c>
      <c r="ADA22" s="1285"/>
      <c r="ADB22" s="1287"/>
      <c r="ADC22" s="1285">
        <v>10</v>
      </c>
      <c r="ADD22" s="1285"/>
      <c r="ADE22" s="1287"/>
      <c r="ADF22" s="1285">
        <v>11</v>
      </c>
      <c r="ADG22" s="1285"/>
      <c r="ADH22" s="1287"/>
      <c r="ADI22" s="1285"/>
      <c r="ADJ22" s="1285"/>
      <c r="ADK22" s="1287"/>
      <c r="ADL22" s="1285">
        <v>12</v>
      </c>
      <c r="ADM22" s="1285"/>
      <c r="ADN22" s="1287"/>
      <c r="ADO22" s="1285">
        <v>12</v>
      </c>
      <c r="ADP22" s="1285"/>
      <c r="ADQ22" s="1287"/>
      <c r="ADR22" s="1285">
        <v>10</v>
      </c>
      <c r="ADS22" s="1285"/>
      <c r="ADT22" s="1287"/>
      <c r="ADU22" s="1285">
        <v>9</v>
      </c>
      <c r="ADV22" s="1285"/>
      <c r="ADW22" s="1287"/>
      <c r="ADX22" s="1285">
        <v>12</v>
      </c>
      <c r="ADY22" s="1285"/>
      <c r="ADZ22" s="1287"/>
      <c r="AEA22" s="1285">
        <v>6</v>
      </c>
      <c r="AEB22" s="1285"/>
      <c r="AEC22" s="1287"/>
      <c r="AED22" s="1285"/>
      <c r="AEE22" s="1285"/>
      <c r="AEF22" s="1287"/>
      <c r="AEG22" s="1285">
        <v>12</v>
      </c>
      <c r="AEH22" s="1285"/>
      <c r="AEI22" s="1287"/>
      <c r="AEJ22" s="1285">
        <v>8</v>
      </c>
      <c r="AEK22" s="1285"/>
      <c r="AEL22" s="1287"/>
      <c r="AEM22" s="1285">
        <v>8</v>
      </c>
      <c r="AEN22" s="1285"/>
      <c r="AEO22" s="1287"/>
      <c r="AEP22" s="1285">
        <v>14</v>
      </c>
      <c r="AEQ22" s="1285"/>
      <c r="AER22" s="1287"/>
      <c r="AES22" s="1285">
        <v>14</v>
      </c>
      <c r="AET22" s="1285"/>
      <c r="AEU22" s="1287"/>
      <c r="AEV22" s="1285">
        <v>11</v>
      </c>
      <c r="AEW22" s="1285"/>
      <c r="AEX22" s="1287"/>
      <c r="AEY22" s="1285"/>
      <c r="AEZ22" s="1285"/>
      <c r="AFA22" s="1287"/>
      <c r="AFB22" s="1285">
        <v>12</v>
      </c>
      <c r="AFC22" s="1285"/>
      <c r="AFD22" s="1287"/>
      <c r="AFE22" s="1285">
        <v>12</v>
      </c>
      <c r="AFF22" s="1285"/>
      <c r="AFG22" s="1287"/>
      <c r="AFH22" s="1285">
        <v>9</v>
      </c>
      <c r="AFI22" s="1285"/>
      <c r="AFJ22" s="1287"/>
      <c r="AFK22" s="1285">
        <v>11</v>
      </c>
      <c r="AFL22" s="1285"/>
      <c r="AFM22" s="1287"/>
      <c r="AFN22" s="1285">
        <v>14</v>
      </c>
      <c r="AFO22" s="1285"/>
      <c r="AFP22" s="1287"/>
      <c r="AFQ22" s="1285">
        <v>6</v>
      </c>
      <c r="AFR22" s="1285"/>
      <c r="AFS22" s="1287"/>
      <c r="AFT22" s="1285"/>
      <c r="AFU22" s="1285"/>
      <c r="AFV22" s="1287"/>
      <c r="AFW22" s="1285">
        <v>11</v>
      </c>
      <c r="AFX22" s="1285"/>
      <c r="AFY22" s="1287"/>
      <c r="AFZ22" s="1285">
        <v>12</v>
      </c>
      <c r="AGA22" s="1285"/>
      <c r="AGB22" s="1287"/>
      <c r="AGC22" s="1285">
        <v>10</v>
      </c>
      <c r="AGD22" s="1285"/>
      <c r="AGE22" s="1287"/>
      <c r="AGF22" s="1285">
        <v>11</v>
      </c>
      <c r="AGG22" s="1285"/>
      <c r="AGH22" s="1287"/>
      <c r="AGI22" s="1285">
        <v>13</v>
      </c>
      <c r="AGJ22" s="1285"/>
      <c r="AGK22" s="1287"/>
      <c r="AGL22" s="1285">
        <v>12</v>
      </c>
      <c r="AGM22" s="1285"/>
      <c r="AGN22" s="1287"/>
      <c r="AGO22" s="1285">
        <v>10</v>
      </c>
      <c r="AGP22" s="1285"/>
      <c r="AGQ22" s="1287"/>
      <c r="AGR22" s="1285">
        <v>11</v>
      </c>
      <c r="AGS22" s="1285"/>
      <c r="AGT22" s="1287"/>
      <c r="AGU22" s="1285">
        <v>11</v>
      </c>
      <c r="AGV22" s="1285"/>
      <c r="AGW22" s="1287"/>
      <c r="AGX22" s="1285">
        <v>11</v>
      </c>
      <c r="AGY22" s="1285"/>
      <c r="AGZ22" s="1287"/>
      <c r="AHA22" s="1285">
        <v>9</v>
      </c>
      <c r="AHB22" s="1285"/>
      <c r="AHC22" s="1287"/>
      <c r="AHD22" s="1285">
        <v>14</v>
      </c>
      <c r="AHE22" s="1285"/>
      <c r="AHF22" s="1287"/>
      <c r="AHG22" s="1285">
        <v>12</v>
      </c>
      <c r="AHH22" s="1285"/>
      <c r="AHI22" s="1287"/>
      <c r="AHJ22" s="1285"/>
      <c r="AHK22" s="1285"/>
      <c r="AHL22" s="1287"/>
      <c r="AHM22" s="1285"/>
      <c r="AHN22" s="1285"/>
      <c r="AHO22" s="1287"/>
      <c r="AHP22" s="1285">
        <v>4</v>
      </c>
      <c r="AHQ22" s="1285"/>
      <c r="AHR22" s="1287"/>
      <c r="AHS22" s="1285">
        <v>12</v>
      </c>
      <c r="AHT22" s="1285"/>
      <c r="AHU22" s="1287"/>
      <c r="AHV22" s="1285">
        <v>15</v>
      </c>
      <c r="AHW22" s="1285"/>
      <c r="AHX22" s="1287"/>
      <c r="AHY22" s="1285">
        <v>16</v>
      </c>
      <c r="AHZ22" s="1285"/>
      <c r="AIA22" s="1287"/>
      <c r="AIB22" s="1285">
        <v>13</v>
      </c>
      <c r="AIC22" s="1285"/>
      <c r="AID22" s="1287"/>
      <c r="AIE22" s="1286" t="s">
        <v>20</v>
      </c>
      <c r="AIF22" s="1285"/>
      <c r="AIG22" s="1287"/>
      <c r="AIH22" s="1285">
        <v>12</v>
      </c>
      <c r="AII22" s="1285"/>
      <c r="AIJ22" s="1287"/>
      <c r="AIK22" s="1285">
        <v>12</v>
      </c>
      <c r="AIL22" s="1285"/>
      <c r="AIM22" s="1287"/>
      <c r="AIN22" s="1285">
        <v>11</v>
      </c>
      <c r="AIO22" s="1285"/>
      <c r="AIP22" s="1287"/>
      <c r="AIQ22" s="1285">
        <v>10</v>
      </c>
      <c r="AIR22" s="1285"/>
      <c r="AIS22" s="1285"/>
      <c r="AIT22" s="1286">
        <v>11</v>
      </c>
      <c r="AIU22" s="1285"/>
      <c r="AIV22" s="1287"/>
      <c r="AIW22" s="1285">
        <v>10</v>
      </c>
      <c r="AIX22" s="1285"/>
      <c r="AIY22" s="1285"/>
      <c r="AIZ22" s="1286"/>
      <c r="AJA22" s="1285"/>
      <c r="AJB22" s="1287"/>
      <c r="AJC22" s="1285"/>
      <c r="AJD22" s="1285"/>
      <c r="AJE22" s="1287"/>
      <c r="AJF22" s="1285">
        <v>10</v>
      </c>
      <c r="AJG22" s="1285"/>
      <c r="AJH22" s="1287"/>
      <c r="AJI22" s="1285">
        <v>8</v>
      </c>
      <c r="AJJ22" s="1285"/>
      <c r="AJK22" s="1287"/>
      <c r="AJL22" s="1285">
        <v>9</v>
      </c>
      <c r="AJM22" s="1285"/>
      <c r="AJN22" s="1285"/>
      <c r="AJO22" s="1286">
        <v>11</v>
      </c>
      <c r="AJP22" s="1285"/>
      <c r="AJQ22" s="1287"/>
      <c r="AJR22" s="1285">
        <v>8</v>
      </c>
      <c r="AJS22" s="1285"/>
      <c r="AJT22" s="1285"/>
      <c r="AJU22" s="1286"/>
      <c r="AJV22" s="1285"/>
      <c r="AJW22" s="1287"/>
      <c r="AJX22" s="1286">
        <v>10</v>
      </c>
      <c r="AJY22" s="1285"/>
      <c r="AJZ22" s="1287"/>
      <c r="AKA22" s="1285">
        <v>9</v>
      </c>
      <c r="AKB22" s="1285"/>
      <c r="AKC22" s="1287"/>
      <c r="AKD22" s="1285">
        <v>12</v>
      </c>
      <c r="AKE22" s="1285"/>
      <c r="AKF22" s="1287"/>
      <c r="AKG22" s="1285">
        <v>9</v>
      </c>
      <c r="AKH22" s="1285"/>
      <c r="AKI22" s="1285"/>
      <c r="AKJ22" s="1286">
        <v>11</v>
      </c>
      <c r="AKK22" s="1285"/>
      <c r="AKL22" s="1287"/>
      <c r="AKM22" s="1285">
        <v>6</v>
      </c>
      <c r="AKN22" s="1285"/>
      <c r="AKO22" s="1285"/>
      <c r="AKP22" s="1286"/>
      <c r="AKQ22" s="1285"/>
      <c r="AKR22" s="1287"/>
      <c r="AKS22" s="1285">
        <v>9</v>
      </c>
      <c r="AKT22" s="1285"/>
      <c r="AKU22" s="1287"/>
      <c r="AKV22" s="1285">
        <v>9</v>
      </c>
      <c r="AKW22" s="1285"/>
      <c r="AKX22" s="1287"/>
      <c r="AKY22" s="1285">
        <v>8</v>
      </c>
      <c r="AKZ22" s="1285"/>
      <c r="ALA22" s="1287"/>
      <c r="ALB22" s="1285"/>
      <c r="ALC22" s="1285"/>
      <c r="ALD22" s="1285"/>
      <c r="ALE22" s="1286">
        <v>5</v>
      </c>
      <c r="ALF22" s="1285"/>
      <c r="ALG22" s="1287"/>
      <c r="ALH22" s="1285">
        <v>12</v>
      </c>
      <c r="ALI22" s="1285"/>
      <c r="ALJ22" s="1285"/>
      <c r="ALK22" s="1286"/>
      <c r="ALL22" s="1285"/>
      <c r="ALM22" s="1287"/>
      <c r="ALN22" s="1285">
        <v>11</v>
      </c>
      <c r="ALO22" s="1285"/>
      <c r="ALP22" s="1287"/>
      <c r="ALQ22" s="1285">
        <v>9</v>
      </c>
      <c r="ALR22" s="1285"/>
      <c r="ALS22" s="1287"/>
      <c r="ALT22" s="1285">
        <v>14</v>
      </c>
      <c r="ALU22" s="1285"/>
      <c r="ALV22" s="1287"/>
      <c r="ALW22" s="1285">
        <v>8</v>
      </c>
      <c r="ALX22" s="1285"/>
      <c r="ALY22" s="1285"/>
      <c r="ALZ22" s="1286"/>
      <c r="AMA22" s="1285"/>
      <c r="AMB22" s="1287"/>
      <c r="AMC22" s="1285">
        <v>5</v>
      </c>
      <c r="AMD22" s="1285"/>
      <c r="AME22" s="1285"/>
      <c r="AMF22" s="1286"/>
      <c r="AMG22" s="1285"/>
      <c r="AMH22" s="1287"/>
      <c r="AMI22" s="1285">
        <v>10</v>
      </c>
      <c r="AMJ22" s="1285"/>
      <c r="AMK22" s="1287"/>
      <c r="AML22" s="1285">
        <v>15</v>
      </c>
      <c r="AMM22" s="1285"/>
      <c r="AMN22" s="1287"/>
      <c r="AMO22" s="1285">
        <v>15</v>
      </c>
      <c r="AMP22" s="1285"/>
      <c r="AMQ22" s="1287"/>
      <c r="AMR22" s="1285">
        <v>9</v>
      </c>
      <c r="AMS22" s="1285"/>
      <c r="AMT22" s="1285"/>
      <c r="AMU22" s="1286">
        <v>13</v>
      </c>
      <c r="AMV22" s="1285"/>
      <c r="AMW22" s="1287"/>
      <c r="AMX22" s="1285">
        <v>10</v>
      </c>
      <c r="AMY22" s="1285"/>
      <c r="AMZ22" s="1285"/>
      <c r="ANA22" s="1286"/>
      <c r="ANB22" s="1285"/>
      <c r="ANC22" s="1287"/>
      <c r="AND22" s="1285">
        <v>9</v>
      </c>
      <c r="ANE22" s="1285"/>
      <c r="ANF22" s="1287"/>
      <c r="ANG22" s="1285">
        <v>5</v>
      </c>
      <c r="ANH22" s="1285"/>
      <c r="ANI22" s="1287"/>
      <c r="ANJ22" s="1285">
        <v>3</v>
      </c>
      <c r="ANK22" s="1285"/>
      <c r="ANL22" s="1287"/>
      <c r="ANM22" s="1285">
        <v>9</v>
      </c>
      <c r="ANN22" s="1285"/>
      <c r="ANO22" s="1285"/>
      <c r="ANP22" s="1286">
        <v>2</v>
      </c>
      <c r="ANQ22" s="1285"/>
      <c r="ANR22" s="1287"/>
      <c r="ANS22" s="1285">
        <v>6</v>
      </c>
      <c r="ANT22" s="1285"/>
      <c r="ANU22" s="1285"/>
      <c r="ANV22" s="1286"/>
      <c r="ANW22" s="1285"/>
      <c r="ANX22" s="1287"/>
      <c r="ANY22" s="1285">
        <v>7</v>
      </c>
      <c r="ANZ22" s="1285"/>
      <c r="AOA22" s="1287"/>
      <c r="AOB22" s="1285">
        <v>6</v>
      </c>
      <c r="AOC22" s="1285"/>
      <c r="AOD22" s="1287"/>
      <c r="AOE22" s="1285">
        <v>8</v>
      </c>
      <c r="AOF22" s="1285"/>
      <c r="AOG22" s="1287"/>
      <c r="AOH22" s="1285">
        <v>6</v>
      </c>
      <c r="AOI22" s="1285"/>
      <c r="AOJ22" s="1285"/>
      <c r="AOK22" s="1286">
        <v>2</v>
      </c>
      <c r="AOL22" s="1285"/>
      <c r="AOM22" s="1287"/>
      <c r="AON22" s="1285">
        <v>5</v>
      </c>
      <c r="AOO22" s="1285"/>
      <c r="AOP22" s="1285"/>
      <c r="AOQ22" s="1286"/>
      <c r="AOR22" s="1285"/>
      <c r="AOS22" s="1287"/>
      <c r="AOT22" s="1285">
        <v>8</v>
      </c>
      <c r="AOU22" s="1285"/>
      <c r="AOV22" s="1287"/>
      <c r="AOW22" s="1285">
        <v>5</v>
      </c>
      <c r="AOX22" s="1285"/>
      <c r="AOY22" s="1287"/>
      <c r="AOZ22" s="1285">
        <v>7</v>
      </c>
      <c r="APA22" s="1285"/>
      <c r="APB22" s="1287"/>
      <c r="APC22" s="1285">
        <v>6</v>
      </c>
      <c r="APD22" s="1285"/>
      <c r="APE22" s="1285"/>
      <c r="APF22" s="1286">
        <v>3</v>
      </c>
      <c r="APG22" s="1285"/>
      <c r="APH22" s="1287"/>
      <c r="API22" s="1285">
        <v>7</v>
      </c>
      <c r="APJ22" s="1285"/>
      <c r="APK22" s="1285"/>
      <c r="APL22" s="1286"/>
      <c r="APM22" s="1285"/>
      <c r="APN22" s="1287"/>
      <c r="APO22" s="1285">
        <v>6</v>
      </c>
      <c r="APP22" s="1285"/>
      <c r="APQ22" s="1287"/>
      <c r="APR22" s="1285">
        <v>5</v>
      </c>
      <c r="APS22" s="1285"/>
      <c r="APT22" s="1287"/>
      <c r="APU22" s="1285">
        <v>4</v>
      </c>
      <c r="APV22" s="1285"/>
      <c r="APW22" s="1287"/>
      <c r="APX22" s="1285">
        <v>4</v>
      </c>
      <c r="APY22" s="1285"/>
      <c r="APZ22" s="1285"/>
      <c r="AQA22" s="1286">
        <v>1</v>
      </c>
      <c r="AQB22" s="1285"/>
      <c r="AQC22" s="1287"/>
      <c r="AQD22" s="1285">
        <v>7</v>
      </c>
      <c r="AQE22" s="1285"/>
      <c r="AQF22" s="1287"/>
      <c r="AQG22" s="1285"/>
      <c r="AQH22" s="1285"/>
      <c r="AQI22" s="1287"/>
      <c r="AQJ22" s="1285">
        <v>8</v>
      </c>
      <c r="AQK22" s="1285"/>
      <c r="AQL22" s="1287"/>
      <c r="AQM22" s="1285">
        <v>5</v>
      </c>
      <c r="AQN22" s="1285"/>
      <c r="AQO22" s="1287"/>
      <c r="AQP22" s="1285">
        <v>6</v>
      </c>
      <c r="AQQ22" s="1285"/>
      <c r="AQR22" s="1285"/>
      <c r="AQS22" s="1286">
        <v>5</v>
      </c>
      <c r="AQT22" s="1285"/>
      <c r="AQU22" s="1287"/>
      <c r="AQV22" s="1285">
        <v>4</v>
      </c>
      <c r="AQW22" s="1285"/>
      <c r="AQX22" s="1287"/>
      <c r="AQY22" s="1285">
        <v>3</v>
      </c>
      <c r="AQZ22" s="1285"/>
      <c r="ARA22" s="1287"/>
      <c r="ARB22" s="1285"/>
      <c r="ARC22" s="1285"/>
      <c r="ARD22" s="1287"/>
      <c r="ARE22" s="1285"/>
      <c r="ARF22" s="1285"/>
      <c r="ARG22" s="1287"/>
      <c r="ARH22" s="1285"/>
      <c r="ARI22" s="1285"/>
      <c r="ARJ22" s="1287"/>
      <c r="ARK22" s="1285">
        <v>2</v>
      </c>
      <c r="ARL22" s="1285"/>
      <c r="ARM22" s="1287"/>
      <c r="ARN22" s="1285">
        <v>0</v>
      </c>
      <c r="ARO22" s="1285"/>
      <c r="ARP22" s="1287"/>
      <c r="ARQ22" s="1285">
        <v>2</v>
      </c>
      <c r="ARR22" s="1285"/>
      <c r="ARS22" s="1287"/>
      <c r="ART22" s="1285">
        <v>6</v>
      </c>
      <c r="ARU22" s="1285"/>
      <c r="ARV22" s="1287"/>
      <c r="ARW22" s="1285"/>
      <c r="ARX22" s="1285"/>
      <c r="ARY22" s="1287"/>
      <c r="ARZ22" s="1285">
        <v>0</v>
      </c>
      <c r="ASA22" s="1285"/>
      <c r="ASB22" s="1287"/>
      <c r="ASC22" s="1285">
        <v>2</v>
      </c>
      <c r="ASD22" s="1285"/>
      <c r="ASE22" s="1285"/>
      <c r="ASF22" s="1286">
        <v>0</v>
      </c>
      <c r="ASG22" s="1285"/>
      <c r="ASH22" s="1287"/>
      <c r="ASI22" s="1285">
        <v>1</v>
      </c>
      <c r="ASJ22" s="1285"/>
      <c r="ASK22" s="1285"/>
      <c r="ASL22" s="1286">
        <v>1</v>
      </c>
      <c r="ASM22" s="1285"/>
      <c r="ASN22" s="1287"/>
      <c r="ASO22" s="1285">
        <v>0</v>
      </c>
      <c r="ASP22" s="1285"/>
      <c r="ASQ22" s="1285"/>
      <c r="ASR22" s="1286"/>
      <c r="ASS22" s="1285"/>
      <c r="AST22" s="1287"/>
      <c r="ASU22" s="1285">
        <v>0</v>
      </c>
      <c r="ASV22" s="1285"/>
      <c r="ASW22" s="1287"/>
      <c r="ASX22" s="1285">
        <v>0</v>
      </c>
      <c r="ASY22" s="1285"/>
      <c r="ASZ22" s="1287"/>
      <c r="ATA22" s="1285">
        <v>3</v>
      </c>
      <c r="ATB22" s="1285"/>
      <c r="ATC22" s="1287"/>
      <c r="ATD22" s="1285">
        <v>1</v>
      </c>
      <c r="ATE22" s="1285"/>
      <c r="ATF22" s="1285"/>
      <c r="ATG22" s="1286">
        <v>0</v>
      </c>
      <c r="ATH22" s="1285"/>
      <c r="ATI22" s="1287"/>
      <c r="ATJ22" s="1285">
        <v>0</v>
      </c>
      <c r="ATK22" s="1285"/>
      <c r="ATL22" s="1287"/>
      <c r="ATM22" s="1285"/>
      <c r="ATN22" s="1285"/>
      <c r="ATO22" s="1287"/>
      <c r="ATP22" s="1285">
        <v>0</v>
      </c>
      <c r="ATQ22" s="1285"/>
      <c r="ATR22" s="1287"/>
      <c r="ATS22" s="1285">
        <v>0</v>
      </c>
      <c r="ATT22" s="1285"/>
      <c r="ATU22" s="1287"/>
      <c r="ATV22" s="1285">
        <v>1</v>
      </c>
      <c r="ATW22" s="1285"/>
      <c r="ATX22" s="1287"/>
      <c r="ATY22" s="1285">
        <v>0</v>
      </c>
      <c r="ATZ22" s="1285"/>
      <c r="AUA22" s="1285"/>
      <c r="AUB22" s="1286">
        <v>0</v>
      </c>
      <c r="AUC22" s="1285"/>
      <c r="AUD22" s="1287"/>
      <c r="AUE22" s="1285">
        <v>0</v>
      </c>
      <c r="AUF22" s="1285"/>
      <c r="AUG22" s="1287"/>
      <c r="AUH22" s="1285"/>
      <c r="AUI22" s="1285"/>
      <c r="AUJ22" s="1287"/>
      <c r="AUK22" s="1285">
        <v>0</v>
      </c>
      <c r="AUL22" s="1285"/>
      <c r="AUM22" s="1285"/>
      <c r="AUN22" s="1286">
        <v>1</v>
      </c>
      <c r="AUO22" s="1285"/>
      <c r="AUP22" s="1285"/>
      <c r="AUQ22" s="1286">
        <v>0</v>
      </c>
      <c r="AUR22" s="1285"/>
      <c r="AUS22" s="1285"/>
      <c r="AUT22" s="1286">
        <v>1</v>
      </c>
      <c r="AUU22" s="1285"/>
      <c r="AUV22" s="1285"/>
      <c r="AUW22" s="1286">
        <v>0</v>
      </c>
      <c r="AUX22" s="1285"/>
      <c r="AUY22" s="1285"/>
      <c r="AUZ22" s="1286">
        <v>2</v>
      </c>
      <c r="AVA22" s="1285"/>
      <c r="AVB22" s="1285"/>
      <c r="AVC22" s="1286"/>
      <c r="AVD22" s="1285"/>
      <c r="AVE22" s="1285"/>
      <c r="AVF22" s="1286">
        <v>0</v>
      </c>
      <c r="AVG22" s="1285"/>
      <c r="AVH22" s="1285"/>
      <c r="AVI22" s="1286"/>
      <c r="AVJ22" s="1285"/>
      <c r="AVK22" s="1285"/>
      <c r="AVL22" s="1286">
        <v>0</v>
      </c>
      <c r="AVM22" s="1285"/>
      <c r="AVN22" s="1285"/>
      <c r="AVO22" s="1286">
        <v>0</v>
      </c>
      <c r="AVP22" s="1285"/>
      <c r="AVQ22" s="1285"/>
      <c r="AVR22" s="1286"/>
      <c r="AVS22" s="1285"/>
      <c r="AVT22" s="1285"/>
      <c r="AVU22" s="1286"/>
      <c r="AVV22" s="1285"/>
      <c r="AVW22" s="1285"/>
      <c r="AVX22" s="1286"/>
      <c r="AVY22" s="1285"/>
      <c r="AVZ22" s="1285"/>
      <c r="AWA22" s="1286"/>
      <c r="AWB22" s="1285"/>
      <c r="AWC22" s="1285"/>
      <c r="AWD22" s="1286"/>
      <c r="AWE22" s="1285"/>
      <c r="AWF22" s="1285"/>
      <c r="AWG22" s="1286"/>
      <c r="AWH22" s="1285"/>
      <c r="AWI22" s="1285"/>
      <c r="AWJ22" s="1286"/>
      <c r="AWK22" s="1285"/>
      <c r="AWL22" s="1285"/>
      <c r="AWM22" s="1286"/>
      <c r="AWN22" s="1285"/>
      <c r="AWO22" s="1287"/>
      <c r="AWP22" s="1285"/>
      <c r="AWQ22" s="1285"/>
      <c r="AWR22" s="1287"/>
      <c r="AWS22" s="1285"/>
      <c r="AWT22" s="1285"/>
      <c r="AWU22" s="1287"/>
      <c r="AWV22" s="1285"/>
      <c r="AWW22" s="1285"/>
      <c r="AWX22" s="1287"/>
      <c r="AWY22" s="1285"/>
      <c r="AWZ22" s="1285"/>
      <c r="AXA22" s="1285"/>
      <c r="AXB22" s="1286"/>
      <c r="AXC22" s="1285"/>
      <c r="AXD22" s="1287"/>
      <c r="AXE22" s="1285"/>
      <c r="AXF22" s="1285"/>
      <c r="AXG22" s="1285"/>
      <c r="AXH22" s="1286"/>
      <c r="AXI22" s="1285"/>
      <c r="AXJ22" s="1287"/>
      <c r="AXK22" s="1285"/>
      <c r="AXL22" s="1285"/>
      <c r="AXM22" s="1287"/>
      <c r="AXN22" s="1285"/>
      <c r="AXO22" s="1285"/>
      <c r="AXP22" s="1287"/>
      <c r="AXQ22" s="1285"/>
      <c r="AXR22" s="1285"/>
      <c r="AXS22" s="1287"/>
      <c r="AXT22" s="1285"/>
      <c r="AXU22" s="1285"/>
      <c r="AXV22" s="1285"/>
      <c r="AXW22" s="1286"/>
      <c r="AXX22" s="1285"/>
      <c r="AXY22" s="1287"/>
      <c r="AXZ22" s="1285"/>
      <c r="AYA22" s="1285"/>
      <c r="AYB22" s="1285"/>
      <c r="AYC22" s="1286"/>
      <c r="AYD22" s="1285"/>
      <c r="AYE22" s="1287"/>
      <c r="AYF22" s="1285"/>
      <c r="AYG22" s="1285"/>
      <c r="AYH22" s="1287"/>
      <c r="AYI22" s="1285"/>
      <c r="AYJ22" s="1285"/>
      <c r="AYK22" s="1287"/>
      <c r="AYL22" s="1285"/>
      <c r="AYM22" s="1285"/>
      <c r="AYN22" s="1287"/>
      <c r="AYO22" s="1285"/>
      <c r="AYP22" s="1285"/>
      <c r="AYQ22" s="1285"/>
      <c r="AYR22" s="1286"/>
      <c r="AYS22" s="1285"/>
      <c r="AYT22" s="1287"/>
      <c r="AYU22" s="1285"/>
      <c r="AYV22" s="1285"/>
      <c r="AYW22" s="1285"/>
      <c r="AYX22" s="1286"/>
      <c r="AYY22" s="1285"/>
      <c r="AYZ22" s="1287"/>
      <c r="AZA22" s="1285"/>
      <c r="AZB22" s="1285"/>
      <c r="AZC22" s="1287"/>
      <c r="AZD22" s="1285"/>
      <c r="AZE22" s="1285"/>
      <c r="AZF22" s="1287"/>
      <c r="AZG22" s="1285"/>
      <c r="AZH22" s="1285"/>
      <c r="AZI22" s="1287"/>
      <c r="AZJ22" s="1285"/>
      <c r="AZK22" s="1285"/>
      <c r="AZL22" s="1285"/>
      <c r="AZM22" s="1286"/>
      <c r="AZN22" s="1285"/>
      <c r="AZO22" s="1287"/>
      <c r="AZP22" s="1285"/>
      <c r="AZQ22" s="1285"/>
      <c r="AZR22" s="1285"/>
      <c r="AZS22" s="1286"/>
      <c r="AZT22" s="1285"/>
      <c r="AZU22" s="1287"/>
      <c r="AZV22" s="1285"/>
      <c r="AZW22" s="1285"/>
      <c r="AZX22" s="1287"/>
      <c r="AZY22" s="1285"/>
      <c r="AZZ22" s="1285"/>
      <c r="BAA22" s="1287"/>
      <c r="BAB22" s="1285"/>
      <c r="BAC22" s="1285"/>
      <c r="BAD22" s="1287"/>
      <c r="BAE22" s="1285"/>
      <c r="BAF22" s="1285"/>
      <c r="BAG22" s="1285"/>
      <c r="BAH22" s="1286"/>
      <c r="BAI22" s="1285"/>
      <c r="BAJ22" s="1287"/>
    </row>
    <row r="23" spans="1:1399">
      <c r="B23" s="1220" t="s">
        <v>353</v>
      </c>
      <c r="C23" s="1221"/>
      <c r="D23" s="1221"/>
      <c r="E23" s="1222"/>
      <c r="F23" s="1234"/>
      <c r="G23" s="1234"/>
      <c r="H23" s="1235"/>
      <c r="I23" s="1234"/>
      <c r="J23" s="1234"/>
      <c r="K23" s="1235"/>
      <c r="L23" s="1234"/>
      <c r="M23" s="1234"/>
      <c r="N23" s="1235"/>
      <c r="O23" s="1234"/>
      <c r="P23" s="1234"/>
      <c r="Q23" s="1235"/>
      <c r="R23" s="1234"/>
      <c r="S23" s="1234"/>
      <c r="T23" s="1235"/>
      <c r="U23" s="1234"/>
      <c r="V23" s="1234"/>
      <c r="W23" s="1235"/>
      <c r="X23" s="1234"/>
      <c r="Y23" s="1234"/>
      <c r="Z23" s="1235"/>
      <c r="AA23" s="1234"/>
      <c r="AB23" s="1234"/>
      <c r="AC23" s="1235"/>
      <c r="AD23" s="1234"/>
      <c r="AE23" s="1234"/>
      <c r="AF23" s="1235"/>
      <c r="AG23" s="1234"/>
      <c r="AH23" s="1234"/>
      <c r="AI23" s="1235"/>
      <c r="AJ23" s="1234"/>
      <c r="AK23" s="1234"/>
      <c r="AL23" s="1235"/>
      <c r="AM23" s="1234"/>
      <c r="AN23" s="1234"/>
      <c r="AO23" s="1235"/>
      <c r="AP23" s="1234"/>
      <c r="AQ23" s="1234"/>
      <c r="AR23" s="1235"/>
      <c r="AS23" s="1234"/>
      <c r="AT23" s="1234"/>
      <c r="AU23" s="1235"/>
      <c r="AV23" s="1234"/>
      <c r="AW23" s="1234"/>
      <c r="AX23" s="1235"/>
      <c r="AY23" s="1234"/>
      <c r="AZ23" s="1234"/>
      <c r="BA23" s="1235"/>
      <c r="BB23" s="1234"/>
      <c r="BC23" s="1234"/>
      <c r="BD23" s="1235"/>
      <c r="BE23" s="1234"/>
      <c r="BF23" s="1234"/>
      <c r="BG23" s="1235"/>
      <c r="BH23" s="1234"/>
      <c r="BI23" s="1234"/>
      <c r="BJ23" s="1235"/>
      <c r="BK23" s="1234"/>
      <c r="BL23" s="1234"/>
      <c r="BM23" s="1235"/>
      <c r="BN23" s="1234"/>
      <c r="BO23" s="1234"/>
      <c r="BP23" s="1235"/>
      <c r="BQ23" s="1234"/>
      <c r="BR23" s="1234"/>
      <c r="BS23" s="1235"/>
      <c r="BT23" s="1234"/>
      <c r="BU23" s="1234"/>
      <c r="BV23" s="1235"/>
      <c r="BW23" s="1234"/>
      <c r="BX23" s="1234"/>
      <c r="BY23" s="1235"/>
      <c r="BZ23" s="1234"/>
      <c r="CA23" s="1234"/>
      <c r="CB23" s="1235"/>
      <c r="CC23" s="1234"/>
      <c r="CD23" s="1234"/>
      <c r="CE23" s="1235"/>
      <c r="CF23" s="1234"/>
      <c r="CG23" s="1234"/>
      <c r="CH23" s="1235"/>
      <c r="CI23" s="1234"/>
      <c r="CJ23" s="1234"/>
      <c r="CK23" s="1235"/>
      <c r="CL23" s="1234"/>
      <c r="CM23" s="1234"/>
      <c r="CN23" s="1235"/>
      <c r="CO23" s="1234"/>
      <c r="CP23" s="1234"/>
      <c r="CQ23" s="1235"/>
      <c r="CR23" s="1234"/>
      <c r="CS23" s="1234"/>
      <c r="CT23" s="1235"/>
      <c r="CU23" s="1234"/>
      <c r="CV23" s="1234"/>
      <c r="CW23" s="1235"/>
      <c r="CX23" s="1234"/>
      <c r="CY23" s="1234"/>
      <c r="CZ23" s="1235"/>
      <c r="DA23" s="1234"/>
      <c r="DB23" s="1234"/>
      <c r="DC23" s="1235"/>
      <c r="DD23" s="1234"/>
      <c r="DE23" s="1234"/>
      <c r="DF23" s="1235"/>
      <c r="DG23" s="1234"/>
      <c r="DH23" s="1234"/>
      <c r="DI23" s="1235"/>
      <c r="DJ23" s="1234"/>
      <c r="DK23" s="1234"/>
      <c r="DL23" s="1235"/>
      <c r="DM23" s="1234"/>
      <c r="DN23" s="1234"/>
      <c r="DO23" s="1235"/>
      <c r="DP23" s="1234"/>
      <c r="DQ23" s="1234"/>
      <c r="DR23" s="1235"/>
      <c r="DS23" s="1234"/>
      <c r="DT23" s="1234"/>
      <c r="DU23" s="1235"/>
      <c r="DV23" s="1234"/>
      <c r="DW23" s="1234"/>
      <c r="DX23" s="1235"/>
      <c r="DY23" s="1234"/>
      <c r="DZ23" s="1234"/>
      <c r="EA23" s="1235"/>
      <c r="EB23" s="1234"/>
      <c r="EC23" s="1234"/>
      <c r="ED23" s="1235"/>
      <c r="EE23" s="1234"/>
      <c r="EF23" s="1234"/>
      <c r="EG23" s="1235"/>
      <c r="EH23" s="1236"/>
      <c r="EI23" s="1236"/>
      <c r="EJ23" s="1237"/>
      <c r="EK23" s="1234"/>
      <c r="EL23" s="1234"/>
      <c r="EM23" s="1235"/>
      <c r="EN23" s="1234"/>
      <c r="EO23" s="1234"/>
      <c r="EP23" s="1235"/>
      <c r="EQ23" s="1234"/>
      <c r="ER23" s="1234"/>
      <c r="ES23" s="1235"/>
      <c r="ET23" s="1234"/>
      <c r="EU23" s="1234"/>
      <c r="EV23" s="1235"/>
      <c r="EW23" s="1234"/>
      <c r="EX23" s="1234"/>
      <c r="EY23" s="1235"/>
      <c r="EZ23" s="1234"/>
      <c r="FA23" s="1234"/>
      <c r="FB23" s="1235"/>
      <c r="FC23" s="1234"/>
      <c r="FD23" s="1234"/>
      <c r="FE23" s="1235"/>
      <c r="FF23" s="1234"/>
      <c r="FG23" s="1234"/>
      <c r="FH23" s="1235"/>
      <c r="FI23" s="1234"/>
      <c r="FJ23" s="1234"/>
      <c r="FK23" s="1235"/>
      <c r="FL23" s="1234"/>
      <c r="FM23" s="1234"/>
      <c r="FN23" s="1235"/>
      <c r="FO23" s="1234"/>
      <c r="FP23" s="1234"/>
      <c r="FQ23" s="1235"/>
      <c r="FR23" s="1234"/>
      <c r="FS23" s="1234"/>
      <c r="FT23" s="1235"/>
      <c r="FU23" s="1234"/>
      <c r="FV23" s="1234"/>
      <c r="FW23" s="1235"/>
      <c r="FX23" s="1234"/>
      <c r="FY23" s="1234"/>
      <c r="FZ23" s="1235"/>
      <c r="GA23" s="1234"/>
      <c r="GB23" s="1234"/>
      <c r="GC23" s="1235"/>
      <c r="GD23" s="1234"/>
      <c r="GE23" s="1234"/>
      <c r="GF23" s="1235"/>
      <c r="GG23" s="1234"/>
      <c r="GH23" s="1234"/>
      <c r="GI23" s="1235"/>
      <c r="GJ23" s="1234"/>
      <c r="GK23" s="1234"/>
      <c r="GL23" s="1235"/>
      <c r="GM23" s="1234"/>
      <c r="GN23" s="1234"/>
      <c r="GO23" s="1235"/>
      <c r="GP23" s="1234"/>
      <c r="GQ23" s="1234"/>
      <c r="GR23" s="1235"/>
      <c r="GS23" s="1234"/>
      <c r="GT23" s="1234"/>
      <c r="GU23" s="1235"/>
      <c r="GV23" s="1234"/>
      <c r="GW23" s="1234"/>
      <c r="GX23" s="1235"/>
      <c r="GY23" s="1234"/>
      <c r="GZ23" s="1234"/>
      <c r="HA23" s="1235"/>
      <c r="HB23" s="1234"/>
      <c r="HC23" s="1234"/>
      <c r="HD23" s="1235"/>
      <c r="HE23" s="1234"/>
      <c r="HF23" s="1234"/>
      <c r="HG23" s="1235"/>
      <c r="HH23" s="1234"/>
      <c r="HI23" s="1234"/>
      <c r="HJ23" s="1235"/>
      <c r="HK23" s="1234"/>
      <c r="HL23" s="1234"/>
      <c r="HM23" s="1235"/>
      <c r="HN23" s="1234"/>
      <c r="HO23" s="1234"/>
      <c r="HP23" s="1235"/>
      <c r="HQ23" s="1234"/>
      <c r="HR23" s="1234"/>
      <c r="HS23" s="1235"/>
      <c r="HT23" s="1234"/>
      <c r="HU23" s="1234"/>
      <c r="HV23" s="1235"/>
      <c r="HW23" s="1234"/>
      <c r="HX23" s="1234"/>
      <c r="HY23" s="1235"/>
      <c r="HZ23" s="1234"/>
      <c r="IA23" s="1234"/>
      <c r="IB23" s="1235"/>
      <c r="IC23" s="1234"/>
      <c r="ID23" s="1234"/>
      <c r="IE23" s="1235"/>
      <c r="IF23" s="1234"/>
      <c r="IG23" s="1234"/>
      <c r="IH23" s="1235"/>
      <c r="II23" s="1234"/>
      <c r="IJ23" s="1234"/>
      <c r="IK23" s="1235"/>
      <c r="IL23" s="1234"/>
      <c r="IM23" s="1234"/>
      <c r="IN23" s="1235"/>
      <c r="IO23" s="1234"/>
      <c r="IP23" s="1234"/>
      <c r="IQ23" s="1235"/>
      <c r="IR23" s="1234"/>
      <c r="IS23" s="1234"/>
      <c r="IT23" s="1235"/>
      <c r="IU23" s="1234"/>
      <c r="IV23" s="1234"/>
      <c r="IW23" s="1235"/>
      <c r="IX23" s="1234"/>
      <c r="IY23" s="1234"/>
      <c r="IZ23" s="1235"/>
      <c r="JA23" s="1234"/>
      <c r="JB23" s="1234"/>
      <c r="JC23" s="1235"/>
      <c r="JD23" s="1234"/>
      <c r="JE23" s="1234"/>
      <c r="JF23" s="1235"/>
      <c r="JG23" s="1234"/>
      <c r="JH23" s="1234"/>
      <c r="JI23" s="1235"/>
      <c r="JJ23" s="1234"/>
      <c r="JK23" s="1234"/>
      <c r="JL23" s="1235"/>
      <c r="JM23" s="1234"/>
      <c r="JN23" s="1234"/>
      <c r="JO23" s="1235"/>
      <c r="JP23" s="1234"/>
      <c r="JQ23" s="1234"/>
      <c r="JR23" s="1235"/>
      <c r="JS23" s="1234"/>
      <c r="JT23" s="1234"/>
      <c r="JU23" s="1235"/>
      <c r="JV23" s="1234"/>
      <c r="JW23" s="1234"/>
      <c r="JX23" s="1235"/>
      <c r="JY23" s="1234"/>
      <c r="JZ23" s="1234"/>
      <c r="KA23" s="1235"/>
      <c r="KB23" s="1234"/>
      <c r="KC23" s="1234"/>
      <c r="KD23" s="1235"/>
      <c r="KE23" s="1234"/>
      <c r="KF23" s="1234"/>
      <c r="KG23" s="1235"/>
      <c r="KH23" s="1234"/>
      <c r="KI23" s="1234"/>
      <c r="KJ23" s="1235"/>
      <c r="KK23" s="1234"/>
      <c r="KL23" s="1234"/>
      <c r="KM23" s="1235"/>
      <c r="KN23" s="1234"/>
      <c r="KO23" s="1234"/>
      <c r="KP23" s="1235"/>
      <c r="KQ23" s="1234"/>
      <c r="KR23" s="1234"/>
      <c r="KS23" s="1235"/>
      <c r="KT23" s="1234"/>
      <c r="KU23" s="1234"/>
      <c r="KV23" s="1235"/>
      <c r="KW23" s="1234"/>
      <c r="KX23" s="1234"/>
      <c r="KY23" s="1235"/>
      <c r="KZ23" s="1234"/>
      <c r="LA23" s="1234"/>
      <c r="LB23" s="1235"/>
      <c r="LC23" s="1234"/>
      <c r="LD23" s="1234"/>
      <c r="LE23" s="1235"/>
      <c r="LF23" s="1234"/>
      <c r="LG23" s="1234"/>
      <c r="LH23" s="1235"/>
      <c r="LI23" s="1234"/>
      <c r="LJ23" s="1234"/>
      <c r="LK23" s="1235"/>
      <c r="LL23" s="1234"/>
      <c r="LM23" s="1234"/>
      <c r="LN23" s="1235"/>
      <c r="LO23" s="1234"/>
      <c r="LP23" s="1234"/>
      <c r="LQ23" s="1235"/>
      <c r="LR23" s="1234"/>
      <c r="LS23" s="1234"/>
      <c r="LT23" s="1235"/>
      <c r="LU23" s="1234"/>
      <c r="LV23" s="1234"/>
      <c r="LW23" s="1235"/>
      <c r="LX23" s="1234"/>
      <c r="LY23" s="1234"/>
      <c r="LZ23" s="1235"/>
      <c r="MA23" s="1234"/>
      <c r="MB23" s="1234"/>
      <c r="MC23" s="1235"/>
      <c r="MD23" s="1234"/>
      <c r="ME23" s="1234"/>
      <c r="MF23" s="1235"/>
      <c r="MG23" s="1234"/>
      <c r="MH23" s="1234"/>
      <c r="MI23" s="1235"/>
      <c r="MJ23" s="1234"/>
      <c r="MK23" s="1234"/>
      <c r="ML23" s="1235"/>
      <c r="MM23" s="1234"/>
      <c r="MN23" s="1234"/>
      <c r="MO23" s="1235"/>
      <c r="MP23" s="1234"/>
      <c r="MQ23" s="1234"/>
      <c r="MR23" s="1235"/>
      <c r="MS23" s="1234"/>
      <c r="MT23" s="1234"/>
      <c r="MU23" s="1235"/>
      <c r="MV23" s="1234"/>
      <c r="MW23" s="1234"/>
      <c r="MX23" s="1235"/>
      <c r="MY23" s="1234"/>
      <c r="MZ23" s="1234"/>
      <c r="NA23" s="1235"/>
      <c r="NB23" s="1234"/>
      <c r="NC23" s="1234"/>
      <c r="ND23" s="1235"/>
      <c r="NE23" s="1234"/>
      <c r="NF23" s="1234"/>
      <c r="NG23" s="1235"/>
      <c r="NH23" s="1234"/>
      <c r="NI23" s="1234"/>
      <c r="NJ23" s="1235"/>
      <c r="NK23" s="1234"/>
      <c r="NL23" s="1234"/>
      <c r="NM23" s="1235"/>
      <c r="NN23" s="1234"/>
      <c r="NO23" s="1234"/>
      <c r="NP23" s="1235"/>
      <c r="NQ23" s="1234"/>
      <c r="NR23" s="1234"/>
      <c r="NS23" s="1235"/>
      <c r="NT23" s="1234"/>
      <c r="NU23" s="1234"/>
      <c r="NV23" s="1235"/>
      <c r="NW23" s="1234"/>
      <c r="NX23" s="1234"/>
      <c r="NY23" s="1235"/>
      <c r="NZ23" s="1234"/>
      <c r="OA23" s="1234"/>
      <c r="OB23" s="1235"/>
      <c r="OC23" s="1234"/>
      <c r="OD23" s="1234"/>
      <c r="OE23" s="1235"/>
      <c r="OF23" s="1234"/>
      <c r="OG23" s="1234"/>
      <c r="OH23" s="1235"/>
      <c r="OI23" s="1234"/>
      <c r="OJ23" s="1234"/>
      <c r="OK23" s="1235"/>
      <c r="OL23" s="1234"/>
      <c r="OM23" s="1234"/>
      <c r="ON23" s="1235"/>
      <c r="OO23" s="1234"/>
      <c r="OP23" s="1234"/>
      <c r="OQ23" s="1235"/>
      <c r="OR23" s="1234"/>
      <c r="OS23" s="1234"/>
      <c r="OT23" s="1235"/>
      <c r="OU23" s="1234"/>
      <c r="OV23" s="1234"/>
      <c r="OW23" s="1235"/>
      <c r="OX23" s="1234"/>
      <c r="OY23" s="1234"/>
      <c r="OZ23" s="1235"/>
      <c r="PA23" s="1234"/>
      <c r="PB23" s="1234"/>
      <c r="PC23" s="1235"/>
      <c r="PD23" s="1234"/>
      <c r="PE23" s="1234"/>
      <c r="PF23" s="1235"/>
      <c r="PG23" s="1234"/>
      <c r="PH23" s="1234"/>
      <c r="PI23" s="1235"/>
      <c r="PJ23" s="1234"/>
      <c r="PK23" s="1234"/>
      <c r="PL23" s="1235"/>
      <c r="PM23" s="1234"/>
      <c r="PN23" s="1234"/>
      <c r="PO23" s="1235"/>
      <c r="PP23" s="1234"/>
      <c r="PQ23" s="1234"/>
      <c r="PR23" s="1235"/>
      <c r="PS23" s="1238"/>
      <c r="PT23" s="1238"/>
      <c r="PU23" s="1239"/>
      <c r="PV23" s="1234"/>
      <c r="PW23" s="1234"/>
      <c r="PX23" s="1235"/>
      <c r="PY23" s="1234"/>
      <c r="PZ23" s="1234"/>
      <c r="QA23" s="1235"/>
      <c r="QB23" s="1234"/>
      <c r="QC23" s="1234"/>
      <c r="QD23" s="1235"/>
      <c r="QE23" s="1234"/>
      <c r="QF23" s="1234"/>
      <c r="QG23" s="1235"/>
      <c r="QH23" s="1234"/>
      <c r="QI23" s="1234"/>
      <c r="QJ23" s="1235"/>
      <c r="QK23" s="1234"/>
      <c r="QL23" s="1234"/>
      <c r="QM23" s="1235"/>
      <c r="QN23" s="1234"/>
      <c r="QO23" s="1234"/>
      <c r="QP23" s="1235"/>
      <c r="QQ23" s="1234"/>
      <c r="QR23" s="1234"/>
      <c r="QS23" s="1235"/>
      <c r="QT23" s="1234"/>
      <c r="QU23" s="1234"/>
      <c r="QV23" s="1235"/>
      <c r="QW23" s="1234"/>
      <c r="QX23" s="1234"/>
      <c r="QY23" s="1235"/>
      <c r="QZ23" s="1234"/>
      <c r="RA23" s="1234"/>
      <c r="RB23" s="1235"/>
      <c r="RC23" s="1234"/>
      <c r="RD23" s="1234"/>
      <c r="RE23" s="1235"/>
      <c r="RF23" s="1234"/>
      <c r="RG23" s="1234"/>
      <c r="RH23" s="1235"/>
      <c r="RI23" s="1234"/>
      <c r="RJ23" s="1234"/>
      <c r="RK23" s="1235"/>
      <c r="RL23" s="1234"/>
      <c r="RM23" s="1234"/>
      <c r="RN23" s="1235"/>
      <c r="RO23" s="1234"/>
      <c r="RP23" s="1234"/>
      <c r="RQ23" s="1235"/>
      <c r="RR23" s="1234"/>
      <c r="RS23" s="1234"/>
      <c r="RT23" s="1235"/>
      <c r="RU23" s="1234"/>
      <c r="RV23" s="1234"/>
      <c r="RW23" s="1235"/>
      <c r="RX23" s="1234"/>
      <c r="RY23" s="1234"/>
      <c r="RZ23" s="1235"/>
      <c r="SA23" s="1234"/>
      <c r="SB23" s="1234"/>
      <c r="SC23" s="1235"/>
      <c r="SD23" s="1234"/>
      <c r="SE23" s="1234"/>
      <c r="SF23" s="1235"/>
      <c r="SG23" s="1234"/>
      <c r="SH23" s="1234"/>
      <c r="SI23" s="1235"/>
      <c r="SJ23" s="1234"/>
      <c r="SK23" s="1234"/>
      <c r="SL23" s="1235"/>
      <c r="SM23" s="1234"/>
      <c r="SN23" s="1234"/>
      <c r="SO23" s="1235"/>
      <c r="SP23" s="1234"/>
      <c r="SQ23" s="1234"/>
      <c r="SR23" s="1235"/>
      <c r="SS23" s="1234"/>
      <c r="ST23" s="1234"/>
      <c r="SU23" s="1235"/>
      <c r="SV23" s="1234"/>
      <c r="SW23" s="1234"/>
      <c r="SX23" s="1235"/>
      <c r="SY23" s="1234"/>
      <c r="SZ23" s="1234"/>
      <c r="TA23" s="1235"/>
      <c r="TB23" s="1234"/>
      <c r="TC23" s="1234"/>
      <c r="TD23" s="1235"/>
      <c r="TE23" s="1234"/>
      <c r="TF23" s="1234"/>
      <c r="TG23" s="1235"/>
      <c r="TH23" s="1234"/>
      <c r="TI23" s="1234"/>
      <c r="TJ23" s="1235"/>
      <c r="TK23" s="1234"/>
      <c r="TL23" s="1234"/>
      <c r="TM23" s="1235"/>
      <c r="TN23" s="1234"/>
      <c r="TO23" s="1234"/>
      <c r="TP23" s="1235"/>
      <c r="TQ23" s="1234"/>
      <c r="TR23" s="1234"/>
      <c r="TS23" s="1235"/>
      <c r="TT23" s="1234"/>
      <c r="TU23" s="1234"/>
      <c r="TV23" s="1235"/>
      <c r="TW23" s="1234"/>
      <c r="TX23" s="1234"/>
      <c r="TY23" s="1235"/>
      <c r="TZ23" s="1234"/>
      <c r="UA23" s="1234"/>
      <c r="UB23" s="1235"/>
      <c r="UC23" s="1234"/>
      <c r="UD23" s="1234"/>
      <c r="UE23" s="1235"/>
      <c r="UF23" s="1234"/>
      <c r="UG23" s="1234"/>
      <c r="UH23" s="1235"/>
      <c r="UI23" s="1234"/>
      <c r="UJ23" s="1234"/>
      <c r="UK23" s="1235"/>
      <c r="UL23" s="1234"/>
      <c r="UM23" s="1234"/>
      <c r="UN23" s="1235"/>
      <c r="UO23" s="1234"/>
      <c r="UP23" s="1234"/>
      <c r="UQ23" s="1235"/>
      <c r="UR23" s="1234"/>
      <c r="US23" s="1234"/>
      <c r="UT23" s="1235"/>
      <c r="UU23" s="1234"/>
      <c r="UV23" s="1234"/>
      <c r="UW23" s="1235"/>
      <c r="UX23" s="1234"/>
      <c r="UY23" s="1234"/>
      <c r="UZ23" s="1235"/>
      <c r="VA23" s="1234"/>
      <c r="VB23" s="1234"/>
      <c r="VC23" s="1235"/>
      <c r="VD23" s="1234"/>
      <c r="VE23" s="1234"/>
      <c r="VF23" s="1235"/>
      <c r="VG23" s="1234"/>
      <c r="VH23" s="1234"/>
      <c r="VI23" s="1235"/>
      <c r="VJ23" s="1234"/>
      <c r="VK23" s="1234"/>
      <c r="VL23" s="1235"/>
      <c r="VM23" s="1234"/>
      <c r="VN23" s="1234"/>
      <c r="VO23" s="1235"/>
      <c r="VP23" s="1234"/>
      <c r="VQ23" s="1234"/>
      <c r="VR23" s="1235"/>
      <c r="VS23" s="1234"/>
      <c r="VT23" s="1234"/>
      <c r="VU23" s="1235"/>
      <c r="VV23" s="1234"/>
      <c r="VW23" s="1234"/>
      <c r="VX23" s="1235"/>
      <c r="VY23" s="1234"/>
      <c r="VZ23" s="1234"/>
      <c r="WA23" s="1235"/>
      <c r="WB23" s="1234"/>
      <c r="WC23" s="1234"/>
      <c r="WD23" s="1235"/>
      <c r="WE23" s="1234"/>
      <c r="WF23" s="1234"/>
      <c r="WG23" s="1235"/>
      <c r="WH23" s="1234"/>
      <c r="WI23" s="1234"/>
      <c r="WJ23" s="1235"/>
      <c r="WK23" s="1234"/>
      <c r="WL23" s="1234"/>
      <c r="WM23" s="1235"/>
      <c r="WN23" s="1234"/>
      <c r="WO23" s="1234"/>
      <c r="WP23" s="1235"/>
      <c r="WQ23" s="1234"/>
      <c r="WR23" s="1234"/>
      <c r="WS23" s="1235"/>
      <c r="WT23" s="1234"/>
      <c r="WU23" s="1234"/>
      <c r="WV23" s="1235"/>
      <c r="WW23" s="1234"/>
      <c r="WX23" s="1234"/>
      <c r="WY23" s="1235"/>
      <c r="WZ23" s="1234"/>
      <c r="XA23" s="1234"/>
      <c r="XB23" s="1235"/>
      <c r="XC23" s="1234"/>
      <c r="XD23" s="1234"/>
      <c r="XE23" s="1235"/>
      <c r="XF23" s="1234"/>
      <c r="XG23" s="1234"/>
      <c r="XH23" s="1235"/>
      <c r="XI23" s="1234"/>
      <c r="XJ23" s="1234"/>
      <c r="XK23" s="1235"/>
      <c r="XL23" s="1234"/>
      <c r="XM23" s="1234"/>
      <c r="XN23" s="1235"/>
      <c r="XO23" s="1234"/>
      <c r="XP23" s="1234"/>
      <c r="XQ23" s="1235"/>
      <c r="XR23" s="1234"/>
      <c r="XS23" s="1234"/>
      <c r="XT23" s="1235"/>
      <c r="XU23" s="1234"/>
      <c r="XV23" s="1234"/>
      <c r="XW23" s="1235"/>
      <c r="XX23" s="1234"/>
      <c r="XY23" s="1234"/>
      <c r="XZ23" s="1235"/>
      <c r="YA23" s="1234"/>
      <c r="YB23" s="1234"/>
      <c r="YC23" s="1235"/>
      <c r="YD23" s="1234"/>
      <c r="YE23" s="1234"/>
      <c r="YF23" s="1235"/>
      <c r="YG23" s="1234"/>
      <c r="YH23" s="1234"/>
      <c r="YI23" s="1235"/>
      <c r="YJ23" s="1234"/>
      <c r="YK23" s="1234"/>
      <c r="YL23" s="1235"/>
      <c r="YM23" s="1234"/>
      <c r="YN23" s="1234"/>
      <c r="YO23" s="1235"/>
      <c r="YP23" s="1234"/>
      <c r="YQ23" s="1234"/>
      <c r="YR23" s="1235"/>
      <c r="YS23" s="1234"/>
      <c r="YT23" s="1234"/>
      <c r="YU23" s="1235"/>
      <c r="YV23" s="1234"/>
      <c r="YW23" s="1234"/>
      <c r="YX23" s="1235"/>
      <c r="YY23" s="1234"/>
      <c r="YZ23" s="1234"/>
      <c r="ZA23" s="1235"/>
      <c r="ZB23" s="1234"/>
      <c r="ZC23" s="1234"/>
      <c r="ZD23" s="1235"/>
      <c r="ZE23" s="1234"/>
      <c r="ZF23" s="1234"/>
      <c r="ZG23" s="1235"/>
      <c r="ZH23" s="1234"/>
      <c r="ZI23" s="1234"/>
      <c r="ZJ23" s="1235"/>
      <c r="ZK23" s="1234"/>
      <c r="ZL23" s="1234"/>
      <c r="ZM23" s="1235"/>
      <c r="ZN23" s="1234"/>
      <c r="ZO23" s="1234"/>
      <c r="ZP23" s="1235"/>
      <c r="ZQ23" s="1234"/>
      <c r="ZR23" s="1234"/>
      <c r="ZS23" s="1235"/>
      <c r="ZT23" s="1234"/>
      <c r="ZU23" s="1234"/>
      <c r="ZV23" s="1235"/>
      <c r="ZW23" s="1234"/>
      <c r="ZX23" s="1234"/>
      <c r="ZY23" s="1235"/>
      <c r="ZZ23" s="1234"/>
      <c r="AAA23" s="1234"/>
      <c r="AAB23" s="1235"/>
      <c r="AAC23" s="1234"/>
      <c r="AAD23" s="1234"/>
      <c r="AAE23" s="1235"/>
      <c r="AAF23" s="1234"/>
      <c r="AAG23" s="1234"/>
      <c r="AAH23" s="1235"/>
      <c r="AAI23" s="1234"/>
      <c r="AAJ23" s="1234"/>
      <c r="AAK23" s="1235"/>
      <c r="AAL23" s="1234"/>
      <c r="AAM23" s="1234"/>
      <c r="AAN23" s="1235"/>
      <c r="AAO23" s="1234"/>
      <c r="AAP23" s="1234"/>
      <c r="AAQ23" s="1235"/>
      <c r="AAR23" s="1234"/>
      <c r="AAS23" s="1234"/>
      <c r="AAT23" s="1235"/>
      <c r="AAU23" s="1234"/>
      <c r="AAV23" s="1234"/>
      <c r="AAW23" s="1235"/>
      <c r="AAX23" s="1234"/>
      <c r="AAY23" s="1234"/>
      <c r="AAZ23" s="1235"/>
      <c r="ABA23" s="1234"/>
      <c r="ABB23" s="1234"/>
      <c r="ABC23" s="1235"/>
      <c r="ABD23" s="1234"/>
      <c r="ABE23" s="1234"/>
      <c r="ABF23" s="1235"/>
      <c r="ABG23" s="1234"/>
      <c r="ABH23" s="1234"/>
      <c r="ABI23" s="1235"/>
      <c r="ABJ23" s="1234"/>
      <c r="ABK23" s="1234"/>
      <c r="ABL23" s="1235"/>
      <c r="ABM23" s="1234"/>
      <c r="ABN23" s="1234"/>
      <c r="ABO23" s="1235"/>
      <c r="ABP23" s="1234"/>
      <c r="ABQ23" s="1234"/>
      <c r="ABR23" s="1235"/>
      <c r="ABS23" s="1234"/>
      <c r="ABT23" s="1234"/>
      <c r="ABU23" s="1235"/>
      <c r="ABV23" s="1234"/>
      <c r="ABW23" s="1234"/>
      <c r="ABX23" s="1235"/>
      <c r="ABY23" s="1234"/>
      <c r="ABZ23" s="1234"/>
      <c r="ACA23" s="1235"/>
      <c r="ACB23" s="1234"/>
      <c r="ACC23" s="1234"/>
      <c r="ACD23" s="1235"/>
      <c r="ACE23" s="1234"/>
      <c r="ACF23" s="1234"/>
      <c r="ACG23" s="1235"/>
      <c r="ACH23" s="1234"/>
      <c r="ACI23" s="1234"/>
      <c r="ACJ23" s="1235"/>
      <c r="ACK23" s="1234"/>
      <c r="ACL23" s="1234"/>
      <c r="ACM23" s="1235"/>
      <c r="ACN23" s="1234"/>
      <c r="ACO23" s="1234"/>
      <c r="ACP23" s="1235"/>
      <c r="ACQ23" s="1234"/>
      <c r="ACR23" s="1234"/>
      <c r="ACS23" s="1235"/>
      <c r="ACT23" s="1234"/>
      <c r="ACU23" s="1234"/>
      <c r="ACV23" s="1235"/>
      <c r="ACW23" s="1234"/>
      <c r="ACX23" s="1234"/>
      <c r="ACY23" s="1235"/>
      <c r="ACZ23" s="1234"/>
      <c r="ADA23" s="1234"/>
      <c r="ADB23" s="1235"/>
      <c r="ADC23" s="1234"/>
      <c r="ADD23" s="1234"/>
      <c r="ADE23" s="1235"/>
      <c r="ADF23" s="1234"/>
      <c r="ADG23" s="1234"/>
      <c r="ADH23" s="1235"/>
      <c r="ADI23" s="1234"/>
      <c r="ADJ23" s="1234"/>
      <c r="ADK23" s="1235"/>
      <c r="ADL23" s="1234"/>
      <c r="ADM23" s="1234"/>
      <c r="ADN23" s="1235"/>
      <c r="ADO23" s="1234"/>
      <c r="ADP23" s="1234"/>
      <c r="ADQ23" s="1235"/>
      <c r="ADR23" s="1234"/>
      <c r="ADS23" s="1234"/>
      <c r="ADT23" s="1235"/>
      <c r="ADU23" s="1234"/>
      <c r="ADV23" s="1234"/>
      <c r="ADW23" s="1235"/>
      <c r="ADX23" s="1234"/>
      <c r="ADY23" s="1234"/>
      <c r="ADZ23" s="1235"/>
      <c r="AEA23" s="1234"/>
      <c r="AEB23" s="1234"/>
      <c r="AEC23" s="1235"/>
      <c r="AED23" s="1234"/>
      <c r="AEE23" s="1234"/>
      <c r="AEF23" s="1235"/>
      <c r="AEG23" s="1234"/>
      <c r="AEH23" s="1234"/>
      <c r="AEI23" s="1235"/>
      <c r="AEJ23" s="1234"/>
      <c r="AEK23" s="1234"/>
      <c r="AEL23" s="1235"/>
      <c r="AEM23" s="1234"/>
      <c r="AEN23" s="1234"/>
      <c r="AEO23" s="1235"/>
      <c r="AEP23" s="1234"/>
      <c r="AEQ23" s="1234"/>
      <c r="AER23" s="1235"/>
      <c r="AES23" s="1234"/>
      <c r="AET23" s="1234"/>
      <c r="AEU23" s="1235"/>
      <c r="AEV23" s="1234"/>
      <c r="AEW23" s="1234"/>
      <c r="AEX23" s="1235"/>
      <c r="AEY23" s="1234"/>
      <c r="AEZ23" s="1234"/>
      <c r="AFA23" s="1235"/>
      <c r="AFB23" s="1234"/>
      <c r="AFC23" s="1234"/>
      <c r="AFD23" s="1235"/>
      <c r="AFE23" s="1234"/>
      <c r="AFF23" s="1234"/>
      <c r="AFG23" s="1235"/>
      <c r="AFH23" s="1234"/>
      <c r="AFI23" s="1234"/>
      <c r="AFJ23" s="1235"/>
      <c r="AFK23" s="1234"/>
      <c r="AFL23" s="1234"/>
      <c r="AFM23" s="1235"/>
      <c r="AFN23" s="1234"/>
      <c r="AFO23" s="1234"/>
      <c r="AFP23" s="1235"/>
      <c r="AFQ23" s="1234"/>
      <c r="AFR23" s="1234"/>
      <c r="AFS23" s="1235"/>
      <c r="AFT23" s="1234"/>
      <c r="AFU23" s="1234"/>
      <c r="AFV23" s="1235"/>
      <c r="AFW23" s="1234"/>
      <c r="AFX23" s="1234"/>
      <c r="AFY23" s="1235"/>
      <c r="AFZ23" s="1234"/>
      <c r="AGA23" s="1234"/>
      <c r="AGB23" s="1235"/>
      <c r="AGC23" s="1234"/>
      <c r="AGD23" s="1234"/>
      <c r="AGE23" s="1235"/>
      <c r="AGF23" s="1234"/>
      <c r="AGG23" s="1234"/>
      <c r="AGH23" s="1235"/>
      <c r="AGI23" s="1234"/>
      <c r="AGJ23" s="1234"/>
      <c r="AGK23" s="1235"/>
      <c r="AGL23" s="1234"/>
      <c r="AGM23" s="1234"/>
      <c r="AGN23" s="1235"/>
      <c r="AGO23" s="1234"/>
      <c r="AGP23" s="1234"/>
      <c r="AGQ23" s="1235"/>
      <c r="AGR23" s="1234"/>
      <c r="AGS23" s="1234"/>
      <c r="AGT23" s="1235"/>
      <c r="AGU23" s="1234"/>
      <c r="AGV23" s="1234"/>
      <c r="AGW23" s="1235"/>
      <c r="AGX23" s="1234"/>
      <c r="AGY23" s="1234"/>
      <c r="AGZ23" s="1235"/>
      <c r="AHA23" s="1234"/>
      <c r="AHB23" s="1234"/>
      <c r="AHC23" s="1235"/>
      <c r="AHD23" s="1234"/>
      <c r="AHE23" s="1234"/>
      <c r="AHF23" s="1235"/>
      <c r="AHG23" s="1234"/>
      <c r="AHH23" s="1234"/>
      <c r="AHI23" s="1235"/>
      <c r="AHJ23" s="1234"/>
      <c r="AHK23" s="1234"/>
      <c r="AHL23" s="1235"/>
      <c r="AHM23" s="1234"/>
      <c r="AHN23" s="1234"/>
      <c r="AHO23" s="1235"/>
      <c r="AHP23" s="1234"/>
      <c r="AHQ23" s="1234"/>
      <c r="AHR23" s="1235"/>
      <c r="AHS23" s="1234"/>
      <c r="AHT23" s="1234"/>
      <c r="AHU23" s="1235"/>
      <c r="AHV23" s="1234"/>
      <c r="AHW23" s="1234"/>
      <c r="AHX23" s="1235"/>
      <c r="AHY23" s="1234"/>
      <c r="AHZ23" s="1234"/>
      <c r="AIA23" s="1235"/>
      <c r="AIB23" s="1234"/>
      <c r="AIC23" s="1234"/>
      <c r="AID23" s="1234"/>
      <c r="AIE23" s="1240"/>
      <c r="AIF23" s="1234"/>
      <c r="AIG23" s="1235"/>
      <c r="AIH23" s="1234"/>
      <c r="AII23" s="1234"/>
      <c r="AIJ23" s="1235"/>
      <c r="AIK23" s="1234"/>
      <c r="AIL23" s="1234"/>
      <c r="AIM23" s="1235"/>
      <c r="AIN23" s="1234"/>
      <c r="AIO23" s="1234"/>
      <c r="AIP23" s="1235"/>
      <c r="AIQ23" s="1234"/>
      <c r="AIR23" s="1234"/>
      <c r="AIS23" s="1234"/>
      <c r="AIT23" s="1240"/>
      <c r="AIU23" s="1234"/>
      <c r="AIV23" s="1235"/>
      <c r="AIW23" s="1234"/>
      <c r="AIX23" s="1234"/>
      <c r="AIY23" s="1234"/>
      <c r="AIZ23" s="1240"/>
      <c r="AJA23" s="1234"/>
      <c r="AJB23" s="1235"/>
      <c r="AJC23" s="1234"/>
      <c r="AJD23" s="1234"/>
      <c r="AJE23" s="1235"/>
      <c r="AJF23" s="1234"/>
      <c r="AJG23" s="1234"/>
      <c r="AJH23" s="1235"/>
      <c r="AJI23" s="1234"/>
      <c r="AJJ23" s="1234"/>
      <c r="AJK23" s="1235"/>
      <c r="AJL23" s="1234"/>
      <c r="AJM23" s="1234"/>
      <c r="AJN23" s="1234"/>
      <c r="AJO23" s="1240"/>
      <c r="AJP23" s="1234"/>
      <c r="AJQ23" s="1235"/>
      <c r="AJR23" s="1234"/>
      <c r="AJS23" s="1234"/>
      <c r="AJT23" s="1234"/>
      <c r="AJU23" s="1240"/>
      <c r="AJV23" s="1234"/>
      <c r="AJW23" s="1235"/>
      <c r="AJX23" s="1234"/>
      <c r="AJY23" s="1234"/>
      <c r="AJZ23" s="1235"/>
      <c r="AKA23" s="1234"/>
      <c r="AKB23" s="1234"/>
      <c r="AKC23" s="1235"/>
      <c r="AKD23" s="1234"/>
      <c r="AKE23" s="1234"/>
      <c r="AKF23" s="1235"/>
      <c r="AKG23" s="1234"/>
      <c r="AKH23" s="1234"/>
      <c r="AKI23" s="1234"/>
      <c r="AKJ23" s="1240"/>
      <c r="AKK23" s="1234"/>
      <c r="AKL23" s="1235"/>
      <c r="AKM23" s="1234"/>
      <c r="AKN23" s="1234"/>
      <c r="AKO23" s="1234"/>
      <c r="AKP23" s="1240"/>
      <c r="AKQ23" s="1234"/>
      <c r="AKR23" s="1235"/>
      <c r="AKS23" s="1234"/>
      <c r="AKT23" s="1234"/>
      <c r="AKU23" s="1235"/>
      <c r="AKV23" s="1234"/>
      <c r="AKW23" s="1234"/>
      <c r="AKX23" s="1235"/>
      <c r="AKY23" s="1234"/>
      <c r="AKZ23" s="1234"/>
      <c r="ALA23" s="1235"/>
      <c r="ALB23" s="1234"/>
      <c r="ALC23" s="1234"/>
      <c r="ALD23" s="1234"/>
      <c r="ALE23" s="1240"/>
      <c r="ALF23" s="1234"/>
      <c r="ALG23" s="1235"/>
      <c r="ALH23" s="1234"/>
      <c r="ALI23" s="1234"/>
      <c r="ALJ23" s="1234"/>
      <c r="ALK23" s="1240"/>
      <c r="ALL23" s="1234"/>
      <c r="ALM23" s="1235"/>
      <c r="ALN23" s="1234"/>
      <c r="ALO23" s="1234"/>
      <c r="ALP23" s="1235"/>
      <c r="ALQ23" s="1234"/>
      <c r="ALR23" s="1234"/>
      <c r="ALS23" s="1235"/>
      <c r="ALT23" s="1234"/>
      <c r="ALU23" s="1234"/>
      <c r="ALV23" s="1234"/>
      <c r="ALW23" s="1282">
        <f>+SUM(ALW24:ALY27)</f>
        <v>0</v>
      </c>
      <c r="ALX23" s="1283"/>
      <c r="ALY23" s="1284"/>
      <c r="ALZ23" s="1282">
        <f t="shared" ref="ALZ23" si="1804">+SUM(ALZ24:AMB27)</f>
        <v>0</v>
      </c>
      <c r="AMA23" s="1283"/>
      <c r="AMB23" s="1284"/>
      <c r="AMC23" s="1282">
        <f t="shared" ref="AMC23" si="1805">+SUM(AMC24:AME27)</f>
        <v>0</v>
      </c>
      <c r="AMD23" s="1283"/>
      <c r="AME23" s="1284"/>
      <c r="AMF23" s="1282">
        <f t="shared" ref="AMF23" si="1806">+SUM(AMF24:AMH27)</f>
        <v>0</v>
      </c>
      <c r="AMG23" s="1283"/>
      <c r="AMH23" s="1284"/>
      <c r="AMI23" s="1282">
        <f t="shared" ref="AMI23" si="1807">+SUM(AMI24:AMK27)</f>
        <v>0</v>
      </c>
      <c r="AMJ23" s="1283"/>
      <c r="AMK23" s="1284"/>
      <c r="AML23" s="1282">
        <f t="shared" ref="AML23" si="1808">+SUM(AML24:AMN27)</f>
        <v>0</v>
      </c>
      <c r="AMM23" s="1283"/>
      <c r="AMN23" s="1284"/>
      <c r="AMO23" s="1282">
        <f t="shared" ref="AMO23" si="1809">+SUM(AMO24:AMQ27)</f>
        <v>0</v>
      </c>
      <c r="AMP23" s="1283"/>
      <c r="AMQ23" s="1284"/>
      <c r="AMR23" s="1282">
        <f t="shared" ref="AMR23" si="1810">+SUM(AMR24:AMT27)</f>
        <v>0</v>
      </c>
      <c r="AMS23" s="1283"/>
      <c r="AMT23" s="1284"/>
      <c r="AMU23" s="1282">
        <f t="shared" ref="AMU23" si="1811">+SUM(AMU24:AMW27)</f>
        <v>0</v>
      </c>
      <c r="AMV23" s="1283"/>
      <c r="AMW23" s="1284"/>
      <c r="AMX23" s="1282">
        <f t="shared" ref="AMX23" si="1812">+SUM(AMX24:AMZ27)</f>
        <v>0</v>
      </c>
      <c r="AMY23" s="1283"/>
      <c r="AMZ23" s="1284"/>
      <c r="ANA23" s="1282">
        <f t="shared" ref="ANA23" si="1813">+SUM(ANA24:ANC27)</f>
        <v>0</v>
      </c>
      <c r="ANB23" s="1283"/>
      <c r="ANC23" s="1284"/>
      <c r="AND23" s="1282">
        <f t="shared" ref="AND23" si="1814">+SUM(AND24:ANF27)</f>
        <v>0</v>
      </c>
      <c r="ANE23" s="1283"/>
      <c r="ANF23" s="1284"/>
      <c r="ANG23" s="1282">
        <f t="shared" ref="ANG23" si="1815">+SUM(ANG24:ANI27)</f>
        <v>0</v>
      </c>
      <c r="ANH23" s="1283"/>
      <c r="ANI23" s="1284"/>
      <c r="ANJ23" s="1282">
        <f t="shared" ref="ANJ23" si="1816">+SUM(ANJ24:ANL27)</f>
        <v>0</v>
      </c>
      <c r="ANK23" s="1283"/>
      <c r="ANL23" s="1284"/>
      <c r="ANM23" s="1282">
        <f t="shared" ref="ANM23" si="1817">+SUM(ANM24:ANO27)</f>
        <v>0</v>
      </c>
      <c r="ANN23" s="1283"/>
      <c r="ANO23" s="1284"/>
      <c r="ANP23" s="1282">
        <f t="shared" ref="ANP23" si="1818">+SUM(ANP24:ANR27)</f>
        <v>0</v>
      </c>
      <c r="ANQ23" s="1283"/>
      <c r="ANR23" s="1284"/>
      <c r="ANS23" s="1282">
        <f t="shared" ref="ANS23" si="1819">+SUM(ANS24:ANU27)</f>
        <v>0</v>
      </c>
      <c r="ANT23" s="1283"/>
      <c r="ANU23" s="1284"/>
      <c r="ANV23" s="1282">
        <f t="shared" ref="ANV23" si="1820">+SUM(ANV24:ANX27)</f>
        <v>0</v>
      </c>
      <c r="ANW23" s="1283"/>
      <c r="ANX23" s="1284"/>
      <c r="ANY23" s="1282">
        <f t="shared" ref="ANY23" si="1821">+SUM(ANY24:AOA27)</f>
        <v>0</v>
      </c>
      <c r="ANZ23" s="1283"/>
      <c r="AOA23" s="1284"/>
      <c r="AOB23" s="1282">
        <f t="shared" ref="AOB23" si="1822">+SUM(AOB24:AOD27)</f>
        <v>0</v>
      </c>
      <c r="AOC23" s="1283"/>
      <c r="AOD23" s="1284"/>
      <c r="AOE23" s="1282">
        <f t="shared" ref="AOE23" si="1823">+SUM(AOE24:AOG27)</f>
        <v>0</v>
      </c>
      <c r="AOF23" s="1283"/>
      <c r="AOG23" s="1284"/>
      <c r="AOH23" s="1282">
        <f t="shared" ref="AOH23" si="1824">+SUM(AOH24:AOJ27)</f>
        <v>0</v>
      </c>
      <c r="AOI23" s="1283"/>
      <c r="AOJ23" s="1284"/>
      <c r="AOK23" s="1282">
        <f t="shared" ref="AOK23" si="1825">+SUM(AOK24:AOM27)</f>
        <v>0</v>
      </c>
      <c r="AOL23" s="1283"/>
      <c r="AOM23" s="1284"/>
      <c r="AON23" s="1282">
        <f t="shared" ref="AON23" si="1826">+SUM(AON24:AOP27)</f>
        <v>0</v>
      </c>
      <c r="AOO23" s="1283"/>
      <c r="AOP23" s="1284"/>
      <c r="AOQ23" s="1282">
        <f t="shared" ref="AOQ23" si="1827">+SUM(AOQ24:AOS27)</f>
        <v>0</v>
      </c>
      <c r="AOR23" s="1283"/>
      <c r="AOS23" s="1284"/>
      <c r="AOT23" s="1282">
        <f t="shared" ref="AOT23" si="1828">+SUM(AOT24:AOV27)</f>
        <v>0</v>
      </c>
      <c r="AOU23" s="1283"/>
      <c r="AOV23" s="1284"/>
      <c r="AOW23" s="1282">
        <f t="shared" ref="AOW23" si="1829">+SUM(AOW24:AOY27)</f>
        <v>0</v>
      </c>
      <c r="AOX23" s="1283"/>
      <c r="AOY23" s="1284"/>
      <c r="AOZ23" s="1282">
        <f t="shared" ref="AOZ23" si="1830">+SUM(AOZ24:APB27)</f>
        <v>0</v>
      </c>
      <c r="APA23" s="1283"/>
      <c r="APB23" s="1284"/>
      <c r="APC23" s="1282">
        <f t="shared" ref="APC23" si="1831">+SUM(APC24:APE27)</f>
        <v>0</v>
      </c>
      <c r="APD23" s="1283"/>
      <c r="APE23" s="1284"/>
      <c r="APF23" s="1282">
        <f t="shared" ref="APF23" si="1832">+SUM(APF24:APH27)</f>
        <v>0</v>
      </c>
      <c r="APG23" s="1283"/>
      <c r="APH23" s="1284"/>
      <c r="API23" s="1282">
        <f t="shared" ref="API23" si="1833">+SUM(API24:APK27)</f>
        <v>0</v>
      </c>
      <c r="APJ23" s="1283"/>
      <c r="APK23" s="1284"/>
      <c r="APL23" s="1282">
        <f t="shared" ref="APL23" si="1834">+SUM(APL24:APN27)</f>
        <v>0</v>
      </c>
      <c r="APM23" s="1283"/>
      <c r="APN23" s="1284"/>
      <c r="APO23" s="1282">
        <f t="shared" ref="APO23" si="1835">+SUM(APO24:APQ27)</f>
        <v>0</v>
      </c>
      <c r="APP23" s="1283"/>
      <c r="APQ23" s="1284"/>
      <c r="APR23" s="1282">
        <f t="shared" ref="APR23" si="1836">+SUM(APR24:APT27)</f>
        <v>0</v>
      </c>
      <c r="APS23" s="1283"/>
      <c r="APT23" s="1284"/>
      <c r="APU23" s="1282">
        <f t="shared" ref="APU23" si="1837">+SUM(APU24:APW27)</f>
        <v>0</v>
      </c>
      <c r="APV23" s="1283"/>
      <c r="APW23" s="1284"/>
      <c r="APX23" s="1282">
        <f t="shared" ref="APX23" si="1838">+SUM(APX24:APZ27)</f>
        <v>0</v>
      </c>
      <c r="APY23" s="1283"/>
      <c r="APZ23" s="1284"/>
      <c r="AQA23" s="1282">
        <f t="shared" ref="AQA23" si="1839">+SUM(AQA24:AQC27)</f>
        <v>0</v>
      </c>
      <c r="AQB23" s="1283"/>
      <c r="AQC23" s="1284"/>
      <c r="AQD23" s="1282">
        <f t="shared" ref="AQD23" si="1840">+SUM(AQD24:AQF27)</f>
        <v>0</v>
      </c>
      <c r="AQE23" s="1283"/>
      <c r="AQF23" s="1284"/>
      <c r="AQG23" s="1282">
        <f t="shared" ref="AQG23" si="1841">+SUM(AQG24:AQI27)</f>
        <v>0</v>
      </c>
      <c r="AQH23" s="1283"/>
      <c r="AQI23" s="1284"/>
      <c r="AQJ23" s="1282">
        <f t="shared" ref="AQJ23" si="1842">+SUM(AQJ24:AQL27)</f>
        <v>0</v>
      </c>
      <c r="AQK23" s="1283"/>
      <c r="AQL23" s="1284"/>
      <c r="AQM23" s="1282">
        <f t="shared" ref="AQM23" si="1843">+SUM(AQM24:AQO27)</f>
        <v>0</v>
      </c>
      <c r="AQN23" s="1283"/>
      <c r="AQO23" s="1284"/>
      <c r="AQP23" s="1282">
        <f t="shared" ref="AQP23" si="1844">+SUM(AQP24:AQR27)</f>
        <v>0</v>
      </c>
      <c r="AQQ23" s="1283"/>
      <c r="AQR23" s="1284"/>
      <c r="AQS23" s="1282">
        <f t="shared" ref="AQS23" si="1845">+SUM(AQS24:AQU27)</f>
        <v>0</v>
      </c>
      <c r="AQT23" s="1283"/>
      <c r="AQU23" s="1284"/>
      <c r="AQV23" s="1282">
        <f t="shared" ref="AQV23" si="1846">+SUM(AQV24:AQX27)</f>
        <v>0</v>
      </c>
      <c r="AQW23" s="1283"/>
      <c r="AQX23" s="1284"/>
      <c r="AQY23" s="1282">
        <f t="shared" ref="AQY23" si="1847">+SUM(AQY24:ARA27)</f>
        <v>0</v>
      </c>
      <c r="AQZ23" s="1283"/>
      <c r="ARA23" s="1284"/>
      <c r="ARB23" s="1282">
        <f t="shared" ref="ARB23" si="1848">+SUM(ARB24:ARD27)</f>
        <v>0</v>
      </c>
      <c r="ARC23" s="1283"/>
      <c r="ARD23" s="1284"/>
      <c r="ARE23" s="1282">
        <f t="shared" ref="ARE23" si="1849">+SUM(ARE24:ARG27)</f>
        <v>0</v>
      </c>
      <c r="ARF23" s="1283"/>
      <c r="ARG23" s="1284"/>
      <c r="ARH23" s="1282">
        <f t="shared" ref="ARH23" si="1850">+SUM(ARH24:ARJ27)</f>
        <v>0</v>
      </c>
      <c r="ARI23" s="1283"/>
      <c r="ARJ23" s="1284"/>
      <c r="ARK23" s="1282">
        <f t="shared" ref="ARK23" si="1851">+SUM(ARK24:ARM27)</f>
        <v>0</v>
      </c>
      <c r="ARL23" s="1283"/>
      <c r="ARM23" s="1284"/>
      <c r="ARN23" s="1282">
        <f t="shared" ref="ARN23" si="1852">+SUM(ARN24:ARP27)</f>
        <v>0</v>
      </c>
      <c r="ARO23" s="1283"/>
      <c r="ARP23" s="1284"/>
      <c r="ARQ23" s="1282">
        <f t="shared" ref="ARQ23" si="1853">+SUM(ARQ24:ARS27)</f>
        <v>0</v>
      </c>
      <c r="ARR23" s="1283"/>
      <c r="ARS23" s="1284"/>
      <c r="ART23" s="1282">
        <f t="shared" ref="ART23" si="1854">+SUM(ART24:ARV27)</f>
        <v>0</v>
      </c>
      <c r="ARU23" s="1283"/>
      <c r="ARV23" s="1284"/>
      <c r="ARW23" s="1282">
        <f t="shared" ref="ARW23" si="1855">+SUM(ARW24:ARY27)</f>
        <v>0</v>
      </c>
      <c r="ARX23" s="1283"/>
      <c r="ARY23" s="1284"/>
      <c r="ARZ23" s="1282">
        <f t="shared" ref="ARZ23" si="1856">+SUM(ARZ24:ASB27)</f>
        <v>0</v>
      </c>
      <c r="ASA23" s="1283"/>
      <c r="ASB23" s="1284"/>
      <c r="ASC23" s="1282">
        <f t="shared" ref="ASC23" si="1857">+SUM(ASC24:ASE27)</f>
        <v>0</v>
      </c>
      <c r="ASD23" s="1283"/>
      <c r="ASE23" s="1284"/>
      <c r="ASF23" s="1282">
        <f t="shared" ref="ASF23" si="1858">+SUM(ASF24:ASH27)</f>
        <v>0</v>
      </c>
      <c r="ASG23" s="1283"/>
      <c r="ASH23" s="1284"/>
      <c r="ASI23" s="1282">
        <f t="shared" ref="ASI23" si="1859">+SUM(ASI24:ASK27)</f>
        <v>0</v>
      </c>
      <c r="ASJ23" s="1283"/>
      <c r="ASK23" s="1284"/>
      <c r="ASL23" s="1282">
        <f t="shared" ref="ASL23" si="1860">+SUM(ASL24:ASN27)</f>
        <v>0</v>
      </c>
      <c r="ASM23" s="1283"/>
      <c r="ASN23" s="1284"/>
      <c r="ASO23" s="1282">
        <f t="shared" ref="ASO23" si="1861">+SUM(ASO24:ASQ27)</f>
        <v>0</v>
      </c>
      <c r="ASP23" s="1283"/>
      <c r="ASQ23" s="1284"/>
      <c r="ASR23" s="1282">
        <f t="shared" ref="ASR23" si="1862">+SUM(ASR24:AST27)</f>
        <v>0</v>
      </c>
      <c r="ASS23" s="1283"/>
      <c r="AST23" s="1284"/>
      <c r="ASU23" s="1282">
        <f t="shared" ref="ASU23" si="1863">+SUM(ASU24:ASW27)</f>
        <v>0</v>
      </c>
      <c r="ASV23" s="1283"/>
      <c r="ASW23" s="1284"/>
      <c r="ASX23" s="1282">
        <f t="shared" ref="ASX23" si="1864">+SUM(ASX24:ASZ27)</f>
        <v>0</v>
      </c>
      <c r="ASY23" s="1283"/>
      <c r="ASZ23" s="1284"/>
      <c r="ATA23" s="1282">
        <f t="shared" ref="ATA23" si="1865">+SUM(ATA24:ATC27)</f>
        <v>0</v>
      </c>
      <c r="ATB23" s="1283"/>
      <c r="ATC23" s="1284"/>
      <c r="ATD23" s="1282">
        <f t="shared" ref="ATD23" si="1866">+SUM(ATD24:ATF27)</f>
        <v>0</v>
      </c>
      <c r="ATE23" s="1283"/>
      <c r="ATF23" s="1284"/>
      <c r="ATG23" s="1282">
        <f t="shared" ref="ATG23" si="1867">+SUM(ATG24:ATI27)</f>
        <v>0</v>
      </c>
      <c r="ATH23" s="1283"/>
      <c r="ATI23" s="1284"/>
      <c r="ATJ23" s="1282">
        <f t="shared" ref="ATJ23" si="1868">+SUM(ATJ24:ATL27)</f>
        <v>0</v>
      </c>
      <c r="ATK23" s="1283"/>
      <c r="ATL23" s="1284"/>
      <c r="ATM23" s="1282">
        <f t="shared" ref="ATM23" si="1869">+SUM(ATM24:ATO27)</f>
        <v>0</v>
      </c>
      <c r="ATN23" s="1283"/>
      <c r="ATO23" s="1284"/>
      <c r="ATP23" s="1282">
        <f t="shared" ref="ATP23" si="1870">+SUM(ATP24:ATR27)</f>
        <v>0</v>
      </c>
      <c r="ATQ23" s="1283"/>
      <c r="ATR23" s="1284"/>
      <c r="ATS23" s="1282">
        <f t="shared" ref="ATS23" si="1871">+SUM(ATS24:ATU27)</f>
        <v>0</v>
      </c>
      <c r="ATT23" s="1283"/>
      <c r="ATU23" s="1284"/>
      <c r="ATV23" s="1282">
        <f t="shared" ref="ATV23" si="1872">+SUM(ATV24:ATX27)</f>
        <v>0</v>
      </c>
      <c r="ATW23" s="1283"/>
      <c r="ATX23" s="1284"/>
      <c r="ATY23" s="1282">
        <f t="shared" ref="ATY23" si="1873">+SUM(ATY24:AUA27)</f>
        <v>0</v>
      </c>
      <c r="ATZ23" s="1283"/>
      <c r="AUA23" s="1284"/>
      <c r="AUB23" s="1282">
        <f t="shared" ref="AUB23" si="1874">+SUM(AUB24:AUD27)</f>
        <v>0</v>
      </c>
      <c r="AUC23" s="1283"/>
      <c r="AUD23" s="1284"/>
      <c r="AUE23" s="1282">
        <f t="shared" ref="AUE23" si="1875">+SUM(AUE24:AUG27)</f>
        <v>0</v>
      </c>
      <c r="AUF23" s="1283"/>
      <c r="AUG23" s="1284"/>
      <c r="AUH23" s="1282">
        <f t="shared" ref="AUH23" si="1876">+SUM(AUH24:AUJ27)</f>
        <v>0</v>
      </c>
      <c r="AUI23" s="1283"/>
      <c r="AUJ23" s="1284"/>
      <c r="AUK23" s="1282">
        <f t="shared" ref="AUK23" si="1877">+SUM(AUK24:AUM27)</f>
        <v>0</v>
      </c>
      <c r="AUL23" s="1283"/>
      <c r="AUM23" s="1284"/>
      <c r="AUN23" s="1282">
        <f t="shared" ref="AUN23" si="1878">+SUM(AUN24:AUP27)</f>
        <v>11</v>
      </c>
      <c r="AUO23" s="1283"/>
      <c r="AUP23" s="1284"/>
      <c r="AUQ23" s="1282">
        <f t="shared" ref="AUQ23" si="1879">+SUM(AUQ24:AUS27)</f>
        <v>27</v>
      </c>
      <c r="AUR23" s="1283"/>
      <c r="AUS23" s="1284"/>
      <c r="AUT23" s="1282">
        <f t="shared" ref="AUT23" si="1880">+SUM(AUT24:AUV27)</f>
        <v>26</v>
      </c>
      <c r="AUU23" s="1283"/>
      <c r="AUV23" s="1284"/>
      <c r="AUW23" s="1282">
        <f t="shared" ref="AUW23" si="1881">+SUM(AUW24:AUY27)</f>
        <v>29</v>
      </c>
      <c r="AUX23" s="1283"/>
      <c r="AUY23" s="1284"/>
      <c r="AUZ23" s="1282">
        <f t="shared" ref="AUZ23" si="1882">+SUM(AUZ24:AVB27)</f>
        <v>24</v>
      </c>
      <c r="AVA23" s="1283"/>
      <c r="AVB23" s="1284"/>
      <c r="AVC23" s="1282">
        <f t="shared" ref="AVC23" si="1883">+SUM(AVC24:AVE27)</f>
        <v>0</v>
      </c>
      <c r="AVD23" s="1283"/>
      <c r="AVE23" s="1284"/>
      <c r="AVF23" s="1282">
        <f t="shared" ref="AVF23" si="1884">+SUM(AVF24:AVH27)</f>
        <v>28</v>
      </c>
      <c r="AVG23" s="1283"/>
      <c r="AVH23" s="1284"/>
      <c r="AVI23" s="1282">
        <f t="shared" ref="AVI23" si="1885">+SUM(AVI24:AVK27)</f>
        <v>0</v>
      </c>
      <c r="AVJ23" s="1283"/>
      <c r="AVK23" s="1284"/>
      <c r="AVL23" s="1282">
        <f t="shared" ref="AVL23" si="1886">+SUM(AVL24:AVN27)</f>
        <v>24</v>
      </c>
      <c r="AVM23" s="1283"/>
      <c r="AVN23" s="1284"/>
      <c r="AVO23" s="1282">
        <f t="shared" ref="AVO23" si="1887">+SUM(AVO24:AVQ27)</f>
        <v>29</v>
      </c>
      <c r="AVP23" s="1283"/>
      <c r="AVQ23" s="1284"/>
      <c r="AVR23" s="1282">
        <f t="shared" ref="AVR23" si="1888">+SUM(AVR24:AVT27)</f>
        <v>0</v>
      </c>
      <c r="AVS23" s="1283"/>
      <c r="AVT23" s="1284"/>
      <c r="AVU23" s="1282">
        <f t="shared" ref="AVU23" si="1889">+SUM(AVU24:AVW27)</f>
        <v>0</v>
      </c>
      <c r="AVV23" s="1283"/>
      <c r="AVW23" s="1284"/>
      <c r="AVX23" s="1282">
        <f t="shared" ref="AVX23" si="1890">+SUM(AVX24:AVZ27)</f>
        <v>0</v>
      </c>
      <c r="AVY23" s="1283"/>
      <c r="AVZ23" s="1284"/>
      <c r="AWA23" s="1282">
        <f t="shared" ref="AWA23" si="1891">+SUM(AWA24:AWC27)</f>
        <v>0</v>
      </c>
      <c r="AWB23" s="1283"/>
      <c r="AWC23" s="1284"/>
      <c r="AWD23" s="1282">
        <f t="shared" ref="AWD23" si="1892">+SUM(AWD24:AWF27)</f>
        <v>0</v>
      </c>
      <c r="AWE23" s="1283"/>
      <c r="AWF23" s="1284"/>
      <c r="AWG23" s="1282">
        <f t="shared" ref="AWG23" si="1893">+SUM(AWG24:AWI27)</f>
        <v>0</v>
      </c>
      <c r="AWH23" s="1283"/>
      <c r="AWI23" s="1284"/>
      <c r="AWJ23" s="1282">
        <f t="shared" ref="AWJ23" si="1894">+SUM(AWJ24:AWL27)</f>
        <v>0</v>
      </c>
      <c r="AWK23" s="1283"/>
      <c r="AWL23" s="1284"/>
      <c r="AWM23" s="1282">
        <f t="shared" ref="AWM23" si="1895">+SUM(AWM24:AWO27)</f>
        <v>0</v>
      </c>
      <c r="AWN23" s="1283"/>
      <c r="AWO23" s="1284"/>
      <c r="AWP23" s="1282">
        <f t="shared" ref="AWP23" si="1896">+SUM(AWP24:AWR27)</f>
        <v>0</v>
      </c>
      <c r="AWQ23" s="1283"/>
      <c r="AWR23" s="1284"/>
      <c r="AWS23" s="1282">
        <f t="shared" ref="AWS23" si="1897">+SUM(AWS24:AWU27)</f>
        <v>0</v>
      </c>
      <c r="AWT23" s="1283"/>
      <c r="AWU23" s="1284"/>
      <c r="AWV23" s="1282">
        <f t="shared" ref="AWV23" si="1898">+SUM(AWV24:AWX27)</f>
        <v>0</v>
      </c>
      <c r="AWW23" s="1283"/>
      <c r="AWX23" s="1284"/>
      <c r="AWY23" s="1282">
        <f t="shared" ref="AWY23" si="1899">+SUM(AWY24:AXA27)</f>
        <v>0</v>
      </c>
      <c r="AWZ23" s="1283"/>
      <c r="AXA23" s="1284"/>
      <c r="AXB23" s="1282">
        <f t="shared" ref="AXB23" si="1900">+SUM(AXB24:AXD27)</f>
        <v>0</v>
      </c>
      <c r="AXC23" s="1283"/>
      <c r="AXD23" s="1284"/>
      <c r="AXE23" s="1282">
        <f t="shared" ref="AXE23" si="1901">+SUM(AXE24:AXG27)</f>
        <v>0</v>
      </c>
      <c r="AXF23" s="1283"/>
      <c r="AXG23" s="1284"/>
      <c r="AXH23" s="1282">
        <f t="shared" ref="AXH23" si="1902">+SUM(AXH24:AXJ27)</f>
        <v>0</v>
      </c>
      <c r="AXI23" s="1283"/>
      <c r="AXJ23" s="1284"/>
      <c r="AXK23" s="1282">
        <f t="shared" ref="AXK23" si="1903">+SUM(AXK24:AXM27)</f>
        <v>0</v>
      </c>
      <c r="AXL23" s="1283"/>
      <c r="AXM23" s="1284"/>
      <c r="AXN23" s="1282">
        <f t="shared" ref="AXN23" si="1904">+SUM(AXN24:AXP27)</f>
        <v>0</v>
      </c>
      <c r="AXO23" s="1283"/>
      <c r="AXP23" s="1284"/>
      <c r="AXQ23" s="1282">
        <f t="shared" ref="AXQ23" si="1905">+SUM(AXQ24:AXS27)</f>
        <v>0</v>
      </c>
      <c r="AXR23" s="1283"/>
      <c r="AXS23" s="1284"/>
      <c r="AXT23" s="1282">
        <f t="shared" ref="AXT23" si="1906">+SUM(AXT24:AXV27)</f>
        <v>0</v>
      </c>
      <c r="AXU23" s="1283"/>
      <c r="AXV23" s="1284"/>
      <c r="AXW23" s="1282">
        <f t="shared" ref="AXW23" si="1907">+SUM(AXW24:AXY27)</f>
        <v>0</v>
      </c>
      <c r="AXX23" s="1283"/>
      <c r="AXY23" s="1284"/>
      <c r="AXZ23" s="1282">
        <f t="shared" ref="AXZ23" si="1908">+SUM(AXZ24:AYB27)</f>
        <v>0</v>
      </c>
      <c r="AYA23" s="1283"/>
      <c r="AYB23" s="1284"/>
      <c r="AYC23" s="1282">
        <f t="shared" ref="AYC23" si="1909">+SUM(AYC24:AYE27)</f>
        <v>0</v>
      </c>
      <c r="AYD23" s="1283"/>
      <c r="AYE23" s="1284"/>
      <c r="AYF23" s="1282">
        <f t="shared" ref="AYF23" si="1910">+SUM(AYF24:AYH27)</f>
        <v>0</v>
      </c>
      <c r="AYG23" s="1283"/>
      <c r="AYH23" s="1284"/>
      <c r="AYI23" s="1282">
        <f t="shared" ref="AYI23" si="1911">+SUM(AYI24:AYK27)</f>
        <v>0</v>
      </c>
      <c r="AYJ23" s="1283"/>
      <c r="AYK23" s="1284"/>
      <c r="AYL23" s="1282">
        <f t="shared" ref="AYL23" si="1912">+SUM(AYL24:AYN27)</f>
        <v>0</v>
      </c>
      <c r="AYM23" s="1283"/>
      <c r="AYN23" s="1284"/>
      <c r="AYO23" s="1282">
        <f t="shared" ref="AYO23" si="1913">+SUM(AYO24:AYQ27)</f>
        <v>0</v>
      </c>
      <c r="AYP23" s="1283"/>
      <c r="AYQ23" s="1284"/>
      <c r="AYR23" s="1282">
        <f t="shared" ref="AYR23" si="1914">+SUM(AYR24:AYT27)</f>
        <v>0</v>
      </c>
      <c r="AYS23" s="1283"/>
      <c r="AYT23" s="1284"/>
      <c r="AYU23" s="1282">
        <f t="shared" ref="AYU23" si="1915">+SUM(AYU24:AYW27)</f>
        <v>0</v>
      </c>
      <c r="AYV23" s="1283"/>
      <c r="AYW23" s="1284"/>
      <c r="AYX23" s="1282">
        <f t="shared" ref="AYX23" si="1916">+SUM(AYX24:AYZ27)</f>
        <v>0</v>
      </c>
      <c r="AYY23" s="1283"/>
      <c r="AYZ23" s="1284"/>
      <c r="AZA23" s="1282">
        <f t="shared" ref="AZA23" si="1917">+SUM(AZA24:AZC27)</f>
        <v>0</v>
      </c>
      <c r="AZB23" s="1283"/>
      <c r="AZC23" s="1284"/>
      <c r="AZD23" s="1282">
        <f t="shared" ref="AZD23" si="1918">+SUM(AZD24:AZF27)</f>
        <v>0</v>
      </c>
      <c r="AZE23" s="1283"/>
      <c r="AZF23" s="1284"/>
      <c r="AZG23" s="1282">
        <f t="shared" ref="AZG23" si="1919">+SUM(AZG24:AZI27)</f>
        <v>0</v>
      </c>
      <c r="AZH23" s="1283"/>
      <c r="AZI23" s="1284"/>
      <c r="AZJ23" s="1282">
        <f t="shared" ref="AZJ23" si="1920">+SUM(AZJ24:AZL27)</f>
        <v>0</v>
      </c>
      <c r="AZK23" s="1283"/>
      <c r="AZL23" s="1284"/>
      <c r="AZM23" s="1282">
        <f t="shared" ref="AZM23" si="1921">+SUM(AZM24:AZO27)</f>
        <v>0</v>
      </c>
      <c r="AZN23" s="1283"/>
      <c r="AZO23" s="1284"/>
      <c r="AZP23" s="1282">
        <f t="shared" ref="AZP23" si="1922">+SUM(AZP24:AZR27)</f>
        <v>0</v>
      </c>
      <c r="AZQ23" s="1283"/>
      <c r="AZR23" s="1284"/>
      <c r="AZS23" s="1282">
        <f t="shared" ref="AZS23" si="1923">+SUM(AZS24:AZU27)</f>
        <v>0</v>
      </c>
      <c r="AZT23" s="1283"/>
      <c r="AZU23" s="1284"/>
      <c r="AZV23" s="1282">
        <f t="shared" ref="AZV23" si="1924">+SUM(AZV24:AZX27)</f>
        <v>0</v>
      </c>
      <c r="AZW23" s="1283"/>
      <c r="AZX23" s="1284"/>
      <c r="AZY23" s="1282">
        <f t="shared" ref="AZY23" si="1925">+SUM(AZY24:BAA27)</f>
        <v>0</v>
      </c>
      <c r="AZZ23" s="1283"/>
      <c r="BAA23" s="1284"/>
      <c r="BAB23" s="1282">
        <f t="shared" ref="BAB23" si="1926">+SUM(BAB24:BAD27)</f>
        <v>0</v>
      </c>
      <c r="BAC23" s="1283"/>
      <c r="BAD23" s="1284"/>
      <c r="BAE23" s="1282">
        <f t="shared" ref="BAE23" si="1927">+SUM(BAE24:BAG27)</f>
        <v>0</v>
      </c>
      <c r="BAF23" s="1283"/>
      <c r="BAG23" s="1284"/>
      <c r="BAH23" s="1282">
        <f t="shared" ref="BAH23" si="1928">+SUM(BAH24:BAJ27)</f>
        <v>0</v>
      </c>
      <c r="BAI23" s="1283"/>
      <c r="BAJ23" s="1284"/>
    </row>
    <row r="24" spans="1:1399">
      <c r="B24" s="5" t="s">
        <v>348</v>
      </c>
      <c r="C24" s="16"/>
      <c r="D24" s="16"/>
      <c r="E24" s="9" t="s">
        <v>349</v>
      </c>
      <c r="F24" s="1200"/>
      <c r="G24" s="1200"/>
      <c r="H24" s="1093"/>
      <c r="I24" s="1200"/>
      <c r="J24" s="1200"/>
      <c r="K24" s="1093"/>
      <c r="L24" s="1200"/>
      <c r="M24" s="1200"/>
      <c r="N24" s="1093"/>
      <c r="O24" s="1200"/>
      <c r="P24" s="1200"/>
      <c r="Q24" s="1093"/>
      <c r="R24" s="1200"/>
      <c r="S24" s="1200"/>
      <c r="T24" s="1093"/>
      <c r="U24" s="1200"/>
      <c r="V24" s="1200"/>
      <c r="W24" s="1093"/>
      <c r="X24" s="1200"/>
      <c r="Y24" s="1200"/>
      <c r="Z24" s="1093"/>
      <c r="AA24" s="1200"/>
      <c r="AB24" s="1200"/>
      <c r="AC24" s="1093"/>
      <c r="AD24" s="1200"/>
      <c r="AE24" s="1200"/>
      <c r="AF24" s="1093"/>
      <c r="AG24" s="1200"/>
      <c r="AH24" s="1200"/>
      <c r="AI24" s="1093"/>
      <c r="AJ24" s="1200"/>
      <c r="AK24" s="1200"/>
      <c r="AL24" s="1093"/>
      <c r="AM24" s="1200"/>
      <c r="AN24" s="1200"/>
      <c r="AO24" s="1093"/>
      <c r="AP24" s="1200"/>
      <c r="AQ24" s="1200"/>
      <c r="AR24" s="1093"/>
      <c r="AS24" s="1200"/>
      <c r="AT24" s="1200"/>
      <c r="AU24" s="1093"/>
      <c r="AV24" s="1200"/>
      <c r="AW24" s="1200"/>
      <c r="AX24" s="1093"/>
      <c r="AY24" s="1200"/>
      <c r="AZ24" s="1200"/>
      <c r="BA24" s="1093"/>
      <c r="BB24" s="1200"/>
      <c r="BC24" s="1200"/>
      <c r="BD24" s="1093"/>
      <c r="BE24" s="1200"/>
      <c r="BF24" s="1200"/>
      <c r="BG24" s="1093"/>
      <c r="BH24" s="1200"/>
      <c r="BI24" s="1200"/>
      <c r="BJ24" s="1093"/>
      <c r="BK24" s="1200"/>
      <c r="BL24" s="1200"/>
      <c r="BM24" s="1093"/>
      <c r="BN24" s="1200"/>
      <c r="BO24" s="1200"/>
      <c r="BP24" s="1093"/>
      <c r="BQ24" s="1200"/>
      <c r="BR24" s="1200"/>
      <c r="BS24" s="1093"/>
      <c r="BT24" s="1200"/>
      <c r="BU24" s="1200"/>
      <c r="BV24" s="1093"/>
      <c r="BW24" s="1200"/>
      <c r="BX24" s="1200"/>
      <c r="BY24" s="1093"/>
      <c r="BZ24" s="1200"/>
      <c r="CA24" s="1200"/>
      <c r="CB24" s="1093"/>
      <c r="CC24" s="1200"/>
      <c r="CD24" s="1200"/>
      <c r="CE24" s="1093"/>
      <c r="CF24" s="1200"/>
      <c r="CG24" s="1200"/>
      <c r="CH24" s="1093"/>
      <c r="CI24" s="1200"/>
      <c r="CJ24" s="1200"/>
      <c r="CK24" s="1093"/>
      <c r="CL24" s="1200"/>
      <c r="CM24" s="1200"/>
      <c r="CN24" s="1093"/>
      <c r="CO24" s="1200"/>
      <c r="CP24" s="1200"/>
      <c r="CQ24" s="1093"/>
      <c r="CR24" s="1200"/>
      <c r="CS24" s="1200"/>
      <c r="CT24" s="1093"/>
      <c r="CU24" s="1215"/>
      <c r="CV24" s="1215"/>
      <c r="CW24" s="1094"/>
      <c r="CX24" s="1200"/>
      <c r="CY24" s="1200"/>
      <c r="CZ24" s="1093"/>
      <c r="DA24" s="1200"/>
      <c r="DB24" s="1200"/>
      <c r="DC24" s="1093"/>
      <c r="DD24" s="1200"/>
      <c r="DE24" s="1200"/>
      <c r="DF24" s="1093"/>
      <c r="DG24" s="1200"/>
      <c r="DH24" s="1200"/>
      <c r="DI24" s="1093"/>
      <c r="DJ24" s="1200"/>
      <c r="DK24" s="1200"/>
      <c r="DL24" s="1093"/>
      <c r="DM24" s="1200"/>
      <c r="DN24" s="1200"/>
      <c r="DO24" s="1093"/>
      <c r="DP24" s="1200"/>
      <c r="DQ24" s="1200"/>
      <c r="DR24" s="1093"/>
      <c r="DS24" s="1200"/>
      <c r="DT24" s="1200"/>
      <c r="DU24" s="1093"/>
      <c r="DV24" s="1200"/>
      <c r="DW24" s="1200"/>
      <c r="DX24" s="1093"/>
      <c r="DY24" s="1200"/>
      <c r="DZ24" s="1200"/>
      <c r="EA24" s="1093"/>
      <c r="EB24" s="1200"/>
      <c r="EC24" s="1200"/>
      <c r="ED24" s="1093"/>
      <c r="EE24" s="1200"/>
      <c r="EF24" s="1200"/>
      <c r="EG24" s="1093"/>
      <c r="EH24" s="7"/>
      <c r="EI24" s="7"/>
      <c r="EJ24" s="4"/>
      <c r="EK24" s="1200"/>
      <c r="EL24" s="1200"/>
      <c r="EM24" s="1093"/>
      <c r="EN24" s="1200"/>
      <c r="EO24" s="1200"/>
      <c r="EP24" s="1093"/>
      <c r="EQ24" s="1200"/>
      <c r="ER24" s="1200"/>
      <c r="ES24" s="1093"/>
      <c r="ET24" s="1200"/>
      <c r="EU24" s="1200"/>
      <c r="EV24" s="1093"/>
      <c r="EW24" s="1200"/>
      <c r="EX24" s="1200"/>
      <c r="EY24" s="1093"/>
      <c r="EZ24" s="1200"/>
      <c r="FA24" s="1200"/>
      <c r="FB24" s="1093"/>
      <c r="FC24" s="1200"/>
      <c r="FD24" s="1200"/>
      <c r="FE24" s="1093"/>
      <c r="FF24" s="1200"/>
      <c r="FG24" s="1200"/>
      <c r="FH24" s="1093"/>
      <c r="FI24" s="1200"/>
      <c r="FJ24" s="1200"/>
      <c r="FK24" s="1093"/>
      <c r="FL24" s="1200"/>
      <c r="FM24" s="1200"/>
      <c r="FN24" s="1093"/>
      <c r="FO24" s="1200"/>
      <c r="FP24" s="1200"/>
      <c r="FQ24" s="1093"/>
      <c r="FR24" s="1200"/>
      <c r="FS24" s="1200"/>
      <c r="FT24" s="1093"/>
      <c r="FU24" s="1200"/>
      <c r="FV24" s="1200"/>
      <c r="FW24" s="1093"/>
      <c r="FX24" s="1200"/>
      <c r="FY24" s="1200"/>
      <c r="FZ24" s="1093"/>
      <c r="GA24" s="1200"/>
      <c r="GB24" s="1200"/>
      <c r="GC24" s="1093"/>
      <c r="GD24" s="1200"/>
      <c r="GE24" s="1200"/>
      <c r="GF24" s="1093"/>
      <c r="GG24" s="1215"/>
      <c r="GH24" s="1215"/>
      <c r="GI24" s="1094"/>
      <c r="GJ24" s="1200"/>
      <c r="GK24" s="1200"/>
      <c r="GL24" s="1093"/>
      <c r="GM24" s="1200"/>
      <c r="GN24" s="1200"/>
      <c r="GO24" s="1093"/>
      <c r="GP24" s="1200"/>
      <c r="GQ24" s="1200"/>
      <c r="GR24" s="1093"/>
      <c r="GS24" s="1200"/>
      <c r="GT24" s="1200"/>
      <c r="GU24" s="1093"/>
      <c r="GV24" s="1200"/>
      <c r="GW24" s="1200"/>
      <c r="GX24" s="1093"/>
      <c r="GY24" s="1200"/>
      <c r="GZ24" s="1200"/>
      <c r="HA24" s="1093"/>
      <c r="HB24" s="1200"/>
      <c r="HC24" s="1200"/>
      <c r="HD24" s="1093"/>
      <c r="HE24" s="1200"/>
      <c r="HF24" s="1200"/>
      <c r="HG24" s="1093"/>
      <c r="HH24" s="1200"/>
      <c r="HI24" s="1200"/>
      <c r="HJ24" s="1093"/>
      <c r="HK24" s="1200"/>
      <c r="HL24" s="1200"/>
      <c r="HM24" s="1093"/>
      <c r="HN24" s="1215"/>
      <c r="HO24" s="1215"/>
      <c r="HP24" s="1094"/>
      <c r="HQ24" s="1200"/>
      <c r="HR24" s="1200"/>
      <c r="HS24" s="1093"/>
      <c r="HT24" s="1200"/>
      <c r="HU24" s="1200"/>
      <c r="HV24" s="1093"/>
      <c r="HW24" s="1200"/>
      <c r="HX24" s="1200"/>
      <c r="HY24" s="1093"/>
      <c r="HZ24" s="1200"/>
      <c r="IA24" s="1200"/>
      <c r="IB24" s="1093"/>
      <c r="IC24" s="1200"/>
      <c r="ID24" s="1200"/>
      <c r="IE24" s="1093"/>
      <c r="IF24" s="1200"/>
      <c r="IG24" s="1200"/>
      <c r="IH24" s="1093"/>
      <c r="II24" s="1200"/>
      <c r="IJ24" s="1200"/>
      <c r="IK24" s="1093"/>
      <c r="IL24" s="1200"/>
      <c r="IM24" s="1200"/>
      <c r="IN24" s="1093"/>
      <c r="IO24" s="1200"/>
      <c r="IP24" s="1200"/>
      <c r="IQ24" s="1093"/>
      <c r="IR24" s="1200"/>
      <c r="IS24" s="1200"/>
      <c r="IT24" s="1093"/>
      <c r="IU24" s="1200"/>
      <c r="IV24" s="1200"/>
      <c r="IW24" s="1093"/>
      <c r="IX24" s="1200"/>
      <c r="IY24" s="1200"/>
      <c r="IZ24" s="1093"/>
      <c r="JA24" s="1200"/>
      <c r="JB24" s="1200"/>
      <c r="JC24" s="1093"/>
      <c r="JD24" s="1215"/>
      <c r="JE24" s="1215"/>
      <c r="JF24" s="1094"/>
      <c r="JG24" s="1200"/>
      <c r="JH24" s="1200"/>
      <c r="JI24" s="1093"/>
      <c r="JJ24" s="1200"/>
      <c r="JK24" s="1200"/>
      <c r="JL24" s="1093"/>
      <c r="JM24" s="1200"/>
      <c r="JN24" s="1200"/>
      <c r="JO24" s="1093"/>
      <c r="JP24" s="1200"/>
      <c r="JQ24" s="1200"/>
      <c r="JR24" s="1093"/>
      <c r="JS24" s="1200"/>
      <c r="JT24" s="1200"/>
      <c r="JU24" s="1093"/>
      <c r="JV24" s="1200"/>
      <c r="JW24" s="1200"/>
      <c r="JX24" s="1093"/>
      <c r="JY24" s="1200"/>
      <c r="JZ24" s="1200"/>
      <c r="KA24" s="1093"/>
      <c r="KB24" s="1200"/>
      <c r="KC24" s="1200"/>
      <c r="KD24" s="1093"/>
      <c r="KE24" s="1200"/>
      <c r="KF24" s="1200"/>
      <c r="KG24" s="1093"/>
      <c r="KH24" s="1200"/>
      <c r="KI24" s="1200"/>
      <c r="KJ24" s="1093"/>
      <c r="KK24" s="1200"/>
      <c r="KL24" s="1200"/>
      <c r="KM24" s="1093"/>
      <c r="KN24" s="1200"/>
      <c r="KO24" s="1200"/>
      <c r="KP24" s="1093"/>
      <c r="KQ24" s="1200"/>
      <c r="KR24" s="1200"/>
      <c r="KS24" s="1093"/>
      <c r="KT24" s="1200"/>
      <c r="KU24" s="1200"/>
      <c r="KV24" s="1093"/>
      <c r="KW24" s="1200"/>
      <c r="KX24" s="1200"/>
      <c r="KY24" s="1093"/>
      <c r="KZ24" s="1200"/>
      <c r="LA24" s="1200"/>
      <c r="LB24" s="1093"/>
      <c r="LC24" s="1200"/>
      <c r="LD24" s="1200"/>
      <c r="LE24" s="1093"/>
      <c r="LF24" s="1200"/>
      <c r="LG24" s="1200"/>
      <c r="LH24" s="1093"/>
      <c r="LI24" s="1200"/>
      <c r="LJ24" s="1200"/>
      <c r="LK24" s="1093"/>
      <c r="LL24" s="1200"/>
      <c r="LM24" s="1200"/>
      <c r="LN24" s="1093"/>
      <c r="LO24" s="1200"/>
      <c r="LP24" s="1200"/>
      <c r="LQ24" s="1093"/>
      <c r="LR24" s="1200"/>
      <c r="LS24" s="1200"/>
      <c r="LT24" s="1093"/>
      <c r="LU24" s="1200"/>
      <c r="LV24" s="1200"/>
      <c r="LW24" s="1093"/>
      <c r="LX24" s="1200"/>
      <c r="LY24" s="1200"/>
      <c r="LZ24" s="1093"/>
      <c r="MA24" s="1200"/>
      <c r="MB24" s="1200"/>
      <c r="MC24" s="1093"/>
      <c r="MD24" s="1200"/>
      <c r="ME24" s="1200"/>
      <c r="MF24" s="1093"/>
      <c r="MG24" s="1200"/>
      <c r="MH24" s="1200"/>
      <c r="MI24" s="1093"/>
      <c r="MJ24" s="1200"/>
      <c r="MK24" s="1200"/>
      <c r="ML24" s="1093"/>
      <c r="MM24" s="1200"/>
      <c r="MN24" s="1200"/>
      <c r="MO24" s="1093"/>
      <c r="MP24" s="1200"/>
      <c r="MQ24" s="1200"/>
      <c r="MR24" s="1093"/>
      <c r="MS24" s="1200"/>
      <c r="MT24" s="1200"/>
      <c r="MU24" s="1093"/>
      <c r="MV24" s="1200"/>
      <c r="MW24" s="1200"/>
      <c r="MX24" s="1093"/>
      <c r="MY24" s="1200"/>
      <c r="MZ24" s="1200"/>
      <c r="NA24" s="1093"/>
      <c r="NB24" s="1200"/>
      <c r="NC24" s="1200"/>
      <c r="ND24" s="1093"/>
      <c r="NE24" s="1200"/>
      <c r="NF24" s="1200"/>
      <c r="NG24" s="1093"/>
      <c r="NH24" s="1200"/>
      <c r="NI24" s="1200"/>
      <c r="NJ24" s="1093"/>
      <c r="NK24" s="1200"/>
      <c r="NL24" s="1200"/>
      <c r="NM24" s="1093"/>
      <c r="NN24" s="1200"/>
      <c r="NO24" s="1200"/>
      <c r="NP24" s="1093"/>
      <c r="NQ24" s="1200"/>
      <c r="NR24" s="1200"/>
      <c r="NS24" s="1093"/>
      <c r="NT24" s="1200"/>
      <c r="NU24" s="1200"/>
      <c r="NV24" s="1093"/>
      <c r="NW24" s="1200"/>
      <c r="NX24" s="1200"/>
      <c r="NY24" s="1093"/>
      <c r="NZ24" s="1200"/>
      <c r="OA24" s="1200"/>
      <c r="OB24" s="1093"/>
      <c r="OC24" s="1200"/>
      <c r="OD24" s="1200"/>
      <c r="OE24" s="1093"/>
      <c r="OF24" s="1200"/>
      <c r="OG24" s="1200"/>
      <c r="OH24" s="1093"/>
      <c r="OI24" s="1200"/>
      <c r="OJ24" s="1200"/>
      <c r="OK24" s="1093"/>
      <c r="OL24" s="1200"/>
      <c r="OM24" s="1200"/>
      <c r="ON24" s="1093"/>
      <c r="OO24" s="1200"/>
      <c r="OP24" s="1200"/>
      <c r="OQ24" s="1093"/>
      <c r="OR24" s="1200"/>
      <c r="OS24" s="1200"/>
      <c r="OT24" s="1093"/>
      <c r="OU24" s="1200"/>
      <c r="OV24" s="1200"/>
      <c r="OW24" s="1093"/>
      <c r="OX24" s="1200"/>
      <c r="OY24" s="1200"/>
      <c r="OZ24" s="1093"/>
      <c r="PA24" s="1200"/>
      <c r="PB24" s="1200"/>
      <c r="PC24" s="1093"/>
      <c r="PD24" s="1200"/>
      <c r="PE24" s="1200"/>
      <c r="PF24" s="1093"/>
      <c r="PG24" s="1200"/>
      <c r="PH24" s="1200"/>
      <c r="PI24" s="1093"/>
      <c r="PJ24" s="1200"/>
      <c r="PK24" s="1200"/>
      <c r="PL24" s="1093"/>
      <c r="PM24" s="1200"/>
      <c r="PN24" s="1200"/>
      <c r="PO24" s="1093"/>
      <c r="PP24" s="1200"/>
      <c r="PQ24" s="1200"/>
      <c r="PR24" s="1093"/>
      <c r="PS24" s="1216"/>
      <c r="PT24" s="1216"/>
      <c r="PU24" s="1095"/>
      <c r="PV24" s="1200"/>
      <c r="PW24" s="1200"/>
      <c r="PX24" s="1093"/>
      <c r="PY24" s="1200"/>
      <c r="PZ24" s="1200"/>
      <c r="QA24" s="1093"/>
      <c r="QB24" s="1200"/>
      <c r="QC24" s="1200"/>
      <c r="QD24" s="1093"/>
      <c r="QE24" s="1200"/>
      <c r="QF24" s="1200"/>
      <c r="QG24" s="1093"/>
      <c r="QH24" s="1200"/>
      <c r="QI24" s="1200"/>
      <c r="QJ24" s="1093"/>
      <c r="QK24" s="1200"/>
      <c r="QL24" s="1200"/>
      <c r="QM24" s="1093"/>
      <c r="QN24" s="1200"/>
      <c r="QO24" s="1200"/>
      <c r="QP24" s="1093"/>
      <c r="QQ24" s="1200"/>
      <c r="QR24" s="1200"/>
      <c r="QS24" s="1093"/>
      <c r="QT24" s="1200"/>
      <c r="QU24" s="1200"/>
      <c r="QV24" s="1093"/>
      <c r="QW24" s="1200"/>
      <c r="QX24" s="1200"/>
      <c r="QY24" s="1093"/>
      <c r="QZ24" s="1200"/>
      <c r="RA24" s="1200"/>
      <c r="RB24" s="1093"/>
      <c r="RC24" s="1200"/>
      <c r="RD24" s="1200"/>
      <c r="RE24" s="1093"/>
      <c r="RF24" s="1200"/>
      <c r="RG24" s="1200"/>
      <c r="RH24" s="1093"/>
      <c r="RI24" s="1200"/>
      <c r="RJ24" s="1200"/>
      <c r="RK24" s="1093"/>
      <c r="RL24" s="1200"/>
      <c r="RM24" s="1200"/>
      <c r="RN24" s="1093"/>
      <c r="RO24" s="1215"/>
      <c r="RP24" s="1215"/>
      <c r="RQ24" s="1094"/>
      <c r="RR24" s="1200"/>
      <c r="RS24" s="1200"/>
      <c r="RT24" s="1093"/>
      <c r="RU24" s="1200"/>
      <c r="RV24" s="1200"/>
      <c r="RW24" s="1093"/>
      <c r="RX24" s="1200"/>
      <c r="RY24" s="1200"/>
      <c r="RZ24" s="1093"/>
      <c r="SA24" s="1200"/>
      <c r="SB24" s="1200"/>
      <c r="SC24" s="1093"/>
      <c r="SD24" s="1200"/>
      <c r="SE24" s="1200"/>
      <c r="SF24" s="1093"/>
      <c r="SG24" s="1200"/>
      <c r="SH24" s="1200"/>
      <c r="SI24" s="1093"/>
      <c r="SJ24" s="1200"/>
      <c r="SK24" s="1200"/>
      <c r="SL24" s="1093"/>
      <c r="SM24" s="1200"/>
      <c r="SN24" s="1200"/>
      <c r="SO24" s="1093"/>
      <c r="SP24" s="1200"/>
      <c r="SQ24" s="1200"/>
      <c r="SR24" s="1093"/>
      <c r="SS24" s="1200"/>
      <c r="ST24" s="1200"/>
      <c r="SU24" s="1093"/>
      <c r="SV24" s="1200"/>
      <c r="SW24" s="1200"/>
      <c r="SX24" s="1093"/>
      <c r="SY24" s="1200"/>
      <c r="SZ24" s="1200"/>
      <c r="TA24" s="1093"/>
      <c r="TB24" s="1200"/>
      <c r="TC24" s="1200"/>
      <c r="TD24" s="1093"/>
      <c r="TE24" s="1200"/>
      <c r="TF24" s="1200"/>
      <c r="TG24" s="1093"/>
      <c r="TH24" s="1200"/>
      <c r="TI24" s="1200"/>
      <c r="TJ24" s="1093"/>
      <c r="TK24" s="1200"/>
      <c r="TL24" s="1200"/>
      <c r="TM24" s="1093"/>
      <c r="TN24" s="1200"/>
      <c r="TO24" s="1200"/>
      <c r="TP24" s="1093"/>
      <c r="TQ24" s="1200"/>
      <c r="TR24" s="1200"/>
      <c r="TS24" s="1093"/>
      <c r="TT24" s="1200"/>
      <c r="TU24" s="1200"/>
      <c r="TV24" s="1093"/>
      <c r="TW24" s="1200"/>
      <c r="TX24" s="1200"/>
      <c r="TY24" s="1093"/>
      <c r="TZ24" s="1200"/>
      <c r="UA24" s="1200"/>
      <c r="UB24" s="1093"/>
      <c r="UC24" s="1200"/>
      <c r="UD24" s="1200"/>
      <c r="UE24" s="1093"/>
      <c r="UF24" s="1200"/>
      <c r="UG24" s="1200"/>
      <c r="UH24" s="1093"/>
      <c r="UI24" s="1200"/>
      <c r="UJ24" s="1200"/>
      <c r="UK24" s="1093"/>
      <c r="UL24" s="1200"/>
      <c r="UM24" s="1200"/>
      <c r="UN24" s="1093"/>
      <c r="UO24" s="1200"/>
      <c r="UP24" s="1200"/>
      <c r="UQ24" s="1093"/>
      <c r="UR24" s="1200"/>
      <c r="US24" s="1200"/>
      <c r="UT24" s="1093"/>
      <c r="UU24" s="1200"/>
      <c r="UV24" s="1200"/>
      <c r="UW24" s="1093"/>
      <c r="UX24" s="1200"/>
      <c r="UY24" s="1200"/>
      <c r="UZ24" s="1093"/>
      <c r="VA24" s="1200"/>
      <c r="VB24" s="1200"/>
      <c r="VC24" s="1093"/>
      <c r="VD24" s="1200"/>
      <c r="VE24" s="1200"/>
      <c r="VF24" s="1093"/>
      <c r="VG24" s="1200"/>
      <c r="VH24" s="1200"/>
      <c r="VI24" s="1093"/>
      <c r="VJ24" s="1200"/>
      <c r="VK24" s="1200"/>
      <c r="VL24" s="1093"/>
      <c r="VM24" s="1200"/>
      <c r="VN24" s="1200"/>
      <c r="VO24" s="1093"/>
      <c r="VP24" s="1200"/>
      <c r="VQ24" s="1200"/>
      <c r="VR24" s="1093"/>
      <c r="VS24" s="1200"/>
      <c r="VT24" s="1200"/>
      <c r="VU24" s="1093"/>
      <c r="VV24" s="1200"/>
      <c r="VW24" s="1200"/>
      <c r="VX24" s="1093"/>
      <c r="VY24" s="1200"/>
      <c r="VZ24" s="1200"/>
      <c r="WA24" s="1093"/>
      <c r="WB24" s="1200"/>
      <c r="WC24" s="1200"/>
      <c r="WD24" s="1093"/>
      <c r="WE24" s="1200"/>
      <c r="WF24" s="1200"/>
      <c r="WG24" s="1093"/>
      <c r="WH24" s="1200"/>
      <c r="WI24" s="1200"/>
      <c r="WJ24" s="1093"/>
      <c r="WK24" s="1200"/>
      <c r="WL24" s="1200"/>
      <c r="WM24" s="1093"/>
      <c r="WN24" s="1200"/>
      <c r="WO24" s="1200"/>
      <c r="WP24" s="1093"/>
      <c r="WQ24" s="1200"/>
      <c r="WR24" s="1200"/>
      <c r="WS24" s="1093"/>
      <c r="WT24" s="1200"/>
      <c r="WU24" s="1200"/>
      <c r="WV24" s="1093"/>
      <c r="WW24" s="1200"/>
      <c r="WX24" s="1200"/>
      <c r="WY24" s="1093"/>
      <c r="WZ24" s="1200"/>
      <c r="XA24" s="1200"/>
      <c r="XB24" s="1093"/>
      <c r="XC24" s="1200"/>
      <c r="XD24" s="1200"/>
      <c r="XE24" s="1093"/>
      <c r="XF24" s="1200"/>
      <c r="XG24" s="1200"/>
      <c r="XH24" s="1093"/>
      <c r="XI24" s="1200"/>
      <c r="XJ24" s="1200"/>
      <c r="XK24" s="1093"/>
      <c r="XL24" s="1200"/>
      <c r="XM24" s="1200"/>
      <c r="XN24" s="1093"/>
      <c r="XO24" s="1200"/>
      <c r="XP24" s="1200"/>
      <c r="XQ24" s="1093"/>
      <c r="XR24" s="1200"/>
      <c r="XS24" s="1200"/>
      <c r="XT24" s="1093"/>
      <c r="XU24" s="1200"/>
      <c r="XV24" s="1200"/>
      <c r="XW24" s="1093"/>
      <c r="XX24" s="1200"/>
      <c r="XY24" s="1200"/>
      <c r="XZ24" s="1093"/>
      <c r="YA24" s="1200"/>
      <c r="YB24" s="1200"/>
      <c r="YC24" s="1093"/>
      <c r="YD24" s="1200"/>
      <c r="YE24" s="1200"/>
      <c r="YF24" s="1093"/>
      <c r="YG24" s="1200"/>
      <c r="YH24" s="1200"/>
      <c r="YI24" s="1093"/>
      <c r="YJ24" s="1200"/>
      <c r="YK24" s="1200"/>
      <c r="YL24" s="1093"/>
      <c r="YM24" s="1200"/>
      <c r="YN24" s="1200"/>
      <c r="YO24" s="1093"/>
      <c r="YP24" s="1200"/>
      <c r="YQ24" s="1200"/>
      <c r="YR24" s="1093"/>
      <c r="YS24" s="1200"/>
      <c r="YT24" s="1200"/>
      <c r="YU24" s="1093"/>
      <c r="YV24" s="1200"/>
      <c r="YW24" s="1200"/>
      <c r="YX24" s="1093"/>
      <c r="YY24" s="1200"/>
      <c r="YZ24" s="1200"/>
      <c r="ZA24" s="1093"/>
      <c r="ZB24" s="1200"/>
      <c r="ZC24" s="1200"/>
      <c r="ZD24" s="1093"/>
      <c r="ZE24" s="1200"/>
      <c r="ZF24" s="1200"/>
      <c r="ZG24" s="1093"/>
      <c r="ZH24" s="1200"/>
      <c r="ZI24" s="1200"/>
      <c r="ZJ24" s="1093"/>
      <c r="ZK24" s="1200"/>
      <c r="ZL24" s="1200"/>
      <c r="ZM24" s="1093"/>
      <c r="ZN24" s="1200"/>
      <c r="ZO24" s="1200"/>
      <c r="ZP24" s="1093"/>
      <c r="ZQ24" s="1200"/>
      <c r="ZR24" s="1200"/>
      <c r="ZS24" s="1093"/>
      <c r="ZT24" s="1200"/>
      <c r="ZU24" s="1200"/>
      <c r="ZV24" s="1093"/>
      <c r="ZW24" s="1200"/>
      <c r="ZX24" s="1200"/>
      <c r="ZY24" s="1093"/>
      <c r="ZZ24" s="1200"/>
      <c r="AAA24" s="1200"/>
      <c r="AAB24" s="1093"/>
      <c r="AAC24" s="1200"/>
      <c r="AAD24" s="1200"/>
      <c r="AAE24" s="1093"/>
      <c r="AAF24" s="1200"/>
      <c r="AAG24" s="1200"/>
      <c r="AAH24" s="1093"/>
      <c r="AAI24" s="1200"/>
      <c r="AAJ24" s="1200"/>
      <c r="AAK24" s="1093"/>
      <c r="AAL24" s="1200"/>
      <c r="AAM24" s="1200"/>
      <c r="AAN24" s="1093"/>
      <c r="AAO24" s="1200"/>
      <c r="AAP24" s="1200"/>
      <c r="AAQ24" s="1093"/>
      <c r="AAR24" s="1200"/>
      <c r="AAS24" s="1200"/>
      <c r="AAT24" s="1093"/>
      <c r="AAU24" s="1200"/>
      <c r="AAV24" s="1200"/>
      <c r="AAW24" s="1093"/>
      <c r="AAX24" s="1200"/>
      <c r="AAY24" s="1200"/>
      <c r="AAZ24" s="1093"/>
      <c r="ABA24" s="1200"/>
      <c r="ABB24" s="1200"/>
      <c r="ABC24" s="1093"/>
      <c r="ABD24" s="1200"/>
      <c r="ABE24" s="1200"/>
      <c r="ABF24" s="1093"/>
      <c r="ABG24" s="1200"/>
      <c r="ABH24" s="1200"/>
      <c r="ABI24" s="1093"/>
      <c r="ABJ24" s="1200"/>
      <c r="ABK24" s="1200"/>
      <c r="ABL24" s="1093"/>
      <c r="ABM24" s="1200"/>
      <c r="ABN24" s="1200"/>
      <c r="ABO24" s="1093"/>
      <c r="ABP24" s="1200"/>
      <c r="ABQ24" s="1200"/>
      <c r="ABR24" s="1093"/>
      <c r="ABS24" s="1200"/>
      <c r="ABT24" s="1200"/>
      <c r="ABU24" s="1093"/>
      <c r="ABV24" s="1200"/>
      <c r="ABW24" s="1200"/>
      <c r="ABX24" s="1093"/>
      <c r="ABY24" s="1200"/>
      <c r="ABZ24" s="1200"/>
      <c r="ACA24" s="1093"/>
      <c r="ACB24" s="1200"/>
      <c r="ACC24" s="1200"/>
      <c r="ACD24" s="1093"/>
      <c r="ACE24" s="1200"/>
      <c r="ACF24" s="1200"/>
      <c r="ACG24" s="1093"/>
      <c r="ACH24" s="1200"/>
      <c r="ACI24" s="1200"/>
      <c r="ACJ24" s="1093"/>
      <c r="ACK24" s="1200"/>
      <c r="ACL24" s="1200"/>
      <c r="ACM24" s="1093"/>
      <c r="ACN24" s="1200"/>
      <c r="ACO24" s="1200"/>
      <c r="ACP24" s="1093"/>
      <c r="ACQ24" s="1200"/>
      <c r="ACR24" s="1200"/>
      <c r="ACS24" s="1093"/>
      <c r="ACT24" s="1200"/>
      <c r="ACU24" s="1200"/>
      <c r="ACV24" s="1093"/>
      <c r="ACW24" s="1200"/>
      <c r="ACX24" s="1200"/>
      <c r="ACY24" s="1093"/>
      <c r="ACZ24" s="1200"/>
      <c r="ADA24" s="1200"/>
      <c r="ADB24" s="1093"/>
      <c r="ADC24" s="1200"/>
      <c r="ADD24" s="1200"/>
      <c r="ADE24" s="1093"/>
      <c r="ADF24" s="1200"/>
      <c r="ADG24" s="1200"/>
      <c r="ADH24" s="1093"/>
      <c r="ADI24" s="1200"/>
      <c r="ADJ24" s="1200"/>
      <c r="ADK24" s="1093"/>
      <c r="ADL24" s="1200"/>
      <c r="ADM24" s="1200"/>
      <c r="ADN24" s="1093"/>
      <c r="ADO24" s="1200"/>
      <c r="ADP24" s="1200"/>
      <c r="ADQ24" s="1093"/>
      <c r="ADR24" s="1200"/>
      <c r="ADS24" s="1200"/>
      <c r="ADT24" s="1093"/>
      <c r="ADU24" s="1200"/>
      <c r="ADV24" s="1200"/>
      <c r="ADW24" s="1093"/>
      <c r="ADX24" s="1200"/>
      <c r="ADY24" s="1200"/>
      <c r="ADZ24" s="1093"/>
      <c r="AEA24" s="1200"/>
      <c r="AEB24" s="1200"/>
      <c r="AEC24" s="1093"/>
      <c r="AED24" s="1200"/>
      <c r="AEE24" s="1200"/>
      <c r="AEF24" s="1093"/>
      <c r="AEG24" s="1200"/>
      <c r="AEH24" s="1200"/>
      <c r="AEI24" s="1093"/>
      <c r="AEJ24" s="1200"/>
      <c r="AEK24" s="1200"/>
      <c r="AEL24" s="1093"/>
      <c r="AEM24" s="1200"/>
      <c r="AEN24" s="1200"/>
      <c r="AEO24" s="1093"/>
      <c r="AEP24" s="1200"/>
      <c r="AEQ24" s="1200"/>
      <c r="AER24" s="1093"/>
      <c r="AES24" s="1200"/>
      <c r="AET24" s="1200"/>
      <c r="AEU24" s="1093"/>
      <c r="AEV24" s="1200"/>
      <c r="AEW24" s="1200"/>
      <c r="AEX24" s="1093"/>
      <c r="AEY24" s="1200"/>
      <c r="AEZ24" s="1200"/>
      <c r="AFA24" s="1093"/>
      <c r="AFB24" s="1200"/>
      <c r="AFC24" s="1200"/>
      <c r="AFD24" s="1093"/>
      <c r="AFE24" s="1200"/>
      <c r="AFF24" s="1200"/>
      <c r="AFG24" s="1093"/>
      <c r="AFH24" s="1200"/>
      <c r="AFI24" s="1200"/>
      <c r="AFJ24" s="1093"/>
      <c r="AFK24" s="1200"/>
      <c r="AFL24" s="1200"/>
      <c r="AFM24" s="1093"/>
      <c r="AFN24" s="1200"/>
      <c r="AFO24" s="1200"/>
      <c r="AFP24" s="1093"/>
      <c r="AFQ24" s="1200"/>
      <c r="AFR24" s="1200"/>
      <c r="AFS24" s="1093"/>
      <c r="AFT24" s="1200"/>
      <c r="AFU24" s="1200"/>
      <c r="AFV24" s="1093"/>
      <c r="AFW24" s="1200"/>
      <c r="AFX24" s="1200"/>
      <c r="AFY24" s="1093"/>
      <c r="AFZ24" s="1200"/>
      <c r="AGA24" s="1200"/>
      <c r="AGB24" s="1093"/>
      <c r="AGC24" s="1200"/>
      <c r="AGD24" s="1200"/>
      <c r="AGE24" s="1093"/>
      <c r="AGF24" s="1200"/>
      <c r="AGG24" s="1200"/>
      <c r="AGH24" s="1093"/>
      <c r="AGI24" s="1200"/>
      <c r="AGJ24" s="1200"/>
      <c r="AGK24" s="1093"/>
      <c r="AGL24" s="1200"/>
      <c r="AGM24" s="1200"/>
      <c r="AGN24" s="1093"/>
      <c r="AGO24" s="1200"/>
      <c r="AGP24" s="1200"/>
      <c r="AGQ24" s="1093"/>
      <c r="AGR24" s="1200"/>
      <c r="AGS24" s="1200"/>
      <c r="AGT24" s="1093"/>
      <c r="AGU24" s="1200"/>
      <c r="AGV24" s="1200"/>
      <c r="AGW24" s="1093"/>
      <c r="AGX24" s="1200"/>
      <c r="AGY24" s="1200"/>
      <c r="AGZ24" s="1093"/>
      <c r="AHA24" s="1200"/>
      <c r="AHB24" s="1200"/>
      <c r="AHC24" s="1093"/>
      <c r="AHD24" s="1200"/>
      <c r="AHE24" s="1200"/>
      <c r="AHF24" s="1093"/>
      <c r="AHG24" s="1200"/>
      <c r="AHH24" s="1200"/>
      <c r="AHI24" s="1093"/>
      <c r="AHJ24" s="1200"/>
      <c r="AHK24" s="1200"/>
      <c r="AHL24" s="1093"/>
      <c r="AHM24" s="1200"/>
      <c r="AHN24" s="1200"/>
      <c r="AHO24" s="1093"/>
      <c r="AHP24" s="1200"/>
      <c r="AHQ24" s="1200"/>
      <c r="AHR24" s="1093"/>
      <c r="AHS24" s="1200"/>
      <c r="AHT24" s="1200"/>
      <c r="AHU24" s="1093"/>
      <c r="AHV24" s="1200"/>
      <c r="AHW24" s="1200"/>
      <c r="AHX24" s="1093"/>
      <c r="AHY24" s="1200"/>
      <c r="AHZ24" s="1200"/>
      <c r="AIA24" s="1093"/>
      <c r="AIB24" s="1200"/>
      <c r="AIC24" s="1200"/>
      <c r="AID24" s="1200"/>
      <c r="AIE24" s="1092"/>
      <c r="AIF24" s="1200"/>
      <c r="AIG24" s="1093"/>
      <c r="AIH24" s="1200"/>
      <c r="AII24" s="1200"/>
      <c r="AIJ24" s="1093"/>
      <c r="AIK24" s="1200"/>
      <c r="AIL24" s="1200"/>
      <c r="AIM24" s="1093"/>
      <c r="AIN24" s="1200"/>
      <c r="AIO24" s="1200"/>
      <c r="AIP24" s="1093"/>
      <c r="AIQ24" s="1200"/>
      <c r="AIR24" s="1200"/>
      <c r="AIS24" s="1200"/>
      <c r="AIT24" s="1092"/>
      <c r="AIU24" s="1200"/>
      <c r="AIV24" s="1093"/>
      <c r="AIW24" s="1200"/>
      <c r="AIX24" s="1200"/>
      <c r="AIY24" s="1200"/>
      <c r="AIZ24" s="1092"/>
      <c r="AJA24" s="1200"/>
      <c r="AJB24" s="1093"/>
      <c r="AJC24" s="1200"/>
      <c r="AJD24" s="1200"/>
      <c r="AJE24" s="1093"/>
      <c r="AJF24" s="1200"/>
      <c r="AJG24" s="1200"/>
      <c r="AJH24" s="1093"/>
      <c r="AJI24" s="1200"/>
      <c r="AJJ24" s="1200"/>
      <c r="AJK24" s="1093"/>
      <c r="AJL24" s="1200"/>
      <c r="AJM24" s="1200"/>
      <c r="AJN24" s="1200"/>
      <c r="AJO24" s="1092"/>
      <c r="AJP24" s="1200"/>
      <c r="AJQ24" s="1093"/>
      <c r="AJR24" s="1200"/>
      <c r="AJS24" s="1200"/>
      <c r="AJT24" s="1200"/>
      <c r="AJU24" s="1092"/>
      <c r="AJV24" s="1200"/>
      <c r="AJW24" s="1093"/>
      <c r="AJX24" s="1200"/>
      <c r="AJY24" s="1200"/>
      <c r="AJZ24" s="1093"/>
      <c r="AKA24" s="1200"/>
      <c r="AKB24" s="1200"/>
      <c r="AKC24" s="1093"/>
      <c r="AKD24" s="1200"/>
      <c r="AKE24" s="1200"/>
      <c r="AKF24" s="1093"/>
      <c r="AKG24" s="1200"/>
      <c r="AKH24" s="1200"/>
      <c r="AKI24" s="1200"/>
      <c r="AKJ24" s="1092"/>
      <c r="AKK24" s="1200"/>
      <c r="AKL24" s="1093"/>
      <c r="AKM24" s="1200"/>
      <c r="AKN24" s="1200"/>
      <c r="AKO24" s="1200"/>
      <c r="AKP24" s="1092"/>
      <c r="AKQ24" s="1200"/>
      <c r="AKR24" s="1093"/>
      <c r="AKS24" s="1200"/>
      <c r="AKT24" s="1200"/>
      <c r="AKU24" s="1093"/>
      <c r="AKV24" s="1200"/>
      <c r="AKW24" s="1200"/>
      <c r="AKX24" s="1093"/>
      <c r="AKY24" s="1200"/>
      <c r="AKZ24" s="1200"/>
      <c r="ALA24" s="1093"/>
      <c r="ALB24" s="1200"/>
      <c r="ALC24" s="1200"/>
      <c r="ALD24" s="1200"/>
      <c r="ALE24" s="1092"/>
      <c r="ALF24" s="1200"/>
      <c r="ALG24" s="1093"/>
      <c r="ALH24" s="1200"/>
      <c r="ALI24" s="1200"/>
      <c r="ALJ24" s="1200"/>
      <c r="ALK24" s="1092"/>
      <c r="ALL24" s="1200"/>
      <c r="ALM24" s="1093"/>
      <c r="ALN24" s="1200"/>
      <c r="ALO24" s="1200"/>
      <c r="ALP24" s="1093"/>
      <c r="ALQ24" s="1200"/>
      <c r="ALR24" s="1200"/>
      <c r="ALS24" s="1093"/>
      <c r="ALT24" s="1200"/>
      <c r="ALU24" s="1200"/>
      <c r="ALV24" s="1093"/>
      <c r="ALW24" s="1200"/>
      <c r="ALX24" s="1200"/>
      <c r="ALY24" s="1200"/>
      <c r="ALZ24" s="1092"/>
      <c r="AMA24" s="1200"/>
      <c r="AMB24" s="1093"/>
      <c r="AMC24" s="1200"/>
      <c r="AMD24" s="1200"/>
      <c r="AME24" s="1200"/>
      <c r="AMF24" s="1092"/>
      <c r="AMG24" s="1200"/>
      <c r="AMH24" s="1093"/>
      <c r="AMI24" s="1200"/>
      <c r="AMJ24" s="1200"/>
      <c r="AMK24" s="1093"/>
      <c r="AML24" s="1200"/>
      <c r="AMM24" s="1200"/>
      <c r="AMN24" s="1093"/>
      <c r="AMO24" s="1200"/>
      <c r="AMP24" s="1200"/>
      <c r="AMQ24" s="1093"/>
      <c r="AMR24" s="1200"/>
      <c r="AMS24" s="1200"/>
      <c r="AMT24" s="1200"/>
      <c r="AMU24" s="1092"/>
      <c r="AMV24" s="1200"/>
      <c r="AMW24" s="1093"/>
      <c r="AMX24" s="1200"/>
      <c r="AMY24" s="1200"/>
      <c r="AMZ24" s="1200"/>
      <c r="ANA24" s="1092"/>
      <c r="ANB24" s="1200"/>
      <c r="ANC24" s="1093"/>
      <c r="AND24" s="1200"/>
      <c r="ANE24" s="1200"/>
      <c r="ANF24" s="1093"/>
      <c r="ANG24" s="1200"/>
      <c r="ANH24" s="1200"/>
      <c r="ANI24" s="1093"/>
      <c r="ANJ24" s="1200"/>
      <c r="ANK24" s="1200"/>
      <c r="ANL24" s="1093"/>
      <c r="ANM24" s="1200"/>
      <c r="ANN24" s="1200"/>
      <c r="ANO24" s="1200"/>
      <c r="ANP24" s="1092"/>
      <c r="ANQ24" s="1200"/>
      <c r="ANR24" s="1093"/>
      <c r="ANS24" s="1200"/>
      <c r="ANT24" s="1200"/>
      <c r="ANU24" s="1200"/>
      <c r="ANV24" s="1092"/>
      <c r="ANW24" s="1200"/>
      <c r="ANX24" s="1093"/>
      <c r="ANY24" s="1200"/>
      <c r="ANZ24" s="1200"/>
      <c r="AOA24" s="1093"/>
      <c r="AOB24" s="1200"/>
      <c r="AOC24" s="1200"/>
      <c r="AOD24" s="1093"/>
      <c r="AOE24" s="1200"/>
      <c r="AOF24" s="1200"/>
      <c r="AOG24" s="1093"/>
      <c r="AOH24" s="1200"/>
      <c r="AOI24" s="1200"/>
      <c r="AOJ24" s="1200"/>
      <c r="AOK24" s="1092"/>
      <c r="AOL24" s="1200"/>
      <c r="AOM24" s="1093"/>
      <c r="AON24" s="1200"/>
      <c r="AOO24" s="1200"/>
      <c r="AOP24" s="1200"/>
      <c r="AOQ24" s="1092"/>
      <c r="AOR24" s="1200"/>
      <c r="AOS24" s="1093"/>
      <c r="AOT24" s="1200"/>
      <c r="AOU24" s="1200"/>
      <c r="AOV24" s="1093"/>
      <c r="AOW24" s="1200"/>
      <c r="AOX24" s="1200"/>
      <c r="AOY24" s="1093"/>
      <c r="AOZ24" s="1200"/>
      <c r="APA24" s="1200"/>
      <c r="APB24" s="1093"/>
      <c r="APC24" s="1200"/>
      <c r="APD24" s="1200"/>
      <c r="APE24" s="1200"/>
      <c r="APF24" s="1092"/>
      <c r="APG24" s="1200"/>
      <c r="APH24" s="1093"/>
      <c r="API24" s="1200"/>
      <c r="APJ24" s="1200"/>
      <c r="APK24" s="1200"/>
      <c r="APL24" s="1092"/>
      <c r="APM24" s="1200"/>
      <c r="APN24" s="1093"/>
      <c r="APO24" s="1200"/>
      <c r="APP24" s="1200"/>
      <c r="APQ24" s="1093"/>
      <c r="APR24" s="1200"/>
      <c r="APS24" s="1200"/>
      <c r="APT24" s="1093"/>
      <c r="APU24" s="1200"/>
      <c r="APV24" s="1200"/>
      <c r="APW24" s="1093"/>
      <c r="APX24" s="1200"/>
      <c r="APY24" s="1200"/>
      <c r="APZ24" s="1200"/>
      <c r="AQA24" s="1092"/>
      <c r="AQB24" s="1200"/>
      <c r="AQC24" s="1093"/>
      <c r="AQD24" s="1200"/>
      <c r="AQE24" s="1200"/>
      <c r="AQF24" s="1093"/>
      <c r="AQG24" s="1200"/>
      <c r="AQH24" s="1200"/>
      <c r="AQI24" s="1093"/>
      <c r="AQJ24" s="1200"/>
      <c r="AQK24" s="1200"/>
      <c r="AQL24" s="1093"/>
      <c r="AQM24" s="1200"/>
      <c r="AQN24" s="1200"/>
      <c r="AQO24" s="1200"/>
      <c r="AQP24" s="1092"/>
      <c r="AQQ24" s="1200"/>
      <c r="AQR24" s="1200"/>
      <c r="AQS24" s="1092"/>
      <c r="AQT24" s="1200"/>
      <c r="AQU24" s="1093"/>
      <c r="AQV24" s="1200"/>
      <c r="AQW24" s="1200"/>
      <c r="AQX24" s="1093"/>
      <c r="AQY24" s="1200"/>
      <c r="AQZ24" s="1200"/>
      <c r="ARA24" s="1093"/>
      <c r="ARB24" s="1200"/>
      <c r="ARC24" s="1200"/>
      <c r="ARD24" s="1093"/>
      <c r="ARE24" s="1200"/>
      <c r="ARF24" s="1200"/>
      <c r="ARG24" s="1093"/>
      <c r="ARH24" s="1200"/>
      <c r="ARI24" s="1200"/>
      <c r="ARJ24" s="1093"/>
      <c r="ARK24" s="1200"/>
      <c r="ARL24" s="1200"/>
      <c r="ARM24" s="1093"/>
      <c r="ARN24" s="1200"/>
      <c r="ARO24" s="1200"/>
      <c r="ARP24" s="1093"/>
      <c r="ARQ24" s="1200"/>
      <c r="ARR24" s="1200"/>
      <c r="ARS24" s="1093"/>
      <c r="ART24" s="1200"/>
      <c r="ARU24" s="1200"/>
      <c r="ARV24" s="1093"/>
      <c r="ARW24" s="1200"/>
      <c r="ARX24" s="1200"/>
      <c r="ARY24" s="1093"/>
      <c r="ARZ24" s="1200"/>
      <c r="ASA24" s="1200"/>
      <c r="ASB24" s="1093"/>
      <c r="ASC24" s="1200"/>
      <c r="ASD24" s="1200"/>
      <c r="ASE24" s="1200"/>
      <c r="ASF24" s="1092"/>
      <c r="ASG24" s="1200"/>
      <c r="ASH24" s="1093"/>
      <c r="ASI24" s="1200"/>
      <c r="ASJ24" s="1200"/>
      <c r="ASK24" s="1200"/>
      <c r="ASL24" s="1092"/>
      <c r="ASM24" s="1200"/>
      <c r="ASN24" s="1093"/>
      <c r="ASO24" s="1200"/>
      <c r="ASP24" s="1200"/>
      <c r="ASQ24" s="1200"/>
      <c r="ASR24" s="1092"/>
      <c r="ASS24" s="1200"/>
      <c r="AST24" s="1093"/>
      <c r="ASU24" s="1200"/>
      <c r="ASV24" s="1200"/>
      <c r="ASW24" s="1093"/>
      <c r="ASX24" s="1200"/>
      <c r="ASY24" s="1200"/>
      <c r="ASZ24" s="1200"/>
      <c r="ATA24" s="1092"/>
      <c r="ATB24" s="1200"/>
      <c r="ATC24" s="1093"/>
      <c r="ATD24" s="1200"/>
      <c r="ATE24" s="1200"/>
      <c r="ATF24" s="1200"/>
      <c r="ATG24" s="1092"/>
      <c r="ATH24" s="1200"/>
      <c r="ATI24" s="1093"/>
      <c r="ATJ24" s="1200"/>
      <c r="ATK24" s="1200"/>
      <c r="ATL24" s="1093"/>
      <c r="ATM24" s="1200"/>
      <c r="ATN24" s="1200"/>
      <c r="ATO24" s="1093"/>
      <c r="ATP24" s="1200"/>
      <c r="ATQ24" s="1200"/>
      <c r="ATR24" s="1093"/>
      <c r="ATS24" s="1200"/>
      <c r="ATT24" s="1200"/>
      <c r="ATU24" s="1093"/>
      <c r="ATV24" s="1200"/>
      <c r="ATW24" s="1200"/>
      <c r="ATX24" s="1093"/>
      <c r="ATY24" s="1200"/>
      <c r="ATZ24" s="1200"/>
      <c r="AUA24" s="1200"/>
      <c r="AUB24" s="1092"/>
      <c r="AUC24" s="1200"/>
      <c r="AUD24" s="1093"/>
      <c r="AUE24" s="1200"/>
      <c r="AUF24" s="1200"/>
      <c r="AUG24" s="1093"/>
      <c r="AUH24" s="1200"/>
      <c r="AUI24" s="1200"/>
      <c r="AUJ24" s="1093"/>
      <c r="AUK24" s="1200"/>
      <c r="AUL24" s="1200"/>
      <c r="AUM24" s="1200"/>
      <c r="AUN24" s="1092"/>
      <c r="AUO24" s="1206">
        <v>0</v>
      </c>
      <c r="AUP24" s="1200"/>
      <c r="AUQ24" s="1092"/>
      <c r="AUR24" s="1206">
        <v>0</v>
      </c>
      <c r="AUS24" s="1200"/>
      <c r="AUT24" s="1092"/>
      <c r="AUU24" s="1206">
        <v>0</v>
      </c>
      <c r="AUV24" s="1200"/>
      <c r="AUW24" s="1092"/>
      <c r="AUX24" s="1206">
        <v>1</v>
      </c>
      <c r="AUY24" s="1200"/>
      <c r="AUZ24" s="1092"/>
      <c r="AVA24" s="1206">
        <v>0</v>
      </c>
      <c r="AVB24" s="1200"/>
      <c r="AVC24" s="1092"/>
      <c r="AVD24" s="1206"/>
      <c r="AVE24" s="1200"/>
      <c r="AVF24" s="1092"/>
      <c r="AVG24" s="1206">
        <v>2</v>
      </c>
      <c r="AVH24" s="1200"/>
      <c r="AVI24" s="1092"/>
      <c r="AVJ24" s="1206"/>
      <c r="AVK24" s="1200"/>
      <c r="AVL24" s="1092"/>
      <c r="AVM24" s="1206">
        <v>1</v>
      </c>
      <c r="AVN24" s="1200"/>
      <c r="AVO24" s="1092"/>
      <c r="AVP24" s="1206">
        <v>2</v>
      </c>
      <c r="AVQ24" s="1200"/>
      <c r="AVR24" s="1092"/>
      <c r="AVS24" s="1206"/>
      <c r="AVT24" s="1200"/>
      <c r="AVU24" s="1092"/>
      <c r="AVV24" s="1206"/>
      <c r="AVW24" s="1200"/>
      <c r="AVX24" s="1092"/>
      <c r="AVY24" s="1206"/>
      <c r="AVZ24" s="1200"/>
      <c r="AWA24" s="1092"/>
      <c r="AWB24" s="1206"/>
      <c r="AWC24" s="1200"/>
      <c r="AWD24" s="1092"/>
      <c r="AWE24" s="1206"/>
      <c r="AWF24" s="1200"/>
      <c r="AWG24" s="1092"/>
      <c r="AWH24" s="1206"/>
      <c r="AWI24" s="1200"/>
      <c r="AWJ24" s="1092"/>
      <c r="AWK24" s="1206"/>
      <c r="AWL24" s="1200"/>
      <c r="AWM24" s="1092"/>
      <c r="AWN24" s="1206"/>
      <c r="AWO24" s="1093"/>
      <c r="AWP24" s="1200"/>
      <c r="AWQ24" s="1200"/>
      <c r="AWR24" s="1200"/>
      <c r="AWS24" s="1200"/>
      <c r="AWT24" s="1200"/>
      <c r="AWU24" s="1200"/>
      <c r="AWV24" s="1200"/>
      <c r="AWW24" s="1200"/>
      <c r="AWX24" s="1200"/>
      <c r="AWY24" s="1200"/>
      <c r="AWZ24" s="1200"/>
      <c r="AXA24" s="1200"/>
      <c r="AXB24" s="1200"/>
      <c r="AXC24" s="1200"/>
      <c r="AXD24" s="1200"/>
      <c r="AXE24" s="1200"/>
      <c r="AXF24" s="1200"/>
      <c r="AXG24" s="1200"/>
      <c r="AXH24" s="1200"/>
      <c r="AXI24" s="1200"/>
      <c r="AXJ24" s="1200"/>
      <c r="AXK24" s="1200"/>
      <c r="AXL24" s="1200"/>
      <c r="AXM24" s="1200"/>
      <c r="AXN24" s="1200"/>
      <c r="AXO24" s="1200"/>
      <c r="AXP24" s="1200"/>
      <c r="AXQ24" s="1200"/>
      <c r="AXR24" s="1200"/>
      <c r="AXS24" s="1200"/>
      <c r="AXT24" s="1200"/>
      <c r="AXU24" s="1200"/>
      <c r="AXV24" s="1200"/>
      <c r="AXW24" s="1200"/>
      <c r="AXX24" s="1200"/>
      <c r="AXY24" s="1200"/>
      <c r="AXZ24" s="1200"/>
      <c r="AYA24" s="1200"/>
      <c r="AYB24" s="1200"/>
      <c r="AYC24" s="1200"/>
      <c r="AYD24" s="1200"/>
      <c r="AYE24" s="1200"/>
      <c r="AYF24" s="1200"/>
      <c r="AYG24" s="1200"/>
      <c r="AYH24" s="1200"/>
      <c r="AYI24" s="1200"/>
      <c r="AYJ24" s="1200"/>
      <c r="AYK24" s="1200"/>
      <c r="AYL24" s="1200"/>
      <c r="AYM24" s="1200"/>
      <c r="AYN24" s="1093"/>
      <c r="AYO24" s="1200"/>
      <c r="AYP24" s="1200"/>
      <c r="AYQ24" s="1200"/>
      <c r="AYR24" s="1092"/>
      <c r="AYS24" s="1200"/>
      <c r="AYT24" s="1093"/>
      <c r="AYU24" s="1200"/>
      <c r="AYV24" s="1200"/>
      <c r="AYW24" s="1200"/>
      <c r="AYX24" s="1092"/>
      <c r="AYY24" s="1200"/>
      <c r="AYZ24" s="1093"/>
      <c r="AZA24" s="1200"/>
      <c r="AZB24" s="1200"/>
      <c r="AZC24" s="1093"/>
      <c r="AZD24" s="1200"/>
      <c r="AZE24" s="1200"/>
      <c r="AZF24" s="1093"/>
      <c r="AZG24" s="1200"/>
      <c r="AZH24" s="1200"/>
      <c r="AZI24" s="1093"/>
      <c r="AZJ24" s="1200"/>
      <c r="AZK24" s="1200"/>
      <c r="AZL24" s="1200"/>
      <c r="AZM24" s="1092"/>
      <c r="AZN24" s="1200"/>
      <c r="AZO24" s="1093"/>
      <c r="AZP24" s="1200"/>
      <c r="AZQ24" s="1200"/>
      <c r="AZR24" s="1200"/>
      <c r="AZS24" s="1092"/>
      <c r="AZT24" s="1200"/>
      <c r="AZU24" s="1093"/>
      <c r="AZV24" s="1200"/>
      <c r="AZW24" s="1200"/>
      <c r="AZX24" s="1093"/>
      <c r="AZY24" s="1200"/>
      <c r="AZZ24" s="1200"/>
      <c r="BAA24" s="1093"/>
      <c r="BAB24" s="1200"/>
      <c r="BAC24" s="1200"/>
      <c r="BAD24" s="1093"/>
      <c r="BAE24" s="1200"/>
      <c r="BAF24" s="1200"/>
      <c r="BAG24" s="1200"/>
      <c r="BAH24" s="1092"/>
      <c r="BAI24" s="1200"/>
      <c r="BAJ24" s="1093"/>
    </row>
    <row r="25" spans="1:1399">
      <c r="B25" s="5" t="s">
        <v>350</v>
      </c>
      <c r="C25" s="16"/>
      <c r="D25" s="16"/>
      <c r="E25" s="9" t="s">
        <v>349</v>
      </c>
      <c r="F25" s="1200"/>
      <c r="G25" s="1200"/>
      <c r="H25" s="1093"/>
      <c r="I25" s="1200"/>
      <c r="J25" s="1200"/>
      <c r="K25" s="1093"/>
      <c r="L25" s="1200"/>
      <c r="M25" s="1200"/>
      <c r="N25" s="1093"/>
      <c r="O25" s="1200"/>
      <c r="P25" s="1200"/>
      <c r="Q25" s="1093"/>
      <c r="R25" s="1200"/>
      <c r="S25" s="1200"/>
      <c r="T25" s="1093"/>
      <c r="U25" s="1200"/>
      <c r="V25" s="1200"/>
      <c r="W25" s="1093"/>
      <c r="X25" s="1200"/>
      <c r="Y25" s="1200"/>
      <c r="Z25" s="1093"/>
      <c r="AA25" s="1200"/>
      <c r="AB25" s="1200"/>
      <c r="AC25" s="1093"/>
      <c r="AD25" s="1200"/>
      <c r="AE25" s="1200"/>
      <c r="AF25" s="1093"/>
      <c r="AG25" s="1200"/>
      <c r="AH25" s="1200"/>
      <c r="AI25" s="1093"/>
      <c r="AJ25" s="1200"/>
      <c r="AK25" s="1200"/>
      <c r="AL25" s="1093"/>
      <c r="AM25" s="1200"/>
      <c r="AN25" s="1200"/>
      <c r="AO25" s="1093"/>
      <c r="AP25" s="1200"/>
      <c r="AQ25" s="1200"/>
      <c r="AR25" s="1093"/>
      <c r="AS25" s="1200"/>
      <c r="AT25" s="1200"/>
      <c r="AU25" s="1093"/>
      <c r="AV25" s="1200"/>
      <c r="AW25" s="1200"/>
      <c r="AX25" s="1093"/>
      <c r="AY25" s="1200"/>
      <c r="AZ25" s="1200"/>
      <c r="BA25" s="1093"/>
      <c r="BB25" s="1200"/>
      <c r="BC25" s="1200"/>
      <c r="BD25" s="1093"/>
      <c r="BE25" s="1200"/>
      <c r="BF25" s="1200"/>
      <c r="BG25" s="1093"/>
      <c r="BH25" s="1200"/>
      <c r="BI25" s="1200"/>
      <c r="BJ25" s="1093"/>
      <c r="BK25" s="1200"/>
      <c r="BL25" s="1200"/>
      <c r="BM25" s="1093"/>
      <c r="BN25" s="1200"/>
      <c r="BO25" s="1200"/>
      <c r="BP25" s="1093"/>
      <c r="BQ25" s="1200"/>
      <c r="BR25" s="1200"/>
      <c r="BS25" s="1093"/>
      <c r="BT25" s="1200"/>
      <c r="BU25" s="1200"/>
      <c r="BV25" s="1093"/>
      <c r="BW25" s="1200"/>
      <c r="BX25" s="1200"/>
      <c r="BY25" s="1093"/>
      <c r="BZ25" s="1200"/>
      <c r="CA25" s="1200"/>
      <c r="CB25" s="1093"/>
      <c r="CC25" s="1200"/>
      <c r="CD25" s="1200"/>
      <c r="CE25" s="1093"/>
      <c r="CF25" s="1200"/>
      <c r="CG25" s="1200"/>
      <c r="CH25" s="1093"/>
      <c r="CI25" s="1200"/>
      <c r="CJ25" s="1200"/>
      <c r="CK25" s="1093"/>
      <c r="CL25" s="1200"/>
      <c r="CM25" s="1200"/>
      <c r="CN25" s="1093"/>
      <c r="CO25" s="1200"/>
      <c r="CP25" s="1200"/>
      <c r="CQ25" s="1093"/>
      <c r="CR25" s="1200"/>
      <c r="CS25" s="1200"/>
      <c r="CT25" s="1093"/>
      <c r="CU25" s="1215"/>
      <c r="CV25" s="1215"/>
      <c r="CW25" s="1094"/>
      <c r="CX25" s="1200"/>
      <c r="CY25" s="1200"/>
      <c r="CZ25" s="1093"/>
      <c r="DA25" s="1200"/>
      <c r="DB25" s="1200"/>
      <c r="DC25" s="1093"/>
      <c r="DD25" s="1200"/>
      <c r="DE25" s="1200"/>
      <c r="DF25" s="1093"/>
      <c r="DG25" s="1200"/>
      <c r="DH25" s="1200"/>
      <c r="DI25" s="1093"/>
      <c r="DJ25" s="1200"/>
      <c r="DK25" s="1200"/>
      <c r="DL25" s="1093"/>
      <c r="DM25" s="1200"/>
      <c r="DN25" s="1200"/>
      <c r="DO25" s="1093"/>
      <c r="DP25" s="1200"/>
      <c r="DQ25" s="1200"/>
      <c r="DR25" s="1093"/>
      <c r="DS25" s="1200"/>
      <c r="DT25" s="1200"/>
      <c r="DU25" s="1093"/>
      <c r="DV25" s="1200"/>
      <c r="DW25" s="1200"/>
      <c r="DX25" s="1093"/>
      <c r="DY25" s="1200"/>
      <c r="DZ25" s="1200"/>
      <c r="EA25" s="1093"/>
      <c r="EB25" s="1200"/>
      <c r="EC25" s="1200"/>
      <c r="ED25" s="1093"/>
      <c r="EE25" s="1200"/>
      <c r="EF25" s="1200"/>
      <c r="EG25" s="1093"/>
      <c r="EH25" s="7"/>
      <c r="EI25" s="7"/>
      <c r="EJ25" s="4"/>
      <c r="EK25" s="1200"/>
      <c r="EL25" s="1200"/>
      <c r="EM25" s="1093"/>
      <c r="EN25" s="1200"/>
      <c r="EO25" s="1200"/>
      <c r="EP25" s="1093"/>
      <c r="EQ25" s="1200"/>
      <c r="ER25" s="1200"/>
      <c r="ES25" s="1093"/>
      <c r="ET25" s="1200"/>
      <c r="EU25" s="1200"/>
      <c r="EV25" s="1093"/>
      <c r="EW25" s="1200"/>
      <c r="EX25" s="1200"/>
      <c r="EY25" s="1093"/>
      <c r="EZ25" s="1200"/>
      <c r="FA25" s="1200"/>
      <c r="FB25" s="1093"/>
      <c r="FC25" s="1200"/>
      <c r="FD25" s="1200"/>
      <c r="FE25" s="1093"/>
      <c r="FF25" s="1200"/>
      <c r="FG25" s="1200"/>
      <c r="FH25" s="1093"/>
      <c r="FI25" s="1200"/>
      <c r="FJ25" s="1200"/>
      <c r="FK25" s="1093"/>
      <c r="FL25" s="1200"/>
      <c r="FM25" s="1200"/>
      <c r="FN25" s="1093"/>
      <c r="FO25" s="1200"/>
      <c r="FP25" s="1200"/>
      <c r="FQ25" s="1093"/>
      <c r="FR25" s="1200"/>
      <c r="FS25" s="1200"/>
      <c r="FT25" s="1093"/>
      <c r="FU25" s="1200"/>
      <c r="FV25" s="1200"/>
      <c r="FW25" s="1093"/>
      <c r="FX25" s="1200"/>
      <c r="FY25" s="1200"/>
      <c r="FZ25" s="1093"/>
      <c r="GA25" s="1200"/>
      <c r="GB25" s="1200"/>
      <c r="GC25" s="1093"/>
      <c r="GD25" s="1200"/>
      <c r="GE25" s="1200"/>
      <c r="GF25" s="1093"/>
      <c r="GG25" s="1215"/>
      <c r="GH25" s="1215"/>
      <c r="GI25" s="1094"/>
      <c r="GJ25" s="1200"/>
      <c r="GK25" s="1200"/>
      <c r="GL25" s="1093"/>
      <c r="GM25" s="1200"/>
      <c r="GN25" s="1200"/>
      <c r="GO25" s="1093"/>
      <c r="GP25" s="1200"/>
      <c r="GQ25" s="1200"/>
      <c r="GR25" s="1093"/>
      <c r="GS25" s="1200"/>
      <c r="GT25" s="1200"/>
      <c r="GU25" s="1093"/>
      <c r="GV25" s="1200"/>
      <c r="GW25" s="1200"/>
      <c r="GX25" s="1093"/>
      <c r="GY25" s="1200"/>
      <c r="GZ25" s="1200"/>
      <c r="HA25" s="1093"/>
      <c r="HB25" s="1200"/>
      <c r="HC25" s="1200"/>
      <c r="HD25" s="1093"/>
      <c r="HE25" s="1200"/>
      <c r="HF25" s="1200"/>
      <c r="HG25" s="1093"/>
      <c r="HH25" s="1200"/>
      <c r="HI25" s="1200"/>
      <c r="HJ25" s="1093"/>
      <c r="HK25" s="1200"/>
      <c r="HL25" s="1200"/>
      <c r="HM25" s="1093"/>
      <c r="HN25" s="1215"/>
      <c r="HO25" s="1215"/>
      <c r="HP25" s="1094"/>
      <c r="HQ25" s="1200"/>
      <c r="HR25" s="1200"/>
      <c r="HS25" s="1093"/>
      <c r="HT25" s="1200"/>
      <c r="HU25" s="1200"/>
      <c r="HV25" s="1093"/>
      <c r="HW25" s="1200"/>
      <c r="HX25" s="1200"/>
      <c r="HY25" s="1093"/>
      <c r="HZ25" s="1200"/>
      <c r="IA25" s="1200"/>
      <c r="IB25" s="1093"/>
      <c r="IC25" s="1200"/>
      <c r="ID25" s="1200"/>
      <c r="IE25" s="1093"/>
      <c r="IF25" s="1200"/>
      <c r="IG25" s="1200"/>
      <c r="IH25" s="1093"/>
      <c r="II25" s="1200"/>
      <c r="IJ25" s="1200"/>
      <c r="IK25" s="1093"/>
      <c r="IL25" s="1200"/>
      <c r="IM25" s="1200"/>
      <c r="IN25" s="1093"/>
      <c r="IO25" s="1200"/>
      <c r="IP25" s="1200"/>
      <c r="IQ25" s="1093"/>
      <c r="IR25" s="1200"/>
      <c r="IS25" s="1200"/>
      <c r="IT25" s="1093"/>
      <c r="IU25" s="1200"/>
      <c r="IV25" s="1200"/>
      <c r="IW25" s="1093"/>
      <c r="IX25" s="1200"/>
      <c r="IY25" s="1200"/>
      <c r="IZ25" s="1093"/>
      <c r="JA25" s="1200"/>
      <c r="JB25" s="1200"/>
      <c r="JC25" s="1093"/>
      <c r="JD25" s="1215"/>
      <c r="JE25" s="1215"/>
      <c r="JF25" s="1094"/>
      <c r="JG25" s="1200"/>
      <c r="JH25" s="1200"/>
      <c r="JI25" s="1093"/>
      <c r="JJ25" s="1200"/>
      <c r="JK25" s="1200"/>
      <c r="JL25" s="1093"/>
      <c r="JM25" s="1200"/>
      <c r="JN25" s="1200"/>
      <c r="JO25" s="1093"/>
      <c r="JP25" s="1200"/>
      <c r="JQ25" s="1200"/>
      <c r="JR25" s="1093"/>
      <c r="JS25" s="1200"/>
      <c r="JT25" s="1200"/>
      <c r="JU25" s="1093"/>
      <c r="JV25" s="1200"/>
      <c r="JW25" s="1200"/>
      <c r="JX25" s="1093"/>
      <c r="JY25" s="1200"/>
      <c r="JZ25" s="1200"/>
      <c r="KA25" s="1093"/>
      <c r="KB25" s="1200"/>
      <c r="KC25" s="1200"/>
      <c r="KD25" s="1093"/>
      <c r="KE25" s="1200"/>
      <c r="KF25" s="1200"/>
      <c r="KG25" s="1093"/>
      <c r="KH25" s="1200"/>
      <c r="KI25" s="1200"/>
      <c r="KJ25" s="1093"/>
      <c r="KK25" s="1200"/>
      <c r="KL25" s="1200"/>
      <c r="KM25" s="1093"/>
      <c r="KN25" s="1200"/>
      <c r="KO25" s="1200"/>
      <c r="KP25" s="1093"/>
      <c r="KQ25" s="1200"/>
      <c r="KR25" s="1200"/>
      <c r="KS25" s="1093"/>
      <c r="KT25" s="1200"/>
      <c r="KU25" s="1200"/>
      <c r="KV25" s="1093"/>
      <c r="KW25" s="1200"/>
      <c r="KX25" s="1200"/>
      <c r="KY25" s="1093"/>
      <c r="KZ25" s="1200"/>
      <c r="LA25" s="1200"/>
      <c r="LB25" s="1093"/>
      <c r="LC25" s="1200"/>
      <c r="LD25" s="1200"/>
      <c r="LE25" s="1093"/>
      <c r="LF25" s="1200"/>
      <c r="LG25" s="1200"/>
      <c r="LH25" s="1093"/>
      <c r="LI25" s="1200"/>
      <c r="LJ25" s="1200"/>
      <c r="LK25" s="1093"/>
      <c r="LL25" s="1200"/>
      <c r="LM25" s="1200"/>
      <c r="LN25" s="1093"/>
      <c r="LO25" s="1200"/>
      <c r="LP25" s="1200"/>
      <c r="LQ25" s="1093"/>
      <c r="LR25" s="1200"/>
      <c r="LS25" s="1200"/>
      <c r="LT25" s="1093"/>
      <c r="LU25" s="1200"/>
      <c r="LV25" s="1200"/>
      <c r="LW25" s="1093"/>
      <c r="LX25" s="1200"/>
      <c r="LY25" s="1200"/>
      <c r="LZ25" s="1093"/>
      <c r="MA25" s="1200"/>
      <c r="MB25" s="1200"/>
      <c r="MC25" s="1093"/>
      <c r="MD25" s="1200"/>
      <c r="ME25" s="1200"/>
      <c r="MF25" s="1093"/>
      <c r="MG25" s="1200"/>
      <c r="MH25" s="1200"/>
      <c r="MI25" s="1093"/>
      <c r="MJ25" s="1200"/>
      <c r="MK25" s="1200"/>
      <c r="ML25" s="1093"/>
      <c r="MM25" s="1200"/>
      <c r="MN25" s="1200"/>
      <c r="MO25" s="1093"/>
      <c r="MP25" s="1200"/>
      <c r="MQ25" s="1200"/>
      <c r="MR25" s="1093"/>
      <c r="MS25" s="1200"/>
      <c r="MT25" s="1200"/>
      <c r="MU25" s="1093"/>
      <c r="MV25" s="1200"/>
      <c r="MW25" s="1200"/>
      <c r="MX25" s="1093"/>
      <c r="MY25" s="1200"/>
      <c r="MZ25" s="1200"/>
      <c r="NA25" s="1093"/>
      <c r="NB25" s="1200"/>
      <c r="NC25" s="1200"/>
      <c r="ND25" s="1093"/>
      <c r="NE25" s="1200"/>
      <c r="NF25" s="1200"/>
      <c r="NG25" s="1093"/>
      <c r="NH25" s="1200"/>
      <c r="NI25" s="1200"/>
      <c r="NJ25" s="1093"/>
      <c r="NK25" s="1200"/>
      <c r="NL25" s="1200"/>
      <c r="NM25" s="1093"/>
      <c r="NN25" s="1200"/>
      <c r="NO25" s="1200"/>
      <c r="NP25" s="1093"/>
      <c r="NQ25" s="1200"/>
      <c r="NR25" s="1200"/>
      <c r="NS25" s="1093"/>
      <c r="NT25" s="1200"/>
      <c r="NU25" s="1200"/>
      <c r="NV25" s="1093"/>
      <c r="NW25" s="1200"/>
      <c r="NX25" s="1200"/>
      <c r="NY25" s="1093"/>
      <c r="NZ25" s="1200"/>
      <c r="OA25" s="1200"/>
      <c r="OB25" s="1093"/>
      <c r="OC25" s="1200"/>
      <c r="OD25" s="1200"/>
      <c r="OE25" s="1093"/>
      <c r="OF25" s="1200"/>
      <c r="OG25" s="1200"/>
      <c r="OH25" s="1093"/>
      <c r="OI25" s="1200"/>
      <c r="OJ25" s="1200"/>
      <c r="OK25" s="1093"/>
      <c r="OL25" s="1200"/>
      <c r="OM25" s="1200"/>
      <c r="ON25" s="1093"/>
      <c r="OO25" s="1200"/>
      <c r="OP25" s="1200"/>
      <c r="OQ25" s="1093"/>
      <c r="OR25" s="1200"/>
      <c r="OS25" s="1200"/>
      <c r="OT25" s="1093"/>
      <c r="OU25" s="1200"/>
      <c r="OV25" s="1200"/>
      <c r="OW25" s="1093"/>
      <c r="OX25" s="1200"/>
      <c r="OY25" s="1200"/>
      <c r="OZ25" s="1093"/>
      <c r="PA25" s="1200"/>
      <c r="PB25" s="1200"/>
      <c r="PC25" s="1093"/>
      <c r="PD25" s="1200"/>
      <c r="PE25" s="1200"/>
      <c r="PF25" s="1093"/>
      <c r="PG25" s="1200"/>
      <c r="PH25" s="1200"/>
      <c r="PI25" s="1093"/>
      <c r="PJ25" s="1200"/>
      <c r="PK25" s="1200"/>
      <c r="PL25" s="1093"/>
      <c r="PM25" s="1200"/>
      <c r="PN25" s="1200"/>
      <c r="PO25" s="1093"/>
      <c r="PP25" s="1200"/>
      <c r="PQ25" s="1200"/>
      <c r="PR25" s="1093"/>
      <c r="PS25" s="1216"/>
      <c r="PT25" s="1216"/>
      <c r="PU25" s="1095"/>
      <c r="PV25" s="1200"/>
      <c r="PW25" s="1200"/>
      <c r="PX25" s="1093"/>
      <c r="PY25" s="1200"/>
      <c r="PZ25" s="1200"/>
      <c r="QA25" s="1093"/>
      <c r="QB25" s="1200"/>
      <c r="QC25" s="1200"/>
      <c r="QD25" s="1093"/>
      <c r="QE25" s="1200"/>
      <c r="QF25" s="1200"/>
      <c r="QG25" s="1093"/>
      <c r="QH25" s="1200"/>
      <c r="QI25" s="1200"/>
      <c r="QJ25" s="1093"/>
      <c r="QK25" s="1200"/>
      <c r="QL25" s="1200"/>
      <c r="QM25" s="1093"/>
      <c r="QN25" s="1200"/>
      <c r="QO25" s="1200"/>
      <c r="QP25" s="1093"/>
      <c r="QQ25" s="1200"/>
      <c r="QR25" s="1200"/>
      <c r="QS25" s="1093"/>
      <c r="QT25" s="1200"/>
      <c r="QU25" s="1200"/>
      <c r="QV25" s="1093"/>
      <c r="QW25" s="1200"/>
      <c r="QX25" s="1200"/>
      <c r="QY25" s="1093"/>
      <c r="QZ25" s="1200"/>
      <c r="RA25" s="1200"/>
      <c r="RB25" s="1093"/>
      <c r="RC25" s="1200"/>
      <c r="RD25" s="1200"/>
      <c r="RE25" s="1093"/>
      <c r="RF25" s="1200"/>
      <c r="RG25" s="1200"/>
      <c r="RH25" s="1093"/>
      <c r="RI25" s="1200"/>
      <c r="RJ25" s="1200"/>
      <c r="RK25" s="1093"/>
      <c r="RL25" s="1200"/>
      <c r="RM25" s="1200"/>
      <c r="RN25" s="1093"/>
      <c r="RO25" s="1215"/>
      <c r="RP25" s="1215"/>
      <c r="RQ25" s="1094"/>
      <c r="RR25" s="1200"/>
      <c r="RS25" s="1200"/>
      <c r="RT25" s="1093"/>
      <c r="RU25" s="1200"/>
      <c r="RV25" s="1200"/>
      <c r="RW25" s="1093"/>
      <c r="RX25" s="1200"/>
      <c r="RY25" s="1200"/>
      <c r="RZ25" s="1093"/>
      <c r="SA25" s="1200"/>
      <c r="SB25" s="1200"/>
      <c r="SC25" s="1093"/>
      <c r="SD25" s="1200"/>
      <c r="SE25" s="1200"/>
      <c r="SF25" s="1093"/>
      <c r="SG25" s="1200"/>
      <c r="SH25" s="1200"/>
      <c r="SI25" s="1093"/>
      <c r="SJ25" s="1200"/>
      <c r="SK25" s="1200"/>
      <c r="SL25" s="1093"/>
      <c r="SM25" s="1200"/>
      <c r="SN25" s="1200"/>
      <c r="SO25" s="1093"/>
      <c r="SP25" s="1200"/>
      <c r="SQ25" s="1200"/>
      <c r="SR25" s="1093"/>
      <c r="SS25" s="1200"/>
      <c r="ST25" s="1200"/>
      <c r="SU25" s="1093"/>
      <c r="SV25" s="1200"/>
      <c r="SW25" s="1200"/>
      <c r="SX25" s="1093"/>
      <c r="SY25" s="1200"/>
      <c r="SZ25" s="1200"/>
      <c r="TA25" s="1093"/>
      <c r="TB25" s="1200"/>
      <c r="TC25" s="1200"/>
      <c r="TD25" s="1093"/>
      <c r="TE25" s="1200"/>
      <c r="TF25" s="1200"/>
      <c r="TG25" s="1093"/>
      <c r="TH25" s="1200"/>
      <c r="TI25" s="1200"/>
      <c r="TJ25" s="1093"/>
      <c r="TK25" s="1200"/>
      <c r="TL25" s="1200"/>
      <c r="TM25" s="1093"/>
      <c r="TN25" s="1200"/>
      <c r="TO25" s="1200"/>
      <c r="TP25" s="1093"/>
      <c r="TQ25" s="1200"/>
      <c r="TR25" s="1200"/>
      <c r="TS25" s="1093"/>
      <c r="TT25" s="1200"/>
      <c r="TU25" s="1200"/>
      <c r="TV25" s="1093"/>
      <c r="TW25" s="1200"/>
      <c r="TX25" s="1200"/>
      <c r="TY25" s="1093"/>
      <c r="TZ25" s="1200"/>
      <c r="UA25" s="1200"/>
      <c r="UB25" s="1093"/>
      <c r="UC25" s="1200"/>
      <c r="UD25" s="1200"/>
      <c r="UE25" s="1093"/>
      <c r="UF25" s="1200"/>
      <c r="UG25" s="1200"/>
      <c r="UH25" s="1093"/>
      <c r="UI25" s="1200"/>
      <c r="UJ25" s="1200"/>
      <c r="UK25" s="1093"/>
      <c r="UL25" s="1200"/>
      <c r="UM25" s="1200"/>
      <c r="UN25" s="1093"/>
      <c r="UO25" s="1200"/>
      <c r="UP25" s="1200"/>
      <c r="UQ25" s="1093"/>
      <c r="UR25" s="1200"/>
      <c r="US25" s="1200"/>
      <c r="UT25" s="1093"/>
      <c r="UU25" s="1200"/>
      <c r="UV25" s="1200"/>
      <c r="UW25" s="1093"/>
      <c r="UX25" s="1200"/>
      <c r="UY25" s="1200"/>
      <c r="UZ25" s="1093"/>
      <c r="VA25" s="1200"/>
      <c r="VB25" s="1200"/>
      <c r="VC25" s="1093"/>
      <c r="VD25" s="1200"/>
      <c r="VE25" s="1200"/>
      <c r="VF25" s="1093"/>
      <c r="VG25" s="1200"/>
      <c r="VH25" s="1200"/>
      <c r="VI25" s="1093"/>
      <c r="VJ25" s="1200"/>
      <c r="VK25" s="1200"/>
      <c r="VL25" s="1093"/>
      <c r="VM25" s="1200"/>
      <c r="VN25" s="1200"/>
      <c r="VO25" s="1093"/>
      <c r="VP25" s="1200"/>
      <c r="VQ25" s="1200"/>
      <c r="VR25" s="1093"/>
      <c r="VS25" s="1200"/>
      <c r="VT25" s="1200"/>
      <c r="VU25" s="1093"/>
      <c r="VV25" s="1200"/>
      <c r="VW25" s="1200"/>
      <c r="VX25" s="1093"/>
      <c r="VY25" s="1200"/>
      <c r="VZ25" s="1200"/>
      <c r="WA25" s="1093"/>
      <c r="WB25" s="1200"/>
      <c r="WC25" s="1200"/>
      <c r="WD25" s="1093"/>
      <c r="WE25" s="1200"/>
      <c r="WF25" s="1200"/>
      <c r="WG25" s="1093"/>
      <c r="WH25" s="1200"/>
      <c r="WI25" s="1200"/>
      <c r="WJ25" s="1093"/>
      <c r="WK25" s="1200"/>
      <c r="WL25" s="1200"/>
      <c r="WM25" s="1093"/>
      <c r="WN25" s="1200"/>
      <c r="WO25" s="1200"/>
      <c r="WP25" s="1093"/>
      <c r="WQ25" s="1200"/>
      <c r="WR25" s="1200"/>
      <c r="WS25" s="1093"/>
      <c r="WT25" s="1200"/>
      <c r="WU25" s="1200"/>
      <c r="WV25" s="1093"/>
      <c r="WW25" s="1200"/>
      <c r="WX25" s="1200"/>
      <c r="WY25" s="1093"/>
      <c r="WZ25" s="1200"/>
      <c r="XA25" s="1200"/>
      <c r="XB25" s="1093"/>
      <c r="XC25" s="1200"/>
      <c r="XD25" s="1200"/>
      <c r="XE25" s="1093"/>
      <c r="XF25" s="1200"/>
      <c r="XG25" s="1200"/>
      <c r="XH25" s="1093"/>
      <c r="XI25" s="1200"/>
      <c r="XJ25" s="1200"/>
      <c r="XK25" s="1093"/>
      <c r="XL25" s="1200"/>
      <c r="XM25" s="1200"/>
      <c r="XN25" s="1093"/>
      <c r="XO25" s="1200"/>
      <c r="XP25" s="1200"/>
      <c r="XQ25" s="1093"/>
      <c r="XR25" s="1200"/>
      <c r="XS25" s="1200"/>
      <c r="XT25" s="1093"/>
      <c r="XU25" s="1200"/>
      <c r="XV25" s="1200"/>
      <c r="XW25" s="1093"/>
      <c r="XX25" s="1200"/>
      <c r="XY25" s="1200"/>
      <c r="XZ25" s="1093"/>
      <c r="YA25" s="1200"/>
      <c r="YB25" s="1200"/>
      <c r="YC25" s="1093"/>
      <c r="YD25" s="1200"/>
      <c r="YE25" s="1200"/>
      <c r="YF25" s="1093"/>
      <c r="YG25" s="1200"/>
      <c r="YH25" s="1200"/>
      <c r="YI25" s="1093"/>
      <c r="YJ25" s="1200"/>
      <c r="YK25" s="1200"/>
      <c r="YL25" s="1093"/>
      <c r="YM25" s="1200"/>
      <c r="YN25" s="1200"/>
      <c r="YO25" s="1093"/>
      <c r="YP25" s="1200"/>
      <c r="YQ25" s="1200"/>
      <c r="YR25" s="1093"/>
      <c r="YS25" s="1200"/>
      <c r="YT25" s="1200"/>
      <c r="YU25" s="1093"/>
      <c r="YV25" s="1200"/>
      <c r="YW25" s="1200"/>
      <c r="YX25" s="1093"/>
      <c r="YY25" s="1200"/>
      <c r="YZ25" s="1200"/>
      <c r="ZA25" s="1093"/>
      <c r="ZB25" s="1200"/>
      <c r="ZC25" s="1200"/>
      <c r="ZD25" s="1093"/>
      <c r="ZE25" s="1200"/>
      <c r="ZF25" s="1200"/>
      <c r="ZG25" s="1093"/>
      <c r="ZH25" s="1200"/>
      <c r="ZI25" s="1200"/>
      <c r="ZJ25" s="1093"/>
      <c r="ZK25" s="1200"/>
      <c r="ZL25" s="1200"/>
      <c r="ZM25" s="1093"/>
      <c r="ZN25" s="1200"/>
      <c r="ZO25" s="1200"/>
      <c r="ZP25" s="1093"/>
      <c r="ZQ25" s="1200"/>
      <c r="ZR25" s="1200"/>
      <c r="ZS25" s="1093"/>
      <c r="ZT25" s="1200"/>
      <c r="ZU25" s="1200"/>
      <c r="ZV25" s="1093"/>
      <c r="ZW25" s="1200"/>
      <c r="ZX25" s="1200"/>
      <c r="ZY25" s="1093"/>
      <c r="ZZ25" s="1200"/>
      <c r="AAA25" s="1200"/>
      <c r="AAB25" s="1093"/>
      <c r="AAC25" s="1200"/>
      <c r="AAD25" s="1200"/>
      <c r="AAE25" s="1093"/>
      <c r="AAF25" s="1200"/>
      <c r="AAG25" s="1200"/>
      <c r="AAH25" s="1093"/>
      <c r="AAI25" s="1200"/>
      <c r="AAJ25" s="1200"/>
      <c r="AAK25" s="1093"/>
      <c r="AAL25" s="1200"/>
      <c r="AAM25" s="1200"/>
      <c r="AAN25" s="1093"/>
      <c r="AAO25" s="1200"/>
      <c r="AAP25" s="1200"/>
      <c r="AAQ25" s="1093"/>
      <c r="AAR25" s="1200"/>
      <c r="AAS25" s="1200"/>
      <c r="AAT25" s="1093"/>
      <c r="AAU25" s="1200"/>
      <c r="AAV25" s="1200"/>
      <c r="AAW25" s="1093"/>
      <c r="AAX25" s="1200"/>
      <c r="AAY25" s="1200"/>
      <c r="AAZ25" s="1093"/>
      <c r="ABA25" s="1200"/>
      <c r="ABB25" s="1200"/>
      <c r="ABC25" s="1093"/>
      <c r="ABD25" s="1200"/>
      <c r="ABE25" s="1200"/>
      <c r="ABF25" s="1093"/>
      <c r="ABG25" s="1200"/>
      <c r="ABH25" s="1200"/>
      <c r="ABI25" s="1093"/>
      <c r="ABJ25" s="1200"/>
      <c r="ABK25" s="1200"/>
      <c r="ABL25" s="1093"/>
      <c r="ABM25" s="1200"/>
      <c r="ABN25" s="1200"/>
      <c r="ABO25" s="1093"/>
      <c r="ABP25" s="1200"/>
      <c r="ABQ25" s="1200"/>
      <c r="ABR25" s="1093"/>
      <c r="ABS25" s="1200"/>
      <c r="ABT25" s="1200"/>
      <c r="ABU25" s="1093"/>
      <c r="ABV25" s="1200"/>
      <c r="ABW25" s="1200"/>
      <c r="ABX25" s="1093"/>
      <c r="ABY25" s="1200"/>
      <c r="ABZ25" s="1200"/>
      <c r="ACA25" s="1093"/>
      <c r="ACB25" s="1200"/>
      <c r="ACC25" s="1200"/>
      <c r="ACD25" s="1093"/>
      <c r="ACE25" s="1200"/>
      <c r="ACF25" s="1200"/>
      <c r="ACG25" s="1093"/>
      <c r="ACH25" s="1200"/>
      <c r="ACI25" s="1200"/>
      <c r="ACJ25" s="1093"/>
      <c r="ACK25" s="1200"/>
      <c r="ACL25" s="1200"/>
      <c r="ACM25" s="1093"/>
      <c r="ACN25" s="1200"/>
      <c r="ACO25" s="1200"/>
      <c r="ACP25" s="1093"/>
      <c r="ACQ25" s="1200"/>
      <c r="ACR25" s="1200"/>
      <c r="ACS25" s="1093"/>
      <c r="ACT25" s="1200"/>
      <c r="ACU25" s="1200"/>
      <c r="ACV25" s="1093"/>
      <c r="ACW25" s="1200"/>
      <c r="ACX25" s="1200"/>
      <c r="ACY25" s="1093"/>
      <c r="ACZ25" s="1200"/>
      <c r="ADA25" s="1200"/>
      <c r="ADB25" s="1093"/>
      <c r="ADC25" s="1200"/>
      <c r="ADD25" s="1200"/>
      <c r="ADE25" s="1093"/>
      <c r="ADF25" s="1200"/>
      <c r="ADG25" s="1200"/>
      <c r="ADH25" s="1093"/>
      <c r="ADI25" s="1200"/>
      <c r="ADJ25" s="1200"/>
      <c r="ADK25" s="1093"/>
      <c r="ADL25" s="1200"/>
      <c r="ADM25" s="1200"/>
      <c r="ADN25" s="1093"/>
      <c r="ADO25" s="1200"/>
      <c r="ADP25" s="1200"/>
      <c r="ADQ25" s="1093"/>
      <c r="ADR25" s="1200"/>
      <c r="ADS25" s="1200"/>
      <c r="ADT25" s="1093"/>
      <c r="ADU25" s="1200"/>
      <c r="ADV25" s="1200"/>
      <c r="ADW25" s="1093"/>
      <c r="ADX25" s="1200"/>
      <c r="ADY25" s="1200"/>
      <c r="ADZ25" s="1093"/>
      <c r="AEA25" s="1200"/>
      <c r="AEB25" s="1200"/>
      <c r="AEC25" s="1093"/>
      <c r="AED25" s="1200"/>
      <c r="AEE25" s="1200"/>
      <c r="AEF25" s="1093"/>
      <c r="AEG25" s="1200"/>
      <c r="AEH25" s="1200"/>
      <c r="AEI25" s="1093"/>
      <c r="AEJ25" s="1200"/>
      <c r="AEK25" s="1200"/>
      <c r="AEL25" s="1093"/>
      <c r="AEM25" s="1200"/>
      <c r="AEN25" s="1200"/>
      <c r="AEO25" s="1093"/>
      <c r="AEP25" s="1200"/>
      <c r="AEQ25" s="1200"/>
      <c r="AER25" s="1093"/>
      <c r="AES25" s="1200"/>
      <c r="AET25" s="1200"/>
      <c r="AEU25" s="1093"/>
      <c r="AEV25" s="1200"/>
      <c r="AEW25" s="1200"/>
      <c r="AEX25" s="1093"/>
      <c r="AEY25" s="1200"/>
      <c r="AEZ25" s="1200"/>
      <c r="AFA25" s="1093"/>
      <c r="AFB25" s="1200"/>
      <c r="AFC25" s="1200"/>
      <c r="AFD25" s="1093"/>
      <c r="AFE25" s="1200"/>
      <c r="AFF25" s="1200"/>
      <c r="AFG25" s="1093"/>
      <c r="AFH25" s="1200"/>
      <c r="AFI25" s="1200"/>
      <c r="AFJ25" s="1093"/>
      <c r="AFK25" s="1200"/>
      <c r="AFL25" s="1200"/>
      <c r="AFM25" s="1093"/>
      <c r="AFN25" s="1200"/>
      <c r="AFO25" s="1200"/>
      <c r="AFP25" s="1093"/>
      <c r="AFQ25" s="1200"/>
      <c r="AFR25" s="1200"/>
      <c r="AFS25" s="1093"/>
      <c r="AFT25" s="1200"/>
      <c r="AFU25" s="1200"/>
      <c r="AFV25" s="1093"/>
      <c r="AFW25" s="1200"/>
      <c r="AFX25" s="1200"/>
      <c r="AFY25" s="1093"/>
      <c r="AFZ25" s="1200"/>
      <c r="AGA25" s="1200"/>
      <c r="AGB25" s="1093"/>
      <c r="AGC25" s="1200"/>
      <c r="AGD25" s="1200"/>
      <c r="AGE25" s="1093"/>
      <c r="AGF25" s="1200"/>
      <c r="AGG25" s="1200"/>
      <c r="AGH25" s="1093"/>
      <c r="AGI25" s="1200"/>
      <c r="AGJ25" s="1200"/>
      <c r="AGK25" s="1093"/>
      <c r="AGL25" s="1200"/>
      <c r="AGM25" s="1200"/>
      <c r="AGN25" s="1093"/>
      <c r="AGO25" s="1200"/>
      <c r="AGP25" s="1200"/>
      <c r="AGQ25" s="1093"/>
      <c r="AGR25" s="1200"/>
      <c r="AGS25" s="1200"/>
      <c r="AGT25" s="1093"/>
      <c r="AGU25" s="1200"/>
      <c r="AGV25" s="1200"/>
      <c r="AGW25" s="1093"/>
      <c r="AGX25" s="1200"/>
      <c r="AGY25" s="1200"/>
      <c r="AGZ25" s="1093"/>
      <c r="AHA25" s="1200"/>
      <c r="AHB25" s="1200"/>
      <c r="AHC25" s="1093"/>
      <c r="AHD25" s="1200"/>
      <c r="AHE25" s="1200"/>
      <c r="AHF25" s="1093"/>
      <c r="AHG25" s="1200"/>
      <c r="AHH25" s="1200"/>
      <c r="AHI25" s="1093"/>
      <c r="AHJ25" s="1200"/>
      <c r="AHK25" s="1200"/>
      <c r="AHL25" s="1093"/>
      <c r="AHM25" s="1200"/>
      <c r="AHN25" s="1200"/>
      <c r="AHO25" s="1093"/>
      <c r="AHP25" s="1200"/>
      <c r="AHQ25" s="1200"/>
      <c r="AHR25" s="1093"/>
      <c r="AHS25" s="1200"/>
      <c r="AHT25" s="1200"/>
      <c r="AHU25" s="1093"/>
      <c r="AHV25" s="1200"/>
      <c r="AHW25" s="1200"/>
      <c r="AHX25" s="1093"/>
      <c r="AHY25" s="1200"/>
      <c r="AHZ25" s="1200"/>
      <c r="AIA25" s="1093"/>
      <c r="AIB25" s="1200"/>
      <c r="AIC25" s="1200"/>
      <c r="AID25" s="1200"/>
      <c r="AIE25" s="1092"/>
      <c r="AIF25" s="1200"/>
      <c r="AIG25" s="1093"/>
      <c r="AIH25" s="1200"/>
      <c r="AII25" s="1200"/>
      <c r="AIJ25" s="1093"/>
      <c r="AIK25" s="1200"/>
      <c r="AIL25" s="1200"/>
      <c r="AIM25" s="1093"/>
      <c r="AIN25" s="1200"/>
      <c r="AIO25" s="1200"/>
      <c r="AIP25" s="1093"/>
      <c r="AIQ25" s="1200"/>
      <c r="AIR25" s="1200"/>
      <c r="AIS25" s="1200"/>
      <c r="AIT25" s="1092"/>
      <c r="AIU25" s="1200"/>
      <c r="AIV25" s="1093"/>
      <c r="AIW25" s="1200"/>
      <c r="AIX25" s="1200"/>
      <c r="AIY25" s="1200"/>
      <c r="AIZ25" s="1092"/>
      <c r="AJA25" s="1200"/>
      <c r="AJB25" s="1093"/>
      <c r="AJC25" s="1200"/>
      <c r="AJD25" s="1200"/>
      <c r="AJE25" s="1093"/>
      <c r="AJF25" s="1200"/>
      <c r="AJG25" s="1200"/>
      <c r="AJH25" s="1093"/>
      <c r="AJI25" s="1200"/>
      <c r="AJJ25" s="1200"/>
      <c r="AJK25" s="1093"/>
      <c r="AJL25" s="1200"/>
      <c r="AJM25" s="1200"/>
      <c r="AJN25" s="1200"/>
      <c r="AJO25" s="1092"/>
      <c r="AJP25" s="1200"/>
      <c r="AJQ25" s="1093"/>
      <c r="AJR25" s="1200"/>
      <c r="AJS25" s="1200"/>
      <c r="AJT25" s="1200"/>
      <c r="AJU25" s="1092"/>
      <c r="AJV25" s="1200"/>
      <c r="AJW25" s="1093"/>
      <c r="AJX25" s="1200"/>
      <c r="AJY25" s="1200"/>
      <c r="AJZ25" s="1093"/>
      <c r="AKA25" s="1200"/>
      <c r="AKB25" s="1200"/>
      <c r="AKC25" s="1093"/>
      <c r="AKD25" s="1200"/>
      <c r="AKE25" s="1200"/>
      <c r="AKF25" s="1093"/>
      <c r="AKG25" s="1200"/>
      <c r="AKH25" s="1200"/>
      <c r="AKI25" s="1200"/>
      <c r="AKJ25" s="1092"/>
      <c r="AKK25" s="1200"/>
      <c r="AKL25" s="1093"/>
      <c r="AKM25" s="1200"/>
      <c r="AKN25" s="1200"/>
      <c r="AKO25" s="1200"/>
      <c r="AKP25" s="1092"/>
      <c r="AKQ25" s="1200"/>
      <c r="AKR25" s="1093"/>
      <c r="AKS25" s="1200"/>
      <c r="AKT25" s="1200"/>
      <c r="AKU25" s="1093"/>
      <c r="AKV25" s="1200"/>
      <c r="AKW25" s="1200"/>
      <c r="AKX25" s="1093"/>
      <c r="AKY25" s="1200"/>
      <c r="AKZ25" s="1200"/>
      <c r="ALA25" s="1093"/>
      <c r="ALB25" s="1200"/>
      <c r="ALC25" s="1200"/>
      <c r="ALD25" s="1200"/>
      <c r="ALE25" s="1092"/>
      <c r="ALF25" s="1200"/>
      <c r="ALG25" s="1093"/>
      <c r="ALH25" s="1200"/>
      <c r="ALI25" s="1200"/>
      <c r="ALJ25" s="1200"/>
      <c r="ALK25" s="1092"/>
      <c r="ALL25" s="1200"/>
      <c r="ALM25" s="1093"/>
      <c r="ALN25" s="1200"/>
      <c r="ALO25" s="1200"/>
      <c r="ALP25" s="1093"/>
      <c r="ALQ25" s="1200"/>
      <c r="ALR25" s="1200"/>
      <c r="ALS25" s="1093"/>
      <c r="ALT25" s="1200"/>
      <c r="ALU25" s="1200"/>
      <c r="ALV25" s="1093"/>
      <c r="ALW25" s="1200"/>
      <c r="ALX25" s="1200"/>
      <c r="ALY25" s="1200"/>
      <c r="ALZ25" s="1092"/>
      <c r="AMA25" s="1200"/>
      <c r="AMB25" s="1093"/>
      <c r="AMC25" s="1200"/>
      <c r="AMD25" s="1200"/>
      <c r="AME25" s="1200"/>
      <c r="AMF25" s="1092"/>
      <c r="AMG25" s="1200"/>
      <c r="AMH25" s="1093"/>
      <c r="AMI25" s="1200"/>
      <c r="AMJ25" s="1200"/>
      <c r="AMK25" s="1093"/>
      <c r="AML25" s="1200"/>
      <c r="AMM25" s="1200"/>
      <c r="AMN25" s="1093"/>
      <c r="AMO25" s="1200"/>
      <c r="AMP25" s="1200"/>
      <c r="AMQ25" s="1093"/>
      <c r="AMR25" s="1200"/>
      <c r="AMS25" s="1200"/>
      <c r="AMT25" s="1200"/>
      <c r="AMU25" s="1092"/>
      <c r="AMV25" s="1200"/>
      <c r="AMW25" s="1093"/>
      <c r="AMX25" s="1200"/>
      <c r="AMY25" s="1200"/>
      <c r="AMZ25" s="1200"/>
      <c r="ANA25" s="1092"/>
      <c r="ANB25" s="1200"/>
      <c r="ANC25" s="1093"/>
      <c r="AND25" s="1200"/>
      <c r="ANE25" s="1200"/>
      <c r="ANF25" s="1093"/>
      <c r="ANG25" s="1200"/>
      <c r="ANH25" s="1200"/>
      <c r="ANI25" s="1093"/>
      <c r="ANJ25" s="1200"/>
      <c r="ANK25" s="1200"/>
      <c r="ANL25" s="1093"/>
      <c r="ANM25" s="1200"/>
      <c r="ANN25" s="1200"/>
      <c r="ANO25" s="1200"/>
      <c r="ANP25" s="1092"/>
      <c r="ANQ25" s="1200"/>
      <c r="ANR25" s="1093"/>
      <c r="ANS25" s="1200"/>
      <c r="ANT25" s="1200"/>
      <c r="ANU25" s="1200"/>
      <c r="ANV25" s="1092"/>
      <c r="ANW25" s="1200"/>
      <c r="ANX25" s="1093"/>
      <c r="ANY25" s="1200"/>
      <c r="ANZ25" s="1200"/>
      <c r="AOA25" s="1093"/>
      <c r="AOB25" s="1200"/>
      <c r="AOC25" s="1200"/>
      <c r="AOD25" s="1093"/>
      <c r="AOE25" s="1200"/>
      <c r="AOF25" s="1200"/>
      <c r="AOG25" s="1093"/>
      <c r="AOH25" s="1200"/>
      <c r="AOI25" s="1200"/>
      <c r="AOJ25" s="1200"/>
      <c r="AOK25" s="1092"/>
      <c r="AOL25" s="1200"/>
      <c r="AOM25" s="1093"/>
      <c r="AON25" s="1200"/>
      <c r="AOO25" s="1200"/>
      <c r="AOP25" s="1200"/>
      <c r="AOQ25" s="1092"/>
      <c r="AOR25" s="1200"/>
      <c r="AOS25" s="1093"/>
      <c r="AOT25" s="1200"/>
      <c r="AOU25" s="1200"/>
      <c r="AOV25" s="1093"/>
      <c r="AOW25" s="1200"/>
      <c r="AOX25" s="1200"/>
      <c r="AOY25" s="1093"/>
      <c r="AOZ25" s="1200"/>
      <c r="APA25" s="1200"/>
      <c r="APB25" s="1093"/>
      <c r="APC25" s="1200"/>
      <c r="APD25" s="1200"/>
      <c r="APE25" s="1200"/>
      <c r="APF25" s="1092"/>
      <c r="APG25" s="1200"/>
      <c r="APH25" s="1093"/>
      <c r="API25" s="1200"/>
      <c r="APJ25" s="1200"/>
      <c r="APK25" s="1200"/>
      <c r="APL25" s="1092"/>
      <c r="APM25" s="1200"/>
      <c r="APN25" s="1093"/>
      <c r="APO25" s="1200"/>
      <c r="APP25" s="1200"/>
      <c r="APQ25" s="1093"/>
      <c r="APR25" s="1200"/>
      <c r="APS25" s="1200"/>
      <c r="APT25" s="1093"/>
      <c r="APU25" s="1200"/>
      <c r="APV25" s="1200"/>
      <c r="APW25" s="1093"/>
      <c r="APX25" s="1200"/>
      <c r="APY25" s="1200"/>
      <c r="APZ25" s="1200"/>
      <c r="AQA25" s="1092"/>
      <c r="AQB25" s="1200"/>
      <c r="AQC25" s="1093"/>
      <c r="AQD25" s="1200"/>
      <c r="AQE25" s="1200"/>
      <c r="AQF25" s="1093"/>
      <c r="AQG25" s="1200"/>
      <c r="AQH25" s="1200"/>
      <c r="AQI25" s="1093"/>
      <c r="AQJ25" s="1200"/>
      <c r="AQK25" s="1200"/>
      <c r="AQL25" s="1093"/>
      <c r="AQM25" s="1200"/>
      <c r="AQN25" s="1200"/>
      <c r="AQO25" s="1200"/>
      <c r="AQP25" s="1092"/>
      <c r="AQQ25" s="1200"/>
      <c r="AQR25" s="1200"/>
      <c r="AQS25" s="1092"/>
      <c r="AQT25" s="1200"/>
      <c r="AQU25" s="1093"/>
      <c r="AQV25" s="1200"/>
      <c r="AQW25" s="1200"/>
      <c r="AQX25" s="1093"/>
      <c r="AQY25" s="1200"/>
      <c r="AQZ25" s="1200"/>
      <c r="ARA25" s="1093"/>
      <c r="ARB25" s="1200"/>
      <c r="ARC25" s="1200"/>
      <c r="ARD25" s="1093"/>
      <c r="ARE25" s="1200"/>
      <c r="ARF25" s="1200"/>
      <c r="ARG25" s="1093"/>
      <c r="ARH25" s="1200"/>
      <c r="ARI25" s="1200"/>
      <c r="ARJ25" s="1093"/>
      <c r="ARK25" s="1200"/>
      <c r="ARL25" s="1200"/>
      <c r="ARM25" s="1093"/>
      <c r="ARN25" s="1200"/>
      <c r="ARO25" s="1200"/>
      <c r="ARP25" s="1093"/>
      <c r="ARQ25" s="1200"/>
      <c r="ARR25" s="1200"/>
      <c r="ARS25" s="1093"/>
      <c r="ART25" s="1200"/>
      <c r="ARU25" s="1200"/>
      <c r="ARV25" s="1093"/>
      <c r="ARW25" s="1200"/>
      <c r="ARX25" s="1200"/>
      <c r="ARY25" s="1093"/>
      <c r="ARZ25" s="1200"/>
      <c r="ASA25" s="1200"/>
      <c r="ASB25" s="1093"/>
      <c r="ASC25" s="1200"/>
      <c r="ASD25" s="1200"/>
      <c r="ASE25" s="1200"/>
      <c r="ASF25" s="1092"/>
      <c r="ASG25" s="1200"/>
      <c r="ASH25" s="1093"/>
      <c r="ASI25" s="1200"/>
      <c r="ASJ25" s="1200"/>
      <c r="ASK25" s="1200"/>
      <c r="ASL25" s="1092"/>
      <c r="ASM25" s="1200"/>
      <c r="ASN25" s="1093"/>
      <c r="ASO25" s="1200"/>
      <c r="ASP25" s="1200"/>
      <c r="ASQ25" s="1200"/>
      <c r="ASR25" s="1092"/>
      <c r="ASS25" s="1200"/>
      <c r="AST25" s="1093"/>
      <c r="ASU25" s="1200"/>
      <c r="ASV25" s="1200"/>
      <c r="ASW25" s="1093"/>
      <c r="ASX25" s="1200"/>
      <c r="ASY25" s="1200"/>
      <c r="ASZ25" s="1200"/>
      <c r="ATA25" s="1092"/>
      <c r="ATB25" s="1200"/>
      <c r="ATC25" s="1093"/>
      <c r="ATD25" s="1200"/>
      <c r="ATE25" s="1200"/>
      <c r="ATF25" s="1200"/>
      <c r="ATG25" s="1092"/>
      <c r="ATH25" s="1200"/>
      <c r="ATI25" s="1093"/>
      <c r="ATJ25" s="1200"/>
      <c r="ATK25" s="1200"/>
      <c r="ATL25" s="1093"/>
      <c r="ATM25" s="1200"/>
      <c r="ATN25" s="1200"/>
      <c r="ATO25" s="1093"/>
      <c r="ATP25" s="1200"/>
      <c r="ATQ25" s="1200"/>
      <c r="ATR25" s="1093"/>
      <c r="ATS25" s="1200"/>
      <c r="ATT25" s="1200"/>
      <c r="ATU25" s="1093"/>
      <c r="ATV25" s="1200"/>
      <c r="ATW25" s="1200"/>
      <c r="ATX25" s="1093"/>
      <c r="ATY25" s="1200"/>
      <c r="ATZ25" s="1200"/>
      <c r="AUA25" s="1200"/>
      <c r="AUB25" s="1092"/>
      <c r="AUC25" s="1200"/>
      <c r="AUD25" s="1093"/>
      <c r="AUE25" s="1200"/>
      <c r="AUF25" s="1200"/>
      <c r="AUG25" s="1093"/>
      <c r="AUH25" s="1200"/>
      <c r="AUI25" s="1200"/>
      <c r="AUJ25" s="1093"/>
      <c r="AUK25" s="1200"/>
      <c r="AUL25" s="1200"/>
      <c r="AUM25" s="1200"/>
      <c r="AUN25" s="1092"/>
      <c r="AUO25" s="1206">
        <v>0</v>
      </c>
      <c r="AUP25" s="1200"/>
      <c r="AUQ25" s="1092"/>
      <c r="AUR25" s="1206">
        <v>2</v>
      </c>
      <c r="AUS25" s="1200"/>
      <c r="AUT25" s="1092"/>
      <c r="AUU25" s="1206">
        <v>0</v>
      </c>
      <c r="AUV25" s="1200"/>
      <c r="AUW25" s="1092"/>
      <c r="AUX25" s="1206">
        <v>1</v>
      </c>
      <c r="AUY25" s="1200"/>
      <c r="AUZ25" s="1092"/>
      <c r="AVA25" s="1206">
        <v>1</v>
      </c>
      <c r="AVB25" s="1200"/>
      <c r="AVC25" s="1092"/>
      <c r="AVD25" s="1206"/>
      <c r="AVE25" s="1200"/>
      <c r="AVF25" s="1092"/>
      <c r="AVG25" s="1206">
        <v>2</v>
      </c>
      <c r="AVH25" s="1200"/>
      <c r="AVI25" s="1092"/>
      <c r="AVJ25" s="1206"/>
      <c r="AVK25" s="1200"/>
      <c r="AVL25" s="1092"/>
      <c r="AVM25" s="1206">
        <v>3</v>
      </c>
      <c r="AVN25" s="1200"/>
      <c r="AVO25" s="1092"/>
      <c r="AVP25" s="1206">
        <v>2</v>
      </c>
      <c r="AVQ25" s="1200"/>
      <c r="AVR25" s="1092"/>
      <c r="AVS25" s="1206"/>
      <c r="AVT25" s="1200"/>
      <c r="AVU25" s="1092"/>
      <c r="AVV25" s="1206"/>
      <c r="AVW25" s="1200"/>
      <c r="AVX25" s="1092"/>
      <c r="AVY25" s="1206"/>
      <c r="AVZ25" s="1200"/>
      <c r="AWA25" s="1092"/>
      <c r="AWB25" s="1206"/>
      <c r="AWC25" s="1200"/>
      <c r="AWD25" s="1092"/>
      <c r="AWE25" s="1206"/>
      <c r="AWF25" s="1200"/>
      <c r="AWG25" s="1092"/>
      <c r="AWH25" s="1206"/>
      <c r="AWI25" s="1200"/>
      <c r="AWJ25" s="1092"/>
      <c r="AWK25" s="1206"/>
      <c r="AWL25" s="1200"/>
      <c r="AWM25" s="1092"/>
      <c r="AWN25" s="1206"/>
      <c r="AWO25" s="1093"/>
      <c r="AWP25" s="1200"/>
      <c r="AWQ25" s="1200"/>
      <c r="AWR25" s="1200"/>
      <c r="AWS25" s="1200"/>
      <c r="AWT25" s="1200"/>
      <c r="AWU25" s="1200"/>
      <c r="AWV25" s="1200"/>
      <c r="AWW25" s="1200"/>
      <c r="AWX25" s="1200"/>
      <c r="AWY25" s="1200"/>
      <c r="AWZ25" s="1200"/>
      <c r="AXA25" s="1200"/>
      <c r="AXB25" s="1200"/>
      <c r="AXC25" s="1200"/>
      <c r="AXD25" s="1200"/>
      <c r="AXE25" s="1200"/>
      <c r="AXF25" s="1200"/>
      <c r="AXG25" s="1200"/>
      <c r="AXH25" s="1200"/>
      <c r="AXI25" s="1200"/>
      <c r="AXJ25" s="1200"/>
      <c r="AXK25" s="1200"/>
      <c r="AXL25" s="1200"/>
      <c r="AXM25" s="1200"/>
      <c r="AXN25" s="1200"/>
      <c r="AXO25" s="1200"/>
      <c r="AXP25" s="1200"/>
      <c r="AXQ25" s="1200"/>
      <c r="AXR25" s="1200"/>
      <c r="AXS25" s="1200"/>
      <c r="AXT25" s="1200"/>
      <c r="AXU25" s="1200"/>
      <c r="AXV25" s="1200"/>
      <c r="AXW25" s="1200"/>
      <c r="AXX25" s="1200"/>
      <c r="AXY25" s="1200"/>
      <c r="AXZ25" s="1200"/>
      <c r="AYA25" s="1200"/>
      <c r="AYB25" s="1200"/>
      <c r="AYC25" s="1200"/>
      <c r="AYD25" s="1200"/>
      <c r="AYE25" s="1200"/>
      <c r="AYF25" s="1200"/>
      <c r="AYG25" s="1200"/>
      <c r="AYH25" s="1200"/>
      <c r="AYI25" s="1200"/>
      <c r="AYJ25" s="1200"/>
      <c r="AYK25" s="1200"/>
      <c r="AYL25" s="1200"/>
      <c r="AYM25" s="1200"/>
      <c r="AYN25" s="1093"/>
      <c r="AYO25" s="1200"/>
      <c r="AYP25" s="1200"/>
      <c r="AYQ25" s="1200"/>
      <c r="AYR25" s="1092"/>
      <c r="AYS25" s="1200"/>
      <c r="AYT25" s="1093"/>
      <c r="AYU25" s="1200"/>
      <c r="AYV25" s="1200"/>
      <c r="AYW25" s="1200"/>
      <c r="AYX25" s="1092"/>
      <c r="AYY25" s="1200"/>
      <c r="AYZ25" s="1093"/>
      <c r="AZA25" s="1200"/>
      <c r="AZB25" s="1200"/>
      <c r="AZC25" s="1093"/>
      <c r="AZD25" s="1200"/>
      <c r="AZE25" s="1200"/>
      <c r="AZF25" s="1093"/>
      <c r="AZG25" s="1200"/>
      <c r="AZH25" s="1200"/>
      <c r="AZI25" s="1093"/>
      <c r="AZJ25" s="1200"/>
      <c r="AZK25" s="1200"/>
      <c r="AZL25" s="1200"/>
      <c r="AZM25" s="1092"/>
      <c r="AZN25" s="1200"/>
      <c r="AZO25" s="1093"/>
      <c r="AZP25" s="1200"/>
      <c r="AZQ25" s="1200"/>
      <c r="AZR25" s="1200"/>
      <c r="AZS25" s="1092"/>
      <c r="AZT25" s="1200"/>
      <c r="AZU25" s="1093"/>
      <c r="AZV25" s="1200"/>
      <c r="AZW25" s="1200"/>
      <c r="AZX25" s="1093"/>
      <c r="AZY25" s="1200"/>
      <c r="AZZ25" s="1200"/>
      <c r="BAA25" s="1093"/>
      <c r="BAB25" s="1200"/>
      <c r="BAC25" s="1200"/>
      <c r="BAD25" s="1093"/>
      <c r="BAE25" s="1200"/>
      <c r="BAF25" s="1200"/>
      <c r="BAG25" s="1200"/>
      <c r="BAH25" s="1092"/>
      <c r="BAI25" s="1200"/>
      <c r="BAJ25" s="1093"/>
    </row>
    <row r="26" spans="1:1399">
      <c r="B26" s="5" t="s">
        <v>351</v>
      </c>
      <c r="C26" s="16"/>
      <c r="D26" s="16"/>
      <c r="E26" s="9" t="s">
        <v>349</v>
      </c>
      <c r="F26" s="1200"/>
      <c r="G26" s="1200"/>
      <c r="H26" s="1093"/>
      <c r="I26" s="1200"/>
      <c r="J26" s="1200"/>
      <c r="K26" s="1093"/>
      <c r="L26" s="1200"/>
      <c r="M26" s="1200"/>
      <c r="N26" s="1093"/>
      <c r="O26" s="1200"/>
      <c r="P26" s="1200"/>
      <c r="Q26" s="1093"/>
      <c r="R26" s="1200"/>
      <c r="S26" s="1200"/>
      <c r="T26" s="1093"/>
      <c r="U26" s="1200"/>
      <c r="V26" s="1200"/>
      <c r="W26" s="1093"/>
      <c r="X26" s="1200"/>
      <c r="Y26" s="1200"/>
      <c r="Z26" s="1093"/>
      <c r="AA26" s="1200"/>
      <c r="AB26" s="1200"/>
      <c r="AC26" s="1093"/>
      <c r="AD26" s="1200"/>
      <c r="AE26" s="1200"/>
      <c r="AF26" s="1093"/>
      <c r="AG26" s="1200"/>
      <c r="AH26" s="1200"/>
      <c r="AI26" s="1093"/>
      <c r="AJ26" s="1200"/>
      <c r="AK26" s="1200"/>
      <c r="AL26" s="1093"/>
      <c r="AM26" s="1200"/>
      <c r="AN26" s="1200"/>
      <c r="AO26" s="1093"/>
      <c r="AP26" s="1200"/>
      <c r="AQ26" s="1200"/>
      <c r="AR26" s="1093"/>
      <c r="AS26" s="1200"/>
      <c r="AT26" s="1200"/>
      <c r="AU26" s="1093"/>
      <c r="AV26" s="1200"/>
      <c r="AW26" s="1200"/>
      <c r="AX26" s="1093"/>
      <c r="AY26" s="1200"/>
      <c r="AZ26" s="1200"/>
      <c r="BA26" s="1093"/>
      <c r="BB26" s="1200"/>
      <c r="BC26" s="1200"/>
      <c r="BD26" s="1093"/>
      <c r="BE26" s="1200"/>
      <c r="BF26" s="1200"/>
      <c r="BG26" s="1093"/>
      <c r="BH26" s="1200"/>
      <c r="BI26" s="1200"/>
      <c r="BJ26" s="1093"/>
      <c r="BK26" s="1200"/>
      <c r="BL26" s="1200"/>
      <c r="BM26" s="1093"/>
      <c r="BN26" s="1200"/>
      <c r="BO26" s="1200"/>
      <c r="BP26" s="1093"/>
      <c r="BQ26" s="1200"/>
      <c r="BR26" s="1200"/>
      <c r="BS26" s="1093"/>
      <c r="BT26" s="1200"/>
      <c r="BU26" s="1200"/>
      <c r="BV26" s="1093"/>
      <c r="BW26" s="1200"/>
      <c r="BX26" s="1200"/>
      <c r="BY26" s="1093"/>
      <c r="BZ26" s="1200"/>
      <c r="CA26" s="1200"/>
      <c r="CB26" s="1093"/>
      <c r="CC26" s="1200"/>
      <c r="CD26" s="1200"/>
      <c r="CE26" s="1093"/>
      <c r="CF26" s="1200"/>
      <c r="CG26" s="1200"/>
      <c r="CH26" s="1093"/>
      <c r="CI26" s="1200"/>
      <c r="CJ26" s="1200"/>
      <c r="CK26" s="1093"/>
      <c r="CL26" s="1200"/>
      <c r="CM26" s="1200"/>
      <c r="CN26" s="1093"/>
      <c r="CO26" s="1200"/>
      <c r="CP26" s="1200"/>
      <c r="CQ26" s="1093"/>
      <c r="CR26" s="1200"/>
      <c r="CS26" s="1200"/>
      <c r="CT26" s="1093"/>
      <c r="CU26" s="1215"/>
      <c r="CV26" s="1215"/>
      <c r="CW26" s="1094"/>
      <c r="CX26" s="1200"/>
      <c r="CY26" s="1200"/>
      <c r="CZ26" s="1093"/>
      <c r="DA26" s="1200"/>
      <c r="DB26" s="1200"/>
      <c r="DC26" s="1093"/>
      <c r="DD26" s="1200"/>
      <c r="DE26" s="1200"/>
      <c r="DF26" s="1093"/>
      <c r="DG26" s="1200"/>
      <c r="DH26" s="1200"/>
      <c r="DI26" s="1093"/>
      <c r="DJ26" s="1200"/>
      <c r="DK26" s="1200"/>
      <c r="DL26" s="1093"/>
      <c r="DM26" s="1200"/>
      <c r="DN26" s="1200"/>
      <c r="DO26" s="1093"/>
      <c r="DP26" s="1200"/>
      <c r="DQ26" s="1200"/>
      <c r="DR26" s="1093"/>
      <c r="DS26" s="1200"/>
      <c r="DT26" s="1200"/>
      <c r="DU26" s="1093"/>
      <c r="DV26" s="1200"/>
      <c r="DW26" s="1200"/>
      <c r="DX26" s="1093"/>
      <c r="DY26" s="1200"/>
      <c r="DZ26" s="1200"/>
      <c r="EA26" s="1093"/>
      <c r="EB26" s="1200"/>
      <c r="EC26" s="1200"/>
      <c r="ED26" s="1093"/>
      <c r="EE26" s="1200"/>
      <c r="EF26" s="1200"/>
      <c r="EG26" s="1093"/>
      <c r="EH26" s="7"/>
      <c r="EI26" s="7"/>
      <c r="EJ26" s="4"/>
      <c r="EK26" s="1200"/>
      <c r="EL26" s="1200"/>
      <c r="EM26" s="1093"/>
      <c r="EN26" s="1200"/>
      <c r="EO26" s="1200"/>
      <c r="EP26" s="1093"/>
      <c r="EQ26" s="1200"/>
      <c r="ER26" s="1200"/>
      <c r="ES26" s="1093"/>
      <c r="ET26" s="1200"/>
      <c r="EU26" s="1200"/>
      <c r="EV26" s="1093"/>
      <c r="EW26" s="1200"/>
      <c r="EX26" s="1200"/>
      <c r="EY26" s="1093"/>
      <c r="EZ26" s="1200"/>
      <c r="FA26" s="1200"/>
      <c r="FB26" s="1093"/>
      <c r="FC26" s="1200"/>
      <c r="FD26" s="1200"/>
      <c r="FE26" s="1093"/>
      <c r="FF26" s="1200"/>
      <c r="FG26" s="1200"/>
      <c r="FH26" s="1093"/>
      <c r="FI26" s="1200"/>
      <c r="FJ26" s="1200"/>
      <c r="FK26" s="1093"/>
      <c r="FL26" s="1200"/>
      <c r="FM26" s="1200"/>
      <c r="FN26" s="1093"/>
      <c r="FO26" s="1200"/>
      <c r="FP26" s="1200"/>
      <c r="FQ26" s="1093"/>
      <c r="FR26" s="1200"/>
      <c r="FS26" s="1200"/>
      <c r="FT26" s="1093"/>
      <c r="FU26" s="1200"/>
      <c r="FV26" s="1200"/>
      <c r="FW26" s="1093"/>
      <c r="FX26" s="1200"/>
      <c r="FY26" s="1200"/>
      <c r="FZ26" s="1093"/>
      <c r="GA26" s="1200"/>
      <c r="GB26" s="1200"/>
      <c r="GC26" s="1093"/>
      <c r="GD26" s="1200"/>
      <c r="GE26" s="1200"/>
      <c r="GF26" s="1093"/>
      <c r="GG26" s="1215"/>
      <c r="GH26" s="1215"/>
      <c r="GI26" s="1094"/>
      <c r="GJ26" s="1200"/>
      <c r="GK26" s="1200"/>
      <c r="GL26" s="1093"/>
      <c r="GM26" s="1200"/>
      <c r="GN26" s="1200"/>
      <c r="GO26" s="1093"/>
      <c r="GP26" s="1200"/>
      <c r="GQ26" s="1200"/>
      <c r="GR26" s="1093"/>
      <c r="GS26" s="1200"/>
      <c r="GT26" s="1200"/>
      <c r="GU26" s="1093"/>
      <c r="GV26" s="1200"/>
      <c r="GW26" s="1200"/>
      <c r="GX26" s="1093"/>
      <c r="GY26" s="1200"/>
      <c r="GZ26" s="1200"/>
      <c r="HA26" s="1093"/>
      <c r="HB26" s="1200"/>
      <c r="HC26" s="1200"/>
      <c r="HD26" s="1093"/>
      <c r="HE26" s="1200"/>
      <c r="HF26" s="1200"/>
      <c r="HG26" s="1093"/>
      <c r="HH26" s="1200"/>
      <c r="HI26" s="1200"/>
      <c r="HJ26" s="1093"/>
      <c r="HK26" s="1200"/>
      <c r="HL26" s="1200"/>
      <c r="HM26" s="1093"/>
      <c r="HN26" s="1215"/>
      <c r="HO26" s="1215"/>
      <c r="HP26" s="1094"/>
      <c r="HQ26" s="1200"/>
      <c r="HR26" s="1200"/>
      <c r="HS26" s="1093"/>
      <c r="HT26" s="1200"/>
      <c r="HU26" s="1200"/>
      <c r="HV26" s="1093"/>
      <c r="HW26" s="1200"/>
      <c r="HX26" s="1200"/>
      <c r="HY26" s="1093"/>
      <c r="HZ26" s="1200"/>
      <c r="IA26" s="1200"/>
      <c r="IB26" s="1093"/>
      <c r="IC26" s="1200"/>
      <c r="ID26" s="1200"/>
      <c r="IE26" s="1093"/>
      <c r="IF26" s="1200"/>
      <c r="IG26" s="1200"/>
      <c r="IH26" s="1093"/>
      <c r="II26" s="1200"/>
      <c r="IJ26" s="1200"/>
      <c r="IK26" s="1093"/>
      <c r="IL26" s="1200"/>
      <c r="IM26" s="1200"/>
      <c r="IN26" s="1093"/>
      <c r="IO26" s="1200"/>
      <c r="IP26" s="1200"/>
      <c r="IQ26" s="1093"/>
      <c r="IR26" s="1200"/>
      <c r="IS26" s="1200"/>
      <c r="IT26" s="1093"/>
      <c r="IU26" s="1200"/>
      <c r="IV26" s="1200"/>
      <c r="IW26" s="1093"/>
      <c r="IX26" s="1200"/>
      <c r="IY26" s="1200"/>
      <c r="IZ26" s="1093"/>
      <c r="JA26" s="1200"/>
      <c r="JB26" s="1200"/>
      <c r="JC26" s="1093"/>
      <c r="JD26" s="1215"/>
      <c r="JE26" s="1215"/>
      <c r="JF26" s="1094"/>
      <c r="JG26" s="1200"/>
      <c r="JH26" s="1200"/>
      <c r="JI26" s="1093"/>
      <c r="JJ26" s="1200"/>
      <c r="JK26" s="1200"/>
      <c r="JL26" s="1093"/>
      <c r="JM26" s="1200"/>
      <c r="JN26" s="1200"/>
      <c r="JO26" s="1093"/>
      <c r="JP26" s="1200"/>
      <c r="JQ26" s="1200"/>
      <c r="JR26" s="1093"/>
      <c r="JS26" s="1200"/>
      <c r="JT26" s="1200"/>
      <c r="JU26" s="1093"/>
      <c r="JV26" s="1200"/>
      <c r="JW26" s="1200"/>
      <c r="JX26" s="1093"/>
      <c r="JY26" s="1200"/>
      <c r="JZ26" s="1200"/>
      <c r="KA26" s="1093"/>
      <c r="KB26" s="1200"/>
      <c r="KC26" s="1200"/>
      <c r="KD26" s="1093"/>
      <c r="KE26" s="1200"/>
      <c r="KF26" s="1200"/>
      <c r="KG26" s="1093"/>
      <c r="KH26" s="1200"/>
      <c r="KI26" s="1200"/>
      <c r="KJ26" s="1093"/>
      <c r="KK26" s="1200"/>
      <c r="KL26" s="1200"/>
      <c r="KM26" s="1093"/>
      <c r="KN26" s="1200"/>
      <c r="KO26" s="1200"/>
      <c r="KP26" s="1093"/>
      <c r="KQ26" s="1200"/>
      <c r="KR26" s="1200"/>
      <c r="KS26" s="1093"/>
      <c r="KT26" s="1200"/>
      <c r="KU26" s="1200"/>
      <c r="KV26" s="1093"/>
      <c r="KW26" s="1200"/>
      <c r="KX26" s="1200"/>
      <c r="KY26" s="1093"/>
      <c r="KZ26" s="1200"/>
      <c r="LA26" s="1200"/>
      <c r="LB26" s="1093"/>
      <c r="LC26" s="1200"/>
      <c r="LD26" s="1200"/>
      <c r="LE26" s="1093"/>
      <c r="LF26" s="1200"/>
      <c r="LG26" s="1200"/>
      <c r="LH26" s="1093"/>
      <c r="LI26" s="1200"/>
      <c r="LJ26" s="1200"/>
      <c r="LK26" s="1093"/>
      <c r="LL26" s="1200"/>
      <c r="LM26" s="1200"/>
      <c r="LN26" s="1093"/>
      <c r="LO26" s="1200"/>
      <c r="LP26" s="1200"/>
      <c r="LQ26" s="1093"/>
      <c r="LR26" s="1200"/>
      <c r="LS26" s="1200"/>
      <c r="LT26" s="1093"/>
      <c r="LU26" s="1200"/>
      <c r="LV26" s="1200"/>
      <c r="LW26" s="1093"/>
      <c r="LX26" s="1200"/>
      <c r="LY26" s="1200"/>
      <c r="LZ26" s="1093"/>
      <c r="MA26" s="1200"/>
      <c r="MB26" s="1200"/>
      <c r="MC26" s="1093"/>
      <c r="MD26" s="1200"/>
      <c r="ME26" s="1200"/>
      <c r="MF26" s="1093"/>
      <c r="MG26" s="1200"/>
      <c r="MH26" s="1200"/>
      <c r="MI26" s="1093"/>
      <c r="MJ26" s="1200"/>
      <c r="MK26" s="1200"/>
      <c r="ML26" s="1093"/>
      <c r="MM26" s="1200"/>
      <c r="MN26" s="1200"/>
      <c r="MO26" s="1093"/>
      <c r="MP26" s="1200"/>
      <c r="MQ26" s="1200"/>
      <c r="MR26" s="1093"/>
      <c r="MS26" s="1200"/>
      <c r="MT26" s="1200"/>
      <c r="MU26" s="1093"/>
      <c r="MV26" s="1200"/>
      <c r="MW26" s="1200"/>
      <c r="MX26" s="1093"/>
      <c r="MY26" s="1200"/>
      <c r="MZ26" s="1200"/>
      <c r="NA26" s="1093"/>
      <c r="NB26" s="1200"/>
      <c r="NC26" s="1200"/>
      <c r="ND26" s="1093"/>
      <c r="NE26" s="1200"/>
      <c r="NF26" s="1200"/>
      <c r="NG26" s="1093"/>
      <c r="NH26" s="1200"/>
      <c r="NI26" s="1200"/>
      <c r="NJ26" s="1093"/>
      <c r="NK26" s="1200"/>
      <c r="NL26" s="1200"/>
      <c r="NM26" s="1093"/>
      <c r="NN26" s="1200"/>
      <c r="NO26" s="1200"/>
      <c r="NP26" s="1093"/>
      <c r="NQ26" s="1200"/>
      <c r="NR26" s="1200"/>
      <c r="NS26" s="1093"/>
      <c r="NT26" s="1200"/>
      <c r="NU26" s="1200"/>
      <c r="NV26" s="1093"/>
      <c r="NW26" s="1200"/>
      <c r="NX26" s="1200"/>
      <c r="NY26" s="1093"/>
      <c r="NZ26" s="1200"/>
      <c r="OA26" s="1200"/>
      <c r="OB26" s="1093"/>
      <c r="OC26" s="1200"/>
      <c r="OD26" s="1200"/>
      <c r="OE26" s="1093"/>
      <c r="OF26" s="1200"/>
      <c r="OG26" s="1200"/>
      <c r="OH26" s="1093"/>
      <c r="OI26" s="1200"/>
      <c r="OJ26" s="1200"/>
      <c r="OK26" s="1093"/>
      <c r="OL26" s="1200"/>
      <c r="OM26" s="1200"/>
      <c r="ON26" s="1093"/>
      <c r="OO26" s="1200"/>
      <c r="OP26" s="1200"/>
      <c r="OQ26" s="1093"/>
      <c r="OR26" s="1200"/>
      <c r="OS26" s="1200"/>
      <c r="OT26" s="1093"/>
      <c r="OU26" s="1200"/>
      <c r="OV26" s="1200"/>
      <c r="OW26" s="1093"/>
      <c r="OX26" s="1200"/>
      <c r="OY26" s="1200"/>
      <c r="OZ26" s="1093"/>
      <c r="PA26" s="1200"/>
      <c r="PB26" s="1200"/>
      <c r="PC26" s="1093"/>
      <c r="PD26" s="1200"/>
      <c r="PE26" s="1200"/>
      <c r="PF26" s="1093"/>
      <c r="PG26" s="1200"/>
      <c r="PH26" s="1200"/>
      <c r="PI26" s="1093"/>
      <c r="PJ26" s="1200"/>
      <c r="PK26" s="1200"/>
      <c r="PL26" s="1093"/>
      <c r="PM26" s="1200"/>
      <c r="PN26" s="1200"/>
      <c r="PO26" s="1093"/>
      <c r="PP26" s="1200"/>
      <c r="PQ26" s="1200"/>
      <c r="PR26" s="1093"/>
      <c r="PS26" s="1216"/>
      <c r="PT26" s="1216"/>
      <c r="PU26" s="1095"/>
      <c r="PV26" s="1200"/>
      <c r="PW26" s="1200"/>
      <c r="PX26" s="1093"/>
      <c r="PY26" s="1200"/>
      <c r="PZ26" s="1200"/>
      <c r="QA26" s="1093"/>
      <c r="QB26" s="1200"/>
      <c r="QC26" s="1200"/>
      <c r="QD26" s="1093"/>
      <c r="QE26" s="1200"/>
      <c r="QF26" s="1200"/>
      <c r="QG26" s="1093"/>
      <c r="QH26" s="1200"/>
      <c r="QI26" s="1200"/>
      <c r="QJ26" s="1093"/>
      <c r="QK26" s="1200"/>
      <c r="QL26" s="1200"/>
      <c r="QM26" s="1093"/>
      <c r="QN26" s="1200"/>
      <c r="QO26" s="1200"/>
      <c r="QP26" s="1093"/>
      <c r="QQ26" s="1200"/>
      <c r="QR26" s="1200"/>
      <c r="QS26" s="1093"/>
      <c r="QT26" s="1200"/>
      <c r="QU26" s="1200"/>
      <c r="QV26" s="1093"/>
      <c r="QW26" s="1200"/>
      <c r="QX26" s="1200"/>
      <c r="QY26" s="1093"/>
      <c r="QZ26" s="1200"/>
      <c r="RA26" s="1200"/>
      <c r="RB26" s="1093"/>
      <c r="RC26" s="1200"/>
      <c r="RD26" s="1200"/>
      <c r="RE26" s="1093"/>
      <c r="RF26" s="1200"/>
      <c r="RG26" s="1200"/>
      <c r="RH26" s="1093"/>
      <c r="RI26" s="1200"/>
      <c r="RJ26" s="1200"/>
      <c r="RK26" s="1093"/>
      <c r="RL26" s="1200"/>
      <c r="RM26" s="1200"/>
      <c r="RN26" s="1093"/>
      <c r="RO26" s="1215"/>
      <c r="RP26" s="1215"/>
      <c r="RQ26" s="1094"/>
      <c r="RR26" s="1200"/>
      <c r="RS26" s="1200"/>
      <c r="RT26" s="1093"/>
      <c r="RU26" s="1200"/>
      <c r="RV26" s="1200"/>
      <c r="RW26" s="1093"/>
      <c r="RX26" s="1200"/>
      <c r="RY26" s="1200"/>
      <c r="RZ26" s="1093"/>
      <c r="SA26" s="1200"/>
      <c r="SB26" s="1200"/>
      <c r="SC26" s="1093"/>
      <c r="SD26" s="1200"/>
      <c r="SE26" s="1200"/>
      <c r="SF26" s="1093"/>
      <c r="SG26" s="1200"/>
      <c r="SH26" s="1200"/>
      <c r="SI26" s="1093"/>
      <c r="SJ26" s="1200"/>
      <c r="SK26" s="1200"/>
      <c r="SL26" s="1093"/>
      <c r="SM26" s="1200"/>
      <c r="SN26" s="1200"/>
      <c r="SO26" s="1093"/>
      <c r="SP26" s="1200"/>
      <c r="SQ26" s="1200"/>
      <c r="SR26" s="1093"/>
      <c r="SS26" s="1200"/>
      <c r="ST26" s="1200"/>
      <c r="SU26" s="1093"/>
      <c r="SV26" s="1200"/>
      <c r="SW26" s="1200"/>
      <c r="SX26" s="1093"/>
      <c r="SY26" s="1200"/>
      <c r="SZ26" s="1200"/>
      <c r="TA26" s="1093"/>
      <c r="TB26" s="1200"/>
      <c r="TC26" s="1200"/>
      <c r="TD26" s="1093"/>
      <c r="TE26" s="1200"/>
      <c r="TF26" s="1200"/>
      <c r="TG26" s="1093"/>
      <c r="TH26" s="1200"/>
      <c r="TI26" s="1200"/>
      <c r="TJ26" s="1093"/>
      <c r="TK26" s="1200"/>
      <c r="TL26" s="1200"/>
      <c r="TM26" s="1093"/>
      <c r="TN26" s="1200"/>
      <c r="TO26" s="1200"/>
      <c r="TP26" s="1093"/>
      <c r="TQ26" s="1200"/>
      <c r="TR26" s="1200"/>
      <c r="TS26" s="1093"/>
      <c r="TT26" s="1200"/>
      <c r="TU26" s="1200"/>
      <c r="TV26" s="1093"/>
      <c r="TW26" s="1200"/>
      <c r="TX26" s="1200"/>
      <c r="TY26" s="1093"/>
      <c r="TZ26" s="1200"/>
      <c r="UA26" s="1200"/>
      <c r="UB26" s="1093"/>
      <c r="UC26" s="1200"/>
      <c r="UD26" s="1200"/>
      <c r="UE26" s="1093"/>
      <c r="UF26" s="1200"/>
      <c r="UG26" s="1200"/>
      <c r="UH26" s="1093"/>
      <c r="UI26" s="1200"/>
      <c r="UJ26" s="1200"/>
      <c r="UK26" s="1093"/>
      <c r="UL26" s="1200"/>
      <c r="UM26" s="1200"/>
      <c r="UN26" s="1093"/>
      <c r="UO26" s="1200"/>
      <c r="UP26" s="1200"/>
      <c r="UQ26" s="1093"/>
      <c r="UR26" s="1200"/>
      <c r="US26" s="1200"/>
      <c r="UT26" s="1093"/>
      <c r="UU26" s="1200"/>
      <c r="UV26" s="1200"/>
      <c r="UW26" s="1093"/>
      <c r="UX26" s="1200"/>
      <c r="UY26" s="1200"/>
      <c r="UZ26" s="1093"/>
      <c r="VA26" s="1200"/>
      <c r="VB26" s="1200"/>
      <c r="VC26" s="1093"/>
      <c r="VD26" s="1200"/>
      <c r="VE26" s="1200"/>
      <c r="VF26" s="1093"/>
      <c r="VG26" s="1200"/>
      <c r="VH26" s="1200"/>
      <c r="VI26" s="1093"/>
      <c r="VJ26" s="1200"/>
      <c r="VK26" s="1200"/>
      <c r="VL26" s="1093"/>
      <c r="VM26" s="1200"/>
      <c r="VN26" s="1200"/>
      <c r="VO26" s="1093"/>
      <c r="VP26" s="1200"/>
      <c r="VQ26" s="1200"/>
      <c r="VR26" s="1093"/>
      <c r="VS26" s="1200"/>
      <c r="VT26" s="1200"/>
      <c r="VU26" s="1093"/>
      <c r="VV26" s="1200"/>
      <c r="VW26" s="1200"/>
      <c r="VX26" s="1093"/>
      <c r="VY26" s="1200"/>
      <c r="VZ26" s="1200"/>
      <c r="WA26" s="1093"/>
      <c r="WB26" s="1200"/>
      <c r="WC26" s="1200"/>
      <c r="WD26" s="1093"/>
      <c r="WE26" s="1200"/>
      <c r="WF26" s="1200"/>
      <c r="WG26" s="1093"/>
      <c r="WH26" s="1200"/>
      <c r="WI26" s="1200"/>
      <c r="WJ26" s="1093"/>
      <c r="WK26" s="1200"/>
      <c r="WL26" s="1200"/>
      <c r="WM26" s="1093"/>
      <c r="WN26" s="1200"/>
      <c r="WO26" s="1200"/>
      <c r="WP26" s="1093"/>
      <c r="WQ26" s="1200"/>
      <c r="WR26" s="1200"/>
      <c r="WS26" s="1093"/>
      <c r="WT26" s="1200"/>
      <c r="WU26" s="1200"/>
      <c r="WV26" s="1093"/>
      <c r="WW26" s="1200"/>
      <c r="WX26" s="1200"/>
      <c r="WY26" s="1093"/>
      <c r="WZ26" s="1200"/>
      <c r="XA26" s="1200"/>
      <c r="XB26" s="1093"/>
      <c r="XC26" s="1200"/>
      <c r="XD26" s="1200"/>
      <c r="XE26" s="1093"/>
      <c r="XF26" s="1200"/>
      <c r="XG26" s="1200"/>
      <c r="XH26" s="1093"/>
      <c r="XI26" s="1200"/>
      <c r="XJ26" s="1200"/>
      <c r="XK26" s="1093"/>
      <c r="XL26" s="1200"/>
      <c r="XM26" s="1200"/>
      <c r="XN26" s="1093"/>
      <c r="XO26" s="1200"/>
      <c r="XP26" s="1200"/>
      <c r="XQ26" s="1093"/>
      <c r="XR26" s="1200"/>
      <c r="XS26" s="1200"/>
      <c r="XT26" s="1093"/>
      <c r="XU26" s="1200"/>
      <c r="XV26" s="1200"/>
      <c r="XW26" s="1093"/>
      <c r="XX26" s="1200"/>
      <c r="XY26" s="1200"/>
      <c r="XZ26" s="1093"/>
      <c r="YA26" s="1200"/>
      <c r="YB26" s="1200"/>
      <c r="YC26" s="1093"/>
      <c r="YD26" s="1200"/>
      <c r="YE26" s="1200"/>
      <c r="YF26" s="1093"/>
      <c r="YG26" s="1200"/>
      <c r="YH26" s="1200"/>
      <c r="YI26" s="1093"/>
      <c r="YJ26" s="1200"/>
      <c r="YK26" s="1200"/>
      <c r="YL26" s="1093"/>
      <c r="YM26" s="1200"/>
      <c r="YN26" s="1200"/>
      <c r="YO26" s="1093"/>
      <c r="YP26" s="1200"/>
      <c r="YQ26" s="1200"/>
      <c r="YR26" s="1093"/>
      <c r="YS26" s="1200"/>
      <c r="YT26" s="1200"/>
      <c r="YU26" s="1093"/>
      <c r="YV26" s="1200"/>
      <c r="YW26" s="1200"/>
      <c r="YX26" s="1093"/>
      <c r="YY26" s="1200"/>
      <c r="YZ26" s="1200"/>
      <c r="ZA26" s="1093"/>
      <c r="ZB26" s="1200"/>
      <c r="ZC26" s="1200"/>
      <c r="ZD26" s="1093"/>
      <c r="ZE26" s="1200"/>
      <c r="ZF26" s="1200"/>
      <c r="ZG26" s="1093"/>
      <c r="ZH26" s="1200"/>
      <c r="ZI26" s="1200"/>
      <c r="ZJ26" s="1093"/>
      <c r="ZK26" s="1200"/>
      <c r="ZL26" s="1200"/>
      <c r="ZM26" s="1093"/>
      <c r="ZN26" s="1200"/>
      <c r="ZO26" s="1200"/>
      <c r="ZP26" s="1093"/>
      <c r="ZQ26" s="1200"/>
      <c r="ZR26" s="1200"/>
      <c r="ZS26" s="1093"/>
      <c r="ZT26" s="1200"/>
      <c r="ZU26" s="1200"/>
      <c r="ZV26" s="1093"/>
      <c r="ZW26" s="1200"/>
      <c r="ZX26" s="1200"/>
      <c r="ZY26" s="1093"/>
      <c r="ZZ26" s="1200"/>
      <c r="AAA26" s="1200"/>
      <c r="AAB26" s="1093"/>
      <c r="AAC26" s="1200"/>
      <c r="AAD26" s="1200"/>
      <c r="AAE26" s="1093"/>
      <c r="AAF26" s="1200"/>
      <c r="AAG26" s="1200"/>
      <c r="AAH26" s="1093"/>
      <c r="AAI26" s="1200"/>
      <c r="AAJ26" s="1200"/>
      <c r="AAK26" s="1093"/>
      <c r="AAL26" s="1200"/>
      <c r="AAM26" s="1200"/>
      <c r="AAN26" s="1093"/>
      <c r="AAO26" s="1200"/>
      <c r="AAP26" s="1200"/>
      <c r="AAQ26" s="1093"/>
      <c r="AAR26" s="1200"/>
      <c r="AAS26" s="1200"/>
      <c r="AAT26" s="1093"/>
      <c r="AAU26" s="1200"/>
      <c r="AAV26" s="1200"/>
      <c r="AAW26" s="1093"/>
      <c r="AAX26" s="1200"/>
      <c r="AAY26" s="1200"/>
      <c r="AAZ26" s="1093"/>
      <c r="ABA26" s="1200"/>
      <c r="ABB26" s="1200"/>
      <c r="ABC26" s="1093"/>
      <c r="ABD26" s="1200"/>
      <c r="ABE26" s="1200"/>
      <c r="ABF26" s="1093"/>
      <c r="ABG26" s="1200"/>
      <c r="ABH26" s="1200"/>
      <c r="ABI26" s="1093"/>
      <c r="ABJ26" s="1200"/>
      <c r="ABK26" s="1200"/>
      <c r="ABL26" s="1093"/>
      <c r="ABM26" s="1200"/>
      <c r="ABN26" s="1200"/>
      <c r="ABO26" s="1093"/>
      <c r="ABP26" s="1200"/>
      <c r="ABQ26" s="1200"/>
      <c r="ABR26" s="1093"/>
      <c r="ABS26" s="1200"/>
      <c r="ABT26" s="1200"/>
      <c r="ABU26" s="1093"/>
      <c r="ABV26" s="1200"/>
      <c r="ABW26" s="1200"/>
      <c r="ABX26" s="1093"/>
      <c r="ABY26" s="1200"/>
      <c r="ABZ26" s="1200"/>
      <c r="ACA26" s="1093"/>
      <c r="ACB26" s="1200"/>
      <c r="ACC26" s="1200"/>
      <c r="ACD26" s="1093"/>
      <c r="ACE26" s="1200"/>
      <c r="ACF26" s="1200"/>
      <c r="ACG26" s="1093"/>
      <c r="ACH26" s="1200"/>
      <c r="ACI26" s="1200"/>
      <c r="ACJ26" s="1093"/>
      <c r="ACK26" s="1200"/>
      <c r="ACL26" s="1200"/>
      <c r="ACM26" s="1093"/>
      <c r="ACN26" s="1200"/>
      <c r="ACO26" s="1200"/>
      <c r="ACP26" s="1093"/>
      <c r="ACQ26" s="1200"/>
      <c r="ACR26" s="1200"/>
      <c r="ACS26" s="1093"/>
      <c r="ACT26" s="1200"/>
      <c r="ACU26" s="1200"/>
      <c r="ACV26" s="1093"/>
      <c r="ACW26" s="1200"/>
      <c r="ACX26" s="1200"/>
      <c r="ACY26" s="1093"/>
      <c r="ACZ26" s="1200"/>
      <c r="ADA26" s="1200"/>
      <c r="ADB26" s="1093"/>
      <c r="ADC26" s="1200"/>
      <c r="ADD26" s="1200"/>
      <c r="ADE26" s="1093"/>
      <c r="ADF26" s="1200"/>
      <c r="ADG26" s="1200"/>
      <c r="ADH26" s="1093"/>
      <c r="ADI26" s="1200"/>
      <c r="ADJ26" s="1200"/>
      <c r="ADK26" s="1093"/>
      <c r="ADL26" s="1200"/>
      <c r="ADM26" s="1200"/>
      <c r="ADN26" s="1093"/>
      <c r="ADO26" s="1200"/>
      <c r="ADP26" s="1200"/>
      <c r="ADQ26" s="1093"/>
      <c r="ADR26" s="1200"/>
      <c r="ADS26" s="1200"/>
      <c r="ADT26" s="1093"/>
      <c r="ADU26" s="1200"/>
      <c r="ADV26" s="1200"/>
      <c r="ADW26" s="1093"/>
      <c r="ADX26" s="1200"/>
      <c r="ADY26" s="1200"/>
      <c r="ADZ26" s="1093"/>
      <c r="AEA26" s="1200"/>
      <c r="AEB26" s="1200"/>
      <c r="AEC26" s="1093"/>
      <c r="AED26" s="1200"/>
      <c r="AEE26" s="1200"/>
      <c r="AEF26" s="1093"/>
      <c r="AEG26" s="1200"/>
      <c r="AEH26" s="1200"/>
      <c r="AEI26" s="1093"/>
      <c r="AEJ26" s="1200"/>
      <c r="AEK26" s="1200"/>
      <c r="AEL26" s="1093"/>
      <c r="AEM26" s="1200"/>
      <c r="AEN26" s="1200"/>
      <c r="AEO26" s="1093"/>
      <c r="AEP26" s="1200"/>
      <c r="AEQ26" s="1200"/>
      <c r="AER26" s="1093"/>
      <c r="AES26" s="1200"/>
      <c r="AET26" s="1200"/>
      <c r="AEU26" s="1093"/>
      <c r="AEV26" s="1200"/>
      <c r="AEW26" s="1200"/>
      <c r="AEX26" s="1093"/>
      <c r="AEY26" s="1200"/>
      <c r="AEZ26" s="1200"/>
      <c r="AFA26" s="1093"/>
      <c r="AFB26" s="1200"/>
      <c r="AFC26" s="1200"/>
      <c r="AFD26" s="1093"/>
      <c r="AFE26" s="1200"/>
      <c r="AFF26" s="1200"/>
      <c r="AFG26" s="1093"/>
      <c r="AFH26" s="1200"/>
      <c r="AFI26" s="1200"/>
      <c r="AFJ26" s="1093"/>
      <c r="AFK26" s="1200"/>
      <c r="AFL26" s="1200"/>
      <c r="AFM26" s="1093"/>
      <c r="AFN26" s="1200"/>
      <c r="AFO26" s="1200"/>
      <c r="AFP26" s="1093"/>
      <c r="AFQ26" s="1200"/>
      <c r="AFR26" s="1200"/>
      <c r="AFS26" s="1093"/>
      <c r="AFT26" s="1200"/>
      <c r="AFU26" s="1200"/>
      <c r="AFV26" s="1093"/>
      <c r="AFW26" s="1200"/>
      <c r="AFX26" s="1200"/>
      <c r="AFY26" s="1093"/>
      <c r="AFZ26" s="1200"/>
      <c r="AGA26" s="1200"/>
      <c r="AGB26" s="1093"/>
      <c r="AGC26" s="1200"/>
      <c r="AGD26" s="1200"/>
      <c r="AGE26" s="1093"/>
      <c r="AGF26" s="1200"/>
      <c r="AGG26" s="1200"/>
      <c r="AGH26" s="1093"/>
      <c r="AGI26" s="1200"/>
      <c r="AGJ26" s="1200"/>
      <c r="AGK26" s="1093"/>
      <c r="AGL26" s="1200"/>
      <c r="AGM26" s="1200"/>
      <c r="AGN26" s="1093"/>
      <c r="AGO26" s="1200"/>
      <c r="AGP26" s="1200"/>
      <c r="AGQ26" s="1093"/>
      <c r="AGR26" s="1200"/>
      <c r="AGS26" s="1200"/>
      <c r="AGT26" s="1093"/>
      <c r="AGU26" s="1200"/>
      <c r="AGV26" s="1200"/>
      <c r="AGW26" s="1093"/>
      <c r="AGX26" s="1200"/>
      <c r="AGY26" s="1200"/>
      <c r="AGZ26" s="1093"/>
      <c r="AHA26" s="1200"/>
      <c r="AHB26" s="1200"/>
      <c r="AHC26" s="1093"/>
      <c r="AHD26" s="1200"/>
      <c r="AHE26" s="1200"/>
      <c r="AHF26" s="1093"/>
      <c r="AHG26" s="1200"/>
      <c r="AHH26" s="1200"/>
      <c r="AHI26" s="1093"/>
      <c r="AHJ26" s="1200"/>
      <c r="AHK26" s="1200"/>
      <c r="AHL26" s="1093"/>
      <c r="AHM26" s="1200"/>
      <c r="AHN26" s="1200"/>
      <c r="AHO26" s="1093"/>
      <c r="AHP26" s="1200"/>
      <c r="AHQ26" s="1200"/>
      <c r="AHR26" s="1093"/>
      <c r="AHS26" s="1200"/>
      <c r="AHT26" s="1200"/>
      <c r="AHU26" s="1093"/>
      <c r="AHV26" s="1200"/>
      <c r="AHW26" s="1200"/>
      <c r="AHX26" s="1093"/>
      <c r="AHY26" s="1200"/>
      <c r="AHZ26" s="1200"/>
      <c r="AIA26" s="1093"/>
      <c r="AIB26" s="1200"/>
      <c r="AIC26" s="1200"/>
      <c r="AID26" s="1200"/>
      <c r="AIE26" s="1092"/>
      <c r="AIF26" s="1200"/>
      <c r="AIG26" s="1093"/>
      <c r="AIH26" s="1200"/>
      <c r="AII26" s="1200"/>
      <c r="AIJ26" s="1093"/>
      <c r="AIK26" s="1200"/>
      <c r="AIL26" s="1200"/>
      <c r="AIM26" s="1093"/>
      <c r="AIN26" s="1200"/>
      <c r="AIO26" s="1200"/>
      <c r="AIP26" s="1093"/>
      <c r="AIQ26" s="1200"/>
      <c r="AIR26" s="1200"/>
      <c r="AIS26" s="1200"/>
      <c r="AIT26" s="1092"/>
      <c r="AIU26" s="1200"/>
      <c r="AIV26" s="1093"/>
      <c r="AIW26" s="1200"/>
      <c r="AIX26" s="1200"/>
      <c r="AIY26" s="1200"/>
      <c r="AIZ26" s="1092"/>
      <c r="AJA26" s="1200"/>
      <c r="AJB26" s="1093"/>
      <c r="AJC26" s="1200"/>
      <c r="AJD26" s="1200"/>
      <c r="AJE26" s="1093"/>
      <c r="AJF26" s="1200"/>
      <c r="AJG26" s="1200"/>
      <c r="AJH26" s="1093"/>
      <c r="AJI26" s="1200"/>
      <c r="AJJ26" s="1200"/>
      <c r="AJK26" s="1093"/>
      <c r="AJL26" s="1200"/>
      <c r="AJM26" s="1200"/>
      <c r="AJN26" s="1200"/>
      <c r="AJO26" s="1092"/>
      <c r="AJP26" s="1200"/>
      <c r="AJQ26" s="1093"/>
      <c r="AJR26" s="1200"/>
      <c r="AJS26" s="1200"/>
      <c r="AJT26" s="1200"/>
      <c r="AJU26" s="1092"/>
      <c r="AJV26" s="1200"/>
      <c r="AJW26" s="1093"/>
      <c r="AJX26" s="1200"/>
      <c r="AJY26" s="1200"/>
      <c r="AJZ26" s="1093"/>
      <c r="AKA26" s="1200"/>
      <c r="AKB26" s="1200"/>
      <c r="AKC26" s="1093"/>
      <c r="AKD26" s="1200"/>
      <c r="AKE26" s="1200"/>
      <c r="AKF26" s="1093"/>
      <c r="AKG26" s="1200"/>
      <c r="AKH26" s="1200"/>
      <c r="AKI26" s="1200"/>
      <c r="AKJ26" s="1092"/>
      <c r="AKK26" s="1200"/>
      <c r="AKL26" s="1093"/>
      <c r="AKM26" s="1200"/>
      <c r="AKN26" s="1200"/>
      <c r="AKO26" s="1200"/>
      <c r="AKP26" s="1092"/>
      <c r="AKQ26" s="1200"/>
      <c r="AKR26" s="1093"/>
      <c r="AKS26" s="1200"/>
      <c r="AKT26" s="1200"/>
      <c r="AKU26" s="1093"/>
      <c r="AKV26" s="1200"/>
      <c r="AKW26" s="1200"/>
      <c r="AKX26" s="1093"/>
      <c r="AKY26" s="1200"/>
      <c r="AKZ26" s="1200"/>
      <c r="ALA26" s="1093"/>
      <c r="ALB26" s="1200"/>
      <c r="ALC26" s="1200"/>
      <c r="ALD26" s="1200"/>
      <c r="ALE26" s="1092"/>
      <c r="ALF26" s="1200"/>
      <c r="ALG26" s="1093"/>
      <c r="ALH26" s="1200"/>
      <c r="ALI26" s="1200"/>
      <c r="ALJ26" s="1200"/>
      <c r="ALK26" s="1092"/>
      <c r="ALL26" s="1200"/>
      <c r="ALM26" s="1093"/>
      <c r="ALN26" s="1200"/>
      <c r="ALO26" s="1200"/>
      <c r="ALP26" s="1093"/>
      <c r="ALQ26" s="1200"/>
      <c r="ALR26" s="1200"/>
      <c r="ALS26" s="1093"/>
      <c r="ALT26" s="1200"/>
      <c r="ALU26" s="1200"/>
      <c r="ALV26" s="1093"/>
      <c r="ALW26" s="1200"/>
      <c r="ALX26" s="1200"/>
      <c r="ALY26" s="1200"/>
      <c r="ALZ26" s="1092"/>
      <c r="AMA26" s="1200"/>
      <c r="AMB26" s="1093"/>
      <c r="AMC26" s="1200"/>
      <c r="AMD26" s="1200"/>
      <c r="AME26" s="1200"/>
      <c r="AMF26" s="1092"/>
      <c r="AMG26" s="1200"/>
      <c r="AMH26" s="1093"/>
      <c r="AMI26" s="1200"/>
      <c r="AMJ26" s="1200"/>
      <c r="AMK26" s="1093"/>
      <c r="AML26" s="1200"/>
      <c r="AMM26" s="1200"/>
      <c r="AMN26" s="1093"/>
      <c r="AMO26" s="1200"/>
      <c r="AMP26" s="1200"/>
      <c r="AMQ26" s="1093"/>
      <c r="AMR26" s="1200"/>
      <c r="AMS26" s="1200"/>
      <c r="AMT26" s="1200"/>
      <c r="AMU26" s="1092"/>
      <c r="AMV26" s="1200"/>
      <c r="AMW26" s="1093"/>
      <c r="AMX26" s="1200"/>
      <c r="AMY26" s="1200"/>
      <c r="AMZ26" s="1200"/>
      <c r="ANA26" s="1092"/>
      <c r="ANB26" s="1200"/>
      <c r="ANC26" s="1093"/>
      <c r="AND26" s="1200"/>
      <c r="ANE26" s="1200"/>
      <c r="ANF26" s="1093"/>
      <c r="ANG26" s="1200"/>
      <c r="ANH26" s="1200"/>
      <c r="ANI26" s="1093"/>
      <c r="ANJ26" s="1200"/>
      <c r="ANK26" s="1200"/>
      <c r="ANL26" s="1093"/>
      <c r="ANM26" s="1200"/>
      <c r="ANN26" s="1200"/>
      <c r="ANO26" s="1200"/>
      <c r="ANP26" s="1092"/>
      <c r="ANQ26" s="1200"/>
      <c r="ANR26" s="1093"/>
      <c r="ANS26" s="1200"/>
      <c r="ANT26" s="1200"/>
      <c r="ANU26" s="1200"/>
      <c r="ANV26" s="1092"/>
      <c r="ANW26" s="1200"/>
      <c r="ANX26" s="1093"/>
      <c r="ANY26" s="1200"/>
      <c r="ANZ26" s="1200"/>
      <c r="AOA26" s="1093"/>
      <c r="AOB26" s="1200"/>
      <c r="AOC26" s="1200"/>
      <c r="AOD26" s="1093"/>
      <c r="AOE26" s="1200"/>
      <c r="AOF26" s="1200"/>
      <c r="AOG26" s="1093"/>
      <c r="AOH26" s="1200"/>
      <c r="AOI26" s="1200"/>
      <c r="AOJ26" s="1200"/>
      <c r="AOK26" s="1092"/>
      <c r="AOL26" s="1200"/>
      <c r="AOM26" s="1093"/>
      <c r="AON26" s="1200"/>
      <c r="AOO26" s="1200"/>
      <c r="AOP26" s="1200"/>
      <c r="AOQ26" s="1092"/>
      <c r="AOR26" s="1200"/>
      <c r="AOS26" s="1093"/>
      <c r="AOT26" s="1200"/>
      <c r="AOU26" s="1200"/>
      <c r="AOV26" s="1093"/>
      <c r="AOW26" s="1200"/>
      <c r="AOX26" s="1200"/>
      <c r="AOY26" s="1093"/>
      <c r="AOZ26" s="1200"/>
      <c r="APA26" s="1200"/>
      <c r="APB26" s="1093"/>
      <c r="APC26" s="1200"/>
      <c r="APD26" s="1200"/>
      <c r="APE26" s="1200"/>
      <c r="APF26" s="1092"/>
      <c r="APG26" s="1200"/>
      <c r="APH26" s="1093"/>
      <c r="API26" s="1200"/>
      <c r="APJ26" s="1200"/>
      <c r="APK26" s="1200"/>
      <c r="APL26" s="1092"/>
      <c r="APM26" s="1200"/>
      <c r="APN26" s="1093"/>
      <c r="APO26" s="1200"/>
      <c r="APP26" s="1200"/>
      <c r="APQ26" s="1093"/>
      <c r="APR26" s="1200"/>
      <c r="APS26" s="1200"/>
      <c r="APT26" s="1093"/>
      <c r="APU26" s="1200"/>
      <c r="APV26" s="1200"/>
      <c r="APW26" s="1093"/>
      <c r="APX26" s="1200"/>
      <c r="APY26" s="1200"/>
      <c r="APZ26" s="1200"/>
      <c r="AQA26" s="1092"/>
      <c r="AQB26" s="1200"/>
      <c r="AQC26" s="1093"/>
      <c r="AQD26" s="1200"/>
      <c r="AQE26" s="1200"/>
      <c r="AQF26" s="1093"/>
      <c r="AQG26" s="1200"/>
      <c r="AQH26" s="1200"/>
      <c r="AQI26" s="1093"/>
      <c r="AQJ26" s="1200"/>
      <c r="AQK26" s="1200"/>
      <c r="AQL26" s="1093"/>
      <c r="AQM26" s="1200"/>
      <c r="AQN26" s="1200"/>
      <c r="AQO26" s="1200"/>
      <c r="AQP26" s="1092"/>
      <c r="AQQ26" s="1200"/>
      <c r="AQR26" s="1200"/>
      <c r="AQS26" s="1092"/>
      <c r="AQT26" s="1200"/>
      <c r="AQU26" s="1093"/>
      <c r="AQV26" s="1200"/>
      <c r="AQW26" s="1200"/>
      <c r="AQX26" s="1093"/>
      <c r="AQY26" s="1200"/>
      <c r="AQZ26" s="1200"/>
      <c r="ARA26" s="1093"/>
      <c r="ARB26" s="1200"/>
      <c r="ARC26" s="1200"/>
      <c r="ARD26" s="1093"/>
      <c r="ARE26" s="1200"/>
      <c r="ARF26" s="1200"/>
      <c r="ARG26" s="1093"/>
      <c r="ARH26" s="1200"/>
      <c r="ARI26" s="1200"/>
      <c r="ARJ26" s="1093"/>
      <c r="ARK26" s="1200"/>
      <c r="ARL26" s="1200"/>
      <c r="ARM26" s="1093"/>
      <c r="ARN26" s="1200"/>
      <c r="ARO26" s="1200"/>
      <c r="ARP26" s="1093"/>
      <c r="ARQ26" s="1200"/>
      <c r="ARR26" s="1200"/>
      <c r="ARS26" s="1093"/>
      <c r="ART26" s="1200"/>
      <c r="ARU26" s="1200"/>
      <c r="ARV26" s="1093"/>
      <c r="ARW26" s="1200"/>
      <c r="ARX26" s="1200"/>
      <c r="ARY26" s="1093"/>
      <c r="ARZ26" s="1200"/>
      <c r="ASA26" s="1200"/>
      <c r="ASB26" s="1093"/>
      <c r="ASC26" s="1200"/>
      <c r="ASD26" s="1200"/>
      <c r="ASE26" s="1200"/>
      <c r="ASF26" s="1092"/>
      <c r="ASG26" s="1200"/>
      <c r="ASH26" s="1093"/>
      <c r="ASI26" s="1200"/>
      <c r="ASJ26" s="1200"/>
      <c r="ASK26" s="1200"/>
      <c r="ASL26" s="1092"/>
      <c r="ASM26" s="1200"/>
      <c r="ASN26" s="1093"/>
      <c r="ASO26" s="1200"/>
      <c r="ASP26" s="1200"/>
      <c r="ASQ26" s="1200"/>
      <c r="ASR26" s="1092"/>
      <c r="ASS26" s="1200"/>
      <c r="AST26" s="1093"/>
      <c r="ASU26" s="1200"/>
      <c r="ASV26" s="1200"/>
      <c r="ASW26" s="1093"/>
      <c r="ASX26" s="1200"/>
      <c r="ASY26" s="1200"/>
      <c r="ASZ26" s="1200"/>
      <c r="ATA26" s="1092"/>
      <c r="ATB26" s="1200"/>
      <c r="ATC26" s="1093"/>
      <c r="ATD26" s="1200"/>
      <c r="ATE26" s="1200"/>
      <c r="ATF26" s="1200"/>
      <c r="ATG26" s="1092"/>
      <c r="ATH26" s="1200"/>
      <c r="ATI26" s="1093"/>
      <c r="ATJ26" s="1200"/>
      <c r="ATK26" s="1200"/>
      <c r="ATL26" s="1093"/>
      <c r="ATM26" s="1200"/>
      <c r="ATN26" s="1200"/>
      <c r="ATO26" s="1093"/>
      <c r="ATP26" s="1200"/>
      <c r="ATQ26" s="1200"/>
      <c r="ATR26" s="1093"/>
      <c r="ATS26" s="1200"/>
      <c r="ATT26" s="1200"/>
      <c r="ATU26" s="1093"/>
      <c r="ATV26" s="1200"/>
      <c r="ATW26" s="1200"/>
      <c r="ATX26" s="1093"/>
      <c r="ATY26" s="1200"/>
      <c r="ATZ26" s="1200"/>
      <c r="AUA26" s="1200"/>
      <c r="AUB26" s="1092"/>
      <c r="AUC26" s="1200"/>
      <c r="AUD26" s="1093"/>
      <c r="AUE26" s="1200"/>
      <c r="AUF26" s="1200"/>
      <c r="AUG26" s="1093"/>
      <c r="AUH26" s="1200"/>
      <c r="AUI26" s="1200"/>
      <c r="AUJ26" s="1093"/>
      <c r="AUK26" s="1200"/>
      <c r="AUL26" s="1200"/>
      <c r="AUM26" s="1200"/>
      <c r="AUN26" s="1092"/>
      <c r="AUO26" s="1206">
        <v>11</v>
      </c>
      <c r="AUP26" s="1200"/>
      <c r="AUQ26" s="1092"/>
      <c r="AUR26" s="1206">
        <v>14</v>
      </c>
      <c r="AUS26" s="1200"/>
      <c r="AUT26" s="1092"/>
      <c r="AUU26" s="1206">
        <v>18</v>
      </c>
      <c r="AUV26" s="1200"/>
      <c r="AUW26" s="1092"/>
      <c r="AUX26" s="1206">
        <v>15</v>
      </c>
      <c r="AUY26" s="1200"/>
      <c r="AUZ26" s="1092"/>
      <c r="AVA26" s="1206">
        <v>13</v>
      </c>
      <c r="AVB26" s="1200"/>
      <c r="AVC26" s="1092"/>
      <c r="AVD26" s="1206"/>
      <c r="AVE26" s="1200"/>
      <c r="AVF26" s="1092"/>
      <c r="AVG26" s="1206">
        <v>12</v>
      </c>
      <c r="AVH26" s="1200"/>
      <c r="AVI26" s="1092"/>
      <c r="AVJ26" s="1206"/>
      <c r="AVK26" s="1200"/>
      <c r="AVL26" s="1092"/>
      <c r="AVM26" s="1206">
        <v>13</v>
      </c>
      <c r="AVN26" s="1200"/>
      <c r="AVO26" s="1092"/>
      <c r="AVP26" s="1206">
        <v>14</v>
      </c>
      <c r="AVQ26" s="1200"/>
      <c r="AVR26" s="1092"/>
      <c r="AVS26" s="1206"/>
      <c r="AVT26" s="1200"/>
      <c r="AVU26" s="1092"/>
      <c r="AVV26" s="1206"/>
      <c r="AVW26" s="1200"/>
      <c r="AVX26" s="1092"/>
      <c r="AVY26" s="1206"/>
      <c r="AVZ26" s="1200"/>
      <c r="AWA26" s="1092"/>
      <c r="AWB26" s="1206"/>
      <c r="AWC26" s="1200"/>
      <c r="AWD26" s="1092"/>
      <c r="AWE26" s="1206"/>
      <c r="AWF26" s="1200"/>
      <c r="AWG26" s="1092"/>
      <c r="AWH26" s="1206"/>
      <c r="AWI26" s="1200"/>
      <c r="AWJ26" s="1092"/>
      <c r="AWK26" s="1206"/>
      <c r="AWL26" s="1200"/>
      <c r="AWM26" s="1092"/>
      <c r="AWN26" s="1206"/>
      <c r="AWO26" s="1093"/>
      <c r="AWP26" s="1200"/>
      <c r="AWQ26" s="1200"/>
      <c r="AWR26" s="1200"/>
      <c r="AWS26" s="1200"/>
      <c r="AWT26" s="1200"/>
      <c r="AWU26" s="1200"/>
      <c r="AWV26" s="1200"/>
      <c r="AWW26" s="1200"/>
      <c r="AWX26" s="1200"/>
      <c r="AWY26" s="1200"/>
      <c r="AWZ26" s="1200"/>
      <c r="AXA26" s="1200"/>
      <c r="AXB26" s="1200"/>
      <c r="AXC26" s="1200"/>
      <c r="AXD26" s="1200"/>
      <c r="AXE26" s="1200"/>
      <c r="AXF26" s="1200"/>
      <c r="AXG26" s="1200"/>
      <c r="AXH26" s="1200"/>
      <c r="AXI26" s="1200"/>
      <c r="AXJ26" s="1200"/>
      <c r="AXK26" s="1200"/>
      <c r="AXL26" s="1200"/>
      <c r="AXM26" s="1200"/>
      <c r="AXN26" s="1200"/>
      <c r="AXO26" s="1200"/>
      <c r="AXP26" s="1200"/>
      <c r="AXQ26" s="1200"/>
      <c r="AXR26" s="1200"/>
      <c r="AXS26" s="1200"/>
      <c r="AXT26" s="1200"/>
      <c r="AXU26" s="1200"/>
      <c r="AXV26" s="1200"/>
      <c r="AXW26" s="1200"/>
      <c r="AXX26" s="1200"/>
      <c r="AXY26" s="1200"/>
      <c r="AXZ26" s="1200"/>
      <c r="AYA26" s="1200"/>
      <c r="AYB26" s="1200"/>
      <c r="AYC26" s="1200"/>
      <c r="AYD26" s="1200"/>
      <c r="AYE26" s="1200"/>
      <c r="AYF26" s="1200"/>
      <c r="AYG26" s="1200"/>
      <c r="AYH26" s="1200"/>
      <c r="AYI26" s="1200"/>
      <c r="AYJ26" s="1200"/>
      <c r="AYK26" s="1200"/>
      <c r="AYL26" s="1200"/>
      <c r="AYM26" s="1200"/>
      <c r="AYN26" s="1093"/>
      <c r="AYO26" s="1200"/>
      <c r="AYP26" s="1200"/>
      <c r="AYQ26" s="1200"/>
      <c r="AYR26" s="1092"/>
      <c r="AYS26" s="1200"/>
      <c r="AYT26" s="1093"/>
      <c r="AYU26" s="1200"/>
      <c r="AYV26" s="1200"/>
      <c r="AYW26" s="1200"/>
      <c r="AYX26" s="1092"/>
      <c r="AYY26" s="1200"/>
      <c r="AYZ26" s="1093"/>
      <c r="AZA26" s="1200"/>
      <c r="AZB26" s="1200"/>
      <c r="AZC26" s="1093"/>
      <c r="AZD26" s="1200"/>
      <c r="AZE26" s="1200"/>
      <c r="AZF26" s="1093"/>
      <c r="AZG26" s="1200"/>
      <c r="AZH26" s="1200"/>
      <c r="AZI26" s="1093"/>
      <c r="AZJ26" s="1200"/>
      <c r="AZK26" s="1200"/>
      <c r="AZL26" s="1200"/>
      <c r="AZM26" s="1092"/>
      <c r="AZN26" s="1200"/>
      <c r="AZO26" s="1093"/>
      <c r="AZP26" s="1200"/>
      <c r="AZQ26" s="1200"/>
      <c r="AZR26" s="1200"/>
      <c r="AZS26" s="1092"/>
      <c r="AZT26" s="1200"/>
      <c r="AZU26" s="1093"/>
      <c r="AZV26" s="1200"/>
      <c r="AZW26" s="1200"/>
      <c r="AZX26" s="1093"/>
      <c r="AZY26" s="1200"/>
      <c r="AZZ26" s="1200"/>
      <c r="BAA26" s="1093"/>
      <c r="BAB26" s="1200"/>
      <c r="BAC26" s="1200"/>
      <c r="BAD26" s="1093"/>
      <c r="BAE26" s="1200"/>
      <c r="BAF26" s="1200"/>
      <c r="BAG26" s="1200"/>
      <c r="BAH26" s="1092"/>
      <c r="BAI26" s="1200"/>
      <c r="BAJ26" s="1093"/>
    </row>
    <row r="27" spans="1:1399">
      <c r="B27" s="5" t="s">
        <v>352</v>
      </c>
      <c r="C27" s="16"/>
      <c r="D27" s="16"/>
      <c r="E27" s="9" t="s">
        <v>349</v>
      </c>
      <c r="F27" s="1200"/>
      <c r="G27" s="1200"/>
      <c r="H27" s="1093"/>
      <c r="I27" s="1200"/>
      <c r="J27" s="1200"/>
      <c r="K27" s="1093"/>
      <c r="L27" s="1200"/>
      <c r="M27" s="1200"/>
      <c r="N27" s="1093"/>
      <c r="O27" s="1200"/>
      <c r="P27" s="1200"/>
      <c r="Q27" s="1093"/>
      <c r="R27" s="1200"/>
      <c r="S27" s="1200"/>
      <c r="T27" s="1093"/>
      <c r="U27" s="1200"/>
      <c r="V27" s="1200"/>
      <c r="W27" s="1093"/>
      <c r="X27" s="1200"/>
      <c r="Y27" s="1200"/>
      <c r="Z27" s="1093"/>
      <c r="AA27" s="1200"/>
      <c r="AB27" s="1200"/>
      <c r="AC27" s="1093"/>
      <c r="AD27" s="1200"/>
      <c r="AE27" s="1200"/>
      <c r="AF27" s="1093"/>
      <c r="AG27" s="1200"/>
      <c r="AH27" s="1200"/>
      <c r="AI27" s="1093"/>
      <c r="AJ27" s="1200"/>
      <c r="AK27" s="1200"/>
      <c r="AL27" s="1093"/>
      <c r="AM27" s="1200"/>
      <c r="AN27" s="1200"/>
      <c r="AO27" s="1093"/>
      <c r="AP27" s="1200"/>
      <c r="AQ27" s="1200"/>
      <c r="AR27" s="1093"/>
      <c r="AS27" s="1200"/>
      <c r="AT27" s="1200"/>
      <c r="AU27" s="1093"/>
      <c r="AV27" s="1200"/>
      <c r="AW27" s="1200"/>
      <c r="AX27" s="1093"/>
      <c r="AY27" s="1200"/>
      <c r="AZ27" s="1200"/>
      <c r="BA27" s="1093"/>
      <c r="BB27" s="1200"/>
      <c r="BC27" s="1200"/>
      <c r="BD27" s="1093"/>
      <c r="BE27" s="1200"/>
      <c r="BF27" s="1200"/>
      <c r="BG27" s="1093"/>
      <c r="BH27" s="1200"/>
      <c r="BI27" s="1200"/>
      <c r="BJ27" s="1093"/>
      <c r="BK27" s="1200"/>
      <c r="BL27" s="1200"/>
      <c r="BM27" s="1093"/>
      <c r="BN27" s="1200"/>
      <c r="BO27" s="1200"/>
      <c r="BP27" s="1093"/>
      <c r="BQ27" s="1200"/>
      <c r="BR27" s="1200"/>
      <c r="BS27" s="1093"/>
      <c r="BT27" s="1200"/>
      <c r="BU27" s="1200"/>
      <c r="BV27" s="1093"/>
      <c r="BW27" s="1200"/>
      <c r="BX27" s="1200"/>
      <c r="BY27" s="1093"/>
      <c r="BZ27" s="1200"/>
      <c r="CA27" s="1200"/>
      <c r="CB27" s="1093"/>
      <c r="CC27" s="1200"/>
      <c r="CD27" s="1200"/>
      <c r="CE27" s="1093"/>
      <c r="CF27" s="1200"/>
      <c r="CG27" s="1200"/>
      <c r="CH27" s="1093"/>
      <c r="CI27" s="1200"/>
      <c r="CJ27" s="1200"/>
      <c r="CK27" s="1093"/>
      <c r="CL27" s="1200"/>
      <c r="CM27" s="1200"/>
      <c r="CN27" s="1093"/>
      <c r="CO27" s="1200"/>
      <c r="CP27" s="1200"/>
      <c r="CQ27" s="1093"/>
      <c r="CR27" s="1200"/>
      <c r="CS27" s="1200"/>
      <c r="CT27" s="1093"/>
      <c r="CU27" s="1215"/>
      <c r="CV27" s="1215"/>
      <c r="CW27" s="1094"/>
      <c r="CX27" s="1200"/>
      <c r="CY27" s="1200"/>
      <c r="CZ27" s="1093"/>
      <c r="DA27" s="1200"/>
      <c r="DB27" s="1200"/>
      <c r="DC27" s="1093"/>
      <c r="DD27" s="1200"/>
      <c r="DE27" s="1200"/>
      <c r="DF27" s="1093"/>
      <c r="DG27" s="1200"/>
      <c r="DH27" s="1200"/>
      <c r="DI27" s="1093"/>
      <c r="DJ27" s="1200"/>
      <c r="DK27" s="1200"/>
      <c r="DL27" s="1093"/>
      <c r="DM27" s="1200"/>
      <c r="DN27" s="1200"/>
      <c r="DO27" s="1093"/>
      <c r="DP27" s="1200"/>
      <c r="DQ27" s="1200"/>
      <c r="DR27" s="1093"/>
      <c r="DS27" s="1200"/>
      <c r="DT27" s="1200"/>
      <c r="DU27" s="1093"/>
      <c r="DV27" s="1200"/>
      <c r="DW27" s="1200"/>
      <c r="DX27" s="1093"/>
      <c r="DY27" s="1200"/>
      <c r="DZ27" s="1200"/>
      <c r="EA27" s="1093"/>
      <c r="EB27" s="1200"/>
      <c r="EC27" s="1200"/>
      <c r="ED27" s="1093"/>
      <c r="EE27" s="1200"/>
      <c r="EF27" s="1200"/>
      <c r="EG27" s="1093"/>
      <c r="EH27" s="7"/>
      <c r="EI27" s="7"/>
      <c r="EJ27" s="4"/>
      <c r="EK27" s="1200"/>
      <c r="EL27" s="1200"/>
      <c r="EM27" s="1093"/>
      <c r="EN27" s="1200"/>
      <c r="EO27" s="1200"/>
      <c r="EP27" s="1093"/>
      <c r="EQ27" s="1200"/>
      <c r="ER27" s="1200"/>
      <c r="ES27" s="1093"/>
      <c r="ET27" s="1200"/>
      <c r="EU27" s="1200"/>
      <c r="EV27" s="1093"/>
      <c r="EW27" s="1200"/>
      <c r="EX27" s="1200"/>
      <c r="EY27" s="1093"/>
      <c r="EZ27" s="1200"/>
      <c r="FA27" s="1200"/>
      <c r="FB27" s="1093"/>
      <c r="FC27" s="1200"/>
      <c r="FD27" s="1200"/>
      <c r="FE27" s="1093"/>
      <c r="FF27" s="1200"/>
      <c r="FG27" s="1200"/>
      <c r="FH27" s="1093"/>
      <c r="FI27" s="1200"/>
      <c r="FJ27" s="1200"/>
      <c r="FK27" s="1093"/>
      <c r="FL27" s="1200"/>
      <c r="FM27" s="1200"/>
      <c r="FN27" s="1093"/>
      <c r="FO27" s="1200"/>
      <c r="FP27" s="1200"/>
      <c r="FQ27" s="1093"/>
      <c r="FR27" s="1200"/>
      <c r="FS27" s="1200"/>
      <c r="FT27" s="1093"/>
      <c r="FU27" s="1200"/>
      <c r="FV27" s="1200"/>
      <c r="FW27" s="1093"/>
      <c r="FX27" s="1200"/>
      <c r="FY27" s="1200"/>
      <c r="FZ27" s="1093"/>
      <c r="GA27" s="1200"/>
      <c r="GB27" s="1200"/>
      <c r="GC27" s="1093"/>
      <c r="GD27" s="1200"/>
      <c r="GE27" s="1200"/>
      <c r="GF27" s="1093"/>
      <c r="GG27" s="1215"/>
      <c r="GH27" s="1215"/>
      <c r="GI27" s="1094"/>
      <c r="GJ27" s="1200"/>
      <c r="GK27" s="1200"/>
      <c r="GL27" s="1093"/>
      <c r="GM27" s="1200"/>
      <c r="GN27" s="1200"/>
      <c r="GO27" s="1093"/>
      <c r="GP27" s="1200"/>
      <c r="GQ27" s="1200"/>
      <c r="GR27" s="1093"/>
      <c r="GS27" s="1200"/>
      <c r="GT27" s="1200"/>
      <c r="GU27" s="1093"/>
      <c r="GV27" s="1200"/>
      <c r="GW27" s="1200"/>
      <c r="GX27" s="1093"/>
      <c r="GY27" s="1200"/>
      <c r="GZ27" s="1200"/>
      <c r="HA27" s="1093"/>
      <c r="HB27" s="1200"/>
      <c r="HC27" s="1200"/>
      <c r="HD27" s="1093"/>
      <c r="HE27" s="1200"/>
      <c r="HF27" s="1200"/>
      <c r="HG27" s="1093"/>
      <c r="HH27" s="1200"/>
      <c r="HI27" s="1200"/>
      <c r="HJ27" s="1093"/>
      <c r="HK27" s="1200"/>
      <c r="HL27" s="1200"/>
      <c r="HM27" s="1093"/>
      <c r="HN27" s="1215"/>
      <c r="HO27" s="1215"/>
      <c r="HP27" s="1094"/>
      <c r="HQ27" s="1200"/>
      <c r="HR27" s="1200"/>
      <c r="HS27" s="1093"/>
      <c r="HT27" s="1200"/>
      <c r="HU27" s="1200"/>
      <c r="HV27" s="1093"/>
      <c r="HW27" s="1200"/>
      <c r="HX27" s="1200"/>
      <c r="HY27" s="1093"/>
      <c r="HZ27" s="1200"/>
      <c r="IA27" s="1200"/>
      <c r="IB27" s="1093"/>
      <c r="IC27" s="1200"/>
      <c r="ID27" s="1200"/>
      <c r="IE27" s="1093"/>
      <c r="IF27" s="1200"/>
      <c r="IG27" s="1200"/>
      <c r="IH27" s="1093"/>
      <c r="II27" s="1200"/>
      <c r="IJ27" s="1200"/>
      <c r="IK27" s="1093"/>
      <c r="IL27" s="1200"/>
      <c r="IM27" s="1200"/>
      <c r="IN27" s="1093"/>
      <c r="IO27" s="1200"/>
      <c r="IP27" s="1200"/>
      <c r="IQ27" s="1093"/>
      <c r="IR27" s="1200"/>
      <c r="IS27" s="1200"/>
      <c r="IT27" s="1093"/>
      <c r="IU27" s="1200"/>
      <c r="IV27" s="1200"/>
      <c r="IW27" s="1093"/>
      <c r="IX27" s="1200"/>
      <c r="IY27" s="1200"/>
      <c r="IZ27" s="1093"/>
      <c r="JA27" s="1200"/>
      <c r="JB27" s="1200"/>
      <c r="JC27" s="1093"/>
      <c r="JD27" s="1215"/>
      <c r="JE27" s="1215"/>
      <c r="JF27" s="1094"/>
      <c r="JG27" s="1200"/>
      <c r="JH27" s="1200"/>
      <c r="JI27" s="1093"/>
      <c r="JJ27" s="1200"/>
      <c r="JK27" s="1200"/>
      <c r="JL27" s="1093"/>
      <c r="JM27" s="1200"/>
      <c r="JN27" s="1200"/>
      <c r="JO27" s="1093"/>
      <c r="JP27" s="1200"/>
      <c r="JQ27" s="1200"/>
      <c r="JR27" s="1093"/>
      <c r="JS27" s="1200"/>
      <c r="JT27" s="1200"/>
      <c r="JU27" s="1093"/>
      <c r="JV27" s="1200"/>
      <c r="JW27" s="1200"/>
      <c r="JX27" s="1093"/>
      <c r="JY27" s="1200"/>
      <c r="JZ27" s="1200"/>
      <c r="KA27" s="1093"/>
      <c r="KB27" s="1200"/>
      <c r="KC27" s="1200"/>
      <c r="KD27" s="1093"/>
      <c r="KE27" s="1200"/>
      <c r="KF27" s="1200"/>
      <c r="KG27" s="1093"/>
      <c r="KH27" s="1200"/>
      <c r="KI27" s="1200"/>
      <c r="KJ27" s="1093"/>
      <c r="KK27" s="1200"/>
      <c r="KL27" s="1200"/>
      <c r="KM27" s="1093"/>
      <c r="KN27" s="1200"/>
      <c r="KO27" s="1200"/>
      <c r="KP27" s="1093"/>
      <c r="KQ27" s="1200"/>
      <c r="KR27" s="1200"/>
      <c r="KS27" s="1093"/>
      <c r="KT27" s="1200"/>
      <c r="KU27" s="1200"/>
      <c r="KV27" s="1093"/>
      <c r="KW27" s="1200"/>
      <c r="KX27" s="1200"/>
      <c r="KY27" s="1093"/>
      <c r="KZ27" s="1200"/>
      <c r="LA27" s="1200"/>
      <c r="LB27" s="1093"/>
      <c r="LC27" s="1200"/>
      <c r="LD27" s="1200"/>
      <c r="LE27" s="1093"/>
      <c r="LF27" s="1200"/>
      <c r="LG27" s="1200"/>
      <c r="LH27" s="1093"/>
      <c r="LI27" s="1200"/>
      <c r="LJ27" s="1200"/>
      <c r="LK27" s="1093"/>
      <c r="LL27" s="1200"/>
      <c r="LM27" s="1200"/>
      <c r="LN27" s="1093"/>
      <c r="LO27" s="1200"/>
      <c r="LP27" s="1200"/>
      <c r="LQ27" s="1093"/>
      <c r="LR27" s="1200"/>
      <c r="LS27" s="1200"/>
      <c r="LT27" s="1093"/>
      <c r="LU27" s="1200"/>
      <c r="LV27" s="1200"/>
      <c r="LW27" s="1093"/>
      <c r="LX27" s="1200"/>
      <c r="LY27" s="1200"/>
      <c r="LZ27" s="1093"/>
      <c r="MA27" s="1200"/>
      <c r="MB27" s="1200"/>
      <c r="MC27" s="1093"/>
      <c r="MD27" s="1200"/>
      <c r="ME27" s="1200"/>
      <c r="MF27" s="1093"/>
      <c r="MG27" s="1200"/>
      <c r="MH27" s="1200"/>
      <c r="MI27" s="1093"/>
      <c r="MJ27" s="1200"/>
      <c r="MK27" s="1200"/>
      <c r="ML27" s="1093"/>
      <c r="MM27" s="1200"/>
      <c r="MN27" s="1200"/>
      <c r="MO27" s="1093"/>
      <c r="MP27" s="1200"/>
      <c r="MQ27" s="1200"/>
      <c r="MR27" s="1093"/>
      <c r="MS27" s="1200"/>
      <c r="MT27" s="1200"/>
      <c r="MU27" s="1093"/>
      <c r="MV27" s="1200"/>
      <c r="MW27" s="1200"/>
      <c r="MX27" s="1093"/>
      <c r="MY27" s="1200"/>
      <c r="MZ27" s="1200"/>
      <c r="NA27" s="1093"/>
      <c r="NB27" s="1200"/>
      <c r="NC27" s="1200"/>
      <c r="ND27" s="1093"/>
      <c r="NE27" s="1200"/>
      <c r="NF27" s="1200"/>
      <c r="NG27" s="1093"/>
      <c r="NH27" s="1200"/>
      <c r="NI27" s="1200"/>
      <c r="NJ27" s="1093"/>
      <c r="NK27" s="1200"/>
      <c r="NL27" s="1200"/>
      <c r="NM27" s="1093"/>
      <c r="NN27" s="1200"/>
      <c r="NO27" s="1200"/>
      <c r="NP27" s="1093"/>
      <c r="NQ27" s="1200"/>
      <c r="NR27" s="1200"/>
      <c r="NS27" s="1093"/>
      <c r="NT27" s="1200"/>
      <c r="NU27" s="1200"/>
      <c r="NV27" s="1093"/>
      <c r="NW27" s="1200"/>
      <c r="NX27" s="1200"/>
      <c r="NY27" s="1093"/>
      <c r="NZ27" s="1200"/>
      <c r="OA27" s="1200"/>
      <c r="OB27" s="1093"/>
      <c r="OC27" s="1200"/>
      <c r="OD27" s="1200"/>
      <c r="OE27" s="1093"/>
      <c r="OF27" s="1200"/>
      <c r="OG27" s="1200"/>
      <c r="OH27" s="1093"/>
      <c r="OI27" s="1200"/>
      <c r="OJ27" s="1200"/>
      <c r="OK27" s="1093"/>
      <c r="OL27" s="1200"/>
      <c r="OM27" s="1200"/>
      <c r="ON27" s="1093"/>
      <c r="OO27" s="1200"/>
      <c r="OP27" s="1200"/>
      <c r="OQ27" s="1093"/>
      <c r="OR27" s="1200"/>
      <c r="OS27" s="1200"/>
      <c r="OT27" s="1093"/>
      <c r="OU27" s="1200"/>
      <c r="OV27" s="1200"/>
      <c r="OW27" s="1093"/>
      <c r="OX27" s="1200"/>
      <c r="OY27" s="1200"/>
      <c r="OZ27" s="1093"/>
      <c r="PA27" s="1200"/>
      <c r="PB27" s="1200"/>
      <c r="PC27" s="1093"/>
      <c r="PD27" s="1200"/>
      <c r="PE27" s="1200"/>
      <c r="PF27" s="1093"/>
      <c r="PG27" s="1200"/>
      <c r="PH27" s="1200"/>
      <c r="PI27" s="1093"/>
      <c r="PJ27" s="1200"/>
      <c r="PK27" s="1200"/>
      <c r="PL27" s="1093"/>
      <c r="PM27" s="1200"/>
      <c r="PN27" s="1200"/>
      <c r="PO27" s="1093"/>
      <c r="PP27" s="1200"/>
      <c r="PQ27" s="1200"/>
      <c r="PR27" s="1093"/>
      <c r="PS27" s="1216"/>
      <c r="PT27" s="1216"/>
      <c r="PU27" s="1095"/>
      <c r="PV27" s="1200"/>
      <c r="PW27" s="1200"/>
      <c r="PX27" s="1093"/>
      <c r="PY27" s="1200"/>
      <c r="PZ27" s="1200"/>
      <c r="QA27" s="1093"/>
      <c r="QB27" s="1200"/>
      <c r="QC27" s="1200"/>
      <c r="QD27" s="1093"/>
      <c r="QE27" s="1200"/>
      <c r="QF27" s="1200"/>
      <c r="QG27" s="1093"/>
      <c r="QH27" s="1200"/>
      <c r="QI27" s="1200"/>
      <c r="QJ27" s="1093"/>
      <c r="QK27" s="1200"/>
      <c r="QL27" s="1200"/>
      <c r="QM27" s="1093"/>
      <c r="QN27" s="1200"/>
      <c r="QO27" s="1200"/>
      <c r="QP27" s="1093"/>
      <c r="QQ27" s="1200"/>
      <c r="QR27" s="1200"/>
      <c r="QS27" s="1093"/>
      <c r="QT27" s="1200"/>
      <c r="QU27" s="1200"/>
      <c r="QV27" s="1093"/>
      <c r="QW27" s="1200"/>
      <c r="QX27" s="1200"/>
      <c r="QY27" s="1093"/>
      <c r="QZ27" s="1200"/>
      <c r="RA27" s="1200"/>
      <c r="RB27" s="1093"/>
      <c r="RC27" s="1200"/>
      <c r="RD27" s="1200"/>
      <c r="RE27" s="1093"/>
      <c r="RF27" s="1200"/>
      <c r="RG27" s="1200"/>
      <c r="RH27" s="1093"/>
      <c r="RI27" s="1200"/>
      <c r="RJ27" s="1200"/>
      <c r="RK27" s="1093"/>
      <c r="RL27" s="1200"/>
      <c r="RM27" s="1200"/>
      <c r="RN27" s="1093"/>
      <c r="RO27" s="1215"/>
      <c r="RP27" s="1215"/>
      <c r="RQ27" s="1094"/>
      <c r="RR27" s="1200"/>
      <c r="RS27" s="1200"/>
      <c r="RT27" s="1093"/>
      <c r="RU27" s="1200"/>
      <c r="RV27" s="1200"/>
      <c r="RW27" s="1093"/>
      <c r="RX27" s="1200"/>
      <c r="RY27" s="1200"/>
      <c r="RZ27" s="1093"/>
      <c r="SA27" s="1200"/>
      <c r="SB27" s="1200"/>
      <c r="SC27" s="1093"/>
      <c r="SD27" s="1200"/>
      <c r="SE27" s="1200"/>
      <c r="SF27" s="1093"/>
      <c r="SG27" s="1200"/>
      <c r="SH27" s="1200"/>
      <c r="SI27" s="1093"/>
      <c r="SJ27" s="1200"/>
      <c r="SK27" s="1200"/>
      <c r="SL27" s="1093"/>
      <c r="SM27" s="1200"/>
      <c r="SN27" s="1200"/>
      <c r="SO27" s="1093"/>
      <c r="SP27" s="1200"/>
      <c r="SQ27" s="1200"/>
      <c r="SR27" s="1093"/>
      <c r="SS27" s="1200"/>
      <c r="ST27" s="1200"/>
      <c r="SU27" s="1093"/>
      <c r="SV27" s="1200"/>
      <c r="SW27" s="1200"/>
      <c r="SX27" s="1093"/>
      <c r="SY27" s="1200"/>
      <c r="SZ27" s="1200"/>
      <c r="TA27" s="1093"/>
      <c r="TB27" s="1200"/>
      <c r="TC27" s="1200"/>
      <c r="TD27" s="1093"/>
      <c r="TE27" s="1200"/>
      <c r="TF27" s="1200"/>
      <c r="TG27" s="1093"/>
      <c r="TH27" s="1200"/>
      <c r="TI27" s="1200"/>
      <c r="TJ27" s="1093"/>
      <c r="TK27" s="1200"/>
      <c r="TL27" s="1200"/>
      <c r="TM27" s="1093"/>
      <c r="TN27" s="1200"/>
      <c r="TO27" s="1200"/>
      <c r="TP27" s="1093"/>
      <c r="TQ27" s="1200"/>
      <c r="TR27" s="1200"/>
      <c r="TS27" s="1093"/>
      <c r="TT27" s="1200"/>
      <c r="TU27" s="1200"/>
      <c r="TV27" s="1093"/>
      <c r="TW27" s="1200"/>
      <c r="TX27" s="1200"/>
      <c r="TY27" s="1093"/>
      <c r="TZ27" s="1200"/>
      <c r="UA27" s="1200"/>
      <c r="UB27" s="1093"/>
      <c r="UC27" s="1200"/>
      <c r="UD27" s="1200"/>
      <c r="UE27" s="1093"/>
      <c r="UF27" s="1200"/>
      <c r="UG27" s="1200"/>
      <c r="UH27" s="1093"/>
      <c r="UI27" s="1200"/>
      <c r="UJ27" s="1200"/>
      <c r="UK27" s="1093"/>
      <c r="UL27" s="1200"/>
      <c r="UM27" s="1200"/>
      <c r="UN27" s="1093"/>
      <c r="UO27" s="1200"/>
      <c r="UP27" s="1200"/>
      <c r="UQ27" s="1093"/>
      <c r="UR27" s="1200"/>
      <c r="US27" s="1200"/>
      <c r="UT27" s="1093"/>
      <c r="UU27" s="1200"/>
      <c r="UV27" s="1200"/>
      <c r="UW27" s="1093"/>
      <c r="UX27" s="1200"/>
      <c r="UY27" s="1200"/>
      <c r="UZ27" s="1093"/>
      <c r="VA27" s="1200"/>
      <c r="VB27" s="1200"/>
      <c r="VC27" s="1093"/>
      <c r="VD27" s="1200"/>
      <c r="VE27" s="1200"/>
      <c r="VF27" s="1093"/>
      <c r="VG27" s="1200"/>
      <c r="VH27" s="1200"/>
      <c r="VI27" s="1093"/>
      <c r="VJ27" s="1200"/>
      <c r="VK27" s="1200"/>
      <c r="VL27" s="1093"/>
      <c r="VM27" s="1200"/>
      <c r="VN27" s="1200"/>
      <c r="VO27" s="1093"/>
      <c r="VP27" s="1200"/>
      <c r="VQ27" s="1200"/>
      <c r="VR27" s="1093"/>
      <c r="VS27" s="1200"/>
      <c r="VT27" s="1200"/>
      <c r="VU27" s="1093"/>
      <c r="VV27" s="1200"/>
      <c r="VW27" s="1200"/>
      <c r="VX27" s="1093"/>
      <c r="VY27" s="1200"/>
      <c r="VZ27" s="1200"/>
      <c r="WA27" s="1093"/>
      <c r="WB27" s="1200"/>
      <c r="WC27" s="1200"/>
      <c r="WD27" s="1093"/>
      <c r="WE27" s="1200"/>
      <c r="WF27" s="1200"/>
      <c r="WG27" s="1093"/>
      <c r="WH27" s="1200"/>
      <c r="WI27" s="1200"/>
      <c r="WJ27" s="1093"/>
      <c r="WK27" s="1200"/>
      <c r="WL27" s="1200"/>
      <c r="WM27" s="1093"/>
      <c r="WN27" s="1200"/>
      <c r="WO27" s="1200"/>
      <c r="WP27" s="1093"/>
      <c r="WQ27" s="1200"/>
      <c r="WR27" s="1200"/>
      <c r="WS27" s="1093"/>
      <c r="WT27" s="1200"/>
      <c r="WU27" s="1200"/>
      <c r="WV27" s="1093"/>
      <c r="WW27" s="1200"/>
      <c r="WX27" s="1200"/>
      <c r="WY27" s="1093"/>
      <c r="WZ27" s="1200"/>
      <c r="XA27" s="1200"/>
      <c r="XB27" s="1093"/>
      <c r="XC27" s="1200"/>
      <c r="XD27" s="1200"/>
      <c r="XE27" s="1093"/>
      <c r="XF27" s="1200"/>
      <c r="XG27" s="1200"/>
      <c r="XH27" s="1093"/>
      <c r="XI27" s="1200"/>
      <c r="XJ27" s="1200"/>
      <c r="XK27" s="1093"/>
      <c r="XL27" s="1200"/>
      <c r="XM27" s="1200"/>
      <c r="XN27" s="1093"/>
      <c r="XO27" s="1200"/>
      <c r="XP27" s="1200"/>
      <c r="XQ27" s="1093"/>
      <c r="XR27" s="1200"/>
      <c r="XS27" s="1200"/>
      <c r="XT27" s="1093"/>
      <c r="XU27" s="1200"/>
      <c r="XV27" s="1200"/>
      <c r="XW27" s="1093"/>
      <c r="XX27" s="1200"/>
      <c r="XY27" s="1200"/>
      <c r="XZ27" s="1093"/>
      <c r="YA27" s="1200"/>
      <c r="YB27" s="1200"/>
      <c r="YC27" s="1093"/>
      <c r="YD27" s="1200"/>
      <c r="YE27" s="1200"/>
      <c r="YF27" s="1093"/>
      <c r="YG27" s="1200"/>
      <c r="YH27" s="1200"/>
      <c r="YI27" s="1093"/>
      <c r="YJ27" s="1200"/>
      <c r="YK27" s="1200"/>
      <c r="YL27" s="1093"/>
      <c r="YM27" s="1200"/>
      <c r="YN27" s="1200"/>
      <c r="YO27" s="1093"/>
      <c r="YP27" s="1200"/>
      <c r="YQ27" s="1200"/>
      <c r="YR27" s="1093"/>
      <c r="YS27" s="1200"/>
      <c r="YT27" s="1200"/>
      <c r="YU27" s="1093"/>
      <c r="YV27" s="1200"/>
      <c r="YW27" s="1200"/>
      <c r="YX27" s="1093"/>
      <c r="YY27" s="1200"/>
      <c r="YZ27" s="1200"/>
      <c r="ZA27" s="1093"/>
      <c r="ZB27" s="1200"/>
      <c r="ZC27" s="1200"/>
      <c r="ZD27" s="1093"/>
      <c r="ZE27" s="1200"/>
      <c r="ZF27" s="1200"/>
      <c r="ZG27" s="1093"/>
      <c r="ZH27" s="1200"/>
      <c r="ZI27" s="1200"/>
      <c r="ZJ27" s="1093"/>
      <c r="ZK27" s="1200"/>
      <c r="ZL27" s="1200"/>
      <c r="ZM27" s="1093"/>
      <c r="ZN27" s="1200"/>
      <c r="ZO27" s="1200"/>
      <c r="ZP27" s="1093"/>
      <c r="ZQ27" s="1200"/>
      <c r="ZR27" s="1200"/>
      <c r="ZS27" s="1093"/>
      <c r="ZT27" s="1200"/>
      <c r="ZU27" s="1200"/>
      <c r="ZV27" s="1093"/>
      <c r="ZW27" s="1200"/>
      <c r="ZX27" s="1200"/>
      <c r="ZY27" s="1093"/>
      <c r="ZZ27" s="1200"/>
      <c r="AAA27" s="1200"/>
      <c r="AAB27" s="1093"/>
      <c r="AAC27" s="1200"/>
      <c r="AAD27" s="1200"/>
      <c r="AAE27" s="1093"/>
      <c r="AAF27" s="1200"/>
      <c r="AAG27" s="1200"/>
      <c r="AAH27" s="1093"/>
      <c r="AAI27" s="1200"/>
      <c r="AAJ27" s="1200"/>
      <c r="AAK27" s="1093"/>
      <c r="AAL27" s="1200"/>
      <c r="AAM27" s="1200"/>
      <c r="AAN27" s="1093"/>
      <c r="AAO27" s="1200"/>
      <c r="AAP27" s="1200"/>
      <c r="AAQ27" s="1093"/>
      <c r="AAR27" s="1200"/>
      <c r="AAS27" s="1200"/>
      <c r="AAT27" s="1093"/>
      <c r="AAU27" s="1200"/>
      <c r="AAV27" s="1200"/>
      <c r="AAW27" s="1093"/>
      <c r="AAX27" s="1200"/>
      <c r="AAY27" s="1200"/>
      <c r="AAZ27" s="1093"/>
      <c r="ABA27" s="1200"/>
      <c r="ABB27" s="1200"/>
      <c r="ABC27" s="1093"/>
      <c r="ABD27" s="1200"/>
      <c r="ABE27" s="1200"/>
      <c r="ABF27" s="1093"/>
      <c r="ABG27" s="1200"/>
      <c r="ABH27" s="1200"/>
      <c r="ABI27" s="1093"/>
      <c r="ABJ27" s="1200"/>
      <c r="ABK27" s="1200"/>
      <c r="ABL27" s="1093"/>
      <c r="ABM27" s="1200"/>
      <c r="ABN27" s="1200"/>
      <c r="ABO27" s="1093"/>
      <c r="ABP27" s="1200"/>
      <c r="ABQ27" s="1200"/>
      <c r="ABR27" s="1093"/>
      <c r="ABS27" s="1200"/>
      <c r="ABT27" s="1200"/>
      <c r="ABU27" s="1093"/>
      <c r="ABV27" s="1200"/>
      <c r="ABW27" s="1200"/>
      <c r="ABX27" s="1093"/>
      <c r="ABY27" s="1200"/>
      <c r="ABZ27" s="1200"/>
      <c r="ACA27" s="1093"/>
      <c r="ACB27" s="1200"/>
      <c r="ACC27" s="1200"/>
      <c r="ACD27" s="1093"/>
      <c r="ACE27" s="1200"/>
      <c r="ACF27" s="1200"/>
      <c r="ACG27" s="1093"/>
      <c r="ACH27" s="1200"/>
      <c r="ACI27" s="1200"/>
      <c r="ACJ27" s="1093"/>
      <c r="ACK27" s="1200"/>
      <c r="ACL27" s="1200"/>
      <c r="ACM27" s="1093"/>
      <c r="ACN27" s="1200"/>
      <c r="ACO27" s="1200"/>
      <c r="ACP27" s="1093"/>
      <c r="ACQ27" s="1200"/>
      <c r="ACR27" s="1200"/>
      <c r="ACS27" s="1093"/>
      <c r="ACT27" s="1200"/>
      <c r="ACU27" s="1200"/>
      <c r="ACV27" s="1093"/>
      <c r="ACW27" s="1200"/>
      <c r="ACX27" s="1200"/>
      <c r="ACY27" s="1093"/>
      <c r="ACZ27" s="1200"/>
      <c r="ADA27" s="1200"/>
      <c r="ADB27" s="1093"/>
      <c r="ADC27" s="1200"/>
      <c r="ADD27" s="1200"/>
      <c r="ADE27" s="1093"/>
      <c r="ADF27" s="1200"/>
      <c r="ADG27" s="1200"/>
      <c r="ADH27" s="1093"/>
      <c r="ADI27" s="1200"/>
      <c r="ADJ27" s="1200"/>
      <c r="ADK27" s="1093"/>
      <c r="ADL27" s="1200"/>
      <c r="ADM27" s="1200"/>
      <c r="ADN27" s="1093"/>
      <c r="ADO27" s="1200"/>
      <c r="ADP27" s="1200"/>
      <c r="ADQ27" s="1093"/>
      <c r="ADR27" s="1200"/>
      <c r="ADS27" s="1200"/>
      <c r="ADT27" s="1093"/>
      <c r="ADU27" s="1200"/>
      <c r="ADV27" s="1200"/>
      <c r="ADW27" s="1093"/>
      <c r="ADX27" s="1200"/>
      <c r="ADY27" s="1200"/>
      <c r="ADZ27" s="1093"/>
      <c r="AEA27" s="1200"/>
      <c r="AEB27" s="1200"/>
      <c r="AEC27" s="1093"/>
      <c r="AED27" s="1200"/>
      <c r="AEE27" s="1200"/>
      <c r="AEF27" s="1093"/>
      <c r="AEG27" s="1200"/>
      <c r="AEH27" s="1200"/>
      <c r="AEI27" s="1093"/>
      <c r="AEJ27" s="1200"/>
      <c r="AEK27" s="1200"/>
      <c r="AEL27" s="1093"/>
      <c r="AEM27" s="1200"/>
      <c r="AEN27" s="1200"/>
      <c r="AEO27" s="1093"/>
      <c r="AEP27" s="1200"/>
      <c r="AEQ27" s="1200"/>
      <c r="AER27" s="1093"/>
      <c r="AES27" s="1200"/>
      <c r="AET27" s="1200"/>
      <c r="AEU27" s="1093"/>
      <c r="AEV27" s="1200"/>
      <c r="AEW27" s="1200"/>
      <c r="AEX27" s="1093"/>
      <c r="AEY27" s="1200"/>
      <c r="AEZ27" s="1200"/>
      <c r="AFA27" s="1093"/>
      <c r="AFB27" s="1200"/>
      <c r="AFC27" s="1200"/>
      <c r="AFD27" s="1093"/>
      <c r="AFE27" s="1200"/>
      <c r="AFF27" s="1200"/>
      <c r="AFG27" s="1093"/>
      <c r="AFH27" s="1200"/>
      <c r="AFI27" s="1200"/>
      <c r="AFJ27" s="1093"/>
      <c r="AFK27" s="1200"/>
      <c r="AFL27" s="1200"/>
      <c r="AFM27" s="1093"/>
      <c r="AFN27" s="1200"/>
      <c r="AFO27" s="1200"/>
      <c r="AFP27" s="1093"/>
      <c r="AFQ27" s="1200"/>
      <c r="AFR27" s="1200"/>
      <c r="AFS27" s="1093"/>
      <c r="AFT27" s="1200"/>
      <c r="AFU27" s="1200"/>
      <c r="AFV27" s="1093"/>
      <c r="AFW27" s="1200"/>
      <c r="AFX27" s="1200"/>
      <c r="AFY27" s="1093"/>
      <c r="AFZ27" s="1200"/>
      <c r="AGA27" s="1200"/>
      <c r="AGB27" s="1093"/>
      <c r="AGC27" s="1200"/>
      <c r="AGD27" s="1200"/>
      <c r="AGE27" s="1093"/>
      <c r="AGF27" s="1200"/>
      <c r="AGG27" s="1200"/>
      <c r="AGH27" s="1093"/>
      <c r="AGI27" s="1200"/>
      <c r="AGJ27" s="1200"/>
      <c r="AGK27" s="1093"/>
      <c r="AGL27" s="1200"/>
      <c r="AGM27" s="1200"/>
      <c r="AGN27" s="1093"/>
      <c r="AGO27" s="1200"/>
      <c r="AGP27" s="1200"/>
      <c r="AGQ27" s="1093"/>
      <c r="AGR27" s="1200"/>
      <c r="AGS27" s="1200"/>
      <c r="AGT27" s="1093"/>
      <c r="AGU27" s="1200"/>
      <c r="AGV27" s="1200"/>
      <c r="AGW27" s="1093"/>
      <c r="AGX27" s="1200"/>
      <c r="AGY27" s="1200"/>
      <c r="AGZ27" s="1093"/>
      <c r="AHA27" s="1200"/>
      <c r="AHB27" s="1200"/>
      <c r="AHC27" s="1093"/>
      <c r="AHD27" s="1200"/>
      <c r="AHE27" s="1200"/>
      <c r="AHF27" s="1093"/>
      <c r="AHG27" s="1200"/>
      <c r="AHH27" s="1200"/>
      <c r="AHI27" s="1093"/>
      <c r="AHJ27" s="1200"/>
      <c r="AHK27" s="1200"/>
      <c r="AHL27" s="1093"/>
      <c r="AHM27" s="1200"/>
      <c r="AHN27" s="1200"/>
      <c r="AHO27" s="1093"/>
      <c r="AHP27" s="1200"/>
      <c r="AHQ27" s="1200"/>
      <c r="AHR27" s="1093"/>
      <c r="AHS27" s="1200"/>
      <c r="AHT27" s="1200"/>
      <c r="AHU27" s="1093"/>
      <c r="AHV27" s="1200"/>
      <c r="AHW27" s="1200"/>
      <c r="AHX27" s="1093"/>
      <c r="AHY27" s="1200"/>
      <c r="AHZ27" s="1200"/>
      <c r="AIA27" s="1093"/>
      <c r="AIB27" s="1200"/>
      <c r="AIC27" s="1200"/>
      <c r="AID27" s="1200"/>
      <c r="AIE27" s="1092"/>
      <c r="AIF27" s="1200"/>
      <c r="AIG27" s="1093"/>
      <c r="AIH27" s="1200"/>
      <c r="AII27" s="1200"/>
      <c r="AIJ27" s="1093"/>
      <c r="AIK27" s="1200"/>
      <c r="AIL27" s="1200"/>
      <c r="AIM27" s="1093"/>
      <c r="AIN27" s="1200"/>
      <c r="AIO27" s="1200"/>
      <c r="AIP27" s="1093"/>
      <c r="AIQ27" s="1200"/>
      <c r="AIR27" s="1200"/>
      <c r="AIS27" s="1200"/>
      <c r="AIT27" s="1092"/>
      <c r="AIU27" s="1200"/>
      <c r="AIV27" s="1093"/>
      <c r="AIW27" s="1200"/>
      <c r="AIX27" s="1200"/>
      <c r="AIY27" s="1200"/>
      <c r="AIZ27" s="1092"/>
      <c r="AJA27" s="1200"/>
      <c r="AJB27" s="1093"/>
      <c r="AJC27" s="1200"/>
      <c r="AJD27" s="1200"/>
      <c r="AJE27" s="1093"/>
      <c r="AJF27" s="1200"/>
      <c r="AJG27" s="1200"/>
      <c r="AJH27" s="1093"/>
      <c r="AJI27" s="1200"/>
      <c r="AJJ27" s="1200"/>
      <c r="AJK27" s="1093"/>
      <c r="AJL27" s="1200"/>
      <c r="AJM27" s="1200"/>
      <c r="AJN27" s="1200"/>
      <c r="AJO27" s="1092"/>
      <c r="AJP27" s="1200"/>
      <c r="AJQ27" s="1093"/>
      <c r="AJR27" s="1200"/>
      <c r="AJS27" s="1200"/>
      <c r="AJT27" s="1200"/>
      <c r="AJU27" s="1092"/>
      <c r="AJV27" s="1200"/>
      <c r="AJW27" s="1093"/>
      <c r="AJX27" s="1200"/>
      <c r="AJY27" s="1200"/>
      <c r="AJZ27" s="1093"/>
      <c r="AKA27" s="1200"/>
      <c r="AKB27" s="1200"/>
      <c r="AKC27" s="1093"/>
      <c r="AKD27" s="1200"/>
      <c r="AKE27" s="1200"/>
      <c r="AKF27" s="1093"/>
      <c r="AKG27" s="1200"/>
      <c r="AKH27" s="1200"/>
      <c r="AKI27" s="1200"/>
      <c r="AKJ27" s="1092"/>
      <c r="AKK27" s="1200"/>
      <c r="AKL27" s="1093"/>
      <c r="AKM27" s="1200"/>
      <c r="AKN27" s="1200"/>
      <c r="AKO27" s="1200"/>
      <c r="AKP27" s="1092"/>
      <c r="AKQ27" s="1200"/>
      <c r="AKR27" s="1093"/>
      <c r="AKS27" s="1200"/>
      <c r="AKT27" s="1200"/>
      <c r="AKU27" s="1093"/>
      <c r="AKV27" s="1200"/>
      <c r="AKW27" s="1200"/>
      <c r="AKX27" s="1093"/>
      <c r="AKY27" s="1200"/>
      <c r="AKZ27" s="1200"/>
      <c r="ALA27" s="1093"/>
      <c r="ALB27" s="1200"/>
      <c r="ALC27" s="1200"/>
      <c r="ALD27" s="1200"/>
      <c r="ALE27" s="1092"/>
      <c r="ALF27" s="1200"/>
      <c r="ALG27" s="1093"/>
      <c r="ALH27" s="1200"/>
      <c r="ALI27" s="1200"/>
      <c r="ALJ27" s="1200"/>
      <c r="ALK27" s="1092"/>
      <c r="ALL27" s="1200"/>
      <c r="ALM27" s="1093"/>
      <c r="ALN27" s="1200"/>
      <c r="ALO27" s="1200"/>
      <c r="ALP27" s="1093"/>
      <c r="ALQ27" s="1200"/>
      <c r="ALR27" s="1200"/>
      <c r="ALS27" s="1093"/>
      <c r="ALT27" s="1200"/>
      <c r="ALU27" s="1200"/>
      <c r="ALV27" s="1200"/>
      <c r="ALW27" s="1279"/>
      <c r="ALX27" s="1280"/>
      <c r="ALY27" s="1281"/>
      <c r="ALZ27" s="1279"/>
      <c r="AMA27" s="1280"/>
      <c r="AMB27" s="1281"/>
      <c r="AMC27" s="1279"/>
      <c r="AMD27" s="1280"/>
      <c r="AME27" s="1281"/>
      <c r="AMF27" s="1279"/>
      <c r="AMG27" s="1280"/>
      <c r="AMH27" s="1281"/>
      <c r="AMI27" s="1279"/>
      <c r="AMJ27" s="1280"/>
      <c r="AMK27" s="1281"/>
      <c r="AML27" s="1279"/>
      <c r="AMM27" s="1280"/>
      <c r="AMN27" s="1281"/>
      <c r="AMO27" s="1279"/>
      <c r="AMP27" s="1280"/>
      <c r="AMQ27" s="1281"/>
      <c r="AMR27" s="1279"/>
      <c r="AMS27" s="1280"/>
      <c r="AMT27" s="1281"/>
      <c r="AMU27" s="1279"/>
      <c r="AMV27" s="1280"/>
      <c r="AMW27" s="1281"/>
      <c r="AMX27" s="1279"/>
      <c r="AMY27" s="1280"/>
      <c r="AMZ27" s="1281"/>
      <c r="ANA27" s="1279"/>
      <c r="ANB27" s="1280"/>
      <c r="ANC27" s="1281"/>
      <c r="AND27" s="1279"/>
      <c r="ANE27" s="1280"/>
      <c r="ANF27" s="1281"/>
      <c r="ANG27" s="1279"/>
      <c r="ANH27" s="1280"/>
      <c r="ANI27" s="1281"/>
      <c r="ANJ27" s="1279"/>
      <c r="ANK27" s="1280"/>
      <c r="ANL27" s="1281"/>
      <c r="ANM27" s="1279"/>
      <c r="ANN27" s="1280"/>
      <c r="ANO27" s="1281"/>
      <c r="ANP27" s="1279"/>
      <c r="ANQ27" s="1280"/>
      <c r="ANR27" s="1281"/>
      <c r="ANS27" s="1279"/>
      <c r="ANT27" s="1280"/>
      <c r="ANU27" s="1281"/>
      <c r="ANV27" s="1279"/>
      <c r="ANW27" s="1280"/>
      <c r="ANX27" s="1281"/>
      <c r="ANY27" s="1279"/>
      <c r="ANZ27" s="1280"/>
      <c r="AOA27" s="1281"/>
      <c r="AOB27" s="1279"/>
      <c r="AOC27" s="1280"/>
      <c r="AOD27" s="1281"/>
      <c r="AOE27" s="1279"/>
      <c r="AOF27" s="1280"/>
      <c r="AOG27" s="1281"/>
      <c r="AOH27" s="1279"/>
      <c r="AOI27" s="1280"/>
      <c r="AOJ27" s="1281"/>
      <c r="AOK27" s="1279"/>
      <c r="AOL27" s="1280"/>
      <c r="AOM27" s="1281"/>
      <c r="AON27" s="1279"/>
      <c r="AOO27" s="1280"/>
      <c r="AOP27" s="1281"/>
      <c r="AOQ27" s="1279"/>
      <c r="AOR27" s="1280"/>
      <c r="AOS27" s="1281"/>
      <c r="AOT27" s="1279"/>
      <c r="AOU27" s="1280"/>
      <c r="AOV27" s="1281"/>
      <c r="AOW27" s="1279"/>
      <c r="AOX27" s="1280"/>
      <c r="AOY27" s="1281"/>
      <c r="AOZ27" s="1279"/>
      <c r="APA27" s="1280"/>
      <c r="APB27" s="1281"/>
      <c r="APC27" s="1279"/>
      <c r="APD27" s="1280"/>
      <c r="APE27" s="1281"/>
      <c r="APF27" s="1279"/>
      <c r="APG27" s="1280"/>
      <c r="APH27" s="1281"/>
      <c r="API27" s="1279"/>
      <c r="APJ27" s="1280"/>
      <c r="APK27" s="1281"/>
      <c r="APL27" s="1279"/>
      <c r="APM27" s="1280"/>
      <c r="APN27" s="1281"/>
      <c r="APO27" s="1279"/>
      <c r="APP27" s="1280"/>
      <c r="APQ27" s="1281"/>
      <c r="APR27" s="1279"/>
      <c r="APS27" s="1280"/>
      <c r="APT27" s="1281"/>
      <c r="APU27" s="1279"/>
      <c r="APV27" s="1280"/>
      <c r="APW27" s="1281"/>
      <c r="APX27" s="1279"/>
      <c r="APY27" s="1280"/>
      <c r="APZ27" s="1281"/>
      <c r="AQA27" s="1279"/>
      <c r="AQB27" s="1280"/>
      <c r="AQC27" s="1281"/>
      <c r="AQD27" s="1279"/>
      <c r="AQE27" s="1280"/>
      <c r="AQF27" s="1281"/>
      <c r="AQG27" s="1279"/>
      <c r="AQH27" s="1280"/>
      <c r="AQI27" s="1281"/>
      <c r="AQJ27" s="1279"/>
      <c r="AQK27" s="1280"/>
      <c r="AQL27" s="1281"/>
      <c r="AQM27" s="1279"/>
      <c r="AQN27" s="1280"/>
      <c r="AQO27" s="1281"/>
      <c r="AQP27" s="1279"/>
      <c r="AQQ27" s="1280"/>
      <c r="AQR27" s="1281"/>
      <c r="AQS27" s="1279"/>
      <c r="AQT27" s="1280"/>
      <c r="AQU27" s="1281"/>
      <c r="AQV27" s="1279"/>
      <c r="AQW27" s="1280"/>
      <c r="AQX27" s="1281"/>
      <c r="AQY27" s="1279"/>
      <c r="AQZ27" s="1280"/>
      <c r="ARA27" s="1281"/>
      <c r="ARB27" s="1279"/>
      <c r="ARC27" s="1280"/>
      <c r="ARD27" s="1281"/>
      <c r="ARE27" s="1279"/>
      <c r="ARF27" s="1280"/>
      <c r="ARG27" s="1281"/>
      <c r="ARH27" s="1279"/>
      <c r="ARI27" s="1280"/>
      <c r="ARJ27" s="1281"/>
      <c r="ARK27" s="1279"/>
      <c r="ARL27" s="1280"/>
      <c r="ARM27" s="1281"/>
      <c r="ARN27" s="1279"/>
      <c r="ARO27" s="1280"/>
      <c r="ARP27" s="1281"/>
      <c r="ARQ27" s="1279"/>
      <c r="ARR27" s="1280"/>
      <c r="ARS27" s="1281"/>
      <c r="ART27" s="1279"/>
      <c r="ARU27" s="1280"/>
      <c r="ARV27" s="1281"/>
      <c r="ARW27" s="1279"/>
      <c r="ARX27" s="1280"/>
      <c r="ARY27" s="1281"/>
      <c r="ARZ27" s="1279"/>
      <c r="ASA27" s="1280"/>
      <c r="ASB27" s="1281"/>
      <c r="ASC27" s="1279"/>
      <c r="ASD27" s="1280"/>
      <c r="ASE27" s="1281"/>
      <c r="ASF27" s="1279"/>
      <c r="ASG27" s="1280"/>
      <c r="ASH27" s="1281"/>
      <c r="ASI27" s="1279"/>
      <c r="ASJ27" s="1280"/>
      <c r="ASK27" s="1281"/>
      <c r="ASL27" s="1279"/>
      <c r="ASM27" s="1280"/>
      <c r="ASN27" s="1281"/>
      <c r="ASO27" s="1279"/>
      <c r="ASP27" s="1280"/>
      <c r="ASQ27" s="1281"/>
      <c r="ASR27" s="1279"/>
      <c r="ASS27" s="1280"/>
      <c r="AST27" s="1281"/>
      <c r="ASU27" s="1279"/>
      <c r="ASV27" s="1280"/>
      <c r="ASW27" s="1281"/>
      <c r="ASX27" s="1279"/>
      <c r="ASY27" s="1280"/>
      <c r="ASZ27" s="1281"/>
      <c r="ATA27" s="1279"/>
      <c r="ATB27" s="1280"/>
      <c r="ATC27" s="1281"/>
      <c r="ATD27" s="1279"/>
      <c r="ATE27" s="1280"/>
      <c r="ATF27" s="1281"/>
      <c r="ATG27" s="1279"/>
      <c r="ATH27" s="1280"/>
      <c r="ATI27" s="1281"/>
      <c r="ATJ27" s="1279"/>
      <c r="ATK27" s="1280"/>
      <c r="ATL27" s="1281"/>
      <c r="ATM27" s="1279"/>
      <c r="ATN27" s="1280"/>
      <c r="ATO27" s="1281"/>
      <c r="ATP27" s="1279"/>
      <c r="ATQ27" s="1280"/>
      <c r="ATR27" s="1281"/>
      <c r="ATS27" s="1279"/>
      <c r="ATT27" s="1280"/>
      <c r="ATU27" s="1281"/>
      <c r="ATV27" s="1279"/>
      <c r="ATW27" s="1280"/>
      <c r="ATX27" s="1281"/>
      <c r="ATY27" s="1279"/>
      <c r="ATZ27" s="1280"/>
      <c r="AUA27" s="1281"/>
      <c r="AUB27" s="1279"/>
      <c r="AUC27" s="1280"/>
      <c r="AUD27" s="1281"/>
      <c r="AUE27" s="1279"/>
      <c r="AUF27" s="1280"/>
      <c r="AUG27" s="1281"/>
      <c r="AUH27" s="1279"/>
      <c r="AUI27" s="1280"/>
      <c r="AUJ27" s="1281"/>
      <c r="AUK27" s="1279"/>
      <c r="AUL27" s="1280"/>
      <c r="AUM27" s="1281"/>
      <c r="AUN27" s="1200"/>
      <c r="AUO27" s="1206">
        <v>0</v>
      </c>
      <c r="AUP27" s="1093"/>
      <c r="AUQ27" s="1200"/>
      <c r="AUR27" s="1206">
        <v>11</v>
      </c>
      <c r="AUS27" s="1093"/>
      <c r="AUT27" s="1200"/>
      <c r="AUU27" s="1206">
        <v>8</v>
      </c>
      <c r="AUV27" s="1093"/>
      <c r="AUW27" s="1200"/>
      <c r="AUX27" s="1206">
        <v>12</v>
      </c>
      <c r="AUY27" s="1093"/>
      <c r="AUZ27" s="1200"/>
      <c r="AVA27" s="1206">
        <v>10</v>
      </c>
      <c r="AVB27" s="1200"/>
      <c r="AVC27" s="1279"/>
      <c r="AVD27" s="1280"/>
      <c r="AVE27" s="1281"/>
      <c r="AVF27" s="1200"/>
      <c r="AVG27" s="1206">
        <v>12</v>
      </c>
      <c r="AVH27" s="1200"/>
      <c r="AVI27" s="1279"/>
      <c r="AVJ27" s="1280"/>
      <c r="AVK27" s="1281"/>
      <c r="AVL27" s="1291">
        <v>7</v>
      </c>
      <c r="AVM27" s="1292"/>
      <c r="AVN27" s="1293"/>
      <c r="AVO27" s="1291">
        <v>11</v>
      </c>
      <c r="AVP27" s="1292"/>
      <c r="AVQ27" s="1293"/>
      <c r="AVR27" s="1279"/>
      <c r="AVS27" s="1280"/>
      <c r="AVT27" s="1281"/>
      <c r="AVU27" s="1279"/>
      <c r="AVV27" s="1280"/>
      <c r="AVW27" s="1281"/>
      <c r="AVX27" s="1279"/>
      <c r="AVY27" s="1280"/>
      <c r="AVZ27" s="1281"/>
      <c r="AWA27" s="1279"/>
      <c r="AWB27" s="1280"/>
      <c r="AWC27" s="1281"/>
      <c r="AWD27" s="1279"/>
      <c r="AWE27" s="1280"/>
      <c r="AWF27" s="1281"/>
      <c r="AWG27" s="1279"/>
      <c r="AWH27" s="1280"/>
      <c r="AWI27" s="1281"/>
      <c r="AWJ27" s="1279"/>
      <c r="AWK27" s="1280"/>
      <c r="AWL27" s="1281"/>
      <c r="AWM27" s="1279"/>
      <c r="AWN27" s="1280"/>
      <c r="AWO27" s="1281"/>
      <c r="AWP27" s="1279"/>
      <c r="AWQ27" s="1280"/>
      <c r="AWR27" s="1281"/>
      <c r="AWS27" s="1279"/>
      <c r="AWT27" s="1280"/>
      <c r="AWU27" s="1281"/>
      <c r="AWV27" s="1279"/>
      <c r="AWW27" s="1280"/>
      <c r="AWX27" s="1281"/>
      <c r="AWY27" s="1279"/>
      <c r="AWZ27" s="1280"/>
      <c r="AXA27" s="1281"/>
      <c r="AXB27" s="1279"/>
      <c r="AXC27" s="1280"/>
      <c r="AXD27" s="1281"/>
      <c r="AXE27" s="1279"/>
      <c r="AXF27" s="1280"/>
      <c r="AXG27" s="1281"/>
      <c r="AXH27" s="1279"/>
      <c r="AXI27" s="1280"/>
      <c r="AXJ27" s="1281"/>
      <c r="AXK27" s="1279"/>
      <c r="AXL27" s="1280"/>
      <c r="AXM27" s="1281"/>
      <c r="AXN27" s="1279"/>
      <c r="AXO27" s="1280"/>
      <c r="AXP27" s="1281"/>
      <c r="AXQ27" s="1279"/>
      <c r="AXR27" s="1280"/>
      <c r="AXS27" s="1281"/>
      <c r="AXT27" s="1279"/>
      <c r="AXU27" s="1280"/>
      <c r="AXV27" s="1281"/>
      <c r="AXW27" s="1279"/>
      <c r="AXX27" s="1280"/>
      <c r="AXY27" s="1281"/>
      <c r="AXZ27" s="1279"/>
      <c r="AYA27" s="1280"/>
      <c r="AYB27" s="1281"/>
      <c r="AYC27" s="1279"/>
      <c r="AYD27" s="1280"/>
      <c r="AYE27" s="1281"/>
      <c r="AYF27" s="1279"/>
      <c r="AYG27" s="1280"/>
      <c r="AYH27" s="1281"/>
      <c r="AYI27" s="1279"/>
      <c r="AYJ27" s="1280"/>
      <c r="AYK27" s="1281"/>
      <c r="AYL27" s="1279"/>
      <c r="AYM27" s="1280"/>
      <c r="AYN27" s="1281"/>
      <c r="AYO27" s="1279"/>
      <c r="AYP27" s="1280"/>
      <c r="AYQ27" s="1281"/>
      <c r="AYR27" s="1279"/>
      <c r="AYS27" s="1280"/>
      <c r="AYT27" s="1281"/>
      <c r="AYU27" s="1279"/>
      <c r="AYV27" s="1280"/>
      <c r="AYW27" s="1281"/>
      <c r="AYX27" s="1279"/>
      <c r="AYY27" s="1280"/>
      <c r="AYZ27" s="1281"/>
      <c r="AZA27" s="1279"/>
      <c r="AZB27" s="1280"/>
      <c r="AZC27" s="1281"/>
      <c r="AZD27" s="1279"/>
      <c r="AZE27" s="1280"/>
      <c r="AZF27" s="1281"/>
      <c r="AZG27" s="1279"/>
      <c r="AZH27" s="1280"/>
      <c r="AZI27" s="1281"/>
      <c r="AZJ27" s="1279"/>
      <c r="AZK27" s="1280"/>
      <c r="AZL27" s="1281"/>
      <c r="AZM27" s="1279"/>
      <c r="AZN27" s="1280"/>
      <c r="AZO27" s="1281"/>
      <c r="AZP27" s="1279"/>
      <c r="AZQ27" s="1280"/>
      <c r="AZR27" s="1281"/>
      <c r="AZS27" s="1279"/>
      <c r="AZT27" s="1280"/>
      <c r="AZU27" s="1281"/>
      <c r="AZV27" s="1279"/>
      <c r="AZW27" s="1280"/>
      <c r="AZX27" s="1281"/>
      <c r="AZY27" s="1279"/>
      <c r="AZZ27" s="1280"/>
      <c r="BAA27" s="1281"/>
      <c r="BAB27" s="1279"/>
      <c r="BAC27" s="1280"/>
      <c r="BAD27" s="1281"/>
      <c r="BAE27" s="1279"/>
      <c r="BAF27" s="1280"/>
      <c r="BAG27" s="1281"/>
      <c r="BAH27" s="1279"/>
      <c r="BAI27" s="1280"/>
      <c r="BAJ27" s="1281"/>
    </row>
    <row r="28" spans="1:1399">
      <c r="A28" s="382"/>
      <c r="B28" s="1241" t="s">
        <v>354</v>
      </c>
      <c r="C28" s="1242"/>
      <c r="D28" s="1242"/>
      <c r="E28" s="1243"/>
      <c r="F28" s="1244"/>
      <c r="G28" s="1244"/>
      <c r="H28" s="1245"/>
      <c r="I28" s="1244"/>
      <c r="J28" s="1244"/>
      <c r="K28" s="1245"/>
      <c r="L28" s="1244"/>
      <c r="M28" s="1244"/>
      <c r="N28" s="1245"/>
      <c r="O28" s="1244"/>
      <c r="P28" s="1244"/>
      <c r="Q28" s="1245"/>
      <c r="R28" s="1244"/>
      <c r="S28" s="1244"/>
      <c r="T28" s="1245"/>
      <c r="U28" s="1244"/>
      <c r="V28" s="1244"/>
      <c r="W28" s="1245"/>
      <c r="X28" s="1244"/>
      <c r="Y28" s="1244"/>
      <c r="Z28" s="1245"/>
      <c r="AA28" s="1244"/>
      <c r="AB28" s="1244"/>
      <c r="AC28" s="1245"/>
      <c r="AD28" s="1244"/>
      <c r="AE28" s="1244"/>
      <c r="AF28" s="1245"/>
      <c r="AG28" s="1244"/>
      <c r="AH28" s="1244"/>
      <c r="AI28" s="1245"/>
      <c r="AJ28" s="1244"/>
      <c r="AK28" s="1244"/>
      <c r="AL28" s="1245"/>
      <c r="AM28" s="1244"/>
      <c r="AN28" s="1244"/>
      <c r="AO28" s="1245"/>
      <c r="AP28" s="1244"/>
      <c r="AQ28" s="1244"/>
      <c r="AR28" s="1245"/>
      <c r="AS28" s="1244"/>
      <c r="AT28" s="1244"/>
      <c r="AU28" s="1245"/>
      <c r="AV28" s="1244"/>
      <c r="AW28" s="1244"/>
      <c r="AX28" s="1245"/>
      <c r="AY28" s="1244"/>
      <c r="AZ28" s="1244"/>
      <c r="BA28" s="1245"/>
      <c r="BB28" s="1244"/>
      <c r="BC28" s="1244"/>
      <c r="BD28" s="1245"/>
      <c r="BE28" s="1244"/>
      <c r="BF28" s="1244"/>
      <c r="BG28" s="1245"/>
      <c r="BH28" s="1244"/>
      <c r="BI28" s="1244"/>
      <c r="BJ28" s="1245"/>
      <c r="BK28" s="1244"/>
      <c r="BL28" s="1244"/>
      <c r="BM28" s="1245"/>
      <c r="BN28" s="1244"/>
      <c r="BO28" s="1244"/>
      <c r="BP28" s="1245"/>
      <c r="BQ28" s="1244"/>
      <c r="BR28" s="1244"/>
      <c r="BS28" s="1245"/>
      <c r="BT28" s="1244"/>
      <c r="BU28" s="1244"/>
      <c r="BV28" s="1245"/>
      <c r="BW28" s="1244"/>
      <c r="BX28" s="1244"/>
      <c r="BY28" s="1245"/>
      <c r="BZ28" s="1244"/>
      <c r="CA28" s="1244"/>
      <c r="CB28" s="1245"/>
      <c r="CC28" s="1244"/>
      <c r="CD28" s="1244"/>
      <c r="CE28" s="1245"/>
      <c r="CF28" s="1244"/>
      <c r="CG28" s="1244"/>
      <c r="CH28" s="1245"/>
      <c r="CI28" s="1244"/>
      <c r="CJ28" s="1244"/>
      <c r="CK28" s="1245"/>
      <c r="CL28" s="1244"/>
      <c r="CM28" s="1244"/>
      <c r="CN28" s="1245"/>
      <c r="CO28" s="1244"/>
      <c r="CP28" s="1244"/>
      <c r="CQ28" s="1245"/>
      <c r="CR28" s="1244"/>
      <c r="CS28" s="1244"/>
      <c r="CT28" s="1245"/>
      <c r="CU28" s="1244"/>
      <c r="CV28" s="1244"/>
      <c r="CW28" s="1245"/>
      <c r="CX28" s="1244"/>
      <c r="CY28" s="1244"/>
      <c r="CZ28" s="1245"/>
      <c r="DA28" s="1244"/>
      <c r="DB28" s="1244"/>
      <c r="DC28" s="1245"/>
      <c r="DD28" s="1244"/>
      <c r="DE28" s="1244"/>
      <c r="DF28" s="1245"/>
      <c r="DG28" s="1244"/>
      <c r="DH28" s="1244"/>
      <c r="DI28" s="1245"/>
      <c r="DJ28" s="1244"/>
      <c r="DK28" s="1244"/>
      <c r="DL28" s="1245"/>
      <c r="DM28" s="1244"/>
      <c r="DN28" s="1244"/>
      <c r="DO28" s="1245"/>
      <c r="DP28" s="1244"/>
      <c r="DQ28" s="1244"/>
      <c r="DR28" s="1245"/>
      <c r="DS28" s="1244"/>
      <c r="DT28" s="1244"/>
      <c r="DU28" s="1245"/>
      <c r="DV28" s="1244"/>
      <c r="DW28" s="1244"/>
      <c r="DX28" s="1245"/>
      <c r="DY28" s="1244"/>
      <c r="DZ28" s="1244"/>
      <c r="EA28" s="1245"/>
      <c r="EB28" s="1244"/>
      <c r="EC28" s="1244"/>
      <c r="ED28" s="1245"/>
      <c r="EE28" s="1244"/>
      <c r="EF28" s="1244"/>
      <c r="EG28" s="1245"/>
      <c r="EH28" s="1244"/>
      <c r="EI28" s="1244"/>
      <c r="EJ28" s="1245"/>
      <c r="EK28" s="1244"/>
      <c r="EL28" s="1244"/>
      <c r="EM28" s="1245"/>
      <c r="EN28" s="1244"/>
      <c r="EO28" s="1244"/>
      <c r="EP28" s="1245"/>
      <c r="EQ28" s="1244"/>
      <c r="ER28" s="1244"/>
      <c r="ES28" s="1245"/>
      <c r="ET28" s="1244"/>
      <c r="EU28" s="1244"/>
      <c r="EV28" s="1245"/>
      <c r="EW28" s="1244"/>
      <c r="EX28" s="1244"/>
      <c r="EY28" s="1245"/>
      <c r="EZ28" s="1244"/>
      <c r="FA28" s="1244"/>
      <c r="FB28" s="1245"/>
      <c r="FC28" s="1244"/>
      <c r="FD28" s="1244"/>
      <c r="FE28" s="1245"/>
      <c r="FF28" s="1244"/>
      <c r="FG28" s="1244"/>
      <c r="FH28" s="1245"/>
      <c r="FI28" s="1244"/>
      <c r="FJ28" s="1244"/>
      <c r="FK28" s="1245"/>
      <c r="FL28" s="1244"/>
      <c r="FM28" s="1244"/>
      <c r="FN28" s="1245"/>
      <c r="FO28" s="1244"/>
      <c r="FP28" s="1244"/>
      <c r="FQ28" s="1245"/>
      <c r="FR28" s="1244"/>
      <c r="FS28" s="1244"/>
      <c r="FT28" s="1245"/>
      <c r="FU28" s="1244"/>
      <c r="FV28" s="1244"/>
      <c r="FW28" s="1245"/>
      <c r="FX28" s="1244"/>
      <c r="FY28" s="1244"/>
      <c r="FZ28" s="1245"/>
      <c r="GA28" s="1244"/>
      <c r="GB28" s="1244"/>
      <c r="GC28" s="1245"/>
      <c r="GD28" s="1244"/>
      <c r="GE28" s="1244"/>
      <c r="GF28" s="1245"/>
      <c r="GG28" s="1244"/>
      <c r="GH28" s="1244"/>
      <c r="GI28" s="1245"/>
      <c r="GJ28" s="1244"/>
      <c r="GK28" s="1244"/>
      <c r="GL28" s="1245"/>
      <c r="GM28" s="1244"/>
      <c r="GN28" s="1244"/>
      <c r="GO28" s="1245"/>
      <c r="GP28" s="1244"/>
      <c r="GQ28" s="1244"/>
      <c r="GR28" s="1245"/>
      <c r="GS28" s="1244"/>
      <c r="GT28" s="1244"/>
      <c r="GU28" s="1245"/>
      <c r="GV28" s="1244"/>
      <c r="GW28" s="1244"/>
      <c r="GX28" s="1245"/>
      <c r="GY28" s="1244"/>
      <c r="GZ28" s="1244"/>
      <c r="HA28" s="1245"/>
      <c r="HB28" s="1244"/>
      <c r="HC28" s="1244"/>
      <c r="HD28" s="1245"/>
      <c r="HE28" s="1244"/>
      <c r="HF28" s="1244"/>
      <c r="HG28" s="1245"/>
      <c r="HH28" s="1244"/>
      <c r="HI28" s="1244"/>
      <c r="HJ28" s="1245"/>
      <c r="HK28" s="1244"/>
      <c r="HL28" s="1244"/>
      <c r="HM28" s="1245"/>
      <c r="HN28" s="1244"/>
      <c r="HO28" s="1244"/>
      <c r="HP28" s="1245"/>
      <c r="HQ28" s="1244"/>
      <c r="HR28" s="1244"/>
      <c r="HS28" s="1245"/>
      <c r="HT28" s="1244"/>
      <c r="HU28" s="1244"/>
      <c r="HV28" s="1245"/>
      <c r="HW28" s="1244"/>
      <c r="HX28" s="1244"/>
      <c r="HY28" s="1245"/>
      <c r="HZ28" s="1244"/>
      <c r="IA28" s="1244"/>
      <c r="IB28" s="1245"/>
      <c r="IC28" s="1244"/>
      <c r="ID28" s="1244"/>
      <c r="IE28" s="1245"/>
      <c r="IF28" s="1244"/>
      <c r="IG28" s="1244"/>
      <c r="IH28" s="1245"/>
      <c r="II28" s="1244"/>
      <c r="IJ28" s="1244"/>
      <c r="IK28" s="1245"/>
      <c r="IL28" s="1244"/>
      <c r="IM28" s="1244"/>
      <c r="IN28" s="1245"/>
      <c r="IO28" s="1244"/>
      <c r="IP28" s="1244"/>
      <c r="IQ28" s="1245"/>
      <c r="IR28" s="1244"/>
      <c r="IS28" s="1244"/>
      <c r="IT28" s="1245"/>
      <c r="IU28" s="1244"/>
      <c r="IV28" s="1244"/>
      <c r="IW28" s="1245"/>
      <c r="IX28" s="1244"/>
      <c r="IY28" s="1244"/>
      <c r="IZ28" s="1245"/>
      <c r="JA28" s="1244"/>
      <c r="JB28" s="1244"/>
      <c r="JC28" s="1245"/>
      <c r="JD28" s="1244"/>
      <c r="JE28" s="1244"/>
      <c r="JF28" s="1245"/>
      <c r="JG28" s="1244"/>
      <c r="JH28" s="1244"/>
      <c r="JI28" s="1245"/>
      <c r="JJ28" s="1244"/>
      <c r="JK28" s="1244"/>
      <c r="JL28" s="1245"/>
      <c r="JM28" s="1244"/>
      <c r="JN28" s="1244"/>
      <c r="JO28" s="1245"/>
      <c r="JP28" s="1244"/>
      <c r="JQ28" s="1244"/>
      <c r="JR28" s="1245"/>
      <c r="JS28" s="1244"/>
      <c r="JT28" s="1244"/>
      <c r="JU28" s="1245"/>
      <c r="JV28" s="1244"/>
      <c r="JW28" s="1244"/>
      <c r="JX28" s="1245"/>
      <c r="JY28" s="1244"/>
      <c r="JZ28" s="1244"/>
      <c r="KA28" s="1245"/>
      <c r="KB28" s="1244"/>
      <c r="KC28" s="1244"/>
      <c r="KD28" s="1245"/>
      <c r="KE28" s="1244"/>
      <c r="KF28" s="1244"/>
      <c r="KG28" s="1245"/>
      <c r="KH28" s="1244"/>
      <c r="KI28" s="1244"/>
      <c r="KJ28" s="1245"/>
      <c r="KK28" s="1244"/>
      <c r="KL28" s="1244"/>
      <c r="KM28" s="1245"/>
      <c r="KN28" s="1244"/>
      <c r="KO28" s="1244"/>
      <c r="KP28" s="1245"/>
      <c r="KQ28" s="1244"/>
      <c r="KR28" s="1244"/>
      <c r="KS28" s="1245"/>
      <c r="KT28" s="1244"/>
      <c r="KU28" s="1244"/>
      <c r="KV28" s="1245"/>
      <c r="KW28" s="1244"/>
      <c r="KX28" s="1244"/>
      <c r="KY28" s="1245"/>
      <c r="KZ28" s="1244"/>
      <c r="LA28" s="1244"/>
      <c r="LB28" s="1245"/>
      <c r="LC28" s="1244"/>
      <c r="LD28" s="1244"/>
      <c r="LE28" s="1245"/>
      <c r="LF28" s="1244"/>
      <c r="LG28" s="1244"/>
      <c r="LH28" s="1245"/>
      <c r="LI28" s="1244"/>
      <c r="LJ28" s="1244"/>
      <c r="LK28" s="1245"/>
      <c r="LL28" s="1244"/>
      <c r="LM28" s="1244"/>
      <c r="LN28" s="1245"/>
      <c r="LO28" s="1244"/>
      <c r="LP28" s="1244"/>
      <c r="LQ28" s="1245"/>
      <c r="LR28" s="1244"/>
      <c r="LS28" s="1244"/>
      <c r="LT28" s="1245"/>
      <c r="LU28" s="1244"/>
      <c r="LV28" s="1244"/>
      <c r="LW28" s="1245"/>
      <c r="LX28" s="1244"/>
      <c r="LY28" s="1244"/>
      <c r="LZ28" s="1245"/>
      <c r="MA28" s="1244"/>
      <c r="MB28" s="1244"/>
      <c r="MC28" s="1245"/>
      <c r="MD28" s="1244"/>
      <c r="ME28" s="1244"/>
      <c r="MF28" s="1245"/>
      <c r="MG28" s="1244"/>
      <c r="MH28" s="1244"/>
      <c r="MI28" s="1245"/>
      <c r="MJ28" s="1244"/>
      <c r="MK28" s="1244"/>
      <c r="ML28" s="1245"/>
      <c r="MM28" s="1244"/>
      <c r="MN28" s="1244"/>
      <c r="MO28" s="1245"/>
      <c r="MP28" s="1244"/>
      <c r="MQ28" s="1244"/>
      <c r="MR28" s="1245"/>
      <c r="MS28" s="1244"/>
      <c r="MT28" s="1244"/>
      <c r="MU28" s="1245"/>
      <c r="MV28" s="1244"/>
      <c r="MW28" s="1244"/>
      <c r="MX28" s="1245"/>
      <c r="MY28" s="1244"/>
      <c r="MZ28" s="1244"/>
      <c r="NA28" s="1245"/>
      <c r="NB28" s="1244"/>
      <c r="NC28" s="1244"/>
      <c r="ND28" s="1245"/>
      <c r="NE28" s="1244"/>
      <c r="NF28" s="1244"/>
      <c r="NG28" s="1245"/>
      <c r="NH28" s="1244"/>
      <c r="NI28" s="1244"/>
      <c r="NJ28" s="1245"/>
      <c r="NK28" s="1244"/>
      <c r="NL28" s="1244"/>
      <c r="NM28" s="1245"/>
      <c r="NN28" s="1244"/>
      <c r="NO28" s="1244"/>
      <c r="NP28" s="1245"/>
      <c r="NQ28" s="1244"/>
      <c r="NR28" s="1244"/>
      <c r="NS28" s="1245"/>
      <c r="NT28" s="1244"/>
      <c r="NU28" s="1244"/>
      <c r="NV28" s="1245"/>
      <c r="NW28" s="1244"/>
      <c r="NX28" s="1244"/>
      <c r="NY28" s="1245"/>
      <c r="NZ28" s="1244"/>
      <c r="OA28" s="1244"/>
      <c r="OB28" s="1245"/>
      <c r="OC28" s="1244"/>
      <c r="OD28" s="1244"/>
      <c r="OE28" s="1245"/>
      <c r="OF28" s="1244"/>
      <c r="OG28" s="1244"/>
      <c r="OH28" s="1245"/>
      <c r="OI28" s="1244"/>
      <c r="OJ28" s="1244"/>
      <c r="OK28" s="1245"/>
      <c r="OL28" s="1244"/>
      <c r="OM28" s="1244"/>
      <c r="ON28" s="1245"/>
      <c r="OO28" s="1244"/>
      <c r="OP28" s="1244"/>
      <c r="OQ28" s="1245"/>
      <c r="OR28" s="1244"/>
      <c r="OS28" s="1244"/>
      <c r="OT28" s="1245"/>
      <c r="OU28" s="1244"/>
      <c r="OV28" s="1244"/>
      <c r="OW28" s="1245"/>
      <c r="OX28" s="1244"/>
      <c r="OY28" s="1244"/>
      <c r="OZ28" s="1245"/>
      <c r="PA28" s="1244"/>
      <c r="PB28" s="1244"/>
      <c r="PC28" s="1245"/>
      <c r="PD28" s="1244"/>
      <c r="PE28" s="1244"/>
      <c r="PF28" s="1245"/>
      <c r="PG28" s="1244"/>
      <c r="PH28" s="1244"/>
      <c r="PI28" s="1245"/>
      <c r="PJ28" s="1244"/>
      <c r="PK28" s="1244"/>
      <c r="PL28" s="1245"/>
      <c r="PM28" s="1244"/>
      <c r="PN28" s="1244"/>
      <c r="PO28" s="1245"/>
      <c r="PP28" s="1244"/>
      <c r="PQ28" s="1244"/>
      <c r="PR28" s="1245"/>
      <c r="PS28" s="1244"/>
      <c r="PT28" s="1244"/>
      <c r="PU28" s="1245"/>
      <c r="PV28" s="1244"/>
      <c r="PW28" s="1244"/>
      <c r="PX28" s="1245"/>
      <c r="PY28" s="1244"/>
      <c r="PZ28" s="1244"/>
      <c r="QA28" s="1245"/>
      <c r="QB28" s="1244"/>
      <c r="QC28" s="1244"/>
      <c r="QD28" s="1245"/>
      <c r="QE28" s="1244"/>
      <c r="QF28" s="1244"/>
      <c r="QG28" s="1245"/>
      <c r="QH28" s="1244"/>
      <c r="QI28" s="1244"/>
      <c r="QJ28" s="1245"/>
      <c r="QK28" s="1244"/>
      <c r="QL28" s="1244"/>
      <c r="QM28" s="1245"/>
      <c r="QN28" s="1244"/>
      <c r="QO28" s="1244"/>
      <c r="QP28" s="1245"/>
      <c r="QQ28" s="1244"/>
      <c r="QR28" s="1244"/>
      <c r="QS28" s="1245"/>
      <c r="QT28" s="1244"/>
      <c r="QU28" s="1244"/>
      <c r="QV28" s="1245"/>
      <c r="QW28" s="1244"/>
      <c r="QX28" s="1244"/>
      <c r="QY28" s="1245"/>
      <c r="QZ28" s="1244"/>
      <c r="RA28" s="1244"/>
      <c r="RB28" s="1245"/>
      <c r="RC28" s="1244"/>
      <c r="RD28" s="1244"/>
      <c r="RE28" s="1245"/>
      <c r="RF28" s="1244"/>
      <c r="RG28" s="1244"/>
      <c r="RH28" s="1245"/>
      <c r="RI28" s="1244"/>
      <c r="RJ28" s="1244"/>
      <c r="RK28" s="1245"/>
      <c r="RL28" s="1244"/>
      <c r="RM28" s="1244"/>
      <c r="RN28" s="1245"/>
      <c r="RO28" s="1244"/>
      <c r="RP28" s="1244"/>
      <c r="RQ28" s="1245"/>
      <c r="RR28" s="1244"/>
      <c r="RS28" s="1244"/>
      <c r="RT28" s="1245"/>
      <c r="RU28" s="1244"/>
      <c r="RV28" s="1244"/>
      <c r="RW28" s="1245"/>
      <c r="RX28" s="1244"/>
      <c r="RY28" s="1244"/>
      <c r="RZ28" s="1245"/>
      <c r="SA28" s="1244"/>
      <c r="SB28" s="1244"/>
      <c r="SC28" s="1245"/>
      <c r="SD28" s="1244"/>
      <c r="SE28" s="1244"/>
      <c r="SF28" s="1245"/>
      <c r="SG28" s="1244"/>
      <c r="SH28" s="1244"/>
      <c r="SI28" s="1245"/>
      <c r="SJ28" s="1244"/>
      <c r="SK28" s="1244"/>
      <c r="SL28" s="1245"/>
      <c r="SM28" s="1244"/>
      <c r="SN28" s="1244"/>
      <c r="SO28" s="1245"/>
      <c r="SP28" s="1244"/>
      <c r="SQ28" s="1244"/>
      <c r="SR28" s="1245"/>
      <c r="SS28" s="1244"/>
      <c r="ST28" s="1244"/>
      <c r="SU28" s="1245"/>
      <c r="SV28" s="1244"/>
      <c r="SW28" s="1244"/>
      <c r="SX28" s="1245"/>
      <c r="SY28" s="1244"/>
      <c r="SZ28" s="1244"/>
      <c r="TA28" s="1245"/>
      <c r="TB28" s="1244"/>
      <c r="TC28" s="1244"/>
      <c r="TD28" s="1245"/>
      <c r="TE28" s="1244"/>
      <c r="TF28" s="1244"/>
      <c r="TG28" s="1245"/>
      <c r="TH28" s="1244"/>
      <c r="TI28" s="1244"/>
      <c r="TJ28" s="1245"/>
      <c r="TK28" s="1244"/>
      <c r="TL28" s="1244"/>
      <c r="TM28" s="1245"/>
      <c r="TN28" s="1244"/>
      <c r="TO28" s="1244"/>
      <c r="TP28" s="1245"/>
      <c r="TQ28" s="1244"/>
      <c r="TR28" s="1244"/>
      <c r="TS28" s="1245"/>
      <c r="TT28" s="1244"/>
      <c r="TU28" s="1244"/>
      <c r="TV28" s="1245"/>
      <c r="TW28" s="1244"/>
      <c r="TX28" s="1244"/>
      <c r="TY28" s="1245"/>
      <c r="TZ28" s="1244"/>
      <c r="UA28" s="1244"/>
      <c r="UB28" s="1245"/>
      <c r="UC28" s="1244"/>
      <c r="UD28" s="1244"/>
      <c r="UE28" s="1245"/>
      <c r="UF28" s="1244"/>
      <c r="UG28" s="1244"/>
      <c r="UH28" s="1245"/>
      <c r="UI28" s="1244"/>
      <c r="UJ28" s="1244"/>
      <c r="UK28" s="1245"/>
      <c r="UL28" s="1244"/>
      <c r="UM28" s="1244"/>
      <c r="UN28" s="1245"/>
      <c r="UO28" s="1244"/>
      <c r="UP28" s="1244"/>
      <c r="UQ28" s="1245"/>
      <c r="UR28" s="1244"/>
      <c r="US28" s="1244"/>
      <c r="UT28" s="1245"/>
      <c r="UU28" s="1244"/>
      <c r="UV28" s="1244"/>
      <c r="UW28" s="1245"/>
      <c r="UX28" s="1244"/>
      <c r="UY28" s="1244"/>
      <c r="UZ28" s="1245"/>
      <c r="VA28" s="1244"/>
      <c r="VB28" s="1244"/>
      <c r="VC28" s="1245"/>
      <c r="VD28" s="1244"/>
      <c r="VE28" s="1244"/>
      <c r="VF28" s="1245"/>
      <c r="VG28" s="1244"/>
      <c r="VH28" s="1244"/>
      <c r="VI28" s="1245"/>
      <c r="VJ28" s="1244"/>
      <c r="VK28" s="1244"/>
      <c r="VL28" s="1245"/>
      <c r="VM28" s="1244"/>
      <c r="VN28" s="1244"/>
      <c r="VO28" s="1245"/>
      <c r="VP28" s="1244"/>
      <c r="VQ28" s="1244"/>
      <c r="VR28" s="1245"/>
      <c r="VS28" s="1244"/>
      <c r="VT28" s="1244"/>
      <c r="VU28" s="1245"/>
      <c r="VV28" s="1244"/>
      <c r="VW28" s="1244"/>
      <c r="VX28" s="1245"/>
      <c r="VY28" s="1244"/>
      <c r="VZ28" s="1244"/>
      <c r="WA28" s="1245"/>
      <c r="WB28" s="1244"/>
      <c r="WC28" s="1244"/>
      <c r="WD28" s="1245"/>
      <c r="WE28" s="1244"/>
      <c r="WF28" s="1244"/>
      <c r="WG28" s="1245"/>
      <c r="WH28" s="1244"/>
      <c r="WI28" s="1244"/>
      <c r="WJ28" s="1245"/>
      <c r="WK28" s="1244"/>
      <c r="WL28" s="1244"/>
      <c r="WM28" s="1245"/>
      <c r="WN28" s="1244"/>
      <c r="WO28" s="1244"/>
      <c r="WP28" s="1245"/>
      <c r="WQ28" s="1244"/>
      <c r="WR28" s="1244"/>
      <c r="WS28" s="1245"/>
      <c r="WT28" s="1244"/>
      <c r="WU28" s="1244"/>
      <c r="WV28" s="1245"/>
      <c r="WW28" s="1244"/>
      <c r="WX28" s="1244"/>
      <c r="WY28" s="1245"/>
      <c r="WZ28" s="1244"/>
      <c r="XA28" s="1244"/>
      <c r="XB28" s="1245"/>
      <c r="XC28" s="1244"/>
      <c r="XD28" s="1244"/>
      <c r="XE28" s="1245"/>
      <c r="XF28" s="1244"/>
      <c r="XG28" s="1244"/>
      <c r="XH28" s="1245"/>
      <c r="XI28" s="1244"/>
      <c r="XJ28" s="1244"/>
      <c r="XK28" s="1245"/>
      <c r="XL28" s="1244"/>
      <c r="XM28" s="1244"/>
      <c r="XN28" s="1245"/>
      <c r="XO28" s="1244"/>
      <c r="XP28" s="1244"/>
      <c r="XQ28" s="1245"/>
      <c r="XR28" s="1244"/>
      <c r="XS28" s="1244"/>
      <c r="XT28" s="1245"/>
      <c r="XU28" s="1244"/>
      <c r="XV28" s="1244"/>
      <c r="XW28" s="1245"/>
      <c r="XX28" s="1244"/>
      <c r="XY28" s="1244"/>
      <c r="XZ28" s="1245"/>
      <c r="YA28" s="1244"/>
      <c r="YB28" s="1244"/>
      <c r="YC28" s="1245"/>
      <c r="YD28" s="1244"/>
      <c r="YE28" s="1244"/>
      <c r="YF28" s="1245"/>
      <c r="YG28" s="1244"/>
      <c r="YH28" s="1244"/>
      <c r="YI28" s="1245"/>
      <c r="YJ28" s="1244"/>
      <c r="YK28" s="1244"/>
      <c r="YL28" s="1245"/>
      <c r="YM28" s="1244"/>
      <c r="YN28" s="1244"/>
      <c r="YO28" s="1245"/>
      <c r="YP28" s="1244"/>
      <c r="YQ28" s="1244"/>
      <c r="YR28" s="1245"/>
      <c r="YS28" s="1244"/>
      <c r="YT28" s="1244"/>
      <c r="YU28" s="1245"/>
      <c r="YV28" s="1244"/>
      <c r="YW28" s="1244"/>
      <c r="YX28" s="1245"/>
      <c r="YY28" s="1244"/>
      <c r="YZ28" s="1244"/>
      <c r="ZA28" s="1245"/>
      <c r="ZB28" s="1244"/>
      <c r="ZC28" s="1244"/>
      <c r="ZD28" s="1245"/>
      <c r="ZE28" s="1244"/>
      <c r="ZF28" s="1244"/>
      <c r="ZG28" s="1245"/>
      <c r="ZH28" s="1244"/>
      <c r="ZI28" s="1244"/>
      <c r="ZJ28" s="1245"/>
      <c r="ZK28" s="1244"/>
      <c r="ZL28" s="1244"/>
      <c r="ZM28" s="1245"/>
      <c r="ZN28" s="1244"/>
      <c r="ZO28" s="1244"/>
      <c r="ZP28" s="1245"/>
      <c r="ZQ28" s="1244"/>
      <c r="ZR28" s="1244"/>
      <c r="ZS28" s="1245"/>
      <c r="ZT28" s="1244"/>
      <c r="ZU28" s="1244"/>
      <c r="ZV28" s="1245"/>
      <c r="ZW28" s="1244"/>
      <c r="ZX28" s="1244"/>
      <c r="ZY28" s="1245"/>
      <c r="ZZ28" s="1244"/>
      <c r="AAA28" s="1244"/>
      <c r="AAB28" s="1245"/>
      <c r="AAC28" s="1244"/>
      <c r="AAD28" s="1244"/>
      <c r="AAE28" s="1245"/>
      <c r="AAF28" s="1244"/>
      <c r="AAG28" s="1244"/>
      <c r="AAH28" s="1245"/>
      <c r="AAI28" s="1244"/>
      <c r="AAJ28" s="1244"/>
      <c r="AAK28" s="1245"/>
      <c r="AAL28" s="1244"/>
      <c r="AAM28" s="1244"/>
      <c r="AAN28" s="1245"/>
      <c r="AAO28" s="1244"/>
      <c r="AAP28" s="1244"/>
      <c r="AAQ28" s="1245"/>
      <c r="AAR28" s="1244"/>
      <c r="AAS28" s="1244"/>
      <c r="AAT28" s="1245"/>
      <c r="AAU28" s="1244"/>
      <c r="AAV28" s="1244"/>
      <c r="AAW28" s="1245"/>
      <c r="AAX28" s="1244"/>
      <c r="AAY28" s="1244"/>
      <c r="AAZ28" s="1245"/>
      <c r="ABA28" s="1244"/>
      <c r="ABB28" s="1244"/>
      <c r="ABC28" s="1245"/>
      <c r="ABD28" s="1244"/>
      <c r="ABE28" s="1244"/>
      <c r="ABF28" s="1245"/>
      <c r="ABG28" s="1244"/>
      <c r="ABH28" s="1244"/>
      <c r="ABI28" s="1245"/>
      <c r="ABJ28" s="1244"/>
      <c r="ABK28" s="1244"/>
      <c r="ABL28" s="1245"/>
      <c r="ABM28" s="1244"/>
      <c r="ABN28" s="1244"/>
      <c r="ABO28" s="1245"/>
      <c r="ABP28" s="1244"/>
      <c r="ABQ28" s="1244"/>
      <c r="ABR28" s="1245"/>
      <c r="ABS28" s="1244"/>
      <c r="ABT28" s="1244"/>
      <c r="ABU28" s="1245"/>
      <c r="ABV28" s="1244"/>
      <c r="ABW28" s="1244"/>
      <c r="ABX28" s="1245"/>
      <c r="ABY28" s="1244"/>
      <c r="ABZ28" s="1244"/>
      <c r="ACA28" s="1245"/>
      <c r="ACB28" s="1244"/>
      <c r="ACC28" s="1244"/>
      <c r="ACD28" s="1245"/>
      <c r="ACE28" s="1244"/>
      <c r="ACF28" s="1244"/>
      <c r="ACG28" s="1245"/>
      <c r="ACH28" s="1244"/>
      <c r="ACI28" s="1244"/>
      <c r="ACJ28" s="1245"/>
      <c r="ACK28" s="1244"/>
      <c r="ACL28" s="1244"/>
      <c r="ACM28" s="1245"/>
      <c r="ACN28" s="1244"/>
      <c r="ACO28" s="1244"/>
      <c r="ACP28" s="1245"/>
      <c r="ACQ28" s="1244"/>
      <c r="ACR28" s="1244"/>
      <c r="ACS28" s="1245"/>
      <c r="ACT28" s="1244"/>
      <c r="ACU28" s="1244"/>
      <c r="ACV28" s="1245"/>
      <c r="ACW28" s="1244"/>
      <c r="ACX28" s="1244"/>
      <c r="ACY28" s="1245"/>
      <c r="ACZ28" s="1244"/>
      <c r="ADA28" s="1244"/>
      <c r="ADB28" s="1245"/>
      <c r="ADC28" s="1244"/>
      <c r="ADD28" s="1244"/>
      <c r="ADE28" s="1245"/>
      <c r="ADF28" s="1244"/>
      <c r="ADG28" s="1244"/>
      <c r="ADH28" s="1245"/>
      <c r="ADI28" s="1244"/>
      <c r="ADJ28" s="1244"/>
      <c r="ADK28" s="1245"/>
      <c r="ADL28" s="1244"/>
      <c r="ADM28" s="1244"/>
      <c r="ADN28" s="1245"/>
      <c r="ADO28" s="1244"/>
      <c r="ADP28" s="1244"/>
      <c r="ADQ28" s="1245"/>
      <c r="ADR28" s="1244"/>
      <c r="ADS28" s="1244"/>
      <c r="ADT28" s="1245"/>
      <c r="ADU28" s="1244"/>
      <c r="ADV28" s="1244"/>
      <c r="ADW28" s="1245"/>
      <c r="ADX28" s="1244"/>
      <c r="ADY28" s="1244"/>
      <c r="ADZ28" s="1245"/>
      <c r="AEA28" s="1244"/>
      <c r="AEB28" s="1244"/>
      <c r="AEC28" s="1245"/>
      <c r="AED28" s="1244"/>
      <c r="AEE28" s="1244"/>
      <c r="AEF28" s="1245"/>
      <c r="AEG28" s="1244"/>
      <c r="AEH28" s="1244"/>
      <c r="AEI28" s="1245"/>
      <c r="AEJ28" s="1244"/>
      <c r="AEK28" s="1244"/>
      <c r="AEL28" s="1245"/>
      <c r="AEM28" s="1244"/>
      <c r="AEN28" s="1244"/>
      <c r="AEO28" s="1245"/>
      <c r="AEP28" s="1244"/>
      <c r="AEQ28" s="1244"/>
      <c r="AER28" s="1245"/>
      <c r="AES28" s="1244"/>
      <c r="AET28" s="1244"/>
      <c r="AEU28" s="1245"/>
      <c r="AEV28" s="1244"/>
      <c r="AEW28" s="1244"/>
      <c r="AEX28" s="1245"/>
      <c r="AEY28" s="1244"/>
      <c r="AEZ28" s="1244"/>
      <c r="AFA28" s="1245"/>
      <c r="AFB28" s="1244"/>
      <c r="AFC28" s="1244"/>
      <c r="AFD28" s="1245"/>
      <c r="AFE28" s="1244"/>
      <c r="AFF28" s="1244"/>
      <c r="AFG28" s="1245"/>
      <c r="AFH28" s="1244"/>
      <c r="AFI28" s="1244"/>
      <c r="AFJ28" s="1245"/>
      <c r="AFK28" s="1244"/>
      <c r="AFL28" s="1244"/>
      <c r="AFM28" s="1245"/>
      <c r="AFN28" s="1244"/>
      <c r="AFO28" s="1244"/>
      <c r="AFP28" s="1245"/>
      <c r="AFQ28" s="1244"/>
      <c r="AFR28" s="1244"/>
      <c r="AFS28" s="1245"/>
      <c r="AFT28" s="1244"/>
      <c r="AFU28" s="1244"/>
      <c r="AFV28" s="1245"/>
      <c r="AFW28" s="1244"/>
      <c r="AFX28" s="1244"/>
      <c r="AFY28" s="1245"/>
      <c r="AFZ28" s="1244"/>
      <c r="AGA28" s="1244"/>
      <c r="AGB28" s="1245"/>
      <c r="AGC28" s="1244"/>
      <c r="AGD28" s="1244"/>
      <c r="AGE28" s="1245"/>
      <c r="AGF28" s="1244"/>
      <c r="AGG28" s="1244"/>
      <c r="AGH28" s="1245"/>
      <c r="AGI28" s="1244"/>
      <c r="AGJ28" s="1244"/>
      <c r="AGK28" s="1245"/>
      <c r="AGL28" s="1244"/>
      <c r="AGM28" s="1244"/>
      <c r="AGN28" s="1245"/>
      <c r="AGO28" s="1244"/>
      <c r="AGP28" s="1244"/>
      <c r="AGQ28" s="1245"/>
      <c r="AGR28" s="1244"/>
      <c r="AGS28" s="1244"/>
      <c r="AGT28" s="1245"/>
      <c r="AGU28" s="1244"/>
      <c r="AGV28" s="1244"/>
      <c r="AGW28" s="1245"/>
      <c r="AGX28" s="1244"/>
      <c r="AGY28" s="1244"/>
      <c r="AGZ28" s="1245"/>
      <c r="AHA28" s="1244"/>
      <c r="AHB28" s="1244"/>
      <c r="AHC28" s="1245"/>
      <c r="AHD28" s="1244"/>
      <c r="AHE28" s="1244"/>
      <c r="AHF28" s="1245"/>
      <c r="AHG28" s="1244"/>
      <c r="AHH28" s="1244"/>
      <c r="AHI28" s="1245"/>
      <c r="AHJ28" s="1244"/>
      <c r="AHK28" s="1244"/>
      <c r="AHL28" s="1245"/>
      <c r="AHM28" s="1244"/>
      <c r="AHN28" s="1244"/>
      <c r="AHO28" s="1245"/>
      <c r="AHP28" s="1244"/>
      <c r="AHQ28" s="1244"/>
      <c r="AHR28" s="1245"/>
      <c r="AHS28" s="1244"/>
      <c r="AHT28" s="1244"/>
      <c r="AHU28" s="1245"/>
      <c r="AHV28" s="1244"/>
      <c r="AHW28" s="1244"/>
      <c r="AHX28" s="1245"/>
      <c r="AHY28" s="1244"/>
      <c r="AHZ28" s="1244"/>
      <c r="AIA28" s="1245"/>
      <c r="AIB28" s="1244"/>
      <c r="AIC28" s="1244"/>
      <c r="AID28" s="1245"/>
      <c r="AIE28" s="1246"/>
      <c r="AIF28" s="1244"/>
      <c r="AIG28" s="1245"/>
      <c r="AIH28" s="1244"/>
      <c r="AII28" s="1244"/>
      <c r="AIJ28" s="1245"/>
      <c r="AIK28" s="1244"/>
      <c r="AIL28" s="1244"/>
      <c r="AIM28" s="1245"/>
      <c r="AIN28" s="1244"/>
      <c r="AIO28" s="1244"/>
      <c r="AIP28" s="1245"/>
      <c r="AIQ28" s="1244"/>
      <c r="AIR28" s="1244"/>
      <c r="AIS28" s="1244"/>
      <c r="AIT28" s="1246"/>
      <c r="AIU28" s="1244"/>
      <c r="AIV28" s="1245"/>
      <c r="AIW28" s="1244"/>
      <c r="AIX28" s="1244"/>
      <c r="AIY28" s="1244"/>
      <c r="AIZ28" s="1246"/>
      <c r="AJA28" s="1244"/>
      <c r="AJB28" s="1245"/>
      <c r="AJC28" s="1244"/>
      <c r="AJD28" s="1244"/>
      <c r="AJE28" s="1245"/>
      <c r="AJF28" s="1244"/>
      <c r="AJG28" s="1244"/>
      <c r="AJH28" s="1245"/>
      <c r="AJI28" s="1244"/>
      <c r="AJJ28" s="1244"/>
      <c r="AJK28" s="1245"/>
      <c r="AJL28" s="1244"/>
      <c r="AJM28" s="1244"/>
      <c r="AJN28" s="1244"/>
      <c r="AJO28" s="1246"/>
      <c r="AJP28" s="1244"/>
      <c r="AJQ28" s="1245"/>
      <c r="AJR28" s="1244"/>
      <c r="AJS28" s="1244"/>
      <c r="AJT28" s="1244"/>
      <c r="AJU28" s="1246"/>
      <c r="AJV28" s="1244"/>
      <c r="AJW28" s="1245"/>
      <c r="AJX28" s="1246"/>
      <c r="AJY28" s="1244"/>
      <c r="AJZ28" s="1245"/>
      <c r="AKA28" s="1244"/>
      <c r="AKB28" s="1244"/>
      <c r="AKC28" s="1245"/>
      <c r="AKD28" s="1244"/>
      <c r="AKE28" s="1244"/>
      <c r="AKF28" s="1245"/>
      <c r="AKG28" s="1244"/>
      <c r="AKH28" s="1244"/>
      <c r="AKI28" s="1244"/>
      <c r="AKJ28" s="1246"/>
      <c r="AKK28" s="1244"/>
      <c r="AKL28" s="1244"/>
      <c r="AKM28" s="1244"/>
      <c r="AKN28" s="1244"/>
      <c r="AKO28" s="1244"/>
      <c r="AKP28" s="1246"/>
      <c r="AKQ28" s="1244"/>
      <c r="AKR28" s="1245"/>
      <c r="AKS28" s="1244"/>
      <c r="AKT28" s="1244"/>
      <c r="AKU28" s="1245"/>
      <c r="AKV28" s="1244"/>
      <c r="AKW28" s="1244"/>
      <c r="AKX28" s="1245"/>
      <c r="AKY28" s="1244"/>
      <c r="AKZ28" s="1244"/>
      <c r="ALA28" s="1245"/>
      <c r="ALB28" s="1246"/>
      <c r="ALC28" s="1244"/>
      <c r="ALD28" s="1245"/>
      <c r="ALE28" s="1246"/>
      <c r="ALF28" s="1244"/>
      <c r="ALG28" s="1245"/>
      <c r="ALH28" s="1244"/>
      <c r="ALI28" s="1244"/>
      <c r="ALJ28" s="1244"/>
      <c r="ALK28" s="1246"/>
      <c r="ALL28" s="1244"/>
      <c r="ALM28" s="1245"/>
      <c r="ALN28" s="1244"/>
      <c r="ALO28" s="1244"/>
      <c r="ALP28" s="1245"/>
      <c r="ALQ28" s="1244"/>
      <c r="ALR28" s="1244"/>
      <c r="ALS28" s="1245"/>
      <c r="ALT28" s="1244"/>
      <c r="ALU28" s="1244"/>
      <c r="ALV28" s="1245"/>
      <c r="ALW28" s="1294">
        <v>0</v>
      </c>
      <c r="ALX28" s="1294"/>
      <c r="ALY28" s="1295"/>
      <c r="ALZ28" s="1294">
        <v>0</v>
      </c>
      <c r="AMA28" s="1294"/>
      <c r="AMB28" s="1295"/>
      <c r="AMC28" s="1294">
        <v>0</v>
      </c>
      <c r="AMD28" s="1294"/>
      <c r="AME28" s="1295"/>
      <c r="AMF28" s="1294">
        <v>0</v>
      </c>
      <c r="AMG28" s="1294"/>
      <c r="AMH28" s="1295"/>
      <c r="AMI28" s="1294">
        <v>0</v>
      </c>
      <c r="AMJ28" s="1294"/>
      <c r="AMK28" s="1295"/>
      <c r="AML28" s="1294">
        <v>0</v>
      </c>
      <c r="AMM28" s="1294"/>
      <c r="AMN28" s="1295"/>
      <c r="AMO28" s="1294">
        <v>0</v>
      </c>
      <c r="AMP28" s="1294"/>
      <c r="AMQ28" s="1295"/>
      <c r="AMR28" s="1294">
        <v>0</v>
      </c>
      <c r="AMS28" s="1294"/>
      <c r="AMT28" s="1295"/>
      <c r="AMU28" s="1294">
        <v>0</v>
      </c>
      <c r="AMV28" s="1294"/>
      <c r="AMW28" s="1295"/>
      <c r="AMX28" s="1294">
        <v>0</v>
      </c>
      <c r="AMY28" s="1294"/>
      <c r="AMZ28" s="1295"/>
      <c r="ANA28" s="1294">
        <v>0</v>
      </c>
      <c r="ANB28" s="1294"/>
      <c r="ANC28" s="1295"/>
      <c r="AND28" s="1294">
        <v>0</v>
      </c>
      <c r="ANE28" s="1294"/>
      <c r="ANF28" s="1295"/>
      <c r="ANG28" s="1294">
        <v>0</v>
      </c>
      <c r="ANH28" s="1294"/>
      <c r="ANI28" s="1295"/>
      <c r="ANJ28" s="1294">
        <v>0</v>
      </c>
      <c r="ANK28" s="1294"/>
      <c r="ANL28" s="1295"/>
      <c r="ANM28" s="1294">
        <v>0</v>
      </c>
      <c r="ANN28" s="1294"/>
      <c r="ANO28" s="1295"/>
      <c r="ANP28" s="1294">
        <v>0</v>
      </c>
      <c r="ANQ28" s="1294"/>
      <c r="ANR28" s="1295"/>
      <c r="ANS28" s="1294">
        <v>0</v>
      </c>
      <c r="ANT28" s="1294"/>
      <c r="ANU28" s="1295"/>
      <c r="ANV28" s="1294">
        <v>0</v>
      </c>
      <c r="ANW28" s="1294"/>
      <c r="ANX28" s="1295"/>
      <c r="ANY28" s="1294">
        <v>0</v>
      </c>
      <c r="ANZ28" s="1294"/>
      <c r="AOA28" s="1295"/>
      <c r="AOB28" s="1294">
        <v>0</v>
      </c>
      <c r="AOC28" s="1294"/>
      <c r="AOD28" s="1295"/>
      <c r="AOE28" s="1294">
        <v>0</v>
      </c>
      <c r="AOF28" s="1294"/>
      <c r="AOG28" s="1295"/>
      <c r="AOH28" s="1294">
        <v>0</v>
      </c>
      <c r="AOI28" s="1294"/>
      <c r="AOJ28" s="1295"/>
      <c r="AOK28" s="1294">
        <v>0</v>
      </c>
      <c r="AOL28" s="1294"/>
      <c r="AOM28" s="1295"/>
      <c r="AON28" s="1294">
        <v>0</v>
      </c>
      <c r="AOO28" s="1294"/>
      <c r="AOP28" s="1295"/>
      <c r="AOQ28" s="1294">
        <v>0</v>
      </c>
      <c r="AOR28" s="1294"/>
      <c r="AOS28" s="1295"/>
      <c r="AOT28" s="1294">
        <v>0</v>
      </c>
      <c r="AOU28" s="1294"/>
      <c r="AOV28" s="1295"/>
      <c r="AOW28" s="1294">
        <v>0</v>
      </c>
      <c r="AOX28" s="1294"/>
      <c r="AOY28" s="1295"/>
      <c r="AOZ28" s="1294">
        <v>0</v>
      </c>
      <c r="APA28" s="1294"/>
      <c r="APB28" s="1295"/>
      <c r="APC28" s="1294">
        <v>0</v>
      </c>
      <c r="APD28" s="1294"/>
      <c r="APE28" s="1295"/>
      <c r="APF28" s="1294">
        <v>0</v>
      </c>
      <c r="APG28" s="1294"/>
      <c r="APH28" s="1295"/>
      <c r="API28" s="1294">
        <v>0</v>
      </c>
      <c r="APJ28" s="1294"/>
      <c r="APK28" s="1295"/>
      <c r="APL28" s="1294">
        <v>0</v>
      </c>
      <c r="APM28" s="1294"/>
      <c r="APN28" s="1295"/>
      <c r="APO28" s="1294">
        <v>0</v>
      </c>
      <c r="APP28" s="1294"/>
      <c r="APQ28" s="1295"/>
      <c r="APR28" s="1294">
        <v>0</v>
      </c>
      <c r="APS28" s="1294"/>
      <c r="APT28" s="1295"/>
      <c r="APU28" s="1294">
        <v>0</v>
      </c>
      <c r="APV28" s="1294"/>
      <c r="APW28" s="1295"/>
      <c r="APX28" s="1294">
        <v>0</v>
      </c>
      <c r="APY28" s="1294"/>
      <c r="APZ28" s="1295"/>
      <c r="AQA28" s="1294">
        <v>0</v>
      </c>
      <c r="AQB28" s="1294"/>
      <c r="AQC28" s="1295"/>
      <c r="AQD28" s="1294">
        <v>0</v>
      </c>
      <c r="AQE28" s="1294"/>
      <c r="AQF28" s="1295"/>
      <c r="AQG28" s="1294">
        <v>0</v>
      </c>
      <c r="AQH28" s="1294"/>
      <c r="AQI28" s="1295"/>
      <c r="AQJ28" s="1294">
        <v>0</v>
      </c>
      <c r="AQK28" s="1294"/>
      <c r="AQL28" s="1295"/>
      <c r="AQM28" s="1294">
        <v>0</v>
      </c>
      <c r="AQN28" s="1294"/>
      <c r="AQO28" s="1295"/>
      <c r="AQP28" s="1294">
        <v>0</v>
      </c>
      <c r="AQQ28" s="1294"/>
      <c r="AQR28" s="1295"/>
      <c r="AQS28" s="1294">
        <v>0</v>
      </c>
      <c r="AQT28" s="1294"/>
      <c r="AQU28" s="1295"/>
      <c r="AQV28" s="1294">
        <v>0</v>
      </c>
      <c r="AQW28" s="1294"/>
      <c r="AQX28" s="1295"/>
      <c r="AQY28" s="1369">
        <v>13</v>
      </c>
      <c r="AQZ28" s="1294"/>
      <c r="ARA28" s="1295"/>
      <c r="ARB28" s="1294">
        <v>0</v>
      </c>
      <c r="ARC28" s="1294"/>
      <c r="ARD28" s="1295"/>
      <c r="ARE28" s="1294">
        <v>0</v>
      </c>
      <c r="ARF28" s="1294"/>
      <c r="ARG28" s="1295"/>
      <c r="ARH28" s="1294">
        <v>0</v>
      </c>
      <c r="ARI28" s="1294"/>
      <c r="ARJ28" s="1295"/>
      <c r="ARK28" s="1294">
        <v>16</v>
      </c>
      <c r="ARL28" s="1294"/>
      <c r="ARM28" s="1295"/>
      <c r="ARN28" s="1369">
        <v>14</v>
      </c>
      <c r="ARO28" s="1294"/>
      <c r="ARP28" s="1295"/>
      <c r="ARQ28" s="1294">
        <v>17</v>
      </c>
      <c r="ARR28" s="1294"/>
      <c r="ARS28" s="1295"/>
      <c r="ART28" s="1294">
        <v>11</v>
      </c>
      <c r="ARU28" s="1294"/>
      <c r="ARV28" s="1295"/>
      <c r="ARW28" s="1294"/>
      <c r="ARX28" s="1294"/>
      <c r="ARY28" s="1295"/>
      <c r="ARZ28" s="1294">
        <v>14</v>
      </c>
      <c r="ASA28" s="1294"/>
      <c r="ASB28" s="1295"/>
      <c r="ASC28" s="1294">
        <v>18</v>
      </c>
      <c r="ASD28" s="1294"/>
      <c r="ASE28" s="1295"/>
      <c r="ASF28" s="1294">
        <v>25</v>
      </c>
      <c r="ASG28" s="1294"/>
      <c r="ASH28" s="1295"/>
      <c r="ASI28" s="1294">
        <v>25</v>
      </c>
      <c r="ASJ28" s="1294"/>
      <c r="ASK28" s="1295"/>
      <c r="ASL28" s="1294">
        <v>27</v>
      </c>
      <c r="ASM28" s="1294"/>
      <c r="ASN28" s="1295"/>
      <c r="ASO28" s="1294">
        <v>29</v>
      </c>
      <c r="ASP28" s="1294"/>
      <c r="ASQ28" s="1295"/>
      <c r="ASR28" s="1294"/>
      <c r="ASS28" s="1294"/>
      <c r="AST28" s="1295"/>
      <c r="ASU28" s="1294">
        <v>25</v>
      </c>
      <c r="ASV28" s="1294"/>
      <c r="ASW28" s="1295"/>
      <c r="ASX28" s="1294">
        <v>25</v>
      </c>
      <c r="ASY28" s="1294"/>
      <c r="ASZ28" s="1295"/>
      <c r="ATA28" s="1294">
        <v>27</v>
      </c>
      <c r="ATB28" s="1294"/>
      <c r="ATC28" s="1295"/>
      <c r="ATD28" s="1294">
        <v>26</v>
      </c>
      <c r="ATE28" s="1294"/>
      <c r="ATF28" s="1295"/>
      <c r="ATG28" s="1294">
        <v>27</v>
      </c>
      <c r="ATH28" s="1294"/>
      <c r="ATI28" s="1295"/>
      <c r="ATJ28" s="1294">
        <v>20</v>
      </c>
      <c r="ATK28" s="1294"/>
      <c r="ATL28" s="1295"/>
      <c r="ATM28" s="1294"/>
      <c r="ATN28" s="1294"/>
      <c r="ATO28" s="1295"/>
      <c r="ATP28" s="1294">
        <v>25</v>
      </c>
      <c r="ATQ28" s="1294"/>
      <c r="ATR28" s="1295"/>
      <c r="ATS28" s="1294">
        <v>27</v>
      </c>
      <c r="ATT28" s="1294"/>
      <c r="ATU28" s="1295"/>
      <c r="ATV28" s="1294">
        <v>25</v>
      </c>
      <c r="ATW28" s="1294"/>
      <c r="ATX28" s="1295"/>
      <c r="ATY28" s="1294">
        <v>28</v>
      </c>
      <c r="ATZ28" s="1294"/>
      <c r="AUA28" s="1295"/>
      <c r="AUB28" s="1294">
        <v>22</v>
      </c>
      <c r="AUC28" s="1294"/>
      <c r="AUD28" s="1295"/>
      <c r="AUE28" s="1294">
        <v>26</v>
      </c>
      <c r="AUF28" s="1294"/>
      <c r="AUG28" s="1295"/>
      <c r="AUH28" s="1294">
        <v>0</v>
      </c>
      <c r="AUI28" s="1294"/>
      <c r="AUJ28" s="1295"/>
      <c r="AUK28" s="1294">
        <v>25</v>
      </c>
      <c r="AUL28" s="1294"/>
      <c r="AUM28" s="1295"/>
      <c r="AUN28" s="1294">
        <v>11</v>
      </c>
      <c r="AUO28" s="1294"/>
      <c r="AUP28" s="1295"/>
      <c r="AUQ28" s="1294">
        <v>0</v>
      </c>
      <c r="AUR28" s="1294"/>
      <c r="AUS28" s="1295"/>
      <c r="AUT28" s="1294">
        <v>0</v>
      </c>
      <c r="AUU28" s="1294"/>
      <c r="AUV28" s="1295"/>
      <c r="AUW28" s="1294">
        <v>0</v>
      </c>
      <c r="AUX28" s="1294"/>
      <c r="AUY28" s="1295"/>
      <c r="AUZ28" s="1294">
        <v>0</v>
      </c>
      <c r="AVA28" s="1294"/>
      <c r="AVB28" s="1295"/>
      <c r="AVC28" s="1294">
        <v>0</v>
      </c>
      <c r="AVD28" s="1294"/>
      <c r="AVE28" s="1295"/>
      <c r="AVF28" s="1294">
        <v>0</v>
      </c>
      <c r="AVG28" s="1294"/>
      <c r="AVH28" s="1295"/>
      <c r="AVI28" s="1294">
        <v>0</v>
      </c>
      <c r="AVJ28" s="1294"/>
      <c r="AVK28" s="1295"/>
      <c r="AVL28" s="1294">
        <v>0</v>
      </c>
      <c r="AVM28" s="1294"/>
      <c r="AVN28" s="1295"/>
      <c r="AVO28" s="1294">
        <v>0</v>
      </c>
      <c r="AVP28" s="1294"/>
      <c r="AVQ28" s="1295"/>
      <c r="AVR28" s="1294">
        <v>0</v>
      </c>
      <c r="AVS28" s="1294"/>
      <c r="AVT28" s="1295"/>
      <c r="AVU28" s="1294">
        <v>0</v>
      </c>
      <c r="AVV28" s="1294"/>
      <c r="AVW28" s="1295"/>
      <c r="AVX28" s="1294">
        <v>0</v>
      </c>
      <c r="AVY28" s="1294"/>
      <c r="AVZ28" s="1295"/>
      <c r="AWA28" s="1294">
        <v>0</v>
      </c>
      <c r="AWB28" s="1294"/>
      <c r="AWC28" s="1295"/>
      <c r="AWD28" s="1294">
        <v>0</v>
      </c>
      <c r="AWE28" s="1294"/>
      <c r="AWF28" s="1295"/>
      <c r="AWG28" s="1294">
        <v>0</v>
      </c>
      <c r="AWH28" s="1294"/>
      <c r="AWI28" s="1295"/>
      <c r="AWJ28" s="1294">
        <v>0</v>
      </c>
      <c r="AWK28" s="1294"/>
      <c r="AWL28" s="1295"/>
      <c r="AWM28" s="1294">
        <v>0</v>
      </c>
      <c r="AWN28" s="1294"/>
      <c r="AWO28" s="1295"/>
      <c r="AWP28" s="1294">
        <v>0</v>
      </c>
      <c r="AWQ28" s="1294"/>
      <c r="AWR28" s="1295"/>
      <c r="AWS28" s="1294">
        <v>0</v>
      </c>
      <c r="AWT28" s="1294"/>
      <c r="AWU28" s="1295"/>
      <c r="AWV28" s="1294">
        <v>0</v>
      </c>
      <c r="AWW28" s="1294"/>
      <c r="AWX28" s="1295"/>
      <c r="AWY28" s="1294">
        <v>0</v>
      </c>
      <c r="AWZ28" s="1294"/>
      <c r="AXA28" s="1295"/>
      <c r="AXB28" s="1294">
        <v>0</v>
      </c>
      <c r="AXC28" s="1294"/>
      <c r="AXD28" s="1295"/>
      <c r="AXE28" s="1294">
        <v>0</v>
      </c>
      <c r="AXF28" s="1294"/>
      <c r="AXG28" s="1295"/>
      <c r="AXH28" s="1294">
        <v>0</v>
      </c>
      <c r="AXI28" s="1294"/>
      <c r="AXJ28" s="1295"/>
      <c r="AXK28" s="1294">
        <v>0</v>
      </c>
      <c r="AXL28" s="1294"/>
      <c r="AXM28" s="1295"/>
      <c r="AXN28" s="1294">
        <v>0</v>
      </c>
      <c r="AXO28" s="1294"/>
      <c r="AXP28" s="1295"/>
      <c r="AXQ28" s="1294">
        <v>0</v>
      </c>
      <c r="AXR28" s="1294"/>
      <c r="AXS28" s="1295"/>
      <c r="AXT28" s="1294">
        <v>0</v>
      </c>
      <c r="AXU28" s="1294"/>
      <c r="AXV28" s="1295"/>
      <c r="AXW28" s="1294">
        <v>0</v>
      </c>
      <c r="AXX28" s="1294"/>
      <c r="AXY28" s="1295"/>
      <c r="AXZ28" s="1294">
        <v>0</v>
      </c>
      <c r="AYA28" s="1294"/>
      <c r="AYB28" s="1295"/>
      <c r="AYC28" s="1294">
        <v>0</v>
      </c>
      <c r="AYD28" s="1294"/>
      <c r="AYE28" s="1295"/>
      <c r="AYF28" s="1294">
        <v>0</v>
      </c>
      <c r="AYG28" s="1294"/>
      <c r="AYH28" s="1295"/>
      <c r="AYI28" s="1294">
        <v>0</v>
      </c>
      <c r="AYJ28" s="1294"/>
      <c r="AYK28" s="1295"/>
      <c r="AYL28" s="1294">
        <v>0</v>
      </c>
      <c r="AYM28" s="1294"/>
      <c r="AYN28" s="1295"/>
      <c r="AYO28" s="1294">
        <v>0</v>
      </c>
      <c r="AYP28" s="1294"/>
      <c r="AYQ28" s="1295"/>
      <c r="AYR28" s="1294">
        <v>0</v>
      </c>
      <c r="AYS28" s="1294"/>
      <c r="AYT28" s="1295"/>
      <c r="AYU28" s="1294">
        <v>0</v>
      </c>
      <c r="AYV28" s="1294"/>
      <c r="AYW28" s="1295"/>
      <c r="AYX28" s="1294">
        <v>0</v>
      </c>
      <c r="AYY28" s="1294"/>
      <c r="AYZ28" s="1295"/>
      <c r="AZA28" s="1294">
        <v>0</v>
      </c>
      <c r="AZB28" s="1294"/>
      <c r="AZC28" s="1295"/>
      <c r="AZD28" s="1294">
        <v>0</v>
      </c>
      <c r="AZE28" s="1294"/>
      <c r="AZF28" s="1295"/>
      <c r="AZG28" s="1294">
        <v>0</v>
      </c>
      <c r="AZH28" s="1294"/>
      <c r="AZI28" s="1295"/>
      <c r="AZJ28" s="1294">
        <v>0</v>
      </c>
      <c r="AZK28" s="1294"/>
      <c r="AZL28" s="1295"/>
      <c r="AZM28" s="1294">
        <v>0</v>
      </c>
      <c r="AZN28" s="1294"/>
      <c r="AZO28" s="1295"/>
      <c r="AZP28" s="1294">
        <v>0</v>
      </c>
      <c r="AZQ28" s="1294"/>
      <c r="AZR28" s="1295"/>
      <c r="AZS28" s="1294">
        <v>0</v>
      </c>
      <c r="AZT28" s="1294"/>
      <c r="AZU28" s="1295"/>
      <c r="AZV28" s="1294">
        <v>0</v>
      </c>
      <c r="AZW28" s="1294"/>
      <c r="AZX28" s="1295"/>
      <c r="AZY28" s="1294">
        <v>0</v>
      </c>
      <c r="AZZ28" s="1294"/>
      <c r="BAA28" s="1295"/>
      <c r="BAB28" s="1294">
        <v>0</v>
      </c>
      <c r="BAC28" s="1294"/>
      <c r="BAD28" s="1295"/>
      <c r="BAE28" s="1294">
        <v>0</v>
      </c>
      <c r="BAF28" s="1294"/>
      <c r="BAG28" s="1295"/>
      <c r="BAH28" s="1294">
        <v>0</v>
      </c>
      <c r="BAI28" s="1294"/>
      <c r="BAJ28" s="1295"/>
      <c r="BAK28" s="382"/>
      <c r="BAL28" s="382"/>
      <c r="BAM28" s="382"/>
      <c r="BAN28" s="382"/>
      <c r="BAO28" s="382"/>
      <c r="BAP28" s="382"/>
      <c r="BAQ28" s="382"/>
      <c r="BAR28" s="382"/>
      <c r="BAS28" s="382"/>
      <c r="BAT28" s="382"/>
      <c r="BAU28" s="382"/>
    </row>
    <row r="29" spans="1:1399" ht="14.5" customHeight="1">
      <c r="B29" s="1217" t="s">
        <v>355</v>
      </c>
      <c r="C29" s="1218"/>
      <c r="D29" s="1218"/>
      <c r="E29" s="1219" t="s">
        <v>349</v>
      </c>
      <c r="F29" s="1375" t="s">
        <v>20</v>
      </c>
      <c r="G29" s="1375"/>
      <c r="H29" s="1376"/>
      <c r="I29" s="1375" t="s">
        <v>20</v>
      </c>
      <c r="J29" s="1375"/>
      <c r="K29" s="1376"/>
      <c r="L29" s="1375" t="s">
        <v>20</v>
      </c>
      <c r="M29" s="1375"/>
      <c r="N29" s="1376"/>
      <c r="O29" s="1375" t="s">
        <v>20</v>
      </c>
      <c r="P29" s="1375"/>
      <c r="Q29" s="1376"/>
      <c r="R29" s="1375" t="s">
        <v>20</v>
      </c>
      <c r="S29" s="1375"/>
      <c r="T29" s="1376"/>
      <c r="U29" s="1375" t="s">
        <v>20</v>
      </c>
      <c r="V29" s="1375"/>
      <c r="W29" s="1376"/>
      <c r="X29" s="1375" t="s">
        <v>20</v>
      </c>
      <c r="Y29" s="1375"/>
      <c r="Z29" s="1376"/>
      <c r="AA29" s="1375" t="s">
        <v>20</v>
      </c>
      <c r="AB29" s="1375"/>
      <c r="AC29" s="1376"/>
      <c r="AD29" s="1375" t="s">
        <v>20</v>
      </c>
      <c r="AE29" s="1375"/>
      <c r="AF29" s="1376"/>
      <c r="AG29" s="1375" t="s">
        <v>20</v>
      </c>
      <c r="AH29" s="1375"/>
      <c r="AI29" s="1376"/>
      <c r="AJ29" s="1375" t="s">
        <v>20</v>
      </c>
      <c r="AK29" s="1375"/>
      <c r="AL29" s="1376"/>
      <c r="AM29" s="1375" t="s">
        <v>20</v>
      </c>
      <c r="AN29" s="1375"/>
      <c r="AO29" s="1376"/>
      <c r="AP29" s="1375" t="s">
        <v>20</v>
      </c>
      <c r="AQ29" s="1375"/>
      <c r="AR29" s="1376"/>
      <c r="AS29" s="1375" t="s">
        <v>20</v>
      </c>
      <c r="AT29" s="1375"/>
      <c r="AU29" s="1376"/>
      <c r="AV29" s="1375" t="s">
        <v>20</v>
      </c>
      <c r="AW29" s="1375"/>
      <c r="AX29" s="1376"/>
      <c r="AY29" s="1375" t="s">
        <v>20</v>
      </c>
      <c r="AZ29" s="1375"/>
      <c r="BA29" s="1376"/>
      <c r="BB29" s="1375" t="s">
        <v>20</v>
      </c>
      <c r="BC29" s="1375"/>
      <c r="BD29" s="1376"/>
      <c r="BE29" s="1375" t="s">
        <v>20</v>
      </c>
      <c r="BF29" s="1375"/>
      <c r="BG29" s="1376"/>
      <c r="BH29" s="1375" t="s">
        <v>20</v>
      </c>
      <c r="BI29" s="1375"/>
      <c r="BJ29" s="1376"/>
      <c r="BK29" s="1375" t="s">
        <v>20</v>
      </c>
      <c r="BL29" s="1375"/>
      <c r="BM29" s="1376"/>
      <c r="BN29" s="1375" t="s">
        <v>20</v>
      </c>
      <c r="BO29" s="1375"/>
      <c r="BP29" s="1376"/>
      <c r="BQ29" s="1375" t="s">
        <v>20</v>
      </c>
      <c r="BR29" s="1375"/>
      <c r="BS29" s="1376"/>
      <c r="BT29" s="1375" t="s">
        <v>20</v>
      </c>
      <c r="BU29" s="1375"/>
      <c r="BV29" s="1376"/>
      <c r="BW29" s="1375" t="s">
        <v>20</v>
      </c>
      <c r="BX29" s="1375"/>
      <c r="BY29" s="1376"/>
      <c r="BZ29" s="1375">
        <v>3.9399999999999998E-2</v>
      </c>
      <c r="CA29" s="1375"/>
      <c r="CB29" s="1376"/>
      <c r="CC29" s="1375">
        <v>0.31819999999999998</v>
      </c>
      <c r="CD29" s="1375"/>
      <c r="CE29" s="1376"/>
      <c r="CF29" s="1375">
        <v>0.17560000000000001</v>
      </c>
      <c r="CG29" s="1375"/>
      <c r="CH29" s="1376"/>
      <c r="CI29" s="1375">
        <v>0.2893</v>
      </c>
      <c r="CJ29" s="1375"/>
      <c r="CK29" s="1376"/>
      <c r="CL29" s="1375">
        <v>0.2515</v>
      </c>
      <c r="CM29" s="1375"/>
      <c r="CN29" s="1376"/>
      <c r="CO29" s="1375" t="s">
        <v>20</v>
      </c>
      <c r="CP29" s="1375"/>
      <c r="CQ29" s="1376"/>
      <c r="CR29" s="1375" t="s">
        <v>20</v>
      </c>
      <c r="CS29" s="1375"/>
      <c r="CT29" s="1376"/>
      <c r="CU29" s="1375" t="s">
        <v>20</v>
      </c>
      <c r="CV29" s="1375"/>
      <c r="CW29" s="1376"/>
      <c r="CX29" s="1375" t="s">
        <v>20</v>
      </c>
      <c r="CY29" s="1375"/>
      <c r="CZ29" s="1376"/>
      <c r="DA29" s="1375">
        <v>0.72729999999999995</v>
      </c>
      <c r="DB29" s="1375"/>
      <c r="DC29" s="1376"/>
      <c r="DD29" s="1375">
        <v>0.64170000000000005</v>
      </c>
      <c r="DE29" s="1375"/>
      <c r="DF29" s="1376"/>
      <c r="DG29" s="1375">
        <v>0.59379999999999999</v>
      </c>
      <c r="DH29" s="1375"/>
      <c r="DI29" s="1376"/>
      <c r="DJ29" s="1375">
        <v>0.65280000000000005</v>
      </c>
      <c r="DK29" s="1375"/>
      <c r="DL29" s="1376"/>
      <c r="DM29" s="1375" t="s">
        <v>20</v>
      </c>
      <c r="DN29" s="1375"/>
      <c r="DO29" s="1376"/>
      <c r="DP29" s="1375" t="s">
        <v>20</v>
      </c>
      <c r="DQ29" s="1375"/>
      <c r="DR29" s="1376"/>
      <c r="DS29" s="1375">
        <v>0.69850000000000001</v>
      </c>
      <c r="DT29" s="1375"/>
      <c r="DU29" s="1376"/>
      <c r="DV29" s="1375">
        <v>0.59719999999999995</v>
      </c>
      <c r="DW29" s="1375"/>
      <c r="DX29" s="1376"/>
      <c r="DY29" s="1375">
        <v>0.71150000000000002</v>
      </c>
      <c r="DZ29" s="1375"/>
      <c r="EA29" s="1376"/>
      <c r="EB29" s="1375">
        <v>0.68059999999999998</v>
      </c>
      <c r="EC29" s="1375"/>
      <c r="ED29" s="1376"/>
      <c r="EE29" s="1375">
        <v>0.6875</v>
      </c>
      <c r="EF29" s="1375"/>
      <c r="EG29" s="1376"/>
      <c r="EH29" s="1375" t="s">
        <v>20</v>
      </c>
      <c r="EI29" s="1375"/>
      <c r="EJ29" s="1376"/>
      <c r="EK29" s="1375" t="s">
        <v>20</v>
      </c>
      <c r="EL29" s="1375"/>
      <c r="EM29" s="1376"/>
      <c r="EN29" s="1375">
        <v>0.56879999999999997</v>
      </c>
      <c r="EO29" s="1375"/>
      <c r="EP29" s="1376"/>
      <c r="EQ29" s="1375">
        <v>0.63280000000000003</v>
      </c>
      <c r="ER29" s="1375"/>
      <c r="ES29" s="1376"/>
      <c r="ET29" s="1375">
        <v>0.63390000000000002</v>
      </c>
      <c r="EU29" s="1375"/>
      <c r="EV29" s="1376"/>
      <c r="EW29" s="1375">
        <v>0.64129999999999998</v>
      </c>
      <c r="EX29" s="1375"/>
      <c r="EY29" s="1376"/>
      <c r="EZ29" s="1375">
        <v>0.64580000000000004</v>
      </c>
      <c r="FA29" s="1375"/>
      <c r="FB29" s="1376"/>
      <c r="FC29" s="1375" t="s">
        <v>20</v>
      </c>
      <c r="FD29" s="1375"/>
      <c r="FE29" s="1376"/>
      <c r="FF29" s="1375" t="s">
        <v>20</v>
      </c>
      <c r="FG29" s="1375"/>
      <c r="FH29" s="1376"/>
      <c r="FI29" s="1375">
        <v>0.67859999999999998</v>
      </c>
      <c r="FJ29" s="1375"/>
      <c r="FK29" s="1376"/>
      <c r="FL29" s="1375">
        <v>0.64470000000000005</v>
      </c>
      <c r="FM29" s="1375"/>
      <c r="FN29" s="1376"/>
      <c r="FO29" s="1375">
        <v>0.66669999999999996</v>
      </c>
      <c r="FP29" s="1375"/>
      <c r="FQ29" s="1376"/>
      <c r="FR29" s="1375">
        <v>0.63239999999999996</v>
      </c>
      <c r="FS29" s="1375"/>
      <c r="FT29" s="1376"/>
      <c r="FU29" s="1375" t="s">
        <v>20</v>
      </c>
      <c r="FV29" s="1375"/>
      <c r="FW29" s="1376"/>
      <c r="FX29" s="1375" t="s">
        <v>20</v>
      </c>
      <c r="FY29" s="1375"/>
      <c r="FZ29" s="1376"/>
      <c r="GA29" s="1375" t="s">
        <v>20</v>
      </c>
      <c r="GB29" s="1375"/>
      <c r="GC29" s="1376"/>
      <c r="GD29" s="1375">
        <v>0.75</v>
      </c>
      <c r="GE29" s="1375"/>
      <c r="GF29" s="1376"/>
      <c r="GG29" s="1375" t="s">
        <v>20</v>
      </c>
      <c r="GH29" s="1375"/>
      <c r="GI29" s="1376"/>
      <c r="GJ29" s="1375" t="s">
        <v>20</v>
      </c>
      <c r="GK29" s="1375"/>
      <c r="GL29" s="1376"/>
      <c r="GM29" s="1375">
        <v>0.70589999999999997</v>
      </c>
      <c r="GN29" s="1375"/>
      <c r="GO29" s="1376"/>
      <c r="GP29" s="1375">
        <v>0.77680000000000005</v>
      </c>
      <c r="GQ29" s="1375"/>
      <c r="GR29" s="1376"/>
      <c r="GS29" s="1375" t="s">
        <v>20</v>
      </c>
      <c r="GT29" s="1375"/>
      <c r="GU29" s="1376"/>
      <c r="GV29" s="1375" t="s">
        <v>20</v>
      </c>
      <c r="GW29" s="1375"/>
      <c r="GX29" s="1376"/>
      <c r="GY29" s="1375">
        <v>0.70450000000000002</v>
      </c>
      <c r="GZ29" s="1375"/>
      <c r="HA29" s="1376"/>
      <c r="HB29" s="1375" t="s">
        <v>356</v>
      </c>
      <c r="HC29" s="1375"/>
      <c r="HD29" s="1376"/>
      <c r="HE29" s="1375">
        <v>0.69230000000000003</v>
      </c>
      <c r="HF29" s="1375"/>
      <c r="HG29" s="1376"/>
      <c r="HH29" s="1375">
        <v>0.69230000000000003</v>
      </c>
      <c r="HI29" s="1375"/>
      <c r="HJ29" s="1376"/>
      <c r="HK29" s="1375">
        <v>0.4</v>
      </c>
      <c r="HL29" s="1375"/>
      <c r="HM29" s="1376"/>
      <c r="HN29" s="1375" t="s">
        <v>20</v>
      </c>
      <c r="HO29" s="1375"/>
      <c r="HP29" s="1376"/>
      <c r="HQ29" s="1375">
        <v>0.79459999999999997</v>
      </c>
      <c r="HR29" s="1375"/>
      <c r="HS29" s="1376"/>
      <c r="HT29" s="1375">
        <v>0.71430000000000005</v>
      </c>
      <c r="HU29" s="1375"/>
      <c r="HV29" s="1376"/>
      <c r="HW29" s="1375">
        <v>0.76970000000000005</v>
      </c>
      <c r="HX29" s="1375"/>
      <c r="HY29" s="1376"/>
      <c r="HZ29" s="1375">
        <v>0.66669999999999996</v>
      </c>
      <c r="IA29" s="1375"/>
      <c r="IB29" s="1376"/>
      <c r="IC29" s="1375" t="s">
        <v>20</v>
      </c>
      <c r="ID29" s="1375"/>
      <c r="IE29" s="1376"/>
      <c r="IF29" s="1375" t="s">
        <v>20</v>
      </c>
      <c r="IG29" s="1375"/>
      <c r="IH29" s="1376"/>
      <c r="II29" s="1375" t="s">
        <v>20</v>
      </c>
      <c r="IJ29" s="1375"/>
      <c r="IK29" s="1376"/>
      <c r="IL29" s="1375"/>
      <c r="IM29" s="1375"/>
      <c r="IN29" s="1376"/>
      <c r="IO29" s="1375">
        <v>0.78910000000000002</v>
      </c>
      <c r="IP29" s="1375"/>
      <c r="IQ29" s="1376"/>
      <c r="IR29" s="1375">
        <v>0.88890000000000002</v>
      </c>
      <c r="IS29" s="1375"/>
      <c r="IT29" s="1376"/>
      <c r="IU29" s="1375">
        <v>0.69640000000000002</v>
      </c>
      <c r="IV29" s="1375"/>
      <c r="IW29" s="1376"/>
      <c r="IX29" s="1375">
        <v>0.78569999999999995</v>
      </c>
      <c r="IY29" s="1375"/>
      <c r="IZ29" s="1376"/>
      <c r="JA29" s="1375">
        <v>0.73209999999999997</v>
      </c>
      <c r="JB29" s="1375"/>
      <c r="JC29" s="1376"/>
      <c r="JD29" s="1375" t="s">
        <v>20</v>
      </c>
      <c r="JE29" s="1375"/>
      <c r="JF29" s="1376"/>
      <c r="JG29" s="1375">
        <v>0.875</v>
      </c>
      <c r="JH29" s="1375"/>
      <c r="JI29" s="1376"/>
      <c r="JJ29" s="1375">
        <v>0.8</v>
      </c>
      <c r="JK29" s="1375"/>
      <c r="JL29" s="1376"/>
      <c r="JM29" s="1375">
        <v>0.72319999999999995</v>
      </c>
      <c r="JN29" s="1375"/>
      <c r="JO29" s="1376"/>
      <c r="JP29" s="1375" t="s">
        <v>20</v>
      </c>
      <c r="JQ29" s="1375"/>
      <c r="JR29" s="1376"/>
      <c r="JS29" s="1375" t="s">
        <v>20</v>
      </c>
      <c r="JT29" s="1375"/>
      <c r="JU29" s="1376"/>
      <c r="JV29" s="1375">
        <v>0.72789999999999999</v>
      </c>
      <c r="JW29" s="1375"/>
      <c r="JX29" s="1376"/>
      <c r="JY29" s="1413" t="s">
        <v>20</v>
      </c>
      <c r="JZ29" s="1375"/>
      <c r="KA29" s="1376"/>
      <c r="KB29" s="1375" t="s">
        <v>20</v>
      </c>
      <c r="KC29" s="1375"/>
      <c r="KD29" s="1376"/>
      <c r="KE29" s="1375">
        <v>0.6875</v>
      </c>
      <c r="KF29" s="1375"/>
      <c r="KG29" s="1376"/>
      <c r="KH29" s="1375">
        <v>0.63539999999999996</v>
      </c>
      <c r="KI29" s="1375"/>
      <c r="KJ29" s="1376"/>
      <c r="KK29" s="1375">
        <v>0.55000000000000004</v>
      </c>
      <c r="KL29" s="1375"/>
      <c r="KM29" s="1376"/>
      <c r="KN29" s="1375">
        <v>0.70540000000000003</v>
      </c>
      <c r="KO29" s="1375"/>
      <c r="KP29" s="1376"/>
      <c r="KQ29" s="1375" t="s">
        <v>20</v>
      </c>
      <c r="KR29" s="1375"/>
      <c r="KS29" s="1376"/>
      <c r="KT29" s="1375" t="s">
        <v>20</v>
      </c>
      <c r="KU29" s="1375"/>
      <c r="KV29" s="1376"/>
      <c r="KW29" s="1375">
        <v>0.80879999999999996</v>
      </c>
      <c r="KX29" s="1375"/>
      <c r="KY29" s="1376"/>
      <c r="KZ29" s="1375">
        <v>0.75890000000000002</v>
      </c>
      <c r="LA29" s="1375"/>
      <c r="LB29" s="1376"/>
      <c r="LC29" s="1375">
        <v>0.7833</v>
      </c>
      <c r="LD29" s="1375"/>
      <c r="LE29" s="1376"/>
      <c r="LF29" s="1375">
        <v>0.70540000000000003</v>
      </c>
      <c r="LG29" s="1375"/>
      <c r="LH29" s="1376"/>
      <c r="LI29" s="1375">
        <v>0.66669999999999996</v>
      </c>
      <c r="LJ29" s="1375"/>
      <c r="LK29" s="1376"/>
      <c r="LL29" s="1375">
        <v>0.65</v>
      </c>
      <c r="LM29" s="1375"/>
      <c r="LN29" s="1376"/>
      <c r="LO29" s="1375"/>
      <c r="LP29" s="1375"/>
      <c r="LQ29" s="1376"/>
      <c r="LR29" s="1375">
        <v>0.875</v>
      </c>
      <c r="LS29" s="1375"/>
      <c r="LT29" s="1376"/>
      <c r="LU29" s="1375">
        <v>0.82689999999999997</v>
      </c>
      <c r="LV29" s="1375"/>
      <c r="LW29" s="1376"/>
      <c r="LX29" s="1375">
        <v>0.72919999999999996</v>
      </c>
      <c r="LY29" s="1375"/>
      <c r="LZ29" s="1376"/>
      <c r="MA29" s="1375">
        <v>0.73209999999999997</v>
      </c>
      <c r="MB29" s="1375"/>
      <c r="MC29" s="1376"/>
      <c r="MD29" s="1375">
        <v>0.79549999999999998</v>
      </c>
      <c r="ME29" s="1375"/>
      <c r="MF29" s="1376"/>
      <c r="MG29" s="1375">
        <v>0.73750000000000004</v>
      </c>
      <c r="MH29" s="1375"/>
      <c r="MI29" s="1376"/>
      <c r="MJ29" s="1375" t="s">
        <v>20</v>
      </c>
      <c r="MK29" s="1375"/>
      <c r="ML29" s="1376"/>
      <c r="MM29" s="1375" t="s">
        <v>20</v>
      </c>
      <c r="MN29" s="1375"/>
      <c r="MO29" s="1376"/>
      <c r="MP29" s="1375">
        <v>0.9143</v>
      </c>
      <c r="MQ29" s="1375"/>
      <c r="MR29" s="1376"/>
      <c r="MS29" s="1375">
        <v>0.75</v>
      </c>
      <c r="MT29" s="1375"/>
      <c r="MU29" s="1376"/>
      <c r="MV29" s="1375" t="s">
        <v>20</v>
      </c>
      <c r="MW29" s="1375"/>
      <c r="MX29" s="1376"/>
      <c r="MY29" s="1375" t="s">
        <v>20</v>
      </c>
      <c r="MZ29" s="1375"/>
      <c r="NA29" s="1376"/>
      <c r="NB29" s="1375">
        <v>0.5413</v>
      </c>
      <c r="NC29" s="1375"/>
      <c r="ND29" s="1376"/>
      <c r="NE29" s="1375" t="s">
        <v>20</v>
      </c>
      <c r="NF29" s="1375"/>
      <c r="NG29" s="1376"/>
      <c r="NH29" s="1375" t="s">
        <v>20</v>
      </c>
      <c r="NI29" s="1375"/>
      <c r="NJ29" s="1376"/>
      <c r="NK29" s="1375">
        <v>0.71879999999999999</v>
      </c>
      <c r="NL29" s="1375"/>
      <c r="NM29" s="1376"/>
      <c r="NN29" s="1375">
        <v>0.79410000000000003</v>
      </c>
      <c r="NO29" s="1375"/>
      <c r="NP29" s="1376"/>
      <c r="NQ29" s="1375">
        <v>0.77500000000000002</v>
      </c>
      <c r="NR29" s="1375"/>
      <c r="NS29" s="1376"/>
      <c r="NT29" s="1375">
        <v>0.81730000000000003</v>
      </c>
      <c r="NU29" s="1375"/>
      <c r="NV29" s="1376"/>
      <c r="NW29" s="1375">
        <v>0.6875</v>
      </c>
      <c r="NX29" s="1375"/>
      <c r="NY29" s="1376"/>
      <c r="NZ29" s="1375" t="s">
        <v>20</v>
      </c>
      <c r="OA29" s="1375"/>
      <c r="OB29" s="1376"/>
      <c r="OC29" s="1375">
        <v>0.77080000000000004</v>
      </c>
      <c r="OD29" s="1375"/>
      <c r="OE29" s="1376"/>
      <c r="OF29" s="1375">
        <v>0.86360000000000003</v>
      </c>
      <c r="OG29" s="1375"/>
      <c r="OH29" s="1376"/>
      <c r="OI29" s="1375">
        <v>0.79459999999999997</v>
      </c>
      <c r="OJ29" s="1375"/>
      <c r="OK29" s="1376"/>
      <c r="OL29" s="1375">
        <v>0.70589999999999997</v>
      </c>
      <c r="OM29" s="1375"/>
      <c r="ON29" s="1376"/>
      <c r="OO29" s="1375">
        <v>0.76919999999999999</v>
      </c>
      <c r="OP29" s="1375"/>
      <c r="OQ29" s="1376"/>
      <c r="OR29" s="1375" t="s">
        <v>20</v>
      </c>
      <c r="OS29" s="1375"/>
      <c r="OT29" s="1376"/>
      <c r="OU29" s="1375" t="s">
        <v>20</v>
      </c>
      <c r="OV29" s="1375"/>
      <c r="OW29" s="1376"/>
      <c r="OX29" s="1375" t="s">
        <v>20</v>
      </c>
      <c r="OY29" s="1375"/>
      <c r="OZ29" s="1376"/>
      <c r="PA29" s="1375" t="s">
        <v>20</v>
      </c>
      <c r="PB29" s="1375"/>
      <c r="PC29" s="1376"/>
      <c r="PD29" s="1375">
        <v>0.49109999999999998</v>
      </c>
      <c r="PE29" s="1375"/>
      <c r="PF29" s="1376"/>
      <c r="PG29" s="1375">
        <v>0.65669999999999995</v>
      </c>
      <c r="PH29" s="1375"/>
      <c r="PI29" s="1376"/>
      <c r="PJ29" s="1375" t="s">
        <v>20</v>
      </c>
      <c r="PK29" s="1375"/>
      <c r="PL29" s="1376"/>
      <c r="PM29" s="1375" t="s">
        <v>20</v>
      </c>
      <c r="PN29" s="1375"/>
      <c r="PO29" s="1376"/>
      <c r="PP29" s="1375" t="s">
        <v>20</v>
      </c>
      <c r="PQ29" s="1375"/>
      <c r="PR29" s="1376"/>
      <c r="PS29" s="1375" t="s">
        <v>20</v>
      </c>
      <c r="PT29" s="1375"/>
      <c r="PU29" s="1376"/>
      <c r="PV29" s="1375">
        <v>0.71319999999999995</v>
      </c>
      <c r="PW29" s="1375"/>
      <c r="PX29" s="1376"/>
      <c r="PY29" s="1375">
        <v>0.76319999999999999</v>
      </c>
      <c r="PZ29" s="1375"/>
      <c r="QA29" s="1376"/>
      <c r="QB29" s="1375">
        <v>0.75890000000000002</v>
      </c>
      <c r="QC29" s="1375"/>
      <c r="QD29" s="1376"/>
      <c r="QE29" s="1375">
        <v>0.78949999999999998</v>
      </c>
      <c r="QF29" s="1375"/>
      <c r="QG29" s="1376"/>
      <c r="QH29" s="1375">
        <v>0.78749999999999998</v>
      </c>
      <c r="QI29" s="1375"/>
      <c r="QJ29" s="1376"/>
      <c r="QK29" s="1375" t="s">
        <v>20</v>
      </c>
      <c r="QL29" s="1375"/>
      <c r="QM29" s="1376"/>
      <c r="QN29" s="1375" t="s">
        <v>20</v>
      </c>
      <c r="QO29" s="1375"/>
      <c r="QP29" s="1376"/>
      <c r="QQ29" s="1375">
        <v>0.76249999999999996</v>
      </c>
      <c r="QR29" s="1375"/>
      <c r="QS29" s="1376"/>
      <c r="QT29" s="1375">
        <v>0.82689999999999997</v>
      </c>
      <c r="QU29" s="1375"/>
      <c r="QV29" s="1376"/>
      <c r="QW29" s="1375">
        <v>0.81879999999999997</v>
      </c>
      <c r="QX29" s="1375"/>
      <c r="QY29" s="1376"/>
      <c r="QZ29" s="1375">
        <v>0.80559999999999998</v>
      </c>
      <c r="RA29" s="1375"/>
      <c r="RB29" s="1376"/>
      <c r="RC29" s="1375">
        <v>0.75780000000000003</v>
      </c>
      <c r="RD29" s="1375"/>
      <c r="RE29" s="1376"/>
      <c r="RF29" s="1375" t="s">
        <v>20</v>
      </c>
      <c r="RG29" s="1375"/>
      <c r="RH29" s="1376"/>
      <c r="RI29" s="1375" t="s">
        <v>20</v>
      </c>
      <c r="RJ29" s="1375"/>
      <c r="RK29" s="1376"/>
      <c r="RL29" s="1375">
        <v>0.5141</v>
      </c>
      <c r="RM29" s="1375"/>
      <c r="RN29" s="1376"/>
      <c r="RO29" s="1375" t="s">
        <v>20</v>
      </c>
      <c r="RP29" s="1375"/>
      <c r="RQ29" s="1376"/>
      <c r="RR29" s="1375">
        <v>0.75</v>
      </c>
      <c r="RS29" s="1375"/>
      <c r="RT29" s="1376"/>
      <c r="RU29" s="1375">
        <v>0.7833</v>
      </c>
      <c r="RV29" s="1375"/>
      <c r="RW29" s="1376"/>
      <c r="RX29" s="1375">
        <v>0.76919999999999999</v>
      </c>
      <c r="RY29" s="1375"/>
      <c r="RZ29" s="1376"/>
      <c r="SA29" s="1375" t="s">
        <v>20</v>
      </c>
      <c r="SB29" s="1375"/>
      <c r="SC29" s="1376"/>
      <c r="SD29" s="1375">
        <v>0.83130000000000004</v>
      </c>
      <c r="SE29" s="1375"/>
      <c r="SF29" s="1376"/>
      <c r="SG29" s="1375" t="s">
        <v>20</v>
      </c>
      <c r="SH29" s="1375"/>
      <c r="SI29" s="1376"/>
      <c r="SJ29" s="1375">
        <v>0.70309999999999995</v>
      </c>
      <c r="SK29" s="1375"/>
      <c r="SL29" s="1376"/>
      <c r="SM29" s="1375">
        <v>0.875</v>
      </c>
      <c r="SN29" s="1375"/>
      <c r="SO29" s="1376"/>
      <c r="SP29" s="1375">
        <v>0.82809999999999995</v>
      </c>
      <c r="SQ29" s="1375"/>
      <c r="SR29" s="1376"/>
      <c r="SS29" s="1375">
        <v>0.8</v>
      </c>
      <c r="ST29" s="1375"/>
      <c r="SU29" s="1376"/>
      <c r="SV29" s="1375" t="s">
        <v>20</v>
      </c>
      <c r="SW29" s="1375"/>
      <c r="SX29" s="1376"/>
      <c r="SY29" s="1375" t="s">
        <v>20</v>
      </c>
      <c r="SZ29" s="1375"/>
      <c r="TA29" s="1376"/>
      <c r="TB29" s="1375">
        <v>0.72219999999999995</v>
      </c>
      <c r="TC29" s="1375"/>
      <c r="TD29" s="1376"/>
      <c r="TE29" s="1375">
        <v>0.76559999999999995</v>
      </c>
      <c r="TF29" s="1375"/>
      <c r="TG29" s="1376"/>
      <c r="TH29" s="1375">
        <v>0.75</v>
      </c>
      <c r="TI29" s="1375"/>
      <c r="TJ29" s="1376"/>
      <c r="TK29" s="1375">
        <v>0.73860000000000003</v>
      </c>
      <c r="TL29" s="1375"/>
      <c r="TM29" s="1376"/>
      <c r="TN29" s="1375">
        <v>0.77780000000000005</v>
      </c>
      <c r="TO29" s="1375"/>
      <c r="TP29" s="1376"/>
      <c r="TQ29" s="1375" t="s">
        <v>20</v>
      </c>
      <c r="TR29" s="1375"/>
      <c r="TS29" s="1376"/>
      <c r="TT29" s="1375">
        <v>0.78600000000000003</v>
      </c>
      <c r="TU29" s="1375"/>
      <c r="TV29" s="1376"/>
      <c r="TW29" s="1375">
        <v>0.79890000000000005</v>
      </c>
      <c r="TX29" s="1375"/>
      <c r="TY29" s="1376"/>
      <c r="TZ29" s="1375">
        <v>0.81189999999999996</v>
      </c>
      <c r="UA29" s="1375"/>
      <c r="UB29" s="1376"/>
      <c r="UC29" s="1375">
        <v>0.77429999999999999</v>
      </c>
      <c r="UD29" s="1375"/>
      <c r="UE29" s="1376"/>
      <c r="UF29" s="1375">
        <v>0.79759999999999998</v>
      </c>
      <c r="UG29" s="1375"/>
      <c r="UH29" s="1376"/>
      <c r="UI29" s="1375">
        <v>0.77500000000000002</v>
      </c>
      <c r="UJ29" s="1375"/>
      <c r="UK29" s="1376"/>
      <c r="UL29" s="1375" t="s">
        <v>20</v>
      </c>
      <c r="UM29" s="1375"/>
      <c r="UN29" s="1376"/>
      <c r="UO29" s="1375" t="s">
        <v>20</v>
      </c>
      <c r="UP29" s="1375"/>
      <c r="UQ29" s="1376"/>
      <c r="UR29" s="1375">
        <v>0.75</v>
      </c>
      <c r="US29" s="1375"/>
      <c r="UT29" s="1376"/>
      <c r="UU29" s="1375">
        <v>0.80049999999999999</v>
      </c>
      <c r="UV29" s="1375"/>
      <c r="UW29" s="1376"/>
      <c r="UX29" s="1375">
        <v>0.72499999999999998</v>
      </c>
      <c r="UY29" s="1375"/>
      <c r="UZ29" s="1376"/>
      <c r="VA29" s="1375">
        <v>0.75</v>
      </c>
      <c r="VB29" s="1375"/>
      <c r="VC29" s="1376"/>
      <c r="VD29" s="1375">
        <v>0.83750000000000002</v>
      </c>
      <c r="VE29" s="1375"/>
      <c r="VF29" s="1376"/>
      <c r="VG29" s="1375" t="s">
        <v>20</v>
      </c>
      <c r="VH29" s="1375"/>
      <c r="VI29" s="1376"/>
      <c r="VJ29" s="1375">
        <v>0.84830000000000005</v>
      </c>
      <c r="VK29" s="1375"/>
      <c r="VL29" s="1376"/>
      <c r="VM29" s="1375">
        <v>0.83520000000000005</v>
      </c>
      <c r="VN29" s="1375"/>
      <c r="VO29" s="1376"/>
      <c r="VP29" s="1375">
        <v>0.83520000000000005</v>
      </c>
      <c r="VQ29" s="1375"/>
      <c r="VR29" s="1376"/>
      <c r="VS29" s="1375">
        <v>0.88929999999999998</v>
      </c>
      <c r="VT29" s="1375"/>
      <c r="VU29" s="1376"/>
      <c r="VV29" s="1375">
        <v>0.91910000000000003</v>
      </c>
      <c r="VW29" s="1375"/>
      <c r="VX29" s="1376"/>
      <c r="VY29" s="1375">
        <v>0.92459999999999998</v>
      </c>
      <c r="VZ29" s="1375"/>
      <c r="WA29" s="1376"/>
      <c r="WB29" s="1375" t="s">
        <v>20</v>
      </c>
      <c r="WC29" s="1375"/>
      <c r="WD29" s="1376"/>
      <c r="WE29" s="1375">
        <v>0.91069999999999995</v>
      </c>
      <c r="WF29" s="1375"/>
      <c r="WG29" s="1376"/>
      <c r="WH29" s="1375">
        <v>0.875</v>
      </c>
      <c r="WI29" s="1375"/>
      <c r="WJ29" s="1376"/>
      <c r="WK29" s="1375">
        <v>0.8871</v>
      </c>
      <c r="WL29" s="1375"/>
      <c r="WM29" s="1376"/>
      <c r="WN29" s="1375">
        <v>0.90969999999999995</v>
      </c>
      <c r="WO29" s="1375"/>
      <c r="WP29" s="1376"/>
      <c r="WQ29" s="1375">
        <v>0.87050000000000005</v>
      </c>
      <c r="WR29" s="1375"/>
      <c r="WS29" s="1376"/>
      <c r="WT29" s="1375">
        <v>0.90439999999999998</v>
      </c>
      <c r="WU29" s="1375"/>
      <c r="WV29" s="1376"/>
      <c r="WW29" s="1375" t="s">
        <v>20</v>
      </c>
      <c r="WX29" s="1375"/>
      <c r="WY29" s="1376"/>
      <c r="WZ29" s="1375">
        <v>0.90100000000000002</v>
      </c>
      <c r="XA29" s="1375"/>
      <c r="XB29" s="1376"/>
      <c r="XC29" s="1375">
        <v>0.85940000000000005</v>
      </c>
      <c r="XD29" s="1375"/>
      <c r="XE29" s="1376"/>
      <c r="XF29" s="1375">
        <v>0.76470000000000005</v>
      </c>
      <c r="XG29" s="1375"/>
      <c r="XH29" s="1376"/>
      <c r="XI29" s="1375">
        <v>0.75</v>
      </c>
      <c r="XJ29" s="1375"/>
      <c r="XK29" s="1376"/>
      <c r="XL29" s="1375">
        <v>0.82069999999999999</v>
      </c>
      <c r="XM29" s="1375"/>
      <c r="XN29" s="1376"/>
      <c r="XO29" s="1375">
        <v>0.77569999999999995</v>
      </c>
      <c r="XP29" s="1375"/>
      <c r="XQ29" s="1376"/>
      <c r="XR29" s="1375" t="s">
        <v>20</v>
      </c>
      <c r="XS29" s="1375"/>
      <c r="XT29" s="1376"/>
      <c r="XU29" s="1375">
        <f>+AVERAGE(XU30:XW32)</f>
        <v>0.81</v>
      </c>
      <c r="XV29" s="1375"/>
      <c r="XW29" s="1376"/>
      <c r="XX29" s="1375">
        <f>+AVERAGE(XX30:XZ32)</f>
        <v>0.85333333333333339</v>
      </c>
      <c r="XY29" s="1375"/>
      <c r="XZ29" s="1376"/>
      <c r="YA29" s="1375">
        <f>+AVERAGE(YA30:YC32)</f>
        <v>0.89666666666666661</v>
      </c>
      <c r="YB29" s="1375"/>
      <c r="YC29" s="1376"/>
      <c r="YD29" s="1375">
        <f>+AVERAGE(YD30:YF32)</f>
        <v>0.90333333333333332</v>
      </c>
      <c r="YE29" s="1375"/>
      <c r="YF29" s="1376"/>
      <c r="YG29" s="1375">
        <f>+AVERAGE(YG30:YI32)</f>
        <v>0.90666666666666662</v>
      </c>
      <c r="YH29" s="1375"/>
      <c r="YI29" s="1376"/>
      <c r="YJ29" s="1375">
        <f>+AVERAGE(YJ30:YL32)</f>
        <v>0.89666666666666661</v>
      </c>
      <c r="YK29" s="1375"/>
      <c r="YL29" s="1376"/>
      <c r="YM29" s="1375" t="s">
        <v>20</v>
      </c>
      <c r="YN29" s="1375"/>
      <c r="YO29" s="1376"/>
      <c r="YP29" s="1375">
        <f>+AVERAGE(YP30:YR32)</f>
        <v>0.87333333333333341</v>
      </c>
      <c r="YQ29" s="1375"/>
      <c r="YR29" s="1376"/>
      <c r="YS29" s="1375">
        <f>+AVERAGE(YS30:YU32)</f>
        <v>0.88</v>
      </c>
      <c r="YT29" s="1375"/>
      <c r="YU29" s="1376"/>
      <c r="YV29" s="1375">
        <f>+AVERAGE(YV30:YX32)</f>
        <v>0.87</v>
      </c>
      <c r="YW29" s="1375"/>
      <c r="YX29" s="1376"/>
      <c r="YY29" s="1375">
        <f>+AVERAGE(YY30:ZA32)</f>
        <v>0.89</v>
      </c>
      <c r="YZ29" s="1375"/>
      <c r="ZA29" s="1376"/>
      <c r="ZB29" s="1375">
        <f>+AVERAGE(ZB30:ZD32)</f>
        <v>0.83333333333333337</v>
      </c>
      <c r="ZC29" s="1375"/>
      <c r="ZD29" s="1376"/>
      <c r="ZE29" s="1375">
        <f>+AVERAGE(ZE30:ZG32)</f>
        <v>0.80666666666666664</v>
      </c>
      <c r="ZF29" s="1375"/>
      <c r="ZG29" s="1376"/>
      <c r="ZH29" s="1375" t="str">
        <f>+IFERROR(AVERAGE(ZH30:ZJ32),"-")</f>
        <v>-</v>
      </c>
      <c r="ZI29" s="1375"/>
      <c r="ZJ29" s="1376"/>
      <c r="ZK29" s="1375" t="str">
        <f>+IFERROR(AVERAGE(ZK30:ZM32),"-")</f>
        <v>-</v>
      </c>
      <c r="ZL29" s="1375"/>
      <c r="ZM29" s="1376"/>
      <c r="ZN29" s="1375">
        <f>+AVERAGE(ZN30:ZP32)</f>
        <v>0.85333333333333339</v>
      </c>
      <c r="ZO29" s="1375"/>
      <c r="ZP29" s="1376"/>
      <c r="ZQ29" s="1375">
        <v>0.84</v>
      </c>
      <c r="ZR29" s="1375"/>
      <c r="ZS29" s="1376"/>
      <c r="ZT29" s="1375">
        <v>0.73</v>
      </c>
      <c r="ZU29" s="1375"/>
      <c r="ZV29" s="1376"/>
      <c r="ZW29" s="1375">
        <v>0.59</v>
      </c>
      <c r="ZX29" s="1375"/>
      <c r="ZY29" s="1376"/>
      <c r="ZZ29" s="1375">
        <v>0.81</v>
      </c>
      <c r="AAA29" s="1375"/>
      <c r="AAB29" s="1376"/>
      <c r="AAC29" s="1375" t="str">
        <f>+IFERROR(AVERAGE(AAC30:AAE32),"-")</f>
        <v>-</v>
      </c>
      <c r="AAD29" s="1375"/>
      <c r="AAE29" s="1376"/>
      <c r="AAF29" s="1375" t="str">
        <f>+IFERROR(AVERAGE(AAF30:AAH32),"-")</f>
        <v>-</v>
      </c>
      <c r="AAG29" s="1375"/>
      <c r="AAH29" s="1376"/>
      <c r="AAI29" s="1375">
        <v>0.86</v>
      </c>
      <c r="AAJ29" s="1375"/>
      <c r="AAK29" s="1376"/>
      <c r="AAL29" s="1375">
        <v>0.73</v>
      </c>
      <c r="AAM29" s="1375"/>
      <c r="AAN29" s="1376"/>
      <c r="AAO29" s="1375">
        <v>0.66</v>
      </c>
      <c r="AAP29" s="1375"/>
      <c r="AAQ29" s="1376"/>
      <c r="AAR29" s="1375">
        <v>0.57999999999999996</v>
      </c>
      <c r="AAS29" s="1375"/>
      <c r="AAT29" s="1376"/>
      <c r="AAU29" s="1375">
        <v>0.62</v>
      </c>
      <c r="AAV29" s="1375"/>
      <c r="AAW29" s="1376"/>
      <c r="AAX29" s="1375" t="str">
        <f>+IFERROR(AVERAGE(AAX30:AAZ32),"-")</f>
        <v>-</v>
      </c>
      <c r="AAY29" s="1375"/>
      <c r="AAZ29" s="1376"/>
      <c r="ABA29" s="1375">
        <v>1</v>
      </c>
      <c r="ABB29" s="1375"/>
      <c r="ABC29" s="1376"/>
      <c r="ABD29" s="1375">
        <v>0.83</v>
      </c>
      <c r="ABE29" s="1375"/>
      <c r="ABF29" s="1376"/>
      <c r="ABG29" s="1377">
        <v>0.91</v>
      </c>
      <c r="ABH29" s="1377"/>
      <c r="ABI29" s="1378"/>
      <c r="ABJ29" s="1377">
        <v>0.91</v>
      </c>
      <c r="ABK29" s="1377"/>
      <c r="ABL29" s="1378"/>
      <c r="ABM29" s="1377">
        <v>0.88</v>
      </c>
      <c r="ABN29" s="1377"/>
      <c r="ABO29" s="1378"/>
      <c r="ABP29" s="1377">
        <v>0.8</v>
      </c>
      <c r="ABQ29" s="1377"/>
      <c r="ABR29" s="1378"/>
      <c r="ABS29" s="1377" t="str">
        <f>+IFERROR(AVERAGE(ABS30:ABU32),"-")</f>
        <v>-</v>
      </c>
      <c r="ABT29" s="1377"/>
      <c r="ABU29" s="1378"/>
      <c r="ABV29" s="1377">
        <v>0.9</v>
      </c>
      <c r="ABW29" s="1377"/>
      <c r="ABX29" s="1378"/>
      <c r="ABY29" s="1377">
        <v>0.93</v>
      </c>
      <c r="ABZ29" s="1377"/>
      <c r="ACA29" s="1378"/>
      <c r="ACB29" s="1377">
        <v>0.92</v>
      </c>
      <c r="ACC29" s="1377"/>
      <c r="ACD29" s="1378"/>
      <c r="ACE29" s="1377">
        <v>0.75</v>
      </c>
      <c r="ACF29" s="1377"/>
      <c r="ACG29" s="1378"/>
      <c r="ACH29" s="1377" t="s">
        <v>20</v>
      </c>
      <c r="ACI29" s="1377"/>
      <c r="ACJ29" s="1378"/>
      <c r="ACK29" s="1377" t="str">
        <f>+IFERROR(AVERAGE(ACK30:ACM32),"-")</f>
        <v>-</v>
      </c>
      <c r="ACL29" s="1377"/>
      <c r="ACM29" s="1378"/>
      <c r="ACN29" s="1377" t="str">
        <f>+IFERROR(AVERAGE(ACN30:ACP32),"-")</f>
        <v>-</v>
      </c>
      <c r="ACO29" s="1377"/>
      <c r="ACP29" s="1378"/>
      <c r="ACQ29" s="1377" t="str">
        <f>+IFERROR(AVERAGE(ACQ30:ACS32),"-")</f>
        <v>-</v>
      </c>
      <c r="ACR29" s="1377"/>
      <c r="ACS29" s="1378"/>
      <c r="ACT29" s="1377">
        <v>0.89</v>
      </c>
      <c r="ACU29" s="1377"/>
      <c r="ACV29" s="1378"/>
      <c r="ACW29" s="1377">
        <v>0.75</v>
      </c>
      <c r="ACX29" s="1377"/>
      <c r="ACY29" s="1378"/>
      <c r="ACZ29" s="1377">
        <v>0.88</v>
      </c>
      <c r="ADA29" s="1377"/>
      <c r="ADB29" s="1378"/>
      <c r="ADC29" s="1377">
        <v>0.65</v>
      </c>
      <c r="ADD29" s="1377"/>
      <c r="ADE29" s="1378"/>
      <c r="ADF29" s="1377">
        <v>0.94</v>
      </c>
      <c r="ADG29" s="1377"/>
      <c r="ADH29" s="1378"/>
      <c r="ADI29" s="1377" t="str">
        <f>+IFERROR(AVERAGE(ADI30:ADK32),"-")</f>
        <v>-</v>
      </c>
      <c r="ADJ29" s="1377"/>
      <c r="ADK29" s="1378"/>
      <c r="ADL29" s="1377">
        <v>1</v>
      </c>
      <c r="ADM29" s="1377"/>
      <c r="ADN29" s="1378"/>
      <c r="ADO29" s="1377">
        <v>0.88</v>
      </c>
      <c r="ADP29" s="1377"/>
      <c r="ADQ29" s="1378"/>
      <c r="ADR29" s="1377">
        <v>0.93</v>
      </c>
      <c r="ADS29" s="1377"/>
      <c r="ADT29" s="1378"/>
      <c r="ADU29" s="1377">
        <v>0.82</v>
      </c>
      <c r="ADV29" s="1377"/>
      <c r="ADW29" s="1378"/>
      <c r="ADX29" s="1377">
        <v>0.79</v>
      </c>
      <c r="ADY29" s="1377"/>
      <c r="ADZ29" s="1378"/>
      <c r="AEA29" s="1377">
        <v>0.73</v>
      </c>
      <c r="AEB29" s="1377"/>
      <c r="AEC29" s="1378"/>
      <c r="AED29" s="1377" t="str">
        <f>+IFERROR(AVERAGE(AED30:AEF32),"-")</f>
        <v>-</v>
      </c>
      <c r="AEE29" s="1377"/>
      <c r="AEF29" s="1378"/>
      <c r="AEG29" s="1377">
        <v>1</v>
      </c>
      <c r="AEH29" s="1377"/>
      <c r="AEI29" s="1378"/>
      <c r="AEJ29" s="1377">
        <v>1</v>
      </c>
      <c r="AEK29" s="1377"/>
      <c r="AEL29" s="1378"/>
      <c r="AEM29" s="1377">
        <v>1</v>
      </c>
      <c r="AEN29" s="1377"/>
      <c r="AEO29" s="1378"/>
      <c r="AEP29" s="1377">
        <v>0.89</v>
      </c>
      <c r="AEQ29" s="1377"/>
      <c r="AER29" s="1378"/>
      <c r="AES29" s="1377">
        <v>0.78</v>
      </c>
      <c r="AET29" s="1377"/>
      <c r="AEU29" s="1378"/>
      <c r="AEV29" s="1377">
        <v>0.93</v>
      </c>
      <c r="AEW29" s="1377"/>
      <c r="AEX29" s="1378"/>
      <c r="AEY29" s="1377" t="str">
        <f>+IFERROR(AVERAGE(AEY30:AFA32),"-")</f>
        <v>-</v>
      </c>
      <c r="AEZ29" s="1377"/>
      <c r="AFA29" s="1378"/>
      <c r="AFB29" s="1377">
        <v>0.88</v>
      </c>
      <c r="AFC29" s="1377"/>
      <c r="AFD29" s="1378"/>
      <c r="AFE29" s="1377">
        <v>0.78</v>
      </c>
      <c r="AFF29" s="1377"/>
      <c r="AFG29" s="1378"/>
      <c r="AFH29" s="1377">
        <v>0.82</v>
      </c>
      <c r="AFI29" s="1377"/>
      <c r="AFJ29" s="1378"/>
      <c r="AFK29" s="1377">
        <v>0.77</v>
      </c>
      <c r="AFL29" s="1377"/>
      <c r="AFM29" s="1378"/>
      <c r="AFN29" s="1377">
        <v>0.71</v>
      </c>
      <c r="AFO29" s="1377"/>
      <c r="AFP29" s="1378"/>
      <c r="AFQ29" s="1377">
        <v>0.8</v>
      </c>
      <c r="AFR29" s="1377"/>
      <c r="AFS29" s="1378"/>
      <c r="AFT29" s="1435"/>
      <c r="AFU29" s="1377"/>
      <c r="AFV29" s="1378"/>
      <c r="AFW29" s="1377">
        <v>1</v>
      </c>
      <c r="AFX29" s="1377"/>
      <c r="AFY29" s="1378"/>
      <c r="AFZ29" s="1377">
        <v>0.88</v>
      </c>
      <c r="AGA29" s="1377"/>
      <c r="AGB29" s="1378"/>
      <c r="AGC29" s="1377">
        <v>0.78</v>
      </c>
      <c r="AGD29" s="1377"/>
      <c r="AGE29" s="1378"/>
      <c r="AGF29" s="1377">
        <v>0.94</v>
      </c>
      <c r="AGG29" s="1377"/>
      <c r="AGH29" s="1378"/>
      <c r="AGI29" s="1377">
        <v>0.87</v>
      </c>
      <c r="AGJ29" s="1377"/>
      <c r="AGK29" s="1378"/>
      <c r="AGL29" s="1377">
        <v>0.92</v>
      </c>
      <c r="AGM29" s="1377"/>
      <c r="AGN29" s="1378"/>
      <c r="AGO29" s="1377" t="str">
        <f>+IFERROR(AVERAGE(AGO30:AGQ32),"-")</f>
        <v>-</v>
      </c>
      <c r="AGP29" s="1377"/>
      <c r="AGQ29" s="1378"/>
      <c r="AGR29" s="1377">
        <v>1</v>
      </c>
      <c r="AGS29" s="1377"/>
      <c r="AGT29" s="1378"/>
      <c r="AGU29" s="1377">
        <v>0.84</v>
      </c>
      <c r="AGV29" s="1377"/>
      <c r="AGW29" s="1378"/>
      <c r="AGX29" s="1377">
        <v>0.87</v>
      </c>
      <c r="AGY29" s="1377"/>
      <c r="AGZ29" s="1378"/>
      <c r="AHA29" s="1377">
        <v>0.81</v>
      </c>
      <c r="AHB29" s="1377"/>
      <c r="AHC29" s="1378"/>
      <c r="AHD29" s="1377">
        <f>+IFERROR(AVERAGE(AHD30:AHF32),"-")</f>
        <v>0.77999999999999992</v>
      </c>
      <c r="AHE29" s="1377"/>
      <c r="AHF29" s="1378"/>
      <c r="AHG29" s="1377">
        <f>+IFERROR(AVERAGE(AHG30:AHI32),"-")</f>
        <v>0.82</v>
      </c>
      <c r="AHH29" s="1377"/>
      <c r="AHI29" s="1378"/>
      <c r="AHJ29" s="1377" t="str">
        <f>+IFERROR(AVERAGE(AHJ30:AHL32),"-")</f>
        <v>-</v>
      </c>
      <c r="AHK29" s="1377"/>
      <c r="AHL29" s="1378"/>
      <c r="AHM29" s="1435"/>
      <c r="AHN29" s="1377"/>
      <c r="AHO29" s="1378"/>
      <c r="AHP29" s="1377">
        <v>0.77500000000000002</v>
      </c>
      <c r="AHQ29" s="1377"/>
      <c r="AHR29" s="1378"/>
      <c r="AHS29" s="1377">
        <f>+IFERROR(AVERAGE(AHS30:AHU32),"-")</f>
        <v>0.77999999999999992</v>
      </c>
      <c r="AHT29" s="1377"/>
      <c r="AHU29" s="1378"/>
      <c r="AHV29" s="1377">
        <f>+IFERROR(AVERAGE(AHV30:AHX32),"-")</f>
        <v>0.79</v>
      </c>
      <c r="AHW29" s="1377"/>
      <c r="AHX29" s="1378"/>
      <c r="AHY29" s="1377">
        <f>+IFERROR(AVERAGE(AHY30:AIA32),"-")</f>
        <v>0.79</v>
      </c>
      <c r="AHZ29" s="1377"/>
      <c r="AIA29" s="1378"/>
      <c r="AIB29" s="1377">
        <f>+IFERROR(AVERAGE(AIB30:AID32),"-")</f>
        <v>0.80666666666666664</v>
      </c>
      <c r="AIC29" s="1377"/>
      <c r="AID29" s="1377"/>
      <c r="AIE29" s="1435" t="s">
        <v>20</v>
      </c>
      <c r="AIF29" s="1377"/>
      <c r="AIG29" s="1378"/>
      <c r="AIH29" s="1377">
        <f>+IFERROR(AVERAGE(AIH30:AIJ32),"-")</f>
        <v>0.82333333333333325</v>
      </c>
      <c r="AII29" s="1377"/>
      <c r="AIJ29" s="1378"/>
      <c r="AIK29" s="1377">
        <f>+IFERROR(AVERAGE(AIK30:AIM32),"-")</f>
        <v>0.77</v>
      </c>
      <c r="AIL29" s="1377"/>
      <c r="AIM29" s="1378"/>
      <c r="AIN29" s="1377">
        <f>+IFERROR(AVERAGE(AIN30:AIP32),"-")</f>
        <v>0.76666666666666661</v>
      </c>
      <c r="AIO29" s="1377"/>
      <c r="AIP29" s="1378"/>
      <c r="AIQ29" s="1377">
        <f>+IFERROR(AVERAGE(AIQ30:AIS32),"-")</f>
        <v>0.65</v>
      </c>
      <c r="AIR29" s="1377"/>
      <c r="AIS29" s="1377"/>
      <c r="AIT29" s="1435">
        <f>+IFERROR(AVERAGE(AIT30:AIV32),"-")</f>
        <v>0.69</v>
      </c>
      <c r="AIU29" s="1377"/>
      <c r="AIV29" s="1378"/>
      <c r="AIW29" s="1377">
        <f>+IFERROR(AVERAGE(AIW30:AIY32),"-")</f>
        <v>0.68666666666666665</v>
      </c>
      <c r="AIX29" s="1377"/>
      <c r="AIY29" s="1377"/>
      <c r="AIZ29" s="1435" t="str">
        <f>+IFERROR(AVERAGE(AIZ30:AJB32),"-")</f>
        <v>-</v>
      </c>
      <c r="AJA29" s="1377"/>
      <c r="AJB29" s="1378"/>
      <c r="AJC29" s="1377" t="str">
        <f>+IFERROR(AVERAGE(AJC30:AJE32),"-")</f>
        <v>-</v>
      </c>
      <c r="AJD29" s="1377"/>
      <c r="AJE29" s="1378"/>
      <c r="AJF29" s="1377" t="str">
        <f>+IFERROR(AVERAGE(AJF30:AJH32),"-")</f>
        <v>-</v>
      </c>
      <c r="AJG29" s="1377"/>
      <c r="AJH29" s="1378"/>
      <c r="AJI29" s="1377">
        <f>+IFERROR(AVERAGE(AJI30:AJK32),"-")</f>
        <v>0.79999999999999993</v>
      </c>
      <c r="AJJ29" s="1377"/>
      <c r="AJK29" s="1378"/>
      <c r="AJL29" s="1377">
        <f>+IFERROR(AVERAGE(AJL30:AJN32),"-")</f>
        <v>0.7533333333333333</v>
      </c>
      <c r="AJM29" s="1377"/>
      <c r="AJN29" s="1377"/>
      <c r="AJO29" s="1435">
        <f>+IFERROR(AVERAGE(AJO30:AJQ32),"-")</f>
        <v>0.79333333333333333</v>
      </c>
      <c r="AJP29" s="1377"/>
      <c r="AJQ29" s="1378"/>
      <c r="AJR29" s="1377">
        <f>+IFERROR(AVERAGE(AJR30:AJT32),"-")</f>
        <v>0.7533333333333333</v>
      </c>
      <c r="AJS29" s="1377"/>
      <c r="AJT29" s="1377"/>
      <c r="AJU29" s="1435" t="str">
        <f>+IFERROR(AVERAGE(AJU30:AJW32),"-")</f>
        <v>-</v>
      </c>
      <c r="AJV29" s="1377"/>
      <c r="AJW29" s="1378"/>
      <c r="AJX29" s="1377">
        <f>+IFERROR(AVERAGE(AJX30:AJZ32),"-")</f>
        <v>0.76333333333333331</v>
      </c>
      <c r="AJY29" s="1377"/>
      <c r="AJZ29" s="1378"/>
      <c r="AKA29" s="1377">
        <f>+IFERROR(AVERAGE(AKA30:AKC32),"-")</f>
        <v>0.78666666666666663</v>
      </c>
      <c r="AKB29" s="1377"/>
      <c r="AKC29" s="1378"/>
      <c r="AKD29" s="1377">
        <f>+IFERROR(AVERAGE(AKD30:AKF32),"-")</f>
        <v>0.7533333333333333</v>
      </c>
      <c r="AKE29" s="1377"/>
      <c r="AKF29" s="1378"/>
      <c r="AKG29" s="1377">
        <f>+IFERROR(AVERAGE(AKG30:AKI32),"-")</f>
        <v>0.80999999999999994</v>
      </c>
      <c r="AKH29" s="1377"/>
      <c r="AKI29" s="1377"/>
      <c r="AKJ29" s="1317">
        <f>+IFERROR(AVERAGE(AKJ30:AKL32),"-")</f>
        <v>0.77</v>
      </c>
      <c r="AKK29" s="1318"/>
      <c r="AKL29" s="1362"/>
      <c r="AKM29" s="1318">
        <f>+IFERROR(AVERAGE(AKM30:AKO32),"-")</f>
        <v>0.76000000000000012</v>
      </c>
      <c r="AKN29" s="1318"/>
      <c r="AKO29" s="1318"/>
      <c r="AKP29" s="1317" t="str">
        <f>+IFERROR(AVERAGE(AKP30:AKR32),"-")</f>
        <v>-</v>
      </c>
      <c r="AKQ29" s="1318"/>
      <c r="AKR29" s="1362"/>
      <c r="AKS29" s="1318">
        <f>+IFERROR(AVERAGE(AKS30:AKU32),"-")</f>
        <v>0.89333333333333342</v>
      </c>
      <c r="AKT29" s="1318"/>
      <c r="AKU29" s="1362"/>
      <c r="AKV29" s="1318">
        <f>+IFERROR(AVERAGE(AKV30:AKX32),"-")</f>
        <v>0.8666666666666667</v>
      </c>
      <c r="AKW29" s="1318"/>
      <c r="AKX29" s="1362"/>
      <c r="AKY29" s="1318">
        <f>+IFERROR(AVERAGE(AKY30:ALA32),"-")</f>
        <v>0.86</v>
      </c>
      <c r="AKZ29" s="1318"/>
      <c r="ALA29" s="1362"/>
      <c r="ALB29" s="1318" t="str">
        <f>+IFERROR(AVERAGE(ALB30:ALD32),"-")</f>
        <v>-</v>
      </c>
      <c r="ALC29" s="1318"/>
      <c r="ALD29" s="1318"/>
      <c r="ALE29" s="1317">
        <f>+IFERROR(AVERAGE(ALE30:ALG32),"-")</f>
        <v>0.87666666666666659</v>
      </c>
      <c r="ALF29" s="1318"/>
      <c r="ALG29" s="1362"/>
      <c r="ALH29" s="1318">
        <f>+IFERROR(AVERAGE(ALH30:ALJ32),"-")</f>
        <v>0.84333333333333338</v>
      </c>
      <c r="ALI29" s="1318"/>
      <c r="ALJ29" s="1318"/>
      <c r="ALK29" s="1317" t="str">
        <f>+IFERROR(AVERAGE(ALK30:ALM32),"-")</f>
        <v>-</v>
      </c>
      <c r="ALL29" s="1318"/>
      <c r="ALM29" s="1362"/>
      <c r="ALN29" s="1318">
        <f>+IFERROR(AVERAGE(ALN30:ALP32),"-")</f>
        <v>0.82</v>
      </c>
      <c r="ALO29" s="1318"/>
      <c r="ALP29" s="1362"/>
      <c r="ALQ29" s="1318">
        <f>+IFERROR(AVERAGE(ALQ30:ALS32),"-")</f>
        <v>0.70000000000000007</v>
      </c>
      <c r="ALR29" s="1318"/>
      <c r="ALS29" s="1362"/>
      <c r="ALT29" s="1318">
        <f>+IFERROR(AVERAGE(ALT30:ALV32),"-")</f>
        <v>0.78666666666666663</v>
      </c>
      <c r="ALU29" s="1318"/>
      <c r="ALV29" s="1362"/>
      <c r="ALW29" s="1318">
        <f>+IFERROR(AVERAGE(ALW30:ALY32),"-")</f>
        <v>0.7466666666666667</v>
      </c>
      <c r="ALX29" s="1318"/>
      <c r="ALY29" s="1318"/>
      <c r="ALZ29" s="1318" t="str">
        <f t="shared" ref="ALZ29" si="1929">+IFERROR(AVERAGE(ALZ30:AMB32),"-")</f>
        <v>-</v>
      </c>
      <c r="AMA29" s="1318"/>
      <c r="AMB29" s="1318"/>
      <c r="AMC29" s="1318">
        <f t="shared" ref="AMC29" si="1930">+IFERROR(AVERAGE(AMC30:AME32),"-")</f>
        <v>0.76000000000000012</v>
      </c>
      <c r="AMD29" s="1318"/>
      <c r="AME29" s="1318"/>
      <c r="AMF29" s="1318" t="str">
        <f t="shared" ref="AMF29" si="1931">+IFERROR(AVERAGE(AMF30:AMH32),"-")</f>
        <v>-</v>
      </c>
      <c r="AMG29" s="1318"/>
      <c r="AMH29" s="1318"/>
      <c r="AMI29" s="1318">
        <f t="shared" ref="AMI29" si="1932">+IFERROR(AVERAGE(AMI30:AMK32),"-")</f>
        <v>0.87</v>
      </c>
      <c r="AMJ29" s="1318"/>
      <c r="AMK29" s="1318"/>
      <c r="AML29" s="1318">
        <f>+IFERROR(AVERAGE(AML30:AMN32),"-")</f>
        <v>0.77666666666666673</v>
      </c>
      <c r="AMM29" s="1318"/>
      <c r="AMN29" s="1362"/>
      <c r="AMO29" s="1318">
        <f>+IFERROR(AVERAGE(AMO30:AMQ32),"-")</f>
        <v>0.73999999999999988</v>
      </c>
      <c r="AMP29" s="1318"/>
      <c r="AMQ29" s="1362"/>
      <c r="AMR29" s="1318">
        <f>+IFERROR(AVERAGE(AMR30:AMT32),"-")</f>
        <v>0.83333333333333337</v>
      </c>
      <c r="AMS29" s="1318"/>
      <c r="AMT29" s="1318"/>
      <c r="AMU29" s="1317">
        <f>+IFERROR(AVERAGE(AMU30:AMW32),"-")</f>
        <v>0.78333333333333333</v>
      </c>
      <c r="AMV29" s="1318"/>
      <c r="AMW29" s="1362"/>
      <c r="AMX29" s="1317">
        <f t="shared" ref="AMX29" si="1933">+IFERROR(AVERAGE(AMX30:AMZ32),"-")</f>
        <v>0.83333333333333337</v>
      </c>
      <c r="AMY29" s="1318"/>
      <c r="AMZ29" s="1362"/>
      <c r="ANA29" s="1317" t="str">
        <f t="shared" ref="ANA29" si="1934">+IFERROR(AVERAGE(ANA30:ANC32),"-")</f>
        <v>-</v>
      </c>
      <c r="ANB29" s="1318"/>
      <c r="ANC29" s="1362"/>
      <c r="AND29" s="1317">
        <f t="shared" ref="AND29" si="1935">+IFERROR(AVERAGE(AND30:ANF32),"-")</f>
        <v>0.71333333333333337</v>
      </c>
      <c r="ANE29" s="1318"/>
      <c r="ANF29" s="1362"/>
      <c r="ANG29" s="1318">
        <f>+IFERROR(AVERAGE(ANG30:ANI32),"-")</f>
        <v>0.76000000000000012</v>
      </c>
      <c r="ANH29" s="1318"/>
      <c r="ANI29" s="1362"/>
      <c r="ANJ29" s="1318">
        <f>+IFERROR(AVERAGE(ANJ30:ANL32),"-")</f>
        <v>0.73666666666666669</v>
      </c>
      <c r="ANK29" s="1318"/>
      <c r="ANL29" s="1362"/>
      <c r="ANM29" s="1318">
        <f>+IFERROR(AVERAGE(ANM30:ANO32),"-")</f>
        <v>0.77</v>
      </c>
      <c r="ANN29" s="1318"/>
      <c r="ANO29" s="1318"/>
      <c r="ANP29" s="1317">
        <f>+IFERROR(AVERAGE(ANP30:ANR32),"-")</f>
        <v>0.73333333333333339</v>
      </c>
      <c r="ANQ29" s="1318"/>
      <c r="ANR29" s="1362"/>
      <c r="ANS29" s="1317">
        <f>+IFERROR(AVERAGE(ANS30:ANU32),"-")</f>
        <v>0.88</v>
      </c>
      <c r="ANT29" s="1318"/>
      <c r="ANU29" s="1362"/>
      <c r="ANV29" s="1317" t="str">
        <f t="shared" ref="ANV29" si="1936">+IFERROR(AVERAGE(ANV30:ANX32),"-")</f>
        <v>-</v>
      </c>
      <c r="ANW29" s="1318"/>
      <c r="ANX29" s="1362"/>
      <c r="ANY29" s="1317">
        <f t="shared" ref="ANY29" si="1937">+IFERROR(AVERAGE(ANY30:AOA32),"-")</f>
        <v>0.83333333333333337</v>
      </c>
      <c r="ANZ29" s="1318"/>
      <c r="AOA29" s="1362"/>
      <c r="AOB29" s="1318">
        <f>+IFERROR(AVERAGE(AOB30:AOD32),"-")</f>
        <v>0.78333333333333321</v>
      </c>
      <c r="AOC29" s="1318"/>
      <c r="AOD29" s="1362"/>
      <c r="AOE29" s="1318">
        <f>+IFERROR(AVERAGE(AOE30:AOG32),"-")</f>
        <v>0.80666666666666664</v>
      </c>
      <c r="AOF29" s="1318"/>
      <c r="AOG29" s="1362"/>
      <c r="AOH29" s="1318">
        <f>+IFERROR(AVERAGE(AOH30:AOJ32),"-")</f>
        <v>0.78666666666666663</v>
      </c>
      <c r="AOI29" s="1318"/>
      <c r="AOJ29" s="1318"/>
      <c r="AOK29" s="1317">
        <f>+IFERROR(AVERAGE(AOK30:AOM32),"-")</f>
        <v>0.73333333333333339</v>
      </c>
      <c r="AOL29" s="1318"/>
      <c r="AOM29" s="1362"/>
      <c r="AON29" s="1317">
        <f t="shared" ref="AON29" si="1938">+IFERROR(AVERAGE(AON30:AOP32),"-")</f>
        <v>0.77999999999999992</v>
      </c>
      <c r="AOO29" s="1318"/>
      <c r="AOP29" s="1362"/>
      <c r="AOQ29" s="1317" t="str">
        <f t="shared" ref="AOQ29" si="1939">+IFERROR(AVERAGE(AOQ30:AOS32),"-")</f>
        <v>-</v>
      </c>
      <c r="AOR29" s="1318"/>
      <c r="AOS29" s="1362"/>
      <c r="AOT29" s="1317">
        <f t="shared" ref="AOT29" si="1940">+IFERROR(AVERAGE(AOT30:AOV32),"-")</f>
        <v>0.72333333333333327</v>
      </c>
      <c r="AOU29" s="1318"/>
      <c r="AOV29" s="1362"/>
      <c r="AOW29" s="1317">
        <f t="shared" ref="AOW29" si="1941">+IFERROR(AVERAGE(AOW30:AOY32),"-")</f>
        <v>0.76333333333333331</v>
      </c>
      <c r="AOX29" s="1318"/>
      <c r="AOY29" s="1362"/>
      <c r="AOZ29" s="1317">
        <f t="shared" ref="AOZ29" si="1942">+IFERROR(AVERAGE(AOZ30:APB32),"-")</f>
        <v>0.68</v>
      </c>
      <c r="APA29" s="1318"/>
      <c r="APB29" s="1362"/>
      <c r="APC29" s="1318">
        <f>+IFERROR(AVERAGE(APC30:APE32),"-")</f>
        <v>0.82333333333333325</v>
      </c>
      <c r="APD29" s="1318"/>
      <c r="APE29" s="1318"/>
      <c r="APF29" s="1317">
        <f>+IFERROR(AVERAGE(APF30:APH32),"-")</f>
        <v>0.71666666666666667</v>
      </c>
      <c r="APG29" s="1318"/>
      <c r="APH29" s="1362"/>
      <c r="API29" s="1317">
        <f>+IFERROR(AVERAGE(API30:APK32),"-")</f>
        <v>0.78333333333333333</v>
      </c>
      <c r="APJ29" s="1318"/>
      <c r="APK29" s="1362"/>
      <c r="APL29" s="1317" t="str">
        <f t="shared" ref="APL29" si="1943">+IFERROR(AVERAGE(APL30:APN32),"-")</f>
        <v>-</v>
      </c>
      <c r="APM29" s="1318"/>
      <c r="APN29" s="1362"/>
      <c r="APO29" s="1317">
        <f t="shared" ref="APO29" si="1944">+IFERROR(AVERAGE(APO30:APQ32),"-")</f>
        <v>0.83333333333333337</v>
      </c>
      <c r="APP29" s="1318"/>
      <c r="APQ29" s="1362"/>
      <c r="APR29" s="1318">
        <f>+IFERROR(AVERAGE(APR30:APT32),"-")</f>
        <v>0.80666666666666664</v>
      </c>
      <c r="APS29" s="1318"/>
      <c r="APT29" s="1362"/>
      <c r="APU29" s="1318">
        <f>+IFERROR(AVERAGE(APU30:APW32),"-")</f>
        <v>0.79999999999999993</v>
      </c>
      <c r="APV29" s="1318"/>
      <c r="APW29" s="1362"/>
      <c r="APX29" s="1318">
        <f>+IFERROR(AVERAGE(APX30:APZ32),"-")</f>
        <v>0.81333333333333335</v>
      </c>
      <c r="APY29" s="1318"/>
      <c r="APZ29" s="1318"/>
      <c r="AQA29" s="1317">
        <f>+IFERROR(AVERAGE(AQA30:AQC32),"-")</f>
        <v>0.80666666666666664</v>
      </c>
      <c r="AQB29" s="1318"/>
      <c r="AQC29" s="1362"/>
      <c r="AQD29" s="1317">
        <f t="shared" ref="AQD29" si="1945">+IFERROR(AVERAGE(AQD30:AQF32),"-")</f>
        <v>0.82333333333333325</v>
      </c>
      <c r="AQE29" s="1318"/>
      <c r="AQF29" s="1362"/>
      <c r="AQG29" s="1317" t="str">
        <f t="shared" ref="AQG29" si="1946">+IFERROR(AVERAGE(AQG30:AQI32),"-")</f>
        <v>-</v>
      </c>
      <c r="AQH29" s="1318"/>
      <c r="AQI29" s="1362"/>
      <c r="AQJ29" s="1317">
        <f t="shared" ref="AQJ29" si="1947">+IFERROR(AVERAGE(AQJ30:AQL32),"-")</f>
        <v>0.7533333333333333</v>
      </c>
      <c r="AQK29" s="1318"/>
      <c r="AQL29" s="1362"/>
      <c r="AQM29" s="1318">
        <f>+IFERROR(AVERAGE(AQM30:AQO32),"-")</f>
        <v>0.79999999999999993</v>
      </c>
      <c r="AQN29" s="1318"/>
      <c r="AQO29" s="1318"/>
      <c r="AQP29" s="1317">
        <f>+IFERROR(AVERAGE(AQP30:AQR32),"-")</f>
        <v>0.77666666666666673</v>
      </c>
      <c r="AQQ29" s="1318"/>
      <c r="AQR29" s="1318"/>
      <c r="AQS29" s="1317">
        <f>+IFERROR(AVERAGE(AQS30:AQU32),"-")</f>
        <v>0.78333333333333333</v>
      </c>
      <c r="AQT29" s="1318"/>
      <c r="AQU29" s="1318"/>
      <c r="AQV29" s="1317">
        <f>+IFERROR(AVERAGE(AQV30:AQX32),"-")</f>
        <v>0.83333333333333337</v>
      </c>
      <c r="AQW29" s="1318"/>
      <c r="AQX29" s="1318"/>
      <c r="AQY29" s="1317">
        <f>+IFERROR(AVERAGE(AQY30:ARA32),"-")</f>
        <v>0.79999999999999993</v>
      </c>
      <c r="AQZ29" s="1318"/>
      <c r="ARA29" s="1362"/>
      <c r="ARB29" s="1318" t="str">
        <f>+IFERROR(AVERAGE(ARB30:ARD32),"-")</f>
        <v>-</v>
      </c>
      <c r="ARC29" s="1318"/>
      <c r="ARD29" s="1362"/>
      <c r="ARE29" s="1318" t="str">
        <f>+IFERROR(AVERAGE(ARE30:ARG32),"-")</f>
        <v>-</v>
      </c>
      <c r="ARF29" s="1318"/>
      <c r="ARG29" s="1362"/>
      <c r="ARH29" s="1318">
        <f>+IFERROR(AVERAGE(ARH30:ARJ32),"-")</f>
        <v>0.71333333333333337</v>
      </c>
      <c r="ARI29" s="1318"/>
      <c r="ARJ29" s="1362"/>
      <c r="ARK29" s="1318" t="s">
        <v>20</v>
      </c>
      <c r="ARL29" s="1318"/>
      <c r="ARM29" s="1362"/>
      <c r="ARN29" s="1318" t="str">
        <f t="shared" ref="ARN29" si="1948">+IFERROR(AVERAGE(ARN30:ARP32),"-")</f>
        <v>-</v>
      </c>
      <c r="ARO29" s="1318"/>
      <c r="ARP29" s="1362"/>
      <c r="ARQ29" s="1318">
        <f t="shared" ref="ARQ29" si="1949">+IFERROR(AVERAGE(ARQ30:ARS32),"-")</f>
        <v>0.76000000000000012</v>
      </c>
      <c r="ARR29" s="1318"/>
      <c r="ARS29" s="1362"/>
      <c r="ART29" s="1318">
        <f t="shared" ref="ART29" si="1950">+IFERROR(AVERAGE(ART30:ARV32),"-")</f>
        <v>0.76000000000000012</v>
      </c>
      <c r="ARU29" s="1318"/>
      <c r="ARV29" s="1362"/>
      <c r="ARW29" s="1318" t="str">
        <f>+IFERROR(AVERAGE(ARW30:ARY32),"-")</f>
        <v>-</v>
      </c>
      <c r="ARX29" s="1318"/>
      <c r="ARY29" s="1362"/>
      <c r="ARZ29" s="1318">
        <f>+IFERROR(AVERAGE(ARZ30:ASB32),"-")</f>
        <v>0.83333333333333337</v>
      </c>
      <c r="ASA29" s="1318"/>
      <c r="ASB29" s="1362"/>
      <c r="ASC29" s="1318">
        <f>+IFERROR(AVERAGE(ASC30:ASE32),"-")</f>
        <v>0.77666666666666673</v>
      </c>
      <c r="ASD29" s="1318"/>
      <c r="ASE29" s="1318"/>
      <c r="ASF29" s="1317">
        <f>+IFERROR(AVERAGE(ASF30:ASH32),"-")</f>
        <v>0.87666666666666659</v>
      </c>
      <c r="ASG29" s="1318"/>
      <c r="ASH29" s="1362"/>
      <c r="ASI29" s="1318" t="str">
        <f>+IFERROR(AVERAGE(ASI30:ASK32),"-")</f>
        <v>-</v>
      </c>
      <c r="ASJ29" s="1318"/>
      <c r="ASK29" s="1318"/>
      <c r="ASL29" s="1317">
        <f>+IFERROR(AVERAGE(ASL30:ASN32),"-")</f>
        <v>0.83333333333333337</v>
      </c>
      <c r="ASM29" s="1318"/>
      <c r="ASN29" s="1362"/>
      <c r="ASO29" s="1317">
        <f>+IFERROR(AVERAGE(ASO30:ASQ32),"-")</f>
        <v>0.8666666666666667</v>
      </c>
      <c r="ASP29" s="1318"/>
      <c r="ASQ29" s="1318"/>
      <c r="ASR29" s="1317" t="str">
        <f>+IFERROR(AVERAGE(ASR30:AST32),"-")</f>
        <v>-</v>
      </c>
      <c r="ASS29" s="1318"/>
      <c r="AST29" s="1362"/>
      <c r="ASU29" s="1318" t="str">
        <f>+IFERROR(AVERAGE(ASU30:ASW32),"-")</f>
        <v>-</v>
      </c>
      <c r="ASV29" s="1318"/>
      <c r="ASW29" s="1362"/>
      <c r="ASX29" s="1318" t="str">
        <f>+IFERROR(AVERAGE(ASX30:ASZ32),"-")</f>
        <v>-</v>
      </c>
      <c r="ASY29" s="1318"/>
      <c r="ASZ29" s="1318"/>
      <c r="ATA29" s="1317" t="str">
        <f>+IFERROR(AVERAGE(ATA30:ATC32),"-")</f>
        <v>-</v>
      </c>
      <c r="ATB29" s="1318"/>
      <c r="ATC29" s="1362"/>
      <c r="ATD29" s="1318" t="str">
        <f>+IFERROR(AVERAGE(ATD30:ATF32),"-")</f>
        <v>-</v>
      </c>
      <c r="ATE29" s="1318"/>
      <c r="ATF29" s="1318"/>
      <c r="ATG29" s="1317" t="str">
        <f>+IFERROR(AVERAGE(ATG30:ATI32),"-")</f>
        <v>-</v>
      </c>
      <c r="ATH29" s="1318"/>
      <c r="ATI29" s="1362"/>
      <c r="ATJ29" s="1318" t="s">
        <v>20</v>
      </c>
      <c r="ATK29" s="1318"/>
      <c r="ATL29" s="1362"/>
      <c r="ATM29" s="1318" t="str">
        <f>+IFERROR(AVERAGE(ATM30:ATO32),"-")</f>
        <v>-</v>
      </c>
      <c r="ATN29" s="1318"/>
      <c r="ATO29" s="1362"/>
      <c r="ATP29" s="1318" t="str">
        <f>+IFERROR(AVERAGE(ATP30:ATR32),"-")</f>
        <v>-</v>
      </c>
      <c r="ATQ29" s="1318"/>
      <c r="ATR29" s="1362"/>
      <c r="ATS29" s="1318">
        <f>+IFERROR(AVERAGE(ATS30:ATU32),"-")</f>
        <v>0.79</v>
      </c>
      <c r="ATT29" s="1318"/>
      <c r="ATU29" s="1362"/>
      <c r="ATV29" s="1318">
        <f>+IFERROR(AVERAGE(ATV30:ATX32),"-")</f>
        <v>0.75</v>
      </c>
      <c r="ATW29" s="1318"/>
      <c r="ATX29" s="1362"/>
      <c r="ATY29" s="1318">
        <f>+IFERROR(AVERAGE(ATY30:AUA32),"-")</f>
        <v>0.83333333333333337</v>
      </c>
      <c r="ATZ29" s="1318"/>
      <c r="AUA29" s="1318"/>
      <c r="AUB29" s="1317">
        <f>+IFERROR(AVERAGE(AUB30:AUD32),"-")</f>
        <v>1</v>
      </c>
      <c r="AUC29" s="1318"/>
      <c r="AUD29" s="1362"/>
      <c r="AUE29" s="1318" t="s">
        <v>20</v>
      </c>
      <c r="AUF29" s="1318"/>
      <c r="AUG29" s="1362"/>
      <c r="AUH29" s="1318" t="str">
        <f>+IFERROR(AVERAGE(AUH30:AUJ32),"-")</f>
        <v>-</v>
      </c>
      <c r="AUI29" s="1318"/>
      <c r="AUJ29" s="1362"/>
      <c r="AUK29" s="1318" t="str">
        <f>+IFERROR(AVERAGE(AUK30:AUM32),"-")</f>
        <v>-</v>
      </c>
      <c r="AUL29" s="1318"/>
      <c r="AUM29" s="1318"/>
      <c r="AUN29" s="1317">
        <f>+IFERROR(AVERAGE(AUN30:AUP32),"-")</f>
        <v>1</v>
      </c>
      <c r="AUO29" s="1318"/>
      <c r="AUP29" s="1318"/>
      <c r="AUQ29" s="1317">
        <f>+IFERROR(AVERAGE(AUQ30:AUS32),"-")</f>
        <v>0.84</v>
      </c>
      <c r="AUR29" s="1318"/>
      <c r="AUS29" s="1318"/>
      <c r="AUT29" s="1317">
        <f>+IFERROR(AVERAGE(AUT30:AUV32),"-")</f>
        <v>0.70666666666666667</v>
      </c>
      <c r="AUU29" s="1318"/>
      <c r="AUV29" s="1318"/>
      <c r="AUW29" s="1317">
        <f>+IFERROR(AVERAGE(AUW30:AUY32),"-")</f>
        <v>0.84</v>
      </c>
      <c r="AUX29" s="1318"/>
      <c r="AUY29" s="1318"/>
      <c r="AUZ29" s="1317">
        <f>+IFERROR(AVERAGE(AUZ30:AVB32),"-")</f>
        <v>0.78666666666666663</v>
      </c>
      <c r="AVA29" s="1318"/>
      <c r="AVB29" s="1318"/>
      <c r="AVC29" s="1317" t="str">
        <f>+IFERROR(AVERAGE(AVC30:AVE32),"-")</f>
        <v>-</v>
      </c>
      <c r="AVD29" s="1318"/>
      <c r="AVE29" s="1318"/>
      <c r="AVF29" s="1317">
        <f>+IFERROR(AVERAGE(AVF30:AVH32),"-")</f>
        <v>0.81666666666666676</v>
      </c>
      <c r="AVG29" s="1318"/>
      <c r="AVH29" s="1318"/>
      <c r="AVI29" s="1317" t="str">
        <f>+IFERROR(AVERAGE(AVI30:AVK32),"-")</f>
        <v>-</v>
      </c>
      <c r="AVJ29" s="1318"/>
      <c r="AVK29" s="1318"/>
      <c r="AVL29" s="1317">
        <f>+IFERROR(AVERAGE(AVL30:AVN32),"-")</f>
        <v>0.83333333333333337</v>
      </c>
      <c r="AVM29" s="1318"/>
      <c r="AVN29" s="1318"/>
      <c r="AVO29" s="1317">
        <f>+IFERROR(AVERAGE(AVO30:AVQ32),"-")</f>
        <v>0.77666666666666673</v>
      </c>
      <c r="AVP29" s="1318"/>
      <c r="AVQ29" s="1318"/>
      <c r="AVR29" s="1317" t="str">
        <f>+IFERROR(AVERAGE(AVR30:AVT32),"-")</f>
        <v>-</v>
      </c>
      <c r="AVS29" s="1318"/>
      <c r="AVT29" s="1318"/>
      <c r="AVU29" s="1317" t="s">
        <v>20</v>
      </c>
      <c r="AVV29" s="1318"/>
      <c r="AVW29" s="1318"/>
      <c r="AVX29" s="1317" t="str">
        <f>+IFERROR(AVERAGE(AVX30:AVZ32),"-")</f>
        <v>-</v>
      </c>
      <c r="AVY29" s="1318"/>
      <c r="AVZ29" s="1318"/>
      <c r="AWA29" s="1317" t="str">
        <f>+IFERROR(AVERAGE(AWA30:AWC32),"-")</f>
        <v>-</v>
      </c>
      <c r="AWB29" s="1318"/>
      <c r="AWC29" s="1318"/>
      <c r="AWD29" s="1317" t="str">
        <f>+IFERROR(AVERAGE(AWD30:AWF32),"-")</f>
        <v>-</v>
      </c>
      <c r="AWE29" s="1318"/>
      <c r="AWF29" s="1318"/>
      <c r="AWG29" s="1317" t="str">
        <f>+IFERROR(AVERAGE(AWG30:AWI32),"-")</f>
        <v>-</v>
      </c>
      <c r="AWH29" s="1318"/>
      <c r="AWI29" s="1318"/>
      <c r="AWJ29" s="1317" t="str">
        <f>+IFERROR(AVERAGE(AWJ30:AWL32),"-")</f>
        <v>-</v>
      </c>
      <c r="AWK29" s="1318"/>
      <c r="AWL29" s="1318"/>
      <c r="AWM29" s="1317" t="str">
        <f>+IFERROR(AVERAGE(AWM30:AWO32),"-")</f>
        <v>-</v>
      </c>
      <c r="AWN29" s="1318"/>
      <c r="AWO29" s="1362"/>
      <c r="AWP29" s="1318" t="s">
        <v>20</v>
      </c>
      <c r="AWQ29" s="1318"/>
      <c r="AWR29" s="1362"/>
      <c r="AWS29" s="1318" t="str">
        <f>+IFERROR(AVERAGE(AWS30:AWU32),"-")</f>
        <v>-</v>
      </c>
      <c r="AWT29" s="1318"/>
      <c r="AWU29" s="1362"/>
      <c r="AWV29" s="1318" t="str">
        <f>+IFERROR(AVERAGE(AWV30:AWX32),"-")</f>
        <v>-</v>
      </c>
      <c r="AWW29" s="1318"/>
      <c r="AWX29" s="1362"/>
      <c r="AWY29" s="1318" t="str">
        <f>+IFERROR(AVERAGE(AWY30:AXA32),"-")</f>
        <v>-</v>
      </c>
      <c r="AWZ29" s="1318"/>
      <c r="AXA29" s="1318"/>
      <c r="AXB29" s="1317" t="str">
        <f>+IFERROR(AVERAGE(AXB30:AXD32),"-")</f>
        <v>-</v>
      </c>
      <c r="AXC29" s="1318"/>
      <c r="AXD29" s="1362"/>
      <c r="AXE29" s="1318" t="str">
        <f>+IFERROR(AVERAGE(AXE30:AXG32),"-")</f>
        <v>-</v>
      </c>
      <c r="AXF29" s="1318"/>
      <c r="AXG29" s="1318"/>
      <c r="AXH29" s="1317" t="str">
        <f>+IFERROR(AVERAGE(AXH30:AXJ32),"-")</f>
        <v>-</v>
      </c>
      <c r="AXI29" s="1318"/>
      <c r="AXJ29" s="1362"/>
      <c r="AXK29" s="1318" t="s">
        <v>20</v>
      </c>
      <c r="AXL29" s="1318"/>
      <c r="AXM29" s="1362"/>
      <c r="AXN29" s="1318" t="str">
        <f>+IFERROR(AVERAGE(AXN30:AXP32),"-")</f>
        <v>-</v>
      </c>
      <c r="AXO29" s="1318"/>
      <c r="AXP29" s="1362"/>
      <c r="AXQ29" s="1318" t="str">
        <f>+IFERROR(AVERAGE(AXQ30:AXS32),"-")</f>
        <v>-</v>
      </c>
      <c r="AXR29" s="1318"/>
      <c r="AXS29" s="1362"/>
      <c r="AXT29" s="1318" t="str">
        <f>+IFERROR(AVERAGE(AXT30:AXV32),"-")</f>
        <v>-</v>
      </c>
      <c r="AXU29" s="1318"/>
      <c r="AXV29" s="1318"/>
      <c r="AXW29" s="1317" t="str">
        <f>+IFERROR(AVERAGE(AXW30:AXY32),"-")</f>
        <v>-</v>
      </c>
      <c r="AXX29" s="1318"/>
      <c r="AXY29" s="1362"/>
      <c r="AXZ29" s="1318" t="str">
        <f>+IFERROR(AVERAGE(AXZ30:AYB32),"-")</f>
        <v>-</v>
      </c>
      <c r="AYA29" s="1318"/>
      <c r="AYB29" s="1318"/>
      <c r="AYC29" s="1317" t="str">
        <f>+IFERROR(AVERAGE(AYC30:AYE32),"-")</f>
        <v>-</v>
      </c>
      <c r="AYD29" s="1318"/>
      <c r="AYE29" s="1362"/>
      <c r="AYF29" s="1318" t="s">
        <v>20</v>
      </c>
      <c r="AYG29" s="1318"/>
      <c r="AYH29" s="1362"/>
      <c r="AYI29" s="1318" t="str">
        <f>+IFERROR(AVERAGE(AYI30:AYK32),"-")</f>
        <v>-</v>
      </c>
      <c r="AYJ29" s="1318"/>
      <c r="AYK29" s="1362"/>
      <c r="AYL29" s="1318" t="str">
        <f>+IFERROR(AVERAGE(AYL30:AYN32),"-")</f>
        <v>-</v>
      </c>
      <c r="AYM29" s="1318"/>
      <c r="AYN29" s="1362"/>
      <c r="AYO29" s="1318" t="str">
        <f>+IFERROR(AVERAGE(AYO30:AYQ32),"-")</f>
        <v>-</v>
      </c>
      <c r="AYP29" s="1318"/>
      <c r="AYQ29" s="1318"/>
      <c r="AYR29" s="1317" t="str">
        <f>+IFERROR(AVERAGE(AYR30:AYT32),"-")</f>
        <v>-</v>
      </c>
      <c r="AYS29" s="1318"/>
      <c r="AYT29" s="1362"/>
      <c r="AYU29" s="1318" t="str">
        <f>+IFERROR(AVERAGE(AYU30:AYW32),"-")</f>
        <v>-</v>
      </c>
      <c r="AYV29" s="1318"/>
      <c r="AYW29" s="1318"/>
      <c r="AYX29" s="1317" t="str">
        <f>+IFERROR(AVERAGE(AYX30:AYZ32),"-")</f>
        <v>-</v>
      </c>
      <c r="AYY29" s="1318"/>
      <c r="AYZ29" s="1362"/>
      <c r="AZA29" s="1318" t="s">
        <v>20</v>
      </c>
      <c r="AZB29" s="1318"/>
      <c r="AZC29" s="1362"/>
      <c r="AZD29" s="1318" t="str">
        <f>+IFERROR(AVERAGE(AZD30:AZF32),"-")</f>
        <v>-</v>
      </c>
      <c r="AZE29" s="1318"/>
      <c r="AZF29" s="1362"/>
      <c r="AZG29" s="1318" t="str">
        <f>+IFERROR(AVERAGE(AZG30:AZI32),"-")</f>
        <v>-</v>
      </c>
      <c r="AZH29" s="1318"/>
      <c r="AZI29" s="1362"/>
      <c r="AZJ29" s="1318" t="str">
        <f>+IFERROR(AVERAGE(AZJ30:AZL32),"-")</f>
        <v>-</v>
      </c>
      <c r="AZK29" s="1318"/>
      <c r="AZL29" s="1318"/>
      <c r="AZM29" s="1317" t="str">
        <f>+IFERROR(AVERAGE(AZM30:AZO32),"-")</f>
        <v>-</v>
      </c>
      <c r="AZN29" s="1318"/>
      <c r="AZO29" s="1362"/>
      <c r="AZP29" s="1318" t="str">
        <f>+IFERROR(AVERAGE(AZP30:AZR32),"-")</f>
        <v>-</v>
      </c>
      <c r="AZQ29" s="1318"/>
      <c r="AZR29" s="1318"/>
      <c r="AZS29" s="1317" t="str">
        <f>+IFERROR(AVERAGE(AZS30:AZU32),"-")</f>
        <v>-</v>
      </c>
      <c r="AZT29" s="1318"/>
      <c r="AZU29" s="1362"/>
      <c r="AZV29" s="1318" t="s">
        <v>20</v>
      </c>
      <c r="AZW29" s="1318"/>
      <c r="AZX29" s="1362"/>
      <c r="AZY29" s="1318" t="str">
        <f>+IFERROR(AVERAGE(AZY30:BAA32),"-")</f>
        <v>-</v>
      </c>
      <c r="AZZ29" s="1318"/>
      <c r="BAA29" s="1362"/>
      <c r="BAB29" s="1318" t="str">
        <f>+IFERROR(AVERAGE(BAB30:BAD32),"-")</f>
        <v>-</v>
      </c>
      <c r="BAC29" s="1318"/>
      <c r="BAD29" s="1362"/>
      <c r="BAE29" s="1318" t="str">
        <f>+IFERROR(AVERAGE(BAE30:BAG32),"-")</f>
        <v>-</v>
      </c>
      <c r="BAF29" s="1318"/>
      <c r="BAG29" s="1318"/>
      <c r="BAH29" s="1317" t="str">
        <f>+IFERROR(AVERAGE(BAH30:BAJ32),"-")</f>
        <v>-</v>
      </c>
      <c r="BAI29" s="1318"/>
      <c r="BAJ29" s="1362"/>
    </row>
    <row r="30" spans="1:1399">
      <c r="B30" s="953" t="s">
        <v>185</v>
      </c>
      <c r="C30" s="16"/>
      <c r="D30" s="16"/>
      <c r="E30" s="9" t="s">
        <v>349</v>
      </c>
      <c r="F30" s="89"/>
      <c r="G30" s="89"/>
      <c r="H30" s="90"/>
      <c r="I30" s="89"/>
      <c r="J30" s="89"/>
      <c r="K30" s="90"/>
      <c r="L30" s="89"/>
      <c r="M30" s="89"/>
      <c r="N30" s="90"/>
      <c r="O30" s="89"/>
      <c r="P30" s="89"/>
      <c r="Q30" s="90"/>
      <c r="R30" s="89"/>
      <c r="S30" s="89"/>
      <c r="T30" s="90"/>
      <c r="U30" s="89"/>
      <c r="V30" s="89"/>
      <c r="W30" s="90"/>
      <c r="X30" s="89"/>
      <c r="Y30" s="89"/>
      <c r="Z30" s="90"/>
      <c r="AA30" s="89"/>
      <c r="AB30" s="89"/>
      <c r="AC30" s="90"/>
      <c r="AD30" s="89"/>
      <c r="AE30" s="89"/>
      <c r="AF30" s="90"/>
      <c r="AG30" s="89"/>
      <c r="AH30" s="89"/>
      <c r="AI30" s="90"/>
      <c r="AJ30" s="89"/>
      <c r="AK30" s="89"/>
      <c r="AL30" s="90"/>
      <c r="AM30" s="89"/>
      <c r="AN30" s="89"/>
      <c r="AO30" s="90"/>
      <c r="AP30" s="89"/>
      <c r="AQ30" s="89"/>
      <c r="AR30" s="90"/>
      <c r="AS30" s="89"/>
      <c r="AT30" s="89"/>
      <c r="AU30" s="90"/>
      <c r="AV30" s="89"/>
      <c r="AW30" s="89"/>
      <c r="AX30" s="90"/>
      <c r="AY30" s="89"/>
      <c r="AZ30" s="89"/>
      <c r="BA30" s="90"/>
      <c r="BB30" s="89"/>
      <c r="BC30" s="89"/>
      <c r="BD30" s="90"/>
      <c r="BE30" s="89"/>
      <c r="BF30" s="89"/>
      <c r="BG30" s="90"/>
      <c r="BH30" s="89"/>
      <c r="BI30" s="89"/>
      <c r="BJ30" s="90"/>
      <c r="BK30" s="89"/>
      <c r="BL30" s="89"/>
      <c r="BM30" s="90"/>
      <c r="BN30" s="89"/>
      <c r="BO30" s="89"/>
      <c r="BP30" s="90"/>
      <c r="BQ30" s="89"/>
      <c r="BR30" s="89"/>
      <c r="BS30" s="90"/>
      <c r="BT30" s="89"/>
      <c r="BU30" s="89"/>
      <c r="BV30" s="90"/>
      <c r="BW30" s="89"/>
      <c r="BX30" s="89"/>
      <c r="BY30" s="90"/>
      <c r="BZ30" s="89"/>
      <c r="CA30" s="89"/>
      <c r="CB30" s="90"/>
      <c r="CC30" s="89"/>
      <c r="CD30" s="89"/>
      <c r="CE30" s="90"/>
      <c r="CF30" s="89"/>
      <c r="CG30" s="89"/>
      <c r="CH30" s="90"/>
      <c r="CI30" s="89"/>
      <c r="CJ30" s="89"/>
      <c r="CK30" s="90"/>
      <c r="CL30" s="89"/>
      <c r="CM30" s="89"/>
      <c r="CN30" s="90"/>
      <c r="CO30" s="89"/>
      <c r="CP30" s="89"/>
      <c r="CQ30" s="90"/>
      <c r="CR30" s="89"/>
      <c r="CS30" s="89"/>
      <c r="CT30" s="90"/>
      <c r="CU30" s="89"/>
      <c r="CV30" s="89"/>
      <c r="CW30" s="90"/>
      <c r="CX30" s="89"/>
      <c r="CY30" s="89"/>
      <c r="CZ30" s="90"/>
      <c r="DA30" s="89"/>
      <c r="DB30" s="89"/>
      <c r="DC30" s="90"/>
      <c r="DD30" s="89"/>
      <c r="DE30" s="89"/>
      <c r="DF30" s="90"/>
      <c r="DG30" s="89"/>
      <c r="DH30" s="89"/>
      <c r="DI30" s="90"/>
      <c r="DJ30" s="89"/>
      <c r="DK30" s="89"/>
      <c r="DL30" s="90"/>
      <c r="DM30" s="89"/>
      <c r="DN30" s="89"/>
      <c r="DO30" s="90"/>
      <c r="DP30" s="89"/>
      <c r="DQ30" s="89"/>
      <c r="DR30" s="90"/>
      <c r="DS30" s="89"/>
      <c r="DT30" s="89"/>
      <c r="DU30" s="90"/>
      <c r="DV30" s="89"/>
      <c r="DW30" s="89"/>
      <c r="DX30" s="90"/>
      <c r="DY30" s="89"/>
      <c r="DZ30" s="89"/>
      <c r="EA30" s="90"/>
      <c r="EB30" s="89"/>
      <c r="EC30" s="89"/>
      <c r="ED30" s="90"/>
      <c r="EE30" s="89"/>
      <c r="EF30" s="89"/>
      <c r="EG30" s="90"/>
      <c r="EH30" s="89"/>
      <c r="EI30" s="89"/>
      <c r="EJ30" s="90"/>
      <c r="EK30" s="89"/>
      <c r="EL30" s="89"/>
      <c r="EM30" s="90"/>
      <c r="EN30" s="89"/>
      <c r="EO30" s="89"/>
      <c r="EP30" s="90"/>
      <c r="EQ30" s="89"/>
      <c r="ER30" s="89"/>
      <c r="ES30" s="90"/>
      <c r="ET30" s="89"/>
      <c r="EU30" s="89"/>
      <c r="EV30" s="90"/>
      <c r="EW30" s="89"/>
      <c r="EX30" s="89"/>
      <c r="EY30" s="90"/>
      <c r="EZ30" s="89"/>
      <c r="FA30" s="89"/>
      <c r="FB30" s="90"/>
      <c r="FC30" s="89"/>
      <c r="FD30" s="89"/>
      <c r="FE30" s="90"/>
      <c r="FF30" s="89"/>
      <c r="FG30" s="89"/>
      <c r="FH30" s="90"/>
      <c r="FI30" s="89"/>
      <c r="FJ30" s="89"/>
      <c r="FK30" s="90"/>
      <c r="FL30" s="89"/>
      <c r="FM30" s="89"/>
      <c r="FN30" s="90"/>
      <c r="FO30" s="89"/>
      <c r="FP30" s="89"/>
      <c r="FQ30" s="90"/>
      <c r="FR30" s="89"/>
      <c r="FS30" s="89"/>
      <c r="FT30" s="90"/>
      <c r="FU30" s="89"/>
      <c r="FV30" s="89"/>
      <c r="FW30" s="90"/>
      <c r="FX30" s="89"/>
      <c r="FY30" s="89"/>
      <c r="FZ30" s="90"/>
      <c r="GA30" s="89"/>
      <c r="GB30" s="89"/>
      <c r="GC30" s="90"/>
      <c r="GD30" s="89"/>
      <c r="GE30" s="89"/>
      <c r="GF30" s="90"/>
      <c r="GG30" s="89"/>
      <c r="GH30" s="89"/>
      <c r="GI30" s="90"/>
      <c r="GJ30" s="89"/>
      <c r="GK30" s="89"/>
      <c r="GL30" s="90"/>
      <c r="GM30" s="89"/>
      <c r="GN30" s="89"/>
      <c r="GO30" s="90"/>
      <c r="GP30" s="89"/>
      <c r="GQ30" s="89"/>
      <c r="GR30" s="90"/>
      <c r="GS30" s="89"/>
      <c r="GT30" s="89"/>
      <c r="GU30" s="90"/>
      <c r="GV30" s="89"/>
      <c r="GW30" s="89"/>
      <c r="GX30" s="90"/>
      <c r="GY30" s="89"/>
      <c r="GZ30" s="89"/>
      <c r="HA30" s="90"/>
      <c r="HB30" s="89"/>
      <c r="HC30" s="89"/>
      <c r="HD30" s="90"/>
      <c r="HE30" s="89"/>
      <c r="HF30" s="89"/>
      <c r="HG30" s="90"/>
      <c r="HH30" s="89"/>
      <c r="HI30" s="89"/>
      <c r="HJ30" s="90"/>
      <c r="HK30" s="89"/>
      <c r="HL30" s="89"/>
      <c r="HM30" s="90"/>
      <c r="HN30" s="89"/>
      <c r="HO30" s="89"/>
      <c r="HP30" s="90"/>
      <c r="HQ30" s="89"/>
      <c r="HR30" s="89"/>
      <c r="HS30" s="90"/>
      <c r="HT30" s="89"/>
      <c r="HU30" s="89"/>
      <c r="HV30" s="90"/>
      <c r="HW30" s="89"/>
      <c r="HX30" s="89"/>
      <c r="HY30" s="90"/>
      <c r="HZ30" s="89"/>
      <c r="IA30" s="89"/>
      <c r="IB30" s="90"/>
      <c r="IC30" s="89"/>
      <c r="ID30" s="89"/>
      <c r="IE30" s="90"/>
      <c r="IF30" s="89"/>
      <c r="IG30" s="89"/>
      <c r="IH30" s="90"/>
      <c r="II30" s="89"/>
      <c r="IJ30" s="89"/>
      <c r="IK30" s="90"/>
      <c r="IL30" s="89"/>
      <c r="IM30" s="89"/>
      <c r="IN30" s="90"/>
      <c r="IO30" s="89"/>
      <c r="IP30" s="89"/>
      <c r="IQ30" s="90"/>
      <c r="IR30" s="89"/>
      <c r="IS30" s="89"/>
      <c r="IT30" s="90"/>
      <c r="IU30" s="89"/>
      <c r="IV30" s="89"/>
      <c r="IW30" s="90"/>
      <c r="IX30" s="89"/>
      <c r="IY30" s="89"/>
      <c r="IZ30" s="90"/>
      <c r="JA30" s="89"/>
      <c r="JB30" s="89"/>
      <c r="JC30" s="90"/>
      <c r="JD30" s="89"/>
      <c r="JE30" s="89"/>
      <c r="JF30" s="90"/>
      <c r="JG30" s="89"/>
      <c r="JH30" s="89"/>
      <c r="JI30" s="90"/>
      <c r="JJ30" s="89"/>
      <c r="JK30" s="89"/>
      <c r="JL30" s="90"/>
      <c r="JM30" s="89"/>
      <c r="JN30" s="89"/>
      <c r="JO30" s="90"/>
      <c r="JP30" s="1209"/>
      <c r="JQ30" s="1209"/>
      <c r="JR30" s="91"/>
      <c r="JS30" s="89"/>
      <c r="JT30" s="89"/>
      <c r="JU30" s="90"/>
      <c r="JV30" s="89"/>
      <c r="JW30" s="89"/>
      <c r="JX30" s="90"/>
      <c r="JY30" s="89"/>
      <c r="JZ30" s="89"/>
      <c r="KA30" s="90"/>
      <c r="KB30" s="89"/>
      <c r="KC30" s="89"/>
      <c r="KD30" s="90"/>
      <c r="KE30" s="89"/>
      <c r="KF30" s="89"/>
      <c r="KG30" s="90"/>
      <c r="KH30" s="89"/>
      <c r="KI30" s="89"/>
      <c r="KJ30" s="90"/>
      <c r="KK30" s="89"/>
      <c r="KL30" s="89"/>
      <c r="KM30" s="90"/>
      <c r="KN30" s="89"/>
      <c r="KO30" s="89"/>
      <c r="KP30" s="90"/>
      <c r="KQ30" s="89"/>
      <c r="KR30" s="89"/>
      <c r="KS30" s="90"/>
      <c r="KT30" s="89"/>
      <c r="KU30" s="89"/>
      <c r="KV30" s="90"/>
      <c r="KW30" s="89"/>
      <c r="KX30" s="89"/>
      <c r="KY30" s="90"/>
      <c r="KZ30" s="89"/>
      <c r="LA30" s="89"/>
      <c r="LB30" s="90"/>
      <c r="LC30" s="89"/>
      <c r="LD30" s="89"/>
      <c r="LE30" s="90"/>
      <c r="LF30" s="89"/>
      <c r="LG30" s="89"/>
      <c r="LH30" s="90"/>
      <c r="LI30" s="89"/>
      <c r="LJ30" s="89"/>
      <c r="LK30" s="90"/>
      <c r="LL30" s="89"/>
      <c r="LM30" s="89"/>
      <c r="LN30" s="90"/>
      <c r="LO30" s="89"/>
      <c r="LP30" s="89"/>
      <c r="LQ30" s="90"/>
      <c r="LR30" s="89"/>
      <c r="LS30" s="89"/>
      <c r="LT30" s="90"/>
      <c r="LU30" s="89"/>
      <c r="LV30" s="89"/>
      <c r="LW30" s="90"/>
      <c r="LX30" s="89"/>
      <c r="LY30" s="89"/>
      <c r="LZ30" s="90"/>
      <c r="MA30" s="89"/>
      <c r="MB30" s="89"/>
      <c r="MC30" s="90"/>
      <c r="MD30" s="89"/>
      <c r="ME30" s="89"/>
      <c r="MF30" s="90"/>
      <c r="MG30" s="89"/>
      <c r="MH30" s="89"/>
      <c r="MI30" s="90"/>
      <c r="MJ30" s="89"/>
      <c r="MK30" s="89"/>
      <c r="ML30" s="90"/>
      <c r="MM30" s="89"/>
      <c r="MN30" s="89"/>
      <c r="MO30" s="90"/>
      <c r="MP30" s="89"/>
      <c r="MQ30" s="89"/>
      <c r="MR30" s="90"/>
      <c r="MS30" s="89"/>
      <c r="MT30" s="89"/>
      <c r="MU30" s="90"/>
      <c r="MV30" s="89"/>
      <c r="MW30" s="89"/>
      <c r="MX30" s="90"/>
      <c r="MY30" s="89"/>
      <c r="MZ30" s="89"/>
      <c r="NA30" s="90"/>
      <c r="NB30" s="89"/>
      <c r="NC30" s="89"/>
      <c r="ND30" s="90"/>
      <c r="NE30" s="1411" t="s">
        <v>20</v>
      </c>
      <c r="NF30" s="1411"/>
      <c r="NG30" s="1412"/>
      <c r="NH30" s="1411" t="s">
        <v>20</v>
      </c>
      <c r="NI30" s="1411"/>
      <c r="NJ30" s="1412"/>
      <c r="NK30" s="1279">
        <v>0.5</v>
      </c>
      <c r="NL30" s="1280"/>
      <c r="NM30" s="1281"/>
      <c r="NN30" s="1279">
        <v>0.65</v>
      </c>
      <c r="NO30" s="1280"/>
      <c r="NP30" s="1281"/>
      <c r="NQ30" s="1279">
        <v>0.6</v>
      </c>
      <c r="NR30" s="1280"/>
      <c r="NS30" s="1281"/>
      <c r="NT30" s="1279">
        <v>0.69</v>
      </c>
      <c r="NU30" s="1280"/>
      <c r="NV30" s="1281"/>
      <c r="NW30" s="1279">
        <v>0.32</v>
      </c>
      <c r="NX30" s="1280"/>
      <c r="NY30" s="1281"/>
      <c r="NZ30" s="1411" t="s">
        <v>20</v>
      </c>
      <c r="OA30" s="1411"/>
      <c r="OB30" s="1412"/>
      <c r="OC30" s="1279">
        <v>0.62</v>
      </c>
      <c r="OD30" s="1280"/>
      <c r="OE30" s="1281"/>
      <c r="OF30" s="1279">
        <v>0.77270000000000005</v>
      </c>
      <c r="OG30" s="1280"/>
      <c r="OH30" s="1281"/>
      <c r="OI30" s="1279">
        <v>0.64290000000000003</v>
      </c>
      <c r="OJ30" s="1280"/>
      <c r="OK30" s="1281"/>
      <c r="OL30" s="1279">
        <v>0.58819999999999995</v>
      </c>
      <c r="OM30" s="1280"/>
      <c r="ON30" s="1281"/>
      <c r="OO30" s="1279">
        <v>0.53849999999999998</v>
      </c>
      <c r="OP30" s="1280"/>
      <c r="OQ30" s="1281"/>
      <c r="OR30" s="1279"/>
      <c r="OS30" s="1280"/>
      <c r="OT30" s="1281"/>
      <c r="OU30" s="1279"/>
      <c r="OV30" s="1280"/>
      <c r="OW30" s="1281"/>
      <c r="OX30" s="1279"/>
      <c r="OY30" s="1280"/>
      <c r="OZ30" s="1281"/>
      <c r="PA30" s="1279"/>
      <c r="PB30" s="1280"/>
      <c r="PC30" s="1281"/>
      <c r="PD30" s="1279">
        <v>0.46429999999999999</v>
      </c>
      <c r="PE30" s="1280"/>
      <c r="PF30" s="1281"/>
      <c r="PG30" s="1279">
        <v>0.59519999999999995</v>
      </c>
      <c r="PH30" s="1280"/>
      <c r="PI30" s="1281"/>
      <c r="PJ30" s="1279"/>
      <c r="PK30" s="1280"/>
      <c r="PL30" s="1281"/>
      <c r="PM30" s="1279"/>
      <c r="PN30" s="1280"/>
      <c r="PO30" s="1281"/>
      <c r="PP30" s="1279"/>
      <c r="PQ30" s="1280"/>
      <c r="PR30" s="1281"/>
      <c r="PS30" s="1279"/>
      <c r="PT30" s="1280"/>
      <c r="PU30" s="1281"/>
      <c r="PV30" s="1279">
        <v>0.52939999999999998</v>
      </c>
      <c r="PW30" s="1280"/>
      <c r="PX30" s="1281"/>
      <c r="PY30" s="1279">
        <v>0.60529999999999995</v>
      </c>
      <c r="PZ30" s="1280"/>
      <c r="QA30" s="1281"/>
      <c r="QB30" s="1279">
        <v>0.57140000000000002</v>
      </c>
      <c r="QC30" s="1280"/>
      <c r="QD30" s="1281"/>
      <c r="QE30" s="1279">
        <v>0.63160000000000005</v>
      </c>
      <c r="QF30" s="1280"/>
      <c r="QG30" s="1281"/>
      <c r="QH30" s="1279">
        <v>0.55000000000000004</v>
      </c>
      <c r="QI30" s="1280"/>
      <c r="QJ30" s="1281"/>
      <c r="QK30" s="1279"/>
      <c r="QL30" s="1280"/>
      <c r="QM30" s="1281"/>
      <c r="QN30" s="1279"/>
      <c r="QO30" s="1280"/>
      <c r="QP30" s="1281"/>
      <c r="QQ30" s="1279">
        <v>0.7</v>
      </c>
      <c r="QR30" s="1280"/>
      <c r="QS30" s="1281"/>
      <c r="QT30" s="1279">
        <v>0.80769999999999997</v>
      </c>
      <c r="QU30" s="1280"/>
      <c r="QV30" s="1281"/>
      <c r="QW30" s="1279">
        <v>0.72499999999999998</v>
      </c>
      <c r="QX30" s="1280"/>
      <c r="QY30" s="1281"/>
      <c r="QZ30" s="1279">
        <v>0.72219999999999995</v>
      </c>
      <c r="RA30" s="1280"/>
      <c r="RB30" s="1281"/>
      <c r="RC30" s="1279">
        <v>0.53129999999999999</v>
      </c>
      <c r="RD30" s="1280"/>
      <c r="RE30" s="1281"/>
      <c r="RF30" s="1279"/>
      <c r="RG30" s="1280"/>
      <c r="RH30" s="1281"/>
      <c r="RI30" s="1279"/>
      <c r="RJ30" s="1280"/>
      <c r="RK30" s="1281"/>
      <c r="RL30" s="1279">
        <v>0.39450000000000002</v>
      </c>
      <c r="RM30" s="1280"/>
      <c r="RN30" s="1281"/>
      <c r="RO30" s="1279"/>
      <c r="RP30" s="1280"/>
      <c r="RQ30" s="1281"/>
      <c r="RR30" s="1279">
        <v>0.57689999999999997</v>
      </c>
      <c r="RS30" s="1280"/>
      <c r="RT30" s="1281"/>
      <c r="RU30" s="1279">
        <v>0.5</v>
      </c>
      <c r="RV30" s="1280"/>
      <c r="RW30" s="1281"/>
      <c r="RX30" s="1279">
        <v>0.5</v>
      </c>
      <c r="RY30" s="1280"/>
      <c r="RZ30" s="1281"/>
      <c r="SA30" s="1279"/>
      <c r="SB30" s="1280"/>
      <c r="SC30" s="1281"/>
      <c r="SD30" s="1279">
        <v>0.45</v>
      </c>
      <c r="SE30" s="1280"/>
      <c r="SF30" s="1281"/>
      <c r="SG30" s="1279"/>
      <c r="SH30" s="1280"/>
      <c r="SI30" s="1281"/>
      <c r="SJ30" s="1279">
        <v>0.28129999999999999</v>
      </c>
      <c r="SK30" s="1280"/>
      <c r="SL30" s="1281"/>
      <c r="SM30" s="1279">
        <v>1</v>
      </c>
      <c r="SN30" s="1280"/>
      <c r="SO30" s="1281"/>
      <c r="SP30" s="1279">
        <v>0.875</v>
      </c>
      <c r="SQ30" s="1280"/>
      <c r="SR30" s="1281"/>
      <c r="SS30" s="1279">
        <v>0.65</v>
      </c>
      <c r="ST30" s="1280"/>
      <c r="SU30" s="1281"/>
      <c r="SV30" s="1279"/>
      <c r="SW30" s="1280"/>
      <c r="SX30" s="1281"/>
      <c r="SY30" s="1279"/>
      <c r="SZ30" s="1280"/>
      <c r="TA30" s="1281"/>
      <c r="TB30" s="1279">
        <v>0.44440000000000002</v>
      </c>
      <c r="TC30" s="1280"/>
      <c r="TD30" s="1281"/>
      <c r="TE30" s="1279">
        <v>0.625</v>
      </c>
      <c r="TF30" s="1280"/>
      <c r="TG30" s="1281"/>
      <c r="TH30" s="1279">
        <v>0.72729999999999995</v>
      </c>
      <c r="TI30" s="1280"/>
      <c r="TJ30" s="1281"/>
      <c r="TK30" s="1279">
        <v>0.57689999999999997</v>
      </c>
      <c r="TL30" s="1280"/>
      <c r="TM30" s="1281"/>
      <c r="TN30" s="1279">
        <v>0.69230000000000003</v>
      </c>
      <c r="TO30" s="1280"/>
      <c r="TP30" s="1281"/>
      <c r="TQ30" s="1279"/>
      <c r="TR30" s="1280"/>
      <c r="TS30" s="1281"/>
      <c r="TT30" s="1279">
        <v>0.57889999999999997</v>
      </c>
      <c r="TU30" s="1280"/>
      <c r="TV30" s="1281"/>
      <c r="TW30" s="1279">
        <v>0.73080000000000001</v>
      </c>
      <c r="TX30" s="1280"/>
      <c r="TY30" s="1281"/>
      <c r="TZ30" s="1279">
        <v>0.71740000000000004</v>
      </c>
      <c r="UA30" s="1280"/>
      <c r="UB30" s="1281"/>
      <c r="UC30" s="1279">
        <v>0.58430000000000004</v>
      </c>
      <c r="UD30" s="1280"/>
      <c r="UE30" s="1281"/>
      <c r="UF30" s="1279">
        <v>0.64290000000000003</v>
      </c>
      <c r="UG30" s="1280"/>
      <c r="UH30" s="1281"/>
      <c r="UI30" s="1279">
        <v>0.65</v>
      </c>
      <c r="UJ30" s="1280"/>
      <c r="UK30" s="1281"/>
      <c r="UL30" s="1279"/>
      <c r="UM30" s="1280"/>
      <c r="UN30" s="1281"/>
      <c r="UO30" s="1279"/>
      <c r="UP30" s="1280"/>
      <c r="UQ30" s="1281"/>
      <c r="UR30" s="1279">
        <v>0.45829999999999999</v>
      </c>
      <c r="US30" s="1280"/>
      <c r="UT30" s="1281"/>
      <c r="UU30" s="1279">
        <v>0.65380000000000005</v>
      </c>
      <c r="UV30" s="1280"/>
      <c r="UW30" s="1281"/>
      <c r="UX30" s="1279">
        <v>0.66669999999999996</v>
      </c>
      <c r="UY30" s="1280"/>
      <c r="UZ30" s="1281"/>
      <c r="VA30" s="1279">
        <v>0.63329999999999997</v>
      </c>
      <c r="VB30" s="1280"/>
      <c r="VC30" s="1281"/>
      <c r="VD30" s="1279">
        <v>0.7</v>
      </c>
      <c r="VE30" s="1280"/>
      <c r="VF30" s="1281"/>
      <c r="VG30" s="1279"/>
      <c r="VH30" s="1280"/>
      <c r="VI30" s="1281"/>
      <c r="VJ30" s="1279">
        <v>0.77780000000000005</v>
      </c>
      <c r="VK30" s="1280"/>
      <c r="VL30" s="1281"/>
      <c r="VM30" s="1279">
        <v>0.71209999999999996</v>
      </c>
      <c r="VN30" s="1280"/>
      <c r="VO30" s="1281"/>
      <c r="VP30" s="1279">
        <v>0.65710000000000002</v>
      </c>
      <c r="VQ30" s="1280"/>
      <c r="VR30" s="1281"/>
      <c r="VS30" s="1279">
        <v>0.78569999999999995</v>
      </c>
      <c r="VT30" s="1280"/>
      <c r="VU30" s="1281"/>
      <c r="VV30" s="1279">
        <v>0.88239999999999996</v>
      </c>
      <c r="VW30" s="1280"/>
      <c r="VX30" s="1281"/>
      <c r="VY30" s="1279">
        <v>0.88239999999999996</v>
      </c>
      <c r="VZ30" s="1280"/>
      <c r="WA30" s="1281"/>
      <c r="WB30" s="1279"/>
      <c r="WC30" s="1280"/>
      <c r="WD30" s="1281"/>
      <c r="WE30" s="1279">
        <v>0.78569999999999995</v>
      </c>
      <c r="WF30" s="1280"/>
      <c r="WG30" s="1281"/>
      <c r="WH30" s="1279">
        <v>0.68</v>
      </c>
      <c r="WI30" s="1280"/>
      <c r="WJ30" s="1281"/>
      <c r="WK30" s="1279">
        <v>0.7581</v>
      </c>
      <c r="WL30" s="1280"/>
      <c r="WM30" s="1281"/>
      <c r="WN30" s="1279">
        <v>0.83330000000000004</v>
      </c>
      <c r="WO30" s="1280"/>
      <c r="WP30" s="1281"/>
      <c r="WQ30" s="1279">
        <v>0.80359999999999998</v>
      </c>
      <c r="WR30" s="1280"/>
      <c r="WS30" s="1281"/>
      <c r="WT30" s="1279">
        <v>0.82350000000000001</v>
      </c>
      <c r="WU30" s="1280"/>
      <c r="WV30" s="1281"/>
      <c r="WW30" s="1279"/>
      <c r="WX30" s="1280"/>
      <c r="WY30" s="1281"/>
      <c r="WZ30" s="1279">
        <v>0.8125</v>
      </c>
      <c r="XA30" s="1280"/>
      <c r="XB30" s="1281"/>
      <c r="XC30" s="1279">
        <v>0.72729999999999995</v>
      </c>
      <c r="XD30" s="1280"/>
      <c r="XE30" s="1281"/>
      <c r="XF30" s="1279">
        <v>0.55879999999999996</v>
      </c>
      <c r="XG30" s="1280"/>
      <c r="XH30" s="1281"/>
      <c r="XI30" s="1279">
        <v>0.53849999999999998</v>
      </c>
      <c r="XJ30" s="1280"/>
      <c r="XK30" s="1281"/>
      <c r="XL30" s="1279">
        <v>0.69440000000000002</v>
      </c>
      <c r="XM30" s="1280"/>
      <c r="XN30" s="1281"/>
      <c r="XO30" s="1279">
        <v>0.59379999999999999</v>
      </c>
      <c r="XP30" s="1280"/>
      <c r="XQ30" s="1281"/>
      <c r="XR30" s="1279"/>
      <c r="XS30" s="1280"/>
      <c r="XT30" s="1281"/>
      <c r="XU30" s="1279">
        <v>0.51</v>
      </c>
      <c r="XV30" s="1280"/>
      <c r="XW30" s="1281"/>
      <c r="XX30" s="1279">
        <v>0.64</v>
      </c>
      <c r="XY30" s="1280"/>
      <c r="XZ30" s="1281"/>
      <c r="YA30" s="1279">
        <v>0.72</v>
      </c>
      <c r="YB30" s="1280"/>
      <c r="YC30" s="1281"/>
      <c r="YD30" s="1279">
        <v>0.74</v>
      </c>
      <c r="YE30" s="1280"/>
      <c r="YF30" s="1281"/>
      <c r="YG30" s="1279">
        <v>0.75</v>
      </c>
      <c r="YH30" s="1280"/>
      <c r="YI30" s="1281"/>
      <c r="YJ30" s="1279">
        <v>0.69</v>
      </c>
      <c r="YK30" s="1280"/>
      <c r="YL30" s="1281"/>
      <c r="YM30" s="1279"/>
      <c r="YN30" s="1280"/>
      <c r="YO30" s="1281"/>
      <c r="YP30" s="1279">
        <v>0.62</v>
      </c>
      <c r="YQ30" s="1280"/>
      <c r="YR30" s="1281"/>
      <c r="YS30" s="1279">
        <v>0.64</v>
      </c>
      <c r="YT30" s="1280"/>
      <c r="YU30" s="1281"/>
      <c r="YV30" s="1279">
        <v>0.61</v>
      </c>
      <c r="YW30" s="1280"/>
      <c r="YX30" s="1281"/>
      <c r="YY30" s="1279">
        <v>0.67</v>
      </c>
      <c r="YZ30" s="1280"/>
      <c r="ZA30" s="1281"/>
      <c r="ZB30" s="1279">
        <v>0.5</v>
      </c>
      <c r="ZC30" s="1280"/>
      <c r="ZD30" s="1281"/>
      <c r="ZE30" s="1279">
        <v>0.42</v>
      </c>
      <c r="ZF30" s="1280"/>
      <c r="ZG30" s="1281"/>
      <c r="ZH30" s="1279"/>
      <c r="ZI30" s="1280"/>
      <c r="ZJ30" s="1281"/>
      <c r="ZK30" s="1279"/>
      <c r="ZL30" s="1280"/>
      <c r="ZM30" s="1281"/>
      <c r="ZN30" s="1279">
        <v>0.56000000000000005</v>
      </c>
      <c r="ZO30" s="1280"/>
      <c r="ZP30" s="1281"/>
      <c r="ZQ30" s="1279">
        <v>0.57999999999999996</v>
      </c>
      <c r="ZR30" s="1280"/>
      <c r="ZS30" s="1281"/>
      <c r="ZT30" s="1279">
        <v>0.5</v>
      </c>
      <c r="ZU30" s="1280"/>
      <c r="ZV30" s="1281"/>
      <c r="ZW30" s="1279">
        <v>0.59</v>
      </c>
      <c r="ZX30" s="1280"/>
      <c r="ZY30" s="1281"/>
      <c r="ZZ30" s="1279">
        <v>0.47</v>
      </c>
      <c r="AAA30" s="1280"/>
      <c r="AAB30" s="1281"/>
      <c r="AAC30" s="1279"/>
      <c r="AAD30" s="1280"/>
      <c r="AAE30" s="1281"/>
      <c r="AAF30" s="1279"/>
      <c r="AAG30" s="1280"/>
      <c r="AAH30" s="1281"/>
      <c r="AAI30" s="1279">
        <v>0.55000000000000004</v>
      </c>
      <c r="AAJ30" s="1280"/>
      <c r="AAK30" s="1281"/>
      <c r="AAL30" s="1279">
        <v>0.57999999999999996</v>
      </c>
      <c r="AAM30" s="1280"/>
      <c r="AAN30" s="1281"/>
      <c r="AAO30" s="1279">
        <v>0.6</v>
      </c>
      <c r="AAP30" s="1280"/>
      <c r="AAQ30" s="1281"/>
      <c r="AAR30" s="1279">
        <v>0.61</v>
      </c>
      <c r="AAS30" s="1280"/>
      <c r="AAT30" s="1281"/>
      <c r="AAU30" s="1279">
        <v>0.5</v>
      </c>
      <c r="AAV30" s="1280"/>
      <c r="AAW30" s="1281"/>
      <c r="AAX30" s="1279"/>
      <c r="AAY30" s="1280"/>
      <c r="AAZ30" s="1281"/>
      <c r="ABA30" s="1279">
        <v>0.5</v>
      </c>
      <c r="ABB30" s="1280"/>
      <c r="ABC30" s="1281"/>
      <c r="ABD30" s="1279">
        <v>0.5</v>
      </c>
      <c r="ABE30" s="1280"/>
      <c r="ABF30" s="1281"/>
      <c r="ABG30" s="1279">
        <v>0.61</v>
      </c>
      <c r="ABH30" s="1280"/>
      <c r="ABI30" s="1281"/>
      <c r="ABJ30" s="1279">
        <v>0.41</v>
      </c>
      <c r="ABK30" s="1280"/>
      <c r="ABL30" s="1281"/>
      <c r="ABM30" s="1279">
        <v>0.45</v>
      </c>
      <c r="ABN30" s="1280"/>
      <c r="ABO30" s="1281"/>
      <c r="ABP30" s="1279">
        <v>0.5</v>
      </c>
      <c r="ABQ30" s="1280"/>
      <c r="ABR30" s="1281"/>
      <c r="ABS30" s="1279"/>
      <c r="ABT30" s="1280"/>
      <c r="ABU30" s="1281"/>
      <c r="ABV30" s="1279">
        <v>0.5</v>
      </c>
      <c r="ABW30" s="1280"/>
      <c r="ABX30" s="1281"/>
      <c r="ABY30" s="1279">
        <v>0.46</v>
      </c>
      <c r="ABZ30" s="1280"/>
      <c r="ACA30" s="1281"/>
      <c r="ACB30" s="1279">
        <v>0.5</v>
      </c>
      <c r="ACC30" s="1280"/>
      <c r="ACD30" s="1281"/>
      <c r="ACE30" s="1279">
        <v>0.31</v>
      </c>
      <c r="ACF30" s="1280"/>
      <c r="ACG30" s="1281"/>
      <c r="ACH30" s="1279"/>
      <c r="ACI30" s="1280"/>
      <c r="ACJ30" s="1281"/>
      <c r="ACK30" s="1279"/>
      <c r="ACL30" s="1280"/>
      <c r="ACM30" s="1281"/>
      <c r="ACN30" s="1279"/>
      <c r="ACO30" s="1280"/>
      <c r="ACP30" s="1281"/>
      <c r="ACQ30" s="1279"/>
      <c r="ACR30" s="1280"/>
      <c r="ACS30" s="1281"/>
      <c r="ACT30" s="1279">
        <v>0.53</v>
      </c>
      <c r="ACU30" s="1280"/>
      <c r="ACV30" s="1281"/>
      <c r="ACW30" s="1279">
        <v>0.38</v>
      </c>
      <c r="ACX30" s="1280"/>
      <c r="ACY30" s="1281"/>
      <c r="ACZ30" s="1279">
        <v>0.42</v>
      </c>
      <c r="ADA30" s="1280"/>
      <c r="ADB30" s="1281"/>
      <c r="ADC30" s="1279">
        <v>0.3</v>
      </c>
      <c r="ADD30" s="1280"/>
      <c r="ADE30" s="1281"/>
      <c r="ADF30" s="1279">
        <v>0.5</v>
      </c>
      <c r="ADG30" s="1280"/>
      <c r="ADH30" s="1281"/>
      <c r="ADI30" s="1279"/>
      <c r="ADJ30" s="1280"/>
      <c r="ADK30" s="1281"/>
      <c r="ADL30" s="1279">
        <v>0.61</v>
      </c>
      <c r="ADM30" s="1280"/>
      <c r="ADN30" s="1281"/>
      <c r="ADO30" s="1279">
        <v>0.55000000000000004</v>
      </c>
      <c r="ADP30" s="1280"/>
      <c r="ADQ30" s="1281"/>
      <c r="ADR30" s="1279">
        <v>0.36</v>
      </c>
      <c r="ADS30" s="1280"/>
      <c r="ADT30" s="1281"/>
      <c r="ADU30" s="1279">
        <v>0.38</v>
      </c>
      <c r="ADV30" s="1280"/>
      <c r="ADW30" s="1281"/>
      <c r="ADX30" s="1279">
        <v>0.26</v>
      </c>
      <c r="ADY30" s="1280"/>
      <c r="ADZ30" s="1281"/>
      <c r="AEA30" s="1279">
        <v>0.46</v>
      </c>
      <c r="AEB30" s="1280"/>
      <c r="AEC30" s="1281"/>
      <c r="AED30" s="1279"/>
      <c r="AEE30" s="1280"/>
      <c r="AEF30" s="1281"/>
      <c r="AEG30" s="1279">
        <v>0.5</v>
      </c>
      <c r="AEH30" s="1280"/>
      <c r="AEI30" s="1281"/>
      <c r="AEJ30" s="1279">
        <v>0.66</v>
      </c>
      <c r="AEK30" s="1280"/>
      <c r="AEL30" s="1281"/>
      <c r="AEM30" s="1279">
        <v>0.52</v>
      </c>
      <c r="AEN30" s="1280"/>
      <c r="AEO30" s="1281"/>
      <c r="AEP30" s="1279">
        <v>0.63</v>
      </c>
      <c r="AEQ30" s="1280"/>
      <c r="AER30" s="1281"/>
      <c r="AES30" s="1279">
        <v>0.61</v>
      </c>
      <c r="AET30" s="1280"/>
      <c r="AEU30" s="1281"/>
      <c r="AEV30" s="1279">
        <v>0.46</v>
      </c>
      <c r="AEW30" s="1280"/>
      <c r="AEX30" s="1281"/>
      <c r="AEY30" s="1279"/>
      <c r="AEZ30" s="1280"/>
      <c r="AFA30" s="1281"/>
      <c r="AFB30" s="1279">
        <v>0.33</v>
      </c>
      <c r="AFC30" s="1280"/>
      <c r="AFD30" s="1281"/>
      <c r="AFE30" s="1279">
        <v>0.42</v>
      </c>
      <c r="AFF30" s="1280"/>
      <c r="AFG30" s="1281"/>
      <c r="AFH30" s="1279">
        <v>0.5</v>
      </c>
      <c r="AFI30" s="1280"/>
      <c r="AFJ30" s="1281"/>
      <c r="AFK30" s="1279">
        <v>0.38</v>
      </c>
      <c r="AFL30" s="1280"/>
      <c r="AFM30" s="1281"/>
      <c r="AFN30" s="1279">
        <v>0.5</v>
      </c>
      <c r="AFO30" s="1280"/>
      <c r="AFP30" s="1281"/>
      <c r="AFQ30" s="1279">
        <v>0.61</v>
      </c>
      <c r="AFR30" s="1280"/>
      <c r="AFS30" s="1281"/>
      <c r="AFT30" s="1279"/>
      <c r="AFU30" s="1280"/>
      <c r="AFV30" s="1281"/>
      <c r="AFW30" s="1279">
        <v>0.56999999999999995</v>
      </c>
      <c r="AFX30" s="1280"/>
      <c r="AFY30" s="1281"/>
      <c r="AFZ30" s="1279">
        <v>0.44</v>
      </c>
      <c r="AGA30" s="1280"/>
      <c r="AGB30" s="1281"/>
      <c r="AGC30" s="1279">
        <v>0.38</v>
      </c>
      <c r="AGD30" s="1280"/>
      <c r="AGE30" s="1281"/>
      <c r="AGF30" s="1279">
        <v>0.52</v>
      </c>
      <c r="AGG30" s="1280"/>
      <c r="AGH30" s="1281"/>
      <c r="AGI30" s="1279">
        <v>0.5</v>
      </c>
      <c r="AGJ30" s="1280"/>
      <c r="AGK30" s="1281"/>
      <c r="AGL30" s="1279">
        <v>0.44</v>
      </c>
      <c r="AGM30" s="1280"/>
      <c r="AGN30" s="1281"/>
      <c r="AGO30" s="1279"/>
      <c r="AGP30" s="1280"/>
      <c r="AGQ30" s="1281"/>
      <c r="AGR30" s="1279">
        <v>0.16</v>
      </c>
      <c r="AGS30" s="1280"/>
      <c r="AGT30" s="1281"/>
      <c r="AGU30" s="1279">
        <v>0.5</v>
      </c>
      <c r="AGV30" s="1280"/>
      <c r="AGW30" s="1281"/>
      <c r="AGX30" s="1279">
        <v>0.41</v>
      </c>
      <c r="AGY30" s="1280"/>
      <c r="AGZ30" s="1281"/>
      <c r="AHA30" s="1279">
        <v>0.47</v>
      </c>
      <c r="AHB30" s="1280"/>
      <c r="AHC30" s="1281"/>
      <c r="AHD30" s="1279">
        <v>0.34</v>
      </c>
      <c r="AHE30" s="1280"/>
      <c r="AHF30" s="1281"/>
      <c r="AHG30" s="1279">
        <v>0.5</v>
      </c>
      <c r="AHH30" s="1280"/>
      <c r="AHI30" s="1281"/>
      <c r="AHJ30" s="1279"/>
      <c r="AHK30" s="1280"/>
      <c r="AHL30" s="1281"/>
      <c r="AHM30" s="1279"/>
      <c r="AHN30" s="1280"/>
      <c r="AHO30" s="1281"/>
      <c r="AHP30" s="1279">
        <v>0.36</v>
      </c>
      <c r="AHQ30" s="1280"/>
      <c r="AHR30" s="1281"/>
      <c r="AHS30" s="1279">
        <v>0.34</v>
      </c>
      <c r="AHT30" s="1280"/>
      <c r="AHU30" s="1281"/>
      <c r="AHV30" s="1279">
        <v>0.47</v>
      </c>
      <c r="AHW30" s="1280"/>
      <c r="AHX30" s="1281"/>
      <c r="AHY30" s="1279">
        <v>0.47</v>
      </c>
      <c r="AHZ30" s="1280"/>
      <c r="AIA30" s="1281"/>
      <c r="AIB30" s="1279">
        <v>0.5</v>
      </c>
      <c r="AIC30" s="1280"/>
      <c r="AID30" s="1281"/>
      <c r="AIE30" s="1279" t="s">
        <v>20</v>
      </c>
      <c r="AIF30" s="1280"/>
      <c r="AIG30" s="1281"/>
      <c r="AIH30" s="1279">
        <v>0.5</v>
      </c>
      <c r="AII30" s="1280"/>
      <c r="AIJ30" s="1281"/>
      <c r="AIK30" s="1279">
        <v>0.31</v>
      </c>
      <c r="AIL30" s="1280"/>
      <c r="AIM30" s="1281"/>
      <c r="AIN30" s="1279">
        <v>0.36</v>
      </c>
      <c r="AIO30" s="1280"/>
      <c r="AIP30" s="1281"/>
      <c r="AIQ30" s="1279">
        <v>0.26</v>
      </c>
      <c r="AIR30" s="1280"/>
      <c r="AIS30" s="1280"/>
      <c r="AIT30" s="1279">
        <v>0.15</v>
      </c>
      <c r="AIU30" s="1280"/>
      <c r="AIV30" s="1281"/>
      <c r="AIW30" s="1279">
        <v>0.14000000000000001</v>
      </c>
      <c r="AIX30" s="1280"/>
      <c r="AIY30" s="1280"/>
      <c r="AIZ30" s="1279"/>
      <c r="AJA30" s="1280"/>
      <c r="AJB30" s="1281"/>
      <c r="AJC30" s="1279"/>
      <c r="AJD30" s="1280"/>
      <c r="AJE30" s="1281"/>
      <c r="AJF30" s="1279"/>
      <c r="AJG30" s="1280"/>
      <c r="AJH30" s="1281"/>
      <c r="AJI30" s="1279">
        <v>0.45</v>
      </c>
      <c r="AJJ30" s="1280"/>
      <c r="AJK30" s="1281"/>
      <c r="AJL30" s="1279">
        <v>0.26</v>
      </c>
      <c r="AJM30" s="1280"/>
      <c r="AJN30" s="1280"/>
      <c r="AJO30" s="1279">
        <v>0.38</v>
      </c>
      <c r="AJP30" s="1280"/>
      <c r="AJQ30" s="1281"/>
      <c r="AJR30" s="1279">
        <v>0.26</v>
      </c>
      <c r="AJS30" s="1280"/>
      <c r="AJT30" s="1280"/>
      <c r="AJU30" s="1279"/>
      <c r="AJV30" s="1280"/>
      <c r="AJW30" s="1281"/>
      <c r="AJX30" s="1279">
        <v>0.35</v>
      </c>
      <c r="AJY30" s="1280"/>
      <c r="AJZ30" s="1281"/>
      <c r="AKA30" s="1279">
        <v>0.36</v>
      </c>
      <c r="AKB30" s="1280"/>
      <c r="AKC30" s="1281"/>
      <c r="AKD30" s="1279">
        <v>0.26</v>
      </c>
      <c r="AKE30" s="1280"/>
      <c r="AKF30" s="1281"/>
      <c r="AKG30" s="1279">
        <v>0.43</v>
      </c>
      <c r="AKH30" s="1280"/>
      <c r="AKI30" s="1280"/>
      <c r="AKJ30" s="1279">
        <v>0.31</v>
      </c>
      <c r="AKK30" s="1280"/>
      <c r="AKL30" s="1281"/>
      <c r="AKM30" s="1279">
        <v>0.28000000000000003</v>
      </c>
      <c r="AKN30" s="1280"/>
      <c r="AKO30" s="1280"/>
      <c r="AKP30" s="1279"/>
      <c r="AKQ30" s="1280"/>
      <c r="AKR30" s="1281"/>
      <c r="AKS30" s="1279">
        <v>0.68</v>
      </c>
      <c r="AKT30" s="1280"/>
      <c r="AKU30" s="1281"/>
      <c r="AKV30" s="1279">
        <v>0.6</v>
      </c>
      <c r="AKW30" s="1280"/>
      <c r="AKX30" s="1281"/>
      <c r="AKY30" s="1279">
        <v>0.57999999999999996</v>
      </c>
      <c r="AKZ30" s="1280"/>
      <c r="ALA30" s="1281"/>
      <c r="ALB30" s="1279"/>
      <c r="ALC30" s="1280"/>
      <c r="ALD30" s="1280"/>
      <c r="ALE30" s="1279">
        <v>0.63</v>
      </c>
      <c r="ALF30" s="1280"/>
      <c r="ALG30" s="1281"/>
      <c r="ALH30" s="1279">
        <v>0.53</v>
      </c>
      <c r="ALI30" s="1280"/>
      <c r="ALJ30" s="1280"/>
      <c r="ALK30" s="1279"/>
      <c r="ALL30" s="1280"/>
      <c r="ALM30" s="1281"/>
      <c r="ALN30" s="1279">
        <v>0.46</v>
      </c>
      <c r="ALO30" s="1280"/>
      <c r="ALP30" s="1281"/>
      <c r="ALQ30" s="1279">
        <v>0.21</v>
      </c>
      <c r="ALR30" s="1280"/>
      <c r="ALS30" s="1281"/>
      <c r="ALT30" s="1279">
        <v>0.36</v>
      </c>
      <c r="ALU30" s="1280"/>
      <c r="ALV30" s="1281"/>
      <c r="ALW30" s="1279">
        <v>0.28000000000000003</v>
      </c>
      <c r="ALX30" s="1280"/>
      <c r="ALY30" s="1280"/>
      <c r="ALZ30" s="1279"/>
      <c r="AMA30" s="1280"/>
      <c r="AMB30" s="1281"/>
      <c r="AMC30" s="1279">
        <v>0.28000000000000003</v>
      </c>
      <c r="AMD30" s="1280"/>
      <c r="AME30" s="1280"/>
      <c r="AMF30" s="1279"/>
      <c r="AMG30" s="1280"/>
      <c r="AMH30" s="1281"/>
      <c r="AMI30" s="1279">
        <v>0.61</v>
      </c>
      <c r="AMJ30" s="1280"/>
      <c r="AMK30" s="1281"/>
      <c r="AML30" s="1279">
        <v>0.38</v>
      </c>
      <c r="AMM30" s="1280"/>
      <c r="AMN30" s="1281"/>
      <c r="AMO30" s="1279">
        <v>0.26</v>
      </c>
      <c r="AMP30" s="1280"/>
      <c r="AMQ30" s="1281"/>
      <c r="AMR30" s="1279">
        <v>0.5</v>
      </c>
      <c r="AMS30" s="1280"/>
      <c r="AMT30" s="1280"/>
      <c r="AMU30" s="1279">
        <v>0.35</v>
      </c>
      <c r="AMV30" s="1280"/>
      <c r="AMW30" s="1281"/>
      <c r="AMX30" s="1279">
        <v>0.5</v>
      </c>
      <c r="AMY30" s="1280"/>
      <c r="AMZ30" s="1280"/>
      <c r="ANA30" s="1279"/>
      <c r="ANB30" s="1280"/>
      <c r="ANC30" s="1281"/>
      <c r="AND30" s="1279">
        <v>0.14000000000000001</v>
      </c>
      <c r="ANE30" s="1280"/>
      <c r="ANF30" s="1281"/>
      <c r="ANG30" s="1279">
        <v>0.28000000000000003</v>
      </c>
      <c r="ANH30" s="1280"/>
      <c r="ANI30" s="1281"/>
      <c r="ANJ30" s="1279">
        <v>0.21</v>
      </c>
      <c r="ANK30" s="1280"/>
      <c r="ANL30" s="1281"/>
      <c r="ANM30" s="1279">
        <v>0.31</v>
      </c>
      <c r="ANN30" s="1280"/>
      <c r="ANO30" s="1280"/>
      <c r="ANP30" s="1279">
        <v>0.2</v>
      </c>
      <c r="ANQ30" s="1280"/>
      <c r="ANR30" s="1281"/>
      <c r="ANS30" s="1279">
        <v>0.64</v>
      </c>
      <c r="ANT30" s="1280"/>
      <c r="ANU30" s="1280"/>
      <c r="ANV30" s="1279"/>
      <c r="ANW30" s="1280"/>
      <c r="ANX30" s="1281"/>
      <c r="ANY30" s="1279">
        <v>0.5</v>
      </c>
      <c r="ANZ30" s="1280"/>
      <c r="AOA30" s="1281"/>
      <c r="AOB30" s="1279">
        <v>0.41</v>
      </c>
      <c r="AOC30" s="1280"/>
      <c r="AOD30" s="1281"/>
      <c r="AOE30" s="1279">
        <v>0.42</v>
      </c>
      <c r="AOF30" s="1280"/>
      <c r="AOG30" s="1281"/>
      <c r="AOH30" s="1279">
        <v>0.36</v>
      </c>
      <c r="AOI30" s="1280"/>
      <c r="AOJ30" s="1280"/>
      <c r="AOK30" s="1279">
        <v>0.2</v>
      </c>
      <c r="AOL30" s="1280"/>
      <c r="AOM30" s="1281"/>
      <c r="AON30" s="1279">
        <v>0.34</v>
      </c>
      <c r="AOO30" s="1280"/>
      <c r="AOP30" s="1280"/>
      <c r="AOQ30" s="1279"/>
      <c r="AOR30" s="1280"/>
      <c r="AOS30" s="1281"/>
      <c r="AOT30" s="1279">
        <v>0.22</v>
      </c>
      <c r="AOU30" s="1280"/>
      <c r="AOV30" s="1281"/>
      <c r="AOW30" s="1279">
        <v>0.28999999999999998</v>
      </c>
      <c r="AOX30" s="1280"/>
      <c r="AOY30" s="1281"/>
      <c r="AOZ30" s="1279">
        <v>0.13</v>
      </c>
      <c r="APA30" s="1280"/>
      <c r="APB30" s="1281"/>
      <c r="APC30" s="1279">
        <v>0.47</v>
      </c>
      <c r="APD30" s="1280"/>
      <c r="APE30" s="1280"/>
      <c r="APF30" s="1279">
        <v>0.15</v>
      </c>
      <c r="APG30" s="1280"/>
      <c r="APH30" s="1281"/>
      <c r="API30" s="1279">
        <v>0.45</v>
      </c>
      <c r="APJ30" s="1280"/>
      <c r="APK30" s="1280"/>
      <c r="APL30" s="1279"/>
      <c r="APM30" s="1280"/>
      <c r="APN30" s="1281"/>
      <c r="APO30" s="1279">
        <v>0.5</v>
      </c>
      <c r="APP30" s="1280"/>
      <c r="APQ30" s="1281"/>
      <c r="APR30" s="1279">
        <v>0.42</v>
      </c>
      <c r="APS30" s="1280"/>
      <c r="APT30" s="1281"/>
      <c r="APU30" s="1279">
        <v>0.4</v>
      </c>
      <c r="APV30" s="1280"/>
      <c r="APW30" s="1281"/>
      <c r="APX30" s="1279">
        <v>0.44</v>
      </c>
      <c r="APY30" s="1280"/>
      <c r="APZ30" s="1280"/>
      <c r="AQA30" s="1279">
        <v>0.42</v>
      </c>
      <c r="AQB30" s="1280"/>
      <c r="AQC30" s="1281"/>
      <c r="AQD30" s="1279">
        <v>0.47</v>
      </c>
      <c r="AQE30" s="1280"/>
      <c r="AQF30" s="1281"/>
      <c r="AQG30" s="1279"/>
      <c r="AQH30" s="1280"/>
      <c r="AQI30" s="1281"/>
      <c r="AQJ30" s="1279">
        <v>0.26</v>
      </c>
      <c r="AQK30" s="1280"/>
      <c r="AQL30" s="1281"/>
      <c r="AQM30" s="1279">
        <v>0.4</v>
      </c>
      <c r="AQN30" s="1280"/>
      <c r="AQO30" s="1281"/>
      <c r="AQP30" s="1279">
        <v>0.33</v>
      </c>
      <c r="AQQ30" s="1280"/>
      <c r="AQR30" s="1280"/>
      <c r="AQS30" s="1279">
        <v>0.35</v>
      </c>
      <c r="AQT30" s="1280"/>
      <c r="AQU30" s="1280"/>
      <c r="AQV30" s="1279">
        <v>0.5</v>
      </c>
      <c r="AQW30" s="1280"/>
      <c r="AQX30" s="1280"/>
      <c r="AQY30" s="1279">
        <v>0.4</v>
      </c>
      <c r="AQZ30" s="1280"/>
      <c r="ARA30" s="1281"/>
      <c r="ARB30" s="1279" t="s">
        <v>20</v>
      </c>
      <c r="ARC30" s="1280"/>
      <c r="ARD30" s="1281"/>
      <c r="ARE30" s="1279" t="s">
        <v>20</v>
      </c>
      <c r="ARF30" s="1280"/>
      <c r="ARG30" s="1281"/>
      <c r="ARH30" s="1279">
        <v>0.14000000000000001</v>
      </c>
      <c r="ARI30" s="1280"/>
      <c r="ARJ30" s="1281"/>
      <c r="ARK30" s="1280"/>
      <c r="ARL30" s="1280"/>
      <c r="ARM30" s="1281"/>
      <c r="ARN30" s="1279"/>
      <c r="ARO30" s="1280"/>
      <c r="ARP30" s="1281"/>
      <c r="ARQ30" s="1280">
        <v>0.28000000000000003</v>
      </c>
      <c r="ARR30" s="1280"/>
      <c r="ARS30" s="1281"/>
      <c r="ART30" s="1280">
        <v>0.28000000000000003</v>
      </c>
      <c r="ARU30" s="1280"/>
      <c r="ARV30" s="1281"/>
      <c r="ARW30" s="1280"/>
      <c r="ARX30" s="1280"/>
      <c r="ARY30" s="1281"/>
      <c r="ARZ30" s="1280">
        <v>0.5</v>
      </c>
      <c r="ASA30" s="1280"/>
      <c r="ASB30" s="1281"/>
      <c r="ASC30" s="1279">
        <v>0.33</v>
      </c>
      <c r="ASD30" s="1280"/>
      <c r="ASE30" s="1280"/>
      <c r="ASF30" s="1279">
        <v>0.63</v>
      </c>
      <c r="ASG30" s="1280"/>
      <c r="ASH30" s="1281"/>
      <c r="ASI30" s="1279"/>
      <c r="ASJ30" s="1280"/>
      <c r="ASK30" s="1280"/>
      <c r="ASL30" s="1279">
        <v>0.5</v>
      </c>
      <c r="ASM30" s="1280"/>
      <c r="ASN30" s="1281"/>
      <c r="ASO30" s="1279">
        <v>0.6</v>
      </c>
      <c r="ASP30" s="1280"/>
      <c r="ASQ30" s="1280"/>
      <c r="ASR30" s="1279"/>
      <c r="ASS30" s="1280"/>
      <c r="AST30" s="1281"/>
      <c r="ASU30" s="1279"/>
      <c r="ASV30" s="1280"/>
      <c r="ASW30" s="1281"/>
      <c r="ASX30" s="1279"/>
      <c r="ASY30" s="1280"/>
      <c r="ASZ30" s="1280"/>
      <c r="ATA30" s="1279"/>
      <c r="ATB30" s="1280"/>
      <c r="ATC30" s="1281"/>
      <c r="ATD30" s="1279"/>
      <c r="ATE30" s="1280"/>
      <c r="ATF30" s="1280"/>
      <c r="ATG30" s="1279"/>
      <c r="ATH30" s="1280"/>
      <c r="ATI30" s="1281"/>
      <c r="ATJ30" s="1279"/>
      <c r="ATK30" s="1280"/>
      <c r="ATL30" s="1281"/>
      <c r="ATM30" s="1279"/>
      <c r="ATN30" s="1280"/>
      <c r="ATO30" s="1281"/>
      <c r="ATP30" s="1279"/>
      <c r="ATQ30" s="1280"/>
      <c r="ATR30" s="1281"/>
      <c r="ATS30" s="1279">
        <v>0.37</v>
      </c>
      <c r="ATT30" s="1280"/>
      <c r="ATU30" s="1281"/>
      <c r="ATV30" s="1280">
        <v>0.25</v>
      </c>
      <c r="ATW30" s="1280"/>
      <c r="ATX30" s="1281"/>
      <c r="ATY30" s="1279">
        <v>0.5</v>
      </c>
      <c r="ATZ30" s="1280"/>
      <c r="AUA30" s="1280"/>
      <c r="AUB30" s="1279"/>
      <c r="AUC30" s="1280"/>
      <c r="AUD30" s="1281"/>
      <c r="AUE30" s="1279"/>
      <c r="AUF30" s="1280"/>
      <c r="AUG30" s="1281"/>
      <c r="AUH30" s="1279"/>
      <c r="AUI30" s="1280"/>
      <c r="AUJ30" s="1281"/>
      <c r="AUK30" s="1279"/>
      <c r="AUL30" s="1280"/>
      <c r="AUM30" s="1280"/>
      <c r="AUN30" s="1279">
        <v>1</v>
      </c>
      <c r="AUO30" s="1280"/>
      <c r="AUP30" s="1280"/>
      <c r="AUQ30" s="1279">
        <v>0.6</v>
      </c>
      <c r="AUR30" s="1280"/>
      <c r="AUS30" s="1280"/>
      <c r="AUT30" s="1279">
        <v>0.37</v>
      </c>
      <c r="AUU30" s="1280"/>
      <c r="AUV30" s="1280"/>
      <c r="AUW30" s="1279">
        <v>0.52</v>
      </c>
      <c r="AUX30" s="1280"/>
      <c r="AUY30" s="1280"/>
      <c r="AUZ30" s="1279">
        <v>0.41</v>
      </c>
      <c r="AVA30" s="1280"/>
      <c r="AVB30" s="1280"/>
      <c r="AVC30" s="1279"/>
      <c r="AVD30" s="1280"/>
      <c r="AVE30" s="1280"/>
      <c r="AVF30" s="1279">
        <v>0.5</v>
      </c>
      <c r="AVG30" s="1280"/>
      <c r="AVH30" s="1280"/>
      <c r="AVI30" s="1279"/>
      <c r="AVJ30" s="1280"/>
      <c r="AVK30" s="1280"/>
      <c r="AVL30" s="1279">
        <v>0.5</v>
      </c>
      <c r="AVM30" s="1280"/>
      <c r="AVN30" s="1280"/>
      <c r="AVO30" s="1279">
        <v>0.5</v>
      </c>
      <c r="AVP30" s="1280"/>
      <c r="AVQ30" s="1280"/>
      <c r="AVR30" s="1279"/>
      <c r="AVS30" s="1280"/>
      <c r="AVT30" s="1280"/>
      <c r="AVU30" s="1279"/>
      <c r="AVV30" s="1280"/>
      <c r="AVW30" s="1280"/>
      <c r="AVX30" s="1279"/>
      <c r="AVY30" s="1280"/>
      <c r="AVZ30" s="1280"/>
      <c r="AWA30" s="1279"/>
      <c r="AWB30" s="1280"/>
      <c r="AWC30" s="1280"/>
      <c r="AWD30" s="1279"/>
      <c r="AWE30" s="1280"/>
      <c r="AWF30" s="1280"/>
      <c r="AWG30" s="1279"/>
      <c r="AWH30" s="1280"/>
      <c r="AWI30" s="1280"/>
      <c r="AWJ30" s="1279"/>
      <c r="AWK30" s="1280"/>
      <c r="AWL30" s="1280"/>
      <c r="AWM30" s="1279"/>
      <c r="AWN30" s="1280"/>
      <c r="AWO30" s="1281"/>
      <c r="AWP30" s="1280"/>
      <c r="AWQ30" s="1280"/>
      <c r="AWR30" s="1281"/>
      <c r="AWS30" s="1279"/>
      <c r="AWT30" s="1280"/>
      <c r="AWU30" s="1281"/>
      <c r="AWV30" s="1279"/>
      <c r="AWW30" s="1280"/>
      <c r="AWX30" s="1281"/>
      <c r="AWY30" s="1279"/>
      <c r="AWZ30" s="1280"/>
      <c r="AXA30" s="1280"/>
      <c r="AXB30" s="1279"/>
      <c r="AXC30" s="1280"/>
      <c r="AXD30" s="1281"/>
      <c r="AXE30" s="1279"/>
      <c r="AXF30" s="1280"/>
      <c r="AXG30" s="1280"/>
      <c r="AXH30" s="1279"/>
      <c r="AXI30" s="1280"/>
      <c r="AXJ30" s="1281"/>
      <c r="AXK30" s="1279"/>
      <c r="AXL30" s="1280"/>
      <c r="AXM30" s="1281"/>
      <c r="AXN30" s="1279"/>
      <c r="AXO30" s="1280"/>
      <c r="AXP30" s="1281"/>
      <c r="AXQ30" s="1279"/>
      <c r="AXR30" s="1280"/>
      <c r="AXS30" s="1281"/>
      <c r="AXT30" s="1279"/>
      <c r="AXU30" s="1280"/>
      <c r="AXV30" s="1280"/>
      <c r="AXW30" s="1279"/>
      <c r="AXX30" s="1280"/>
      <c r="AXY30" s="1281"/>
      <c r="AXZ30" s="1279"/>
      <c r="AYA30" s="1280"/>
      <c r="AYB30" s="1280"/>
      <c r="AYC30" s="1279"/>
      <c r="AYD30" s="1280"/>
      <c r="AYE30" s="1281"/>
      <c r="AYF30" s="1279"/>
      <c r="AYG30" s="1280"/>
      <c r="AYH30" s="1281"/>
      <c r="AYI30" s="1279"/>
      <c r="AYJ30" s="1280"/>
      <c r="AYK30" s="1281"/>
      <c r="AYL30" s="1279"/>
      <c r="AYM30" s="1280"/>
      <c r="AYN30" s="1281"/>
      <c r="AYO30" s="1279"/>
      <c r="AYP30" s="1280"/>
      <c r="AYQ30" s="1280"/>
      <c r="AYR30" s="1279"/>
      <c r="AYS30" s="1280"/>
      <c r="AYT30" s="1281"/>
      <c r="AYU30" s="1279"/>
      <c r="AYV30" s="1280"/>
      <c r="AYW30" s="1280"/>
      <c r="AYX30" s="1279"/>
      <c r="AYY30" s="1280"/>
      <c r="AYZ30" s="1281"/>
      <c r="AZA30" s="1279"/>
      <c r="AZB30" s="1280"/>
      <c r="AZC30" s="1281"/>
      <c r="AZD30" s="1279"/>
      <c r="AZE30" s="1280"/>
      <c r="AZF30" s="1281"/>
      <c r="AZG30" s="1279"/>
      <c r="AZH30" s="1280"/>
      <c r="AZI30" s="1281"/>
      <c r="AZJ30" s="1279"/>
      <c r="AZK30" s="1280"/>
      <c r="AZL30" s="1280"/>
      <c r="AZM30" s="1279"/>
      <c r="AZN30" s="1280"/>
      <c r="AZO30" s="1281"/>
      <c r="AZP30" s="1279"/>
      <c r="AZQ30" s="1280"/>
      <c r="AZR30" s="1280"/>
      <c r="AZS30" s="1279"/>
      <c r="AZT30" s="1280"/>
      <c r="AZU30" s="1281"/>
      <c r="AZV30" s="1279"/>
      <c r="AZW30" s="1280"/>
      <c r="AZX30" s="1281"/>
      <c r="AZY30" s="1279"/>
      <c r="AZZ30" s="1280"/>
      <c r="BAA30" s="1281"/>
      <c r="BAB30" s="1279"/>
      <c r="BAC30" s="1280"/>
      <c r="BAD30" s="1281"/>
      <c r="BAE30" s="1279"/>
      <c r="BAF30" s="1280"/>
      <c r="BAG30" s="1280"/>
      <c r="BAH30" s="1279"/>
      <c r="BAI30" s="1280"/>
      <c r="BAJ30" s="1281"/>
    </row>
    <row r="31" spans="1:1399" ht="15" customHeight="1">
      <c r="B31" s="953" t="s">
        <v>184</v>
      </c>
      <c r="C31" s="16"/>
      <c r="D31" s="16"/>
      <c r="E31" s="9" t="s">
        <v>349</v>
      </c>
      <c r="F31" s="89"/>
      <c r="G31" s="89"/>
      <c r="H31" s="90"/>
      <c r="I31" s="89"/>
      <c r="J31" s="89"/>
      <c r="K31" s="90"/>
      <c r="L31" s="89"/>
      <c r="M31" s="89"/>
      <c r="N31" s="90"/>
      <c r="O31" s="89"/>
      <c r="P31" s="89"/>
      <c r="Q31" s="90"/>
      <c r="R31" s="89"/>
      <c r="S31" s="89"/>
      <c r="T31" s="90"/>
      <c r="U31" s="89"/>
      <c r="V31" s="89"/>
      <c r="W31" s="90"/>
      <c r="X31" s="89"/>
      <c r="Y31" s="89"/>
      <c r="Z31" s="90"/>
      <c r="AA31" s="89"/>
      <c r="AB31" s="89"/>
      <c r="AC31" s="90"/>
      <c r="AD31" s="89"/>
      <c r="AE31" s="89"/>
      <c r="AF31" s="90"/>
      <c r="AG31" s="89"/>
      <c r="AH31" s="89"/>
      <c r="AI31" s="90"/>
      <c r="AJ31" s="89"/>
      <c r="AK31" s="89"/>
      <c r="AL31" s="90"/>
      <c r="AM31" s="89"/>
      <c r="AN31" s="89"/>
      <c r="AO31" s="90"/>
      <c r="AP31" s="89"/>
      <c r="AQ31" s="89"/>
      <c r="AR31" s="90"/>
      <c r="AS31" s="89"/>
      <c r="AT31" s="89"/>
      <c r="AU31" s="90"/>
      <c r="AV31" s="89"/>
      <c r="AW31" s="89"/>
      <c r="AX31" s="90"/>
      <c r="AY31" s="89"/>
      <c r="AZ31" s="89"/>
      <c r="BA31" s="90"/>
      <c r="BB31" s="89"/>
      <c r="BC31" s="89"/>
      <c r="BD31" s="90"/>
      <c r="BE31" s="89"/>
      <c r="BF31" s="89"/>
      <c r="BG31" s="90"/>
      <c r="BH31" s="89"/>
      <c r="BI31" s="89"/>
      <c r="BJ31" s="90"/>
      <c r="BK31" s="89"/>
      <c r="BL31" s="89"/>
      <c r="BM31" s="90"/>
      <c r="BN31" s="89"/>
      <c r="BO31" s="89"/>
      <c r="BP31" s="90"/>
      <c r="BQ31" s="89"/>
      <c r="BR31" s="89"/>
      <c r="BS31" s="90"/>
      <c r="BT31" s="89"/>
      <c r="BU31" s="89"/>
      <c r="BV31" s="90"/>
      <c r="BW31" s="89"/>
      <c r="BX31" s="89"/>
      <c r="BY31" s="90"/>
      <c r="BZ31" s="89"/>
      <c r="CA31" s="89"/>
      <c r="CB31" s="90"/>
      <c r="CC31" s="89"/>
      <c r="CD31" s="89"/>
      <c r="CE31" s="90"/>
      <c r="CF31" s="89"/>
      <c r="CG31" s="89"/>
      <c r="CH31" s="90"/>
      <c r="CI31" s="89"/>
      <c r="CJ31" s="89"/>
      <c r="CK31" s="90"/>
      <c r="CL31" s="89"/>
      <c r="CM31" s="89"/>
      <c r="CN31" s="90"/>
      <c r="CO31" s="89"/>
      <c r="CP31" s="89"/>
      <c r="CQ31" s="90"/>
      <c r="CR31" s="89"/>
      <c r="CS31" s="89"/>
      <c r="CT31" s="90"/>
      <c r="CU31" s="89"/>
      <c r="CV31" s="89"/>
      <c r="CW31" s="90"/>
      <c r="CX31" s="89"/>
      <c r="CY31" s="89"/>
      <c r="CZ31" s="90"/>
      <c r="DA31" s="89"/>
      <c r="DB31" s="89"/>
      <c r="DC31" s="90"/>
      <c r="DD31" s="89"/>
      <c r="DE31" s="89"/>
      <c r="DF31" s="90"/>
      <c r="DG31" s="89"/>
      <c r="DH31" s="89"/>
      <c r="DI31" s="90"/>
      <c r="DJ31" s="89"/>
      <c r="DK31" s="89"/>
      <c r="DL31" s="90"/>
      <c r="DM31" s="89"/>
      <c r="DN31" s="89"/>
      <c r="DO31" s="90"/>
      <c r="DP31" s="89"/>
      <c r="DQ31" s="89"/>
      <c r="DR31" s="90"/>
      <c r="DS31" s="89"/>
      <c r="DT31" s="89"/>
      <c r="DU31" s="90"/>
      <c r="DV31" s="89"/>
      <c r="DW31" s="89"/>
      <c r="DX31" s="90"/>
      <c r="DY31" s="89"/>
      <c r="DZ31" s="89"/>
      <c r="EA31" s="90"/>
      <c r="EB31" s="89"/>
      <c r="EC31" s="89"/>
      <c r="ED31" s="90"/>
      <c r="EE31" s="89"/>
      <c r="EF31" s="89"/>
      <c r="EG31" s="90"/>
      <c r="EH31" s="89"/>
      <c r="EI31" s="89"/>
      <c r="EJ31" s="90"/>
      <c r="EK31" s="89"/>
      <c r="EL31" s="89"/>
      <c r="EM31" s="90"/>
      <c r="EN31" s="89"/>
      <c r="EO31" s="89"/>
      <c r="EP31" s="90"/>
      <c r="EQ31" s="89"/>
      <c r="ER31" s="89"/>
      <c r="ES31" s="90"/>
      <c r="ET31" s="89"/>
      <c r="EU31" s="89"/>
      <c r="EV31" s="90"/>
      <c r="EW31" s="89"/>
      <c r="EX31" s="89"/>
      <c r="EY31" s="90"/>
      <c r="EZ31" s="89"/>
      <c r="FA31" s="89"/>
      <c r="FB31" s="90"/>
      <c r="FC31" s="89"/>
      <c r="FD31" s="89"/>
      <c r="FE31" s="90"/>
      <c r="FF31" s="89"/>
      <c r="FG31" s="89"/>
      <c r="FH31" s="90"/>
      <c r="FI31" s="89"/>
      <c r="FJ31" s="89"/>
      <c r="FK31" s="90"/>
      <c r="FL31" s="89"/>
      <c r="FM31" s="89"/>
      <c r="FN31" s="90"/>
      <c r="FO31" s="89"/>
      <c r="FP31" s="89"/>
      <c r="FQ31" s="90"/>
      <c r="FR31" s="89"/>
      <c r="FS31" s="89"/>
      <c r="FT31" s="90"/>
      <c r="FU31" s="89"/>
      <c r="FV31" s="89"/>
      <c r="FW31" s="90"/>
      <c r="FX31" s="89"/>
      <c r="FY31" s="89"/>
      <c r="FZ31" s="90"/>
      <c r="GA31" s="89"/>
      <c r="GB31" s="89"/>
      <c r="GC31" s="90"/>
      <c r="GD31" s="89"/>
      <c r="GE31" s="89"/>
      <c r="GF31" s="90"/>
      <c r="GG31" s="89"/>
      <c r="GH31" s="89"/>
      <c r="GI31" s="90"/>
      <c r="GJ31" s="89"/>
      <c r="GK31" s="89"/>
      <c r="GL31" s="90"/>
      <c r="GM31" s="89"/>
      <c r="GN31" s="89"/>
      <c r="GO31" s="90"/>
      <c r="GP31" s="89"/>
      <c r="GQ31" s="89"/>
      <c r="GR31" s="90"/>
      <c r="GS31" s="89"/>
      <c r="GT31" s="89"/>
      <c r="GU31" s="90"/>
      <c r="GV31" s="89"/>
      <c r="GW31" s="89"/>
      <c r="GX31" s="90"/>
      <c r="GY31" s="89"/>
      <c r="GZ31" s="89"/>
      <c r="HA31" s="90"/>
      <c r="HB31" s="89"/>
      <c r="HC31" s="89"/>
      <c r="HD31" s="90"/>
      <c r="HE31" s="89"/>
      <c r="HF31" s="89"/>
      <c r="HG31" s="90"/>
      <c r="HH31" s="89"/>
      <c r="HI31" s="89"/>
      <c r="HJ31" s="90"/>
      <c r="HK31" s="89"/>
      <c r="HL31" s="89"/>
      <c r="HM31" s="90"/>
      <c r="HN31" s="89"/>
      <c r="HO31" s="89"/>
      <c r="HP31" s="90"/>
      <c r="HQ31" s="89"/>
      <c r="HR31" s="89"/>
      <c r="HS31" s="90"/>
      <c r="HT31" s="89"/>
      <c r="HU31" s="89"/>
      <c r="HV31" s="90"/>
      <c r="HW31" s="89"/>
      <c r="HX31" s="89"/>
      <c r="HY31" s="90"/>
      <c r="HZ31" s="89"/>
      <c r="IA31" s="89"/>
      <c r="IB31" s="90"/>
      <c r="IC31" s="89"/>
      <c r="ID31" s="89"/>
      <c r="IE31" s="90"/>
      <c r="IF31" s="89"/>
      <c r="IG31" s="89"/>
      <c r="IH31" s="90"/>
      <c r="II31" s="89"/>
      <c r="IJ31" s="89"/>
      <c r="IK31" s="90"/>
      <c r="IL31" s="89"/>
      <c r="IM31" s="89"/>
      <c r="IN31" s="90"/>
      <c r="IO31" s="89"/>
      <c r="IP31" s="89"/>
      <c r="IQ31" s="90"/>
      <c r="IR31" s="89"/>
      <c r="IS31" s="89"/>
      <c r="IT31" s="90"/>
      <c r="IU31" s="89"/>
      <c r="IV31" s="89"/>
      <c r="IW31" s="90"/>
      <c r="IX31" s="89"/>
      <c r="IY31" s="89"/>
      <c r="IZ31" s="90"/>
      <c r="JA31" s="89"/>
      <c r="JB31" s="89"/>
      <c r="JC31" s="90"/>
      <c r="JD31" s="89"/>
      <c r="JE31" s="89"/>
      <c r="JF31" s="90"/>
      <c r="JG31" s="89"/>
      <c r="JH31" s="89"/>
      <c r="JI31" s="90"/>
      <c r="JJ31" s="89"/>
      <c r="JK31" s="89"/>
      <c r="JL31" s="90"/>
      <c r="JM31" s="89"/>
      <c r="JN31" s="89"/>
      <c r="JO31" s="90"/>
      <c r="JP31" s="1209"/>
      <c r="JQ31" s="1209"/>
      <c r="JR31" s="91"/>
      <c r="JS31" s="89"/>
      <c r="JT31" s="89"/>
      <c r="JU31" s="90"/>
      <c r="JV31" s="89"/>
      <c r="JW31" s="89"/>
      <c r="JX31" s="90"/>
      <c r="JY31" s="89"/>
      <c r="JZ31" s="89"/>
      <c r="KA31" s="90"/>
      <c r="KB31" s="89"/>
      <c r="KC31" s="89"/>
      <c r="KD31" s="90"/>
      <c r="KE31" s="89"/>
      <c r="KF31" s="89"/>
      <c r="KG31" s="90"/>
      <c r="KH31" s="89"/>
      <c r="KI31" s="89"/>
      <c r="KJ31" s="90"/>
      <c r="KK31" s="89"/>
      <c r="KL31" s="89"/>
      <c r="KM31" s="90"/>
      <c r="KN31" s="89"/>
      <c r="KO31" s="89"/>
      <c r="KP31" s="90"/>
      <c r="KQ31" s="89"/>
      <c r="KR31" s="89"/>
      <c r="KS31" s="90"/>
      <c r="KT31" s="89"/>
      <c r="KU31" s="89"/>
      <c r="KV31" s="90"/>
      <c r="KW31" s="89"/>
      <c r="KX31" s="89"/>
      <c r="KY31" s="90"/>
      <c r="KZ31" s="89"/>
      <c r="LA31" s="89"/>
      <c r="LB31" s="90"/>
      <c r="LC31" s="89"/>
      <c r="LD31" s="89"/>
      <c r="LE31" s="90"/>
      <c r="LF31" s="89"/>
      <c r="LG31" s="89"/>
      <c r="LH31" s="90"/>
      <c r="LI31" s="89"/>
      <c r="LJ31" s="89"/>
      <c r="LK31" s="90"/>
      <c r="LL31" s="89"/>
      <c r="LM31" s="89"/>
      <c r="LN31" s="90"/>
      <c r="LO31" s="89"/>
      <c r="LP31" s="89"/>
      <c r="LQ31" s="90"/>
      <c r="LR31" s="89"/>
      <c r="LS31" s="89"/>
      <c r="LT31" s="90"/>
      <c r="LU31" s="89"/>
      <c r="LV31" s="89"/>
      <c r="LW31" s="90"/>
      <c r="LX31" s="89"/>
      <c r="LY31" s="89"/>
      <c r="LZ31" s="90"/>
      <c r="MA31" s="89"/>
      <c r="MB31" s="89"/>
      <c r="MC31" s="90"/>
      <c r="MD31" s="89"/>
      <c r="ME31" s="89"/>
      <c r="MF31" s="90"/>
      <c r="MG31" s="89"/>
      <c r="MH31" s="89"/>
      <c r="MI31" s="90"/>
      <c r="MJ31" s="89"/>
      <c r="MK31" s="89"/>
      <c r="ML31" s="90"/>
      <c r="MM31" s="89"/>
      <c r="MN31" s="89"/>
      <c r="MO31" s="90"/>
      <c r="MP31" s="89"/>
      <c r="MQ31" s="89"/>
      <c r="MR31" s="90"/>
      <c r="MS31" s="89"/>
      <c r="MT31" s="89"/>
      <c r="MU31" s="90"/>
      <c r="MV31" s="89"/>
      <c r="MW31" s="89"/>
      <c r="MX31" s="90"/>
      <c r="MY31" s="89"/>
      <c r="MZ31" s="89"/>
      <c r="NA31" s="90"/>
      <c r="NB31" s="89"/>
      <c r="NC31" s="89"/>
      <c r="ND31" s="90"/>
      <c r="NE31" s="1411" t="s">
        <v>20</v>
      </c>
      <c r="NF31" s="1411"/>
      <c r="NG31" s="1412"/>
      <c r="NH31" s="1411" t="s">
        <v>20</v>
      </c>
      <c r="NI31" s="1411"/>
      <c r="NJ31" s="1412"/>
      <c r="NK31" s="1279">
        <v>1</v>
      </c>
      <c r="NL31" s="1280"/>
      <c r="NM31" s="1281"/>
      <c r="NN31" s="1279">
        <v>1</v>
      </c>
      <c r="NO31" s="1280"/>
      <c r="NP31" s="1281"/>
      <c r="NQ31" s="1279">
        <v>1</v>
      </c>
      <c r="NR31" s="1280"/>
      <c r="NS31" s="1281"/>
      <c r="NT31" s="1279">
        <v>1</v>
      </c>
      <c r="NU31" s="1280"/>
      <c r="NV31" s="1281"/>
      <c r="NW31" s="1279">
        <v>1</v>
      </c>
      <c r="NX31" s="1280"/>
      <c r="NY31" s="1281"/>
      <c r="NZ31" s="1411" t="s">
        <v>20</v>
      </c>
      <c r="OA31" s="1411"/>
      <c r="OB31" s="1412"/>
      <c r="OC31" s="1279">
        <v>1</v>
      </c>
      <c r="OD31" s="1280"/>
      <c r="OE31" s="1281"/>
      <c r="OF31" s="1279">
        <v>1</v>
      </c>
      <c r="OG31" s="1280"/>
      <c r="OH31" s="1281"/>
      <c r="OI31" s="1279">
        <v>1</v>
      </c>
      <c r="OJ31" s="1280"/>
      <c r="OK31" s="1281"/>
      <c r="OL31" s="1279">
        <v>1</v>
      </c>
      <c r="OM31" s="1280"/>
      <c r="ON31" s="1281"/>
      <c r="OO31" s="1279">
        <v>1</v>
      </c>
      <c r="OP31" s="1280"/>
      <c r="OQ31" s="1281"/>
      <c r="OR31" s="1279"/>
      <c r="OS31" s="1280"/>
      <c r="OT31" s="1281"/>
      <c r="OU31" s="1279"/>
      <c r="OV31" s="1280"/>
      <c r="OW31" s="1281"/>
      <c r="OX31" s="1279"/>
      <c r="OY31" s="1280"/>
      <c r="OZ31" s="1281"/>
      <c r="PA31" s="1279"/>
      <c r="PB31" s="1280"/>
      <c r="PC31" s="1281"/>
      <c r="PD31" s="1279">
        <v>0.5</v>
      </c>
      <c r="PE31" s="1280"/>
      <c r="PF31" s="1281"/>
      <c r="PG31" s="1279">
        <v>0.85709999999999997</v>
      </c>
      <c r="PH31" s="1280"/>
      <c r="PI31" s="1281"/>
      <c r="PJ31" s="1279"/>
      <c r="PK31" s="1280"/>
      <c r="PL31" s="1281"/>
      <c r="PM31" s="1279"/>
      <c r="PN31" s="1280"/>
      <c r="PO31" s="1281"/>
      <c r="PP31" s="1279"/>
      <c r="PQ31" s="1280"/>
      <c r="PR31" s="1281"/>
      <c r="PS31" s="1279"/>
      <c r="PT31" s="1280"/>
      <c r="PU31" s="1281"/>
      <c r="PV31" s="1279">
        <v>1</v>
      </c>
      <c r="PW31" s="1280"/>
      <c r="PX31" s="1281"/>
      <c r="PY31" s="1279">
        <v>1</v>
      </c>
      <c r="PZ31" s="1280"/>
      <c r="QA31" s="1281"/>
      <c r="QB31" s="1279">
        <v>1</v>
      </c>
      <c r="QC31" s="1280"/>
      <c r="QD31" s="1281"/>
      <c r="QE31" s="1279">
        <v>1</v>
      </c>
      <c r="QF31" s="1280"/>
      <c r="QG31" s="1281"/>
      <c r="QH31" s="1279">
        <v>1</v>
      </c>
      <c r="QI31" s="1280"/>
      <c r="QJ31" s="1281"/>
      <c r="QK31" s="1279"/>
      <c r="QL31" s="1280"/>
      <c r="QM31" s="1281"/>
      <c r="QN31" s="1279"/>
      <c r="QO31" s="1280"/>
      <c r="QP31" s="1281"/>
      <c r="QQ31" s="1279">
        <v>1</v>
      </c>
      <c r="QR31" s="1280"/>
      <c r="QS31" s="1281"/>
      <c r="QT31" s="1279">
        <v>1</v>
      </c>
      <c r="QU31" s="1280"/>
      <c r="QV31" s="1281"/>
      <c r="QW31" s="1279">
        <v>1</v>
      </c>
      <c r="QX31" s="1280"/>
      <c r="QY31" s="1281"/>
      <c r="QZ31" s="1279">
        <v>1</v>
      </c>
      <c r="RA31" s="1280"/>
      <c r="RB31" s="1281"/>
      <c r="RC31" s="1279">
        <v>1</v>
      </c>
      <c r="RD31" s="1280"/>
      <c r="RE31" s="1281"/>
      <c r="RF31" s="1279"/>
      <c r="RG31" s="1280"/>
      <c r="RH31" s="1281"/>
      <c r="RI31" s="1279"/>
      <c r="RJ31" s="1280"/>
      <c r="RK31" s="1281"/>
      <c r="RL31" s="1279">
        <v>1</v>
      </c>
      <c r="RM31" s="1280"/>
      <c r="RN31" s="1281"/>
      <c r="RO31" s="1279"/>
      <c r="RP31" s="1280"/>
      <c r="RQ31" s="1281"/>
      <c r="RR31" s="1279">
        <v>1</v>
      </c>
      <c r="RS31" s="1280"/>
      <c r="RT31" s="1281"/>
      <c r="RU31" s="1279">
        <v>1</v>
      </c>
      <c r="RV31" s="1280"/>
      <c r="RW31" s="1281"/>
      <c r="RX31" s="1279">
        <v>1</v>
      </c>
      <c r="RY31" s="1280"/>
      <c r="RZ31" s="1281"/>
      <c r="SA31" s="1279"/>
      <c r="SB31" s="1280"/>
      <c r="SC31" s="1281"/>
      <c r="SD31" s="1279">
        <v>1</v>
      </c>
      <c r="SE31" s="1280"/>
      <c r="SF31" s="1281"/>
      <c r="SG31" s="1279"/>
      <c r="SH31" s="1280"/>
      <c r="SI31" s="1281"/>
      <c r="SJ31" s="1279">
        <v>1</v>
      </c>
      <c r="SK31" s="1280"/>
      <c r="SL31" s="1281"/>
      <c r="SM31" s="1279">
        <v>1</v>
      </c>
      <c r="SN31" s="1280"/>
      <c r="SO31" s="1281"/>
      <c r="SP31" s="1279">
        <v>1</v>
      </c>
      <c r="SQ31" s="1280"/>
      <c r="SR31" s="1281"/>
      <c r="SS31" s="1279">
        <v>1</v>
      </c>
      <c r="ST31" s="1280"/>
      <c r="SU31" s="1281"/>
      <c r="SV31" s="1279"/>
      <c r="SW31" s="1280"/>
      <c r="SX31" s="1281"/>
      <c r="SY31" s="1279"/>
      <c r="SZ31" s="1280"/>
      <c r="TA31" s="1281"/>
      <c r="TB31" s="1279">
        <v>1</v>
      </c>
      <c r="TC31" s="1280"/>
      <c r="TD31" s="1281"/>
      <c r="TE31" s="1279">
        <v>1</v>
      </c>
      <c r="TF31" s="1280"/>
      <c r="TG31" s="1281"/>
      <c r="TH31" s="1279">
        <v>1</v>
      </c>
      <c r="TI31" s="1280"/>
      <c r="TJ31" s="1281"/>
      <c r="TK31" s="1279">
        <v>1</v>
      </c>
      <c r="TL31" s="1280"/>
      <c r="TM31" s="1281"/>
      <c r="TN31" s="1279">
        <v>1</v>
      </c>
      <c r="TO31" s="1280"/>
      <c r="TP31" s="1281"/>
      <c r="TQ31" s="1279"/>
      <c r="TR31" s="1280"/>
      <c r="TS31" s="1281"/>
      <c r="TT31" s="1279">
        <v>1</v>
      </c>
      <c r="TU31" s="1280"/>
      <c r="TV31" s="1281"/>
      <c r="TW31" s="1279">
        <v>1</v>
      </c>
      <c r="TX31" s="1280"/>
      <c r="TY31" s="1281"/>
      <c r="TZ31" s="1279">
        <v>1</v>
      </c>
      <c r="UA31" s="1280"/>
      <c r="UB31" s="1281"/>
      <c r="UC31" s="1279">
        <v>1</v>
      </c>
      <c r="UD31" s="1280"/>
      <c r="UE31" s="1281"/>
      <c r="UF31" s="1279">
        <v>1</v>
      </c>
      <c r="UG31" s="1280"/>
      <c r="UH31" s="1281"/>
      <c r="UI31" s="1279">
        <v>1</v>
      </c>
      <c r="UJ31" s="1280"/>
      <c r="UK31" s="1281"/>
      <c r="UL31" s="1279"/>
      <c r="UM31" s="1280"/>
      <c r="UN31" s="1281"/>
      <c r="UO31" s="1279"/>
      <c r="UP31" s="1280"/>
      <c r="UQ31" s="1281"/>
      <c r="UR31" s="1279">
        <v>1</v>
      </c>
      <c r="US31" s="1280"/>
      <c r="UT31" s="1281"/>
      <c r="UU31" s="1279">
        <v>1</v>
      </c>
      <c r="UV31" s="1280"/>
      <c r="UW31" s="1281"/>
      <c r="UX31" s="1279">
        <v>0.91669999999999996</v>
      </c>
      <c r="UY31" s="1280"/>
      <c r="UZ31" s="1281"/>
      <c r="VA31" s="1279">
        <v>0.93330000000000002</v>
      </c>
      <c r="VB31" s="1280"/>
      <c r="VC31" s="1281"/>
      <c r="VD31" s="1279">
        <v>1</v>
      </c>
      <c r="VE31" s="1280"/>
      <c r="VF31" s="1281"/>
      <c r="VG31" s="1279"/>
      <c r="VH31" s="1280"/>
      <c r="VI31" s="1281"/>
      <c r="VJ31" s="1279">
        <v>1</v>
      </c>
      <c r="VK31" s="1280"/>
      <c r="VL31" s="1281"/>
      <c r="VM31" s="1279">
        <v>0.97140000000000004</v>
      </c>
      <c r="VN31" s="1280"/>
      <c r="VO31" s="1281"/>
      <c r="VP31" s="1279">
        <v>0.97140000000000004</v>
      </c>
      <c r="VQ31" s="1280"/>
      <c r="VR31" s="1281"/>
      <c r="VS31" s="1279">
        <v>1</v>
      </c>
      <c r="VT31" s="1280"/>
      <c r="VU31" s="1281"/>
      <c r="VV31" s="1279">
        <v>1</v>
      </c>
      <c r="VW31" s="1280"/>
      <c r="VX31" s="1281"/>
      <c r="VY31" s="1279">
        <v>1</v>
      </c>
      <c r="VZ31" s="1280"/>
      <c r="WA31" s="1281"/>
      <c r="WB31" s="1279"/>
      <c r="WC31" s="1280"/>
      <c r="WD31" s="1281"/>
      <c r="WE31" s="1279">
        <v>1</v>
      </c>
      <c r="WF31" s="1280"/>
      <c r="WG31" s="1281"/>
      <c r="WH31" s="1279">
        <v>1</v>
      </c>
      <c r="WI31" s="1280"/>
      <c r="WJ31" s="1281"/>
      <c r="WK31" s="1279">
        <v>1</v>
      </c>
      <c r="WL31" s="1280"/>
      <c r="WM31" s="1281"/>
      <c r="WN31" s="1279">
        <v>1</v>
      </c>
      <c r="WO31" s="1280"/>
      <c r="WP31" s="1281"/>
      <c r="WQ31" s="1279">
        <v>1</v>
      </c>
      <c r="WR31" s="1280"/>
      <c r="WS31" s="1281"/>
      <c r="WT31" s="1279">
        <v>1</v>
      </c>
      <c r="WU31" s="1280"/>
      <c r="WV31" s="1281"/>
      <c r="WW31" s="1279"/>
      <c r="WX31" s="1280"/>
      <c r="WY31" s="1281"/>
      <c r="WZ31" s="1279">
        <v>1</v>
      </c>
      <c r="XA31" s="1280"/>
      <c r="XB31" s="1281"/>
      <c r="XC31" s="1279">
        <v>1</v>
      </c>
      <c r="XD31" s="1280"/>
      <c r="XE31" s="1281"/>
      <c r="XF31" s="1279">
        <v>1</v>
      </c>
      <c r="XG31" s="1280"/>
      <c r="XH31" s="1281"/>
      <c r="XI31" s="1279">
        <v>1</v>
      </c>
      <c r="XJ31" s="1280"/>
      <c r="XK31" s="1281"/>
      <c r="XL31" s="1279">
        <v>1</v>
      </c>
      <c r="XM31" s="1280"/>
      <c r="XN31" s="1281"/>
      <c r="XO31" s="1279">
        <v>0.9375</v>
      </c>
      <c r="XP31" s="1280"/>
      <c r="XQ31" s="1281"/>
      <c r="XR31" s="1279"/>
      <c r="XS31" s="1280"/>
      <c r="XT31" s="1281"/>
      <c r="XU31" s="1279">
        <v>0.92</v>
      </c>
      <c r="XV31" s="1280"/>
      <c r="XW31" s="1281"/>
      <c r="XX31" s="1279">
        <v>1</v>
      </c>
      <c r="XY31" s="1280"/>
      <c r="XZ31" s="1281"/>
      <c r="YA31" s="1279">
        <v>1</v>
      </c>
      <c r="YB31" s="1280"/>
      <c r="YC31" s="1281"/>
      <c r="YD31" s="1279">
        <v>1</v>
      </c>
      <c r="YE31" s="1280"/>
      <c r="YF31" s="1281"/>
      <c r="YG31" s="1279">
        <v>0.97</v>
      </c>
      <c r="YH31" s="1280"/>
      <c r="YI31" s="1281"/>
      <c r="YJ31" s="1279">
        <v>1</v>
      </c>
      <c r="YK31" s="1280"/>
      <c r="YL31" s="1281"/>
      <c r="YM31" s="1279"/>
      <c r="YN31" s="1280"/>
      <c r="YO31" s="1281"/>
      <c r="YP31" s="1279">
        <v>1</v>
      </c>
      <c r="YQ31" s="1280"/>
      <c r="YR31" s="1281"/>
      <c r="YS31" s="1279">
        <v>1</v>
      </c>
      <c r="YT31" s="1280"/>
      <c r="YU31" s="1281"/>
      <c r="YV31" s="1279">
        <v>1</v>
      </c>
      <c r="YW31" s="1280"/>
      <c r="YX31" s="1281"/>
      <c r="YY31" s="1279">
        <v>1</v>
      </c>
      <c r="YZ31" s="1280"/>
      <c r="ZA31" s="1281"/>
      <c r="ZB31" s="1279">
        <v>1</v>
      </c>
      <c r="ZC31" s="1280"/>
      <c r="ZD31" s="1281"/>
      <c r="ZE31" s="1279">
        <v>1</v>
      </c>
      <c r="ZF31" s="1280"/>
      <c r="ZG31" s="1281"/>
      <c r="ZH31" s="1279"/>
      <c r="ZI31" s="1280"/>
      <c r="ZJ31" s="1281"/>
      <c r="ZK31" s="1279"/>
      <c r="ZL31" s="1280"/>
      <c r="ZM31" s="1281"/>
      <c r="ZN31" s="1279">
        <v>1</v>
      </c>
      <c r="ZO31" s="1280"/>
      <c r="ZP31" s="1281"/>
      <c r="ZQ31" s="1279">
        <v>1</v>
      </c>
      <c r="ZR31" s="1280"/>
      <c r="ZS31" s="1281"/>
      <c r="ZT31" s="1279">
        <v>1</v>
      </c>
      <c r="ZU31" s="1280"/>
      <c r="ZV31" s="1281"/>
      <c r="ZW31" s="1279">
        <v>1</v>
      </c>
      <c r="ZX31" s="1280"/>
      <c r="ZY31" s="1281"/>
      <c r="ZZ31" s="1279">
        <v>1</v>
      </c>
      <c r="AAA31" s="1280"/>
      <c r="AAB31" s="1281"/>
      <c r="AAC31" s="1279"/>
      <c r="AAD31" s="1280"/>
      <c r="AAE31" s="1281"/>
      <c r="AAF31" s="1279"/>
      <c r="AAG31" s="1280"/>
      <c r="AAH31" s="1281"/>
      <c r="AAI31" s="1279">
        <v>1</v>
      </c>
      <c r="AAJ31" s="1280"/>
      <c r="AAK31" s="1281"/>
      <c r="AAL31" s="1279">
        <v>1</v>
      </c>
      <c r="AAM31" s="1280"/>
      <c r="AAN31" s="1281"/>
      <c r="AAO31" s="1279">
        <v>1</v>
      </c>
      <c r="AAP31" s="1280"/>
      <c r="AAQ31" s="1281"/>
      <c r="AAR31" s="1279">
        <v>1</v>
      </c>
      <c r="AAS31" s="1280"/>
      <c r="AAT31" s="1281"/>
      <c r="AAU31" s="1279">
        <v>1</v>
      </c>
      <c r="AAV31" s="1280"/>
      <c r="AAW31" s="1281"/>
      <c r="AAX31" s="1279"/>
      <c r="AAY31" s="1280"/>
      <c r="AAZ31" s="1281"/>
      <c r="ABA31" s="1279">
        <v>1</v>
      </c>
      <c r="ABB31" s="1280"/>
      <c r="ABC31" s="1281"/>
      <c r="ABD31" s="1279">
        <v>1</v>
      </c>
      <c r="ABE31" s="1280"/>
      <c r="ABF31" s="1281"/>
      <c r="ABG31" s="1279">
        <v>1</v>
      </c>
      <c r="ABH31" s="1280"/>
      <c r="ABI31" s="1281"/>
      <c r="ABJ31" s="1279">
        <v>1</v>
      </c>
      <c r="ABK31" s="1280"/>
      <c r="ABL31" s="1281"/>
      <c r="ABM31" s="1279">
        <v>1</v>
      </c>
      <c r="ABN31" s="1280"/>
      <c r="ABO31" s="1281"/>
      <c r="ABP31" s="1279">
        <v>1</v>
      </c>
      <c r="ABQ31" s="1280"/>
      <c r="ABR31" s="1281"/>
      <c r="ABS31" s="1279"/>
      <c r="ABT31" s="1280"/>
      <c r="ABU31" s="1281"/>
      <c r="ABV31" s="1279">
        <v>1</v>
      </c>
      <c r="ABW31" s="1280"/>
      <c r="ABX31" s="1281"/>
      <c r="ABY31" s="1279">
        <v>1</v>
      </c>
      <c r="ABZ31" s="1280"/>
      <c r="ACA31" s="1281"/>
      <c r="ACB31" s="1279">
        <v>1</v>
      </c>
      <c r="ACC31" s="1280"/>
      <c r="ACD31" s="1281"/>
      <c r="ACE31" s="1279">
        <v>1</v>
      </c>
      <c r="ACF31" s="1280"/>
      <c r="ACG31" s="1281"/>
      <c r="ACH31" s="1279"/>
      <c r="ACI31" s="1280"/>
      <c r="ACJ31" s="1281"/>
      <c r="ACK31" s="1279"/>
      <c r="ACL31" s="1280"/>
      <c r="ACM31" s="1281"/>
      <c r="ACN31" s="1279"/>
      <c r="ACO31" s="1280"/>
      <c r="ACP31" s="1281"/>
      <c r="ACQ31" s="1279"/>
      <c r="ACR31" s="1280"/>
      <c r="ACS31" s="1281"/>
      <c r="ACT31" s="1279">
        <v>1</v>
      </c>
      <c r="ACU31" s="1280"/>
      <c r="ACV31" s="1281"/>
      <c r="ACW31" s="1279">
        <v>1</v>
      </c>
      <c r="ACX31" s="1280"/>
      <c r="ACY31" s="1281"/>
      <c r="ACZ31" s="1279">
        <v>1</v>
      </c>
      <c r="ADA31" s="1280"/>
      <c r="ADB31" s="1281"/>
      <c r="ADC31" s="1279">
        <v>1</v>
      </c>
      <c r="ADD31" s="1280"/>
      <c r="ADE31" s="1281"/>
      <c r="ADF31" s="1279">
        <v>1</v>
      </c>
      <c r="ADG31" s="1280"/>
      <c r="ADH31" s="1281"/>
      <c r="ADI31" s="1279"/>
      <c r="ADJ31" s="1280"/>
      <c r="ADK31" s="1281"/>
      <c r="ADL31" s="1279">
        <v>1</v>
      </c>
      <c r="ADM31" s="1280"/>
      <c r="ADN31" s="1281"/>
      <c r="ADO31" s="1279">
        <v>1</v>
      </c>
      <c r="ADP31" s="1280"/>
      <c r="ADQ31" s="1281"/>
      <c r="ADR31" s="1279">
        <v>1</v>
      </c>
      <c r="ADS31" s="1280"/>
      <c r="ADT31" s="1281"/>
      <c r="ADU31" s="1279">
        <v>1</v>
      </c>
      <c r="ADV31" s="1280"/>
      <c r="ADW31" s="1281"/>
      <c r="ADX31" s="1279">
        <v>1</v>
      </c>
      <c r="ADY31" s="1280"/>
      <c r="ADZ31" s="1281"/>
      <c r="AEA31" s="1279">
        <v>1</v>
      </c>
      <c r="AEB31" s="1280"/>
      <c r="AEC31" s="1281"/>
      <c r="AED31" s="1279"/>
      <c r="AEE31" s="1280"/>
      <c r="AEF31" s="1281"/>
      <c r="AEG31" s="1279">
        <v>1</v>
      </c>
      <c r="AEH31" s="1280"/>
      <c r="AEI31" s="1281"/>
      <c r="AEJ31" s="1279">
        <v>1</v>
      </c>
      <c r="AEK31" s="1280"/>
      <c r="AEL31" s="1281"/>
      <c r="AEM31" s="1279">
        <v>1</v>
      </c>
      <c r="AEN31" s="1280"/>
      <c r="AEO31" s="1281"/>
      <c r="AEP31" s="1279">
        <v>1</v>
      </c>
      <c r="AEQ31" s="1280"/>
      <c r="AER31" s="1281"/>
      <c r="AES31" s="1279">
        <v>1</v>
      </c>
      <c r="AET31" s="1280"/>
      <c r="AEU31" s="1281"/>
      <c r="AEV31" s="1279">
        <v>0.96</v>
      </c>
      <c r="AEW31" s="1280"/>
      <c r="AEX31" s="1281"/>
      <c r="AEY31" s="1279"/>
      <c r="AEZ31" s="1280"/>
      <c r="AFA31" s="1281"/>
      <c r="AFB31" s="1279">
        <v>1</v>
      </c>
      <c r="AFC31" s="1280"/>
      <c r="AFD31" s="1281"/>
      <c r="AFE31" s="1279">
        <v>1</v>
      </c>
      <c r="AFF31" s="1280"/>
      <c r="AFG31" s="1281"/>
      <c r="AFH31" s="1279">
        <v>1</v>
      </c>
      <c r="AFI31" s="1280"/>
      <c r="AFJ31" s="1281"/>
      <c r="AFK31" s="1279">
        <v>1</v>
      </c>
      <c r="AFL31" s="1280"/>
      <c r="AFM31" s="1281"/>
      <c r="AFN31" s="1279">
        <v>1</v>
      </c>
      <c r="AFO31" s="1280"/>
      <c r="AFP31" s="1281"/>
      <c r="AFQ31" s="1279">
        <v>1</v>
      </c>
      <c r="AFR31" s="1280"/>
      <c r="AFS31" s="1281"/>
      <c r="AFT31" s="1279"/>
      <c r="AFU31" s="1280"/>
      <c r="AFV31" s="1281"/>
      <c r="AFW31" s="1279">
        <v>1</v>
      </c>
      <c r="AFX31" s="1280"/>
      <c r="AFY31" s="1281"/>
      <c r="AFZ31" s="1279">
        <v>0.97</v>
      </c>
      <c r="AGA31" s="1280"/>
      <c r="AGB31" s="1281"/>
      <c r="AGC31" s="1279">
        <v>1</v>
      </c>
      <c r="AGD31" s="1280"/>
      <c r="AGE31" s="1281"/>
      <c r="AGF31" s="1279">
        <v>1</v>
      </c>
      <c r="AGG31" s="1280"/>
      <c r="AGH31" s="1281"/>
      <c r="AGI31" s="1279">
        <v>1</v>
      </c>
      <c r="AGJ31" s="1280"/>
      <c r="AGK31" s="1281"/>
      <c r="AGL31" s="1279">
        <v>1</v>
      </c>
      <c r="AGM31" s="1280"/>
      <c r="AGN31" s="1281"/>
      <c r="AGO31" s="1279"/>
      <c r="AGP31" s="1280"/>
      <c r="AGQ31" s="1281"/>
      <c r="AGR31" s="1279">
        <v>1</v>
      </c>
      <c r="AGS31" s="1280"/>
      <c r="AGT31" s="1281"/>
      <c r="AGU31" s="1279">
        <v>0.97</v>
      </c>
      <c r="AGV31" s="1280"/>
      <c r="AGW31" s="1281"/>
      <c r="AGX31" s="1279">
        <v>1</v>
      </c>
      <c r="AGY31" s="1280"/>
      <c r="AGZ31" s="1281"/>
      <c r="AHA31" s="1279">
        <v>0.94</v>
      </c>
      <c r="AHB31" s="1280"/>
      <c r="AHC31" s="1281"/>
      <c r="AHD31" s="1279">
        <v>1</v>
      </c>
      <c r="AHE31" s="1280"/>
      <c r="AHF31" s="1281"/>
      <c r="AHG31" s="1279">
        <v>1</v>
      </c>
      <c r="AHH31" s="1280"/>
      <c r="AHI31" s="1281"/>
      <c r="AHJ31" s="1279"/>
      <c r="AHK31" s="1280"/>
      <c r="AHL31" s="1281"/>
      <c r="AHM31" s="1279"/>
      <c r="AHN31" s="1280"/>
      <c r="AHO31" s="1281"/>
      <c r="AHP31" s="1279">
        <v>1</v>
      </c>
      <c r="AHQ31" s="1280"/>
      <c r="AHR31" s="1281"/>
      <c r="AHS31" s="1279">
        <v>1</v>
      </c>
      <c r="AHT31" s="1280"/>
      <c r="AHU31" s="1281"/>
      <c r="AHV31" s="1279">
        <v>0.9</v>
      </c>
      <c r="AHW31" s="1280"/>
      <c r="AHX31" s="1281"/>
      <c r="AHY31" s="1279">
        <v>0.9</v>
      </c>
      <c r="AHZ31" s="1280"/>
      <c r="AIA31" s="1281"/>
      <c r="AIB31" s="1279">
        <v>1</v>
      </c>
      <c r="AIC31" s="1280"/>
      <c r="AID31" s="1281"/>
      <c r="AIE31" s="1279" t="s">
        <v>20</v>
      </c>
      <c r="AIF31" s="1280"/>
      <c r="AIG31" s="1281"/>
      <c r="AIH31" s="1279">
        <v>1</v>
      </c>
      <c r="AII31" s="1280"/>
      <c r="AIJ31" s="1281"/>
      <c r="AIK31" s="1279">
        <v>1</v>
      </c>
      <c r="AIL31" s="1280"/>
      <c r="AIM31" s="1281"/>
      <c r="AIN31" s="1279">
        <v>1</v>
      </c>
      <c r="AIO31" s="1280"/>
      <c r="AIP31" s="1281"/>
      <c r="AIQ31" s="1279">
        <v>1</v>
      </c>
      <c r="AIR31" s="1280"/>
      <c r="AIS31" s="1280"/>
      <c r="AIT31" s="1279">
        <v>1</v>
      </c>
      <c r="AIU31" s="1280"/>
      <c r="AIV31" s="1281"/>
      <c r="AIW31" s="1279">
        <v>1</v>
      </c>
      <c r="AIX31" s="1280"/>
      <c r="AIY31" s="1280"/>
      <c r="AIZ31" s="1279"/>
      <c r="AJA31" s="1280"/>
      <c r="AJB31" s="1281"/>
      <c r="AJC31" s="1279"/>
      <c r="AJD31" s="1280"/>
      <c r="AJE31" s="1281"/>
      <c r="AJF31" s="1279"/>
      <c r="AJG31" s="1280"/>
      <c r="AJH31" s="1281"/>
      <c r="AJI31" s="1279">
        <v>1</v>
      </c>
      <c r="AJJ31" s="1280"/>
      <c r="AJK31" s="1281"/>
      <c r="AJL31" s="1279">
        <v>1</v>
      </c>
      <c r="AJM31" s="1280"/>
      <c r="AJN31" s="1280"/>
      <c r="AJO31" s="1279">
        <v>1</v>
      </c>
      <c r="AJP31" s="1280"/>
      <c r="AJQ31" s="1281"/>
      <c r="AJR31" s="1279">
        <v>1</v>
      </c>
      <c r="AJS31" s="1280"/>
      <c r="AJT31" s="1280"/>
      <c r="AJU31" s="1279"/>
      <c r="AJV31" s="1280"/>
      <c r="AJW31" s="1281"/>
      <c r="AJX31" s="1279">
        <v>0.94</v>
      </c>
      <c r="AJY31" s="1280"/>
      <c r="AJZ31" s="1281"/>
      <c r="AKA31" s="1279">
        <v>1</v>
      </c>
      <c r="AKB31" s="1280"/>
      <c r="AKC31" s="1281"/>
      <c r="AKD31" s="1279">
        <v>1</v>
      </c>
      <c r="AKE31" s="1280"/>
      <c r="AKF31" s="1281"/>
      <c r="AKG31" s="1279">
        <v>1</v>
      </c>
      <c r="AKH31" s="1280"/>
      <c r="AKI31" s="1280"/>
      <c r="AKJ31" s="1279">
        <v>1</v>
      </c>
      <c r="AKK31" s="1280"/>
      <c r="AKL31" s="1281"/>
      <c r="AKM31" s="1279">
        <v>1</v>
      </c>
      <c r="AKN31" s="1280"/>
      <c r="AKO31" s="1280"/>
      <c r="AKP31" s="1279"/>
      <c r="AKQ31" s="1280"/>
      <c r="AKR31" s="1281"/>
      <c r="AKS31" s="1279">
        <v>1</v>
      </c>
      <c r="AKT31" s="1280"/>
      <c r="AKU31" s="1281"/>
      <c r="AKV31" s="1279">
        <v>1</v>
      </c>
      <c r="AKW31" s="1280"/>
      <c r="AKX31" s="1281"/>
      <c r="AKY31" s="1279">
        <v>1</v>
      </c>
      <c r="AKZ31" s="1280"/>
      <c r="ALA31" s="1281"/>
      <c r="ALB31" s="1279"/>
      <c r="ALC31" s="1280"/>
      <c r="ALD31" s="1280"/>
      <c r="ALE31" s="1279">
        <v>1</v>
      </c>
      <c r="ALF31" s="1280"/>
      <c r="ALG31" s="1281"/>
      <c r="ALH31" s="1279">
        <v>1</v>
      </c>
      <c r="ALI31" s="1280"/>
      <c r="ALJ31" s="1280"/>
      <c r="ALK31" s="1279"/>
      <c r="ALL31" s="1280"/>
      <c r="ALM31" s="1281"/>
      <c r="ALN31" s="1279">
        <v>1</v>
      </c>
      <c r="ALO31" s="1280"/>
      <c r="ALP31" s="1281"/>
      <c r="ALQ31" s="1279">
        <v>1</v>
      </c>
      <c r="ALR31" s="1280"/>
      <c r="ALS31" s="1281"/>
      <c r="ALT31" s="1279">
        <v>1</v>
      </c>
      <c r="ALU31" s="1280"/>
      <c r="ALV31" s="1281"/>
      <c r="ALW31" s="1279">
        <v>1</v>
      </c>
      <c r="ALX31" s="1280"/>
      <c r="ALY31" s="1280"/>
      <c r="ALZ31" s="1279"/>
      <c r="AMA31" s="1280"/>
      <c r="AMB31" s="1281"/>
      <c r="AMC31" s="1279">
        <v>1</v>
      </c>
      <c r="AMD31" s="1280"/>
      <c r="AME31" s="1280"/>
      <c r="AMF31" s="1279"/>
      <c r="AMG31" s="1280"/>
      <c r="AMH31" s="1281"/>
      <c r="AMI31" s="1279">
        <v>1</v>
      </c>
      <c r="AMJ31" s="1280"/>
      <c r="AMK31" s="1281"/>
      <c r="AML31" s="1279">
        <v>0.95</v>
      </c>
      <c r="AMM31" s="1280"/>
      <c r="AMN31" s="1281"/>
      <c r="AMO31" s="1279">
        <v>1</v>
      </c>
      <c r="AMP31" s="1280"/>
      <c r="AMQ31" s="1281"/>
      <c r="AMR31" s="1279">
        <v>1</v>
      </c>
      <c r="AMS31" s="1280"/>
      <c r="AMT31" s="1280"/>
      <c r="AMU31" s="1279">
        <v>1</v>
      </c>
      <c r="AMV31" s="1280"/>
      <c r="AMW31" s="1281"/>
      <c r="AMX31" s="1279">
        <v>1</v>
      </c>
      <c r="AMY31" s="1280"/>
      <c r="AMZ31" s="1280"/>
      <c r="ANA31" s="1279"/>
      <c r="ANB31" s="1280"/>
      <c r="ANC31" s="1281"/>
      <c r="AND31" s="1279">
        <v>1</v>
      </c>
      <c r="ANE31" s="1280"/>
      <c r="ANF31" s="1281"/>
      <c r="ANG31" s="1279">
        <v>1</v>
      </c>
      <c r="ANH31" s="1280"/>
      <c r="ANI31" s="1281"/>
      <c r="ANJ31" s="1279">
        <v>1</v>
      </c>
      <c r="ANK31" s="1280"/>
      <c r="ANL31" s="1281"/>
      <c r="ANM31" s="1279">
        <v>1</v>
      </c>
      <c r="ANN31" s="1280"/>
      <c r="ANO31" s="1280"/>
      <c r="ANP31" s="1279">
        <v>1</v>
      </c>
      <c r="ANQ31" s="1280"/>
      <c r="ANR31" s="1281"/>
      <c r="ANS31" s="1279">
        <v>1</v>
      </c>
      <c r="ANT31" s="1280"/>
      <c r="ANU31" s="1280"/>
      <c r="ANV31" s="1279"/>
      <c r="ANW31" s="1280"/>
      <c r="ANX31" s="1281"/>
      <c r="ANY31" s="1279">
        <v>1</v>
      </c>
      <c r="ANZ31" s="1280"/>
      <c r="AOA31" s="1281"/>
      <c r="AOB31" s="1279">
        <v>1</v>
      </c>
      <c r="AOC31" s="1280"/>
      <c r="AOD31" s="1281"/>
      <c r="AOE31" s="1279">
        <v>1</v>
      </c>
      <c r="AOF31" s="1280"/>
      <c r="AOG31" s="1281"/>
      <c r="AOH31" s="1279">
        <v>1</v>
      </c>
      <c r="AOI31" s="1280"/>
      <c r="AOJ31" s="1280"/>
      <c r="AOK31" s="1279">
        <v>1</v>
      </c>
      <c r="AOL31" s="1280"/>
      <c r="AOM31" s="1281"/>
      <c r="AON31" s="1279">
        <v>1</v>
      </c>
      <c r="AOO31" s="1280"/>
      <c r="AOP31" s="1280"/>
      <c r="AOQ31" s="1279"/>
      <c r="AOR31" s="1280"/>
      <c r="AOS31" s="1281"/>
      <c r="AOT31" s="1279">
        <v>1</v>
      </c>
      <c r="AOU31" s="1280"/>
      <c r="AOV31" s="1281"/>
      <c r="AOW31" s="1279">
        <v>1</v>
      </c>
      <c r="AOX31" s="1280"/>
      <c r="AOY31" s="1281"/>
      <c r="AOZ31" s="1279">
        <v>0.97</v>
      </c>
      <c r="APA31" s="1280"/>
      <c r="APB31" s="1281"/>
      <c r="APC31" s="1279">
        <v>1</v>
      </c>
      <c r="APD31" s="1280"/>
      <c r="APE31" s="1280"/>
      <c r="APF31" s="1279">
        <v>1</v>
      </c>
      <c r="APG31" s="1280"/>
      <c r="APH31" s="1281"/>
      <c r="API31" s="1279">
        <v>1</v>
      </c>
      <c r="APJ31" s="1280"/>
      <c r="APK31" s="1280"/>
      <c r="APL31" s="1279"/>
      <c r="APM31" s="1280"/>
      <c r="APN31" s="1281"/>
      <c r="APO31" s="1279">
        <v>1</v>
      </c>
      <c r="APP31" s="1280"/>
      <c r="APQ31" s="1281"/>
      <c r="APR31" s="1279">
        <v>1</v>
      </c>
      <c r="APS31" s="1280"/>
      <c r="APT31" s="1281"/>
      <c r="APU31" s="1279">
        <v>1</v>
      </c>
      <c r="APV31" s="1280"/>
      <c r="APW31" s="1281"/>
      <c r="APX31" s="1279">
        <v>1</v>
      </c>
      <c r="APY31" s="1280"/>
      <c r="APZ31" s="1280"/>
      <c r="AQA31" s="1279">
        <v>1</v>
      </c>
      <c r="AQB31" s="1280"/>
      <c r="AQC31" s="1281"/>
      <c r="AQD31" s="1279">
        <v>1</v>
      </c>
      <c r="AQE31" s="1280"/>
      <c r="AQF31" s="1281"/>
      <c r="AQG31" s="1279"/>
      <c r="AQH31" s="1280"/>
      <c r="AQI31" s="1281"/>
      <c r="AQJ31" s="1279">
        <v>1</v>
      </c>
      <c r="AQK31" s="1280"/>
      <c r="AQL31" s="1281"/>
      <c r="AQM31" s="1279">
        <v>1</v>
      </c>
      <c r="AQN31" s="1280"/>
      <c r="AQO31" s="1281"/>
      <c r="AQP31" s="1279">
        <v>1</v>
      </c>
      <c r="AQQ31" s="1280"/>
      <c r="AQR31" s="1280"/>
      <c r="AQS31" s="1279">
        <v>1</v>
      </c>
      <c r="AQT31" s="1280"/>
      <c r="AQU31" s="1280"/>
      <c r="AQV31" s="1279">
        <v>1</v>
      </c>
      <c r="AQW31" s="1280"/>
      <c r="AQX31" s="1280"/>
      <c r="AQY31" s="1279">
        <v>1</v>
      </c>
      <c r="AQZ31" s="1280"/>
      <c r="ARA31" s="1281"/>
      <c r="ARB31" s="1279" t="s">
        <v>20</v>
      </c>
      <c r="ARC31" s="1280"/>
      <c r="ARD31" s="1281"/>
      <c r="ARE31" s="1279" t="s">
        <v>20</v>
      </c>
      <c r="ARF31" s="1280"/>
      <c r="ARG31" s="1281"/>
      <c r="ARH31" s="1279">
        <v>1</v>
      </c>
      <c r="ARI31" s="1280"/>
      <c r="ARJ31" s="1281"/>
      <c r="ARK31" s="1280"/>
      <c r="ARL31" s="1280"/>
      <c r="ARM31" s="1281"/>
      <c r="ARN31" s="1279"/>
      <c r="ARO31" s="1280"/>
      <c r="ARP31" s="1281"/>
      <c r="ARQ31" s="1280">
        <v>1</v>
      </c>
      <c r="ARR31" s="1280"/>
      <c r="ARS31" s="1281"/>
      <c r="ART31" s="1280">
        <v>1</v>
      </c>
      <c r="ARU31" s="1280"/>
      <c r="ARV31" s="1281"/>
      <c r="ARW31" s="1280"/>
      <c r="ARX31" s="1280"/>
      <c r="ARY31" s="1281"/>
      <c r="ARZ31" s="1280">
        <v>1</v>
      </c>
      <c r="ASA31" s="1280"/>
      <c r="ASB31" s="1281"/>
      <c r="ASC31" s="1279">
        <v>1</v>
      </c>
      <c r="ASD31" s="1280"/>
      <c r="ASE31" s="1280"/>
      <c r="ASF31" s="1279">
        <v>1</v>
      </c>
      <c r="ASG31" s="1280"/>
      <c r="ASH31" s="1281"/>
      <c r="ASI31" s="1279"/>
      <c r="ASJ31" s="1280"/>
      <c r="ASK31" s="1280"/>
      <c r="ASL31" s="1279">
        <v>1</v>
      </c>
      <c r="ASM31" s="1280"/>
      <c r="ASN31" s="1281"/>
      <c r="ASO31" s="1279">
        <v>1</v>
      </c>
      <c r="ASP31" s="1280"/>
      <c r="ASQ31" s="1280"/>
      <c r="ASR31" s="1279"/>
      <c r="ASS31" s="1280"/>
      <c r="AST31" s="1281"/>
      <c r="ASU31" s="1279"/>
      <c r="ASV31" s="1280"/>
      <c r="ASW31" s="1281"/>
      <c r="ASX31" s="1279"/>
      <c r="ASY31" s="1280"/>
      <c r="ASZ31" s="1280"/>
      <c r="ATA31" s="1279"/>
      <c r="ATB31" s="1280"/>
      <c r="ATC31" s="1281"/>
      <c r="ATD31" s="1279"/>
      <c r="ATE31" s="1280"/>
      <c r="ATF31" s="1280"/>
      <c r="ATG31" s="1279"/>
      <c r="ATH31" s="1280"/>
      <c r="ATI31" s="1281"/>
      <c r="ATJ31" s="1279"/>
      <c r="ATK31" s="1280"/>
      <c r="ATL31" s="1281"/>
      <c r="ATM31" s="1279"/>
      <c r="ATN31" s="1280"/>
      <c r="ATO31" s="1281"/>
      <c r="ATP31" s="1279"/>
      <c r="ATQ31" s="1280"/>
      <c r="ATR31" s="1281"/>
      <c r="ATS31" s="1279">
        <v>1</v>
      </c>
      <c r="ATT31" s="1280"/>
      <c r="ATU31" s="1281"/>
      <c r="ATV31" s="1280">
        <v>1</v>
      </c>
      <c r="ATW31" s="1280"/>
      <c r="ATX31" s="1281"/>
      <c r="ATY31" s="1279">
        <v>1</v>
      </c>
      <c r="ATZ31" s="1280"/>
      <c r="AUA31" s="1280"/>
      <c r="AUB31" s="1279">
        <v>1</v>
      </c>
      <c r="AUC31" s="1280"/>
      <c r="AUD31" s="1281"/>
      <c r="AUE31" s="1279"/>
      <c r="AUF31" s="1280"/>
      <c r="AUG31" s="1281"/>
      <c r="AUH31" s="1279"/>
      <c r="AUI31" s="1280"/>
      <c r="AUJ31" s="1281"/>
      <c r="AUK31" s="1279"/>
      <c r="AUL31" s="1280"/>
      <c r="AUM31" s="1280"/>
      <c r="AUN31" s="1279">
        <v>1</v>
      </c>
      <c r="AUO31" s="1280"/>
      <c r="AUP31" s="1280"/>
      <c r="AUQ31" s="1279">
        <v>0.96</v>
      </c>
      <c r="AUR31" s="1280"/>
      <c r="AUS31" s="1280"/>
      <c r="AUT31" s="1279">
        <v>1</v>
      </c>
      <c r="AUU31" s="1280"/>
      <c r="AUV31" s="1280"/>
      <c r="AUW31" s="1279">
        <v>1</v>
      </c>
      <c r="AUX31" s="1280"/>
      <c r="AUY31" s="1280"/>
      <c r="AUZ31" s="1279">
        <v>1</v>
      </c>
      <c r="AVA31" s="1280"/>
      <c r="AVB31" s="1280"/>
      <c r="AVC31" s="1279"/>
      <c r="AVD31" s="1280"/>
      <c r="AVE31" s="1280"/>
      <c r="AVF31" s="1279">
        <v>1</v>
      </c>
      <c r="AVG31" s="1280"/>
      <c r="AVH31" s="1280"/>
      <c r="AVI31" s="1279"/>
      <c r="AVJ31" s="1280"/>
      <c r="AVK31" s="1280"/>
      <c r="AVL31" s="1279">
        <v>1</v>
      </c>
      <c r="AVM31" s="1280"/>
      <c r="AVN31" s="1280"/>
      <c r="AVO31" s="1279">
        <v>1</v>
      </c>
      <c r="AVP31" s="1280"/>
      <c r="AVQ31" s="1280"/>
      <c r="AVR31" s="1279"/>
      <c r="AVS31" s="1280"/>
      <c r="AVT31" s="1280"/>
      <c r="AVU31" s="1279"/>
      <c r="AVV31" s="1280"/>
      <c r="AVW31" s="1280"/>
      <c r="AVX31" s="1279"/>
      <c r="AVY31" s="1280"/>
      <c r="AVZ31" s="1280"/>
      <c r="AWA31" s="1279"/>
      <c r="AWB31" s="1280"/>
      <c r="AWC31" s="1280"/>
      <c r="AWD31" s="1279"/>
      <c r="AWE31" s="1280"/>
      <c r="AWF31" s="1280"/>
      <c r="AWG31" s="1279"/>
      <c r="AWH31" s="1280"/>
      <c r="AWI31" s="1280"/>
      <c r="AWJ31" s="1279"/>
      <c r="AWK31" s="1280"/>
      <c r="AWL31" s="1280"/>
      <c r="AWM31" s="1279"/>
      <c r="AWN31" s="1280"/>
      <c r="AWO31" s="1281"/>
      <c r="AWP31" s="1280"/>
      <c r="AWQ31" s="1280"/>
      <c r="AWR31" s="1281"/>
      <c r="AWS31" s="1279"/>
      <c r="AWT31" s="1280"/>
      <c r="AWU31" s="1281"/>
      <c r="AWV31" s="1279"/>
      <c r="AWW31" s="1280"/>
      <c r="AWX31" s="1281"/>
      <c r="AWY31" s="1279"/>
      <c r="AWZ31" s="1280"/>
      <c r="AXA31" s="1280"/>
      <c r="AXB31" s="1279"/>
      <c r="AXC31" s="1280"/>
      <c r="AXD31" s="1281"/>
      <c r="AXE31" s="1279"/>
      <c r="AXF31" s="1280"/>
      <c r="AXG31" s="1280"/>
      <c r="AXH31" s="1279"/>
      <c r="AXI31" s="1280"/>
      <c r="AXJ31" s="1281"/>
      <c r="AXK31" s="1279"/>
      <c r="AXL31" s="1280"/>
      <c r="AXM31" s="1281"/>
      <c r="AXN31" s="1279"/>
      <c r="AXO31" s="1280"/>
      <c r="AXP31" s="1281"/>
      <c r="AXQ31" s="1279"/>
      <c r="AXR31" s="1280"/>
      <c r="AXS31" s="1281"/>
      <c r="AXT31" s="1279"/>
      <c r="AXU31" s="1280"/>
      <c r="AXV31" s="1280"/>
      <c r="AXW31" s="1279"/>
      <c r="AXX31" s="1280"/>
      <c r="AXY31" s="1281"/>
      <c r="AXZ31" s="1279"/>
      <c r="AYA31" s="1280"/>
      <c r="AYB31" s="1280"/>
      <c r="AYC31" s="1279"/>
      <c r="AYD31" s="1280"/>
      <c r="AYE31" s="1281"/>
      <c r="AYF31" s="1279"/>
      <c r="AYG31" s="1280"/>
      <c r="AYH31" s="1281"/>
      <c r="AYI31" s="1279"/>
      <c r="AYJ31" s="1280"/>
      <c r="AYK31" s="1281"/>
      <c r="AYL31" s="1279"/>
      <c r="AYM31" s="1280"/>
      <c r="AYN31" s="1281"/>
      <c r="AYO31" s="1279"/>
      <c r="AYP31" s="1280"/>
      <c r="AYQ31" s="1280"/>
      <c r="AYR31" s="1279"/>
      <c r="AYS31" s="1280"/>
      <c r="AYT31" s="1281"/>
      <c r="AYU31" s="1279"/>
      <c r="AYV31" s="1280"/>
      <c r="AYW31" s="1280"/>
      <c r="AYX31" s="1279"/>
      <c r="AYY31" s="1280"/>
      <c r="AYZ31" s="1281"/>
      <c r="AZA31" s="1279"/>
      <c r="AZB31" s="1280"/>
      <c r="AZC31" s="1281"/>
      <c r="AZD31" s="1279"/>
      <c r="AZE31" s="1280"/>
      <c r="AZF31" s="1281"/>
      <c r="AZG31" s="1279"/>
      <c r="AZH31" s="1280"/>
      <c r="AZI31" s="1281"/>
      <c r="AZJ31" s="1279"/>
      <c r="AZK31" s="1280"/>
      <c r="AZL31" s="1280"/>
      <c r="AZM31" s="1279"/>
      <c r="AZN31" s="1280"/>
      <c r="AZO31" s="1281"/>
      <c r="AZP31" s="1279"/>
      <c r="AZQ31" s="1280"/>
      <c r="AZR31" s="1280"/>
      <c r="AZS31" s="1279"/>
      <c r="AZT31" s="1280"/>
      <c r="AZU31" s="1281"/>
      <c r="AZV31" s="1279"/>
      <c r="AZW31" s="1280"/>
      <c r="AZX31" s="1281"/>
      <c r="AZY31" s="1279"/>
      <c r="AZZ31" s="1280"/>
      <c r="BAA31" s="1281"/>
      <c r="BAB31" s="1279"/>
      <c r="BAC31" s="1280"/>
      <c r="BAD31" s="1281"/>
      <c r="BAE31" s="1279"/>
      <c r="BAF31" s="1280"/>
      <c r="BAG31" s="1280"/>
      <c r="BAH31" s="1279"/>
      <c r="BAI31" s="1280"/>
      <c r="BAJ31" s="1281"/>
    </row>
    <row r="32" spans="1:1399" ht="15" customHeight="1">
      <c r="B32" s="1210" t="s">
        <v>357</v>
      </c>
      <c r="C32" s="1187"/>
      <c r="D32" s="1187"/>
      <c r="E32" s="1188" t="s">
        <v>349</v>
      </c>
      <c r="F32" s="1211"/>
      <c r="G32" s="1211"/>
      <c r="H32" s="1212"/>
      <c r="I32" s="1211"/>
      <c r="J32" s="1211"/>
      <c r="K32" s="1212"/>
      <c r="L32" s="1211"/>
      <c r="M32" s="1211"/>
      <c r="N32" s="1212"/>
      <c r="O32" s="1211"/>
      <c r="P32" s="1211"/>
      <c r="Q32" s="1212"/>
      <c r="R32" s="1211"/>
      <c r="S32" s="1211"/>
      <c r="T32" s="1212"/>
      <c r="U32" s="1211"/>
      <c r="V32" s="1211"/>
      <c r="W32" s="1212"/>
      <c r="X32" s="1211"/>
      <c r="Y32" s="1211"/>
      <c r="Z32" s="1212"/>
      <c r="AA32" s="1211"/>
      <c r="AB32" s="1211"/>
      <c r="AC32" s="1212"/>
      <c r="AD32" s="1211"/>
      <c r="AE32" s="1211"/>
      <c r="AF32" s="1212"/>
      <c r="AG32" s="1211"/>
      <c r="AH32" s="1211"/>
      <c r="AI32" s="1212"/>
      <c r="AJ32" s="1211"/>
      <c r="AK32" s="1211"/>
      <c r="AL32" s="1212"/>
      <c r="AM32" s="1211"/>
      <c r="AN32" s="1211"/>
      <c r="AO32" s="1212"/>
      <c r="AP32" s="1211"/>
      <c r="AQ32" s="1211"/>
      <c r="AR32" s="1212"/>
      <c r="AS32" s="1211"/>
      <c r="AT32" s="1211"/>
      <c r="AU32" s="1212"/>
      <c r="AV32" s="1211"/>
      <c r="AW32" s="1211"/>
      <c r="AX32" s="1212"/>
      <c r="AY32" s="1211"/>
      <c r="AZ32" s="1211"/>
      <c r="BA32" s="1212"/>
      <c r="BB32" s="1211"/>
      <c r="BC32" s="1211"/>
      <c r="BD32" s="1212"/>
      <c r="BE32" s="1211"/>
      <c r="BF32" s="1211"/>
      <c r="BG32" s="1212"/>
      <c r="BH32" s="1211"/>
      <c r="BI32" s="1211"/>
      <c r="BJ32" s="1212"/>
      <c r="BK32" s="1211"/>
      <c r="BL32" s="1211"/>
      <c r="BM32" s="1212"/>
      <c r="BN32" s="1211"/>
      <c r="BO32" s="1211"/>
      <c r="BP32" s="1212"/>
      <c r="BQ32" s="1211"/>
      <c r="BR32" s="1211"/>
      <c r="BS32" s="1212"/>
      <c r="BT32" s="1211"/>
      <c r="BU32" s="1211"/>
      <c r="BV32" s="1212"/>
      <c r="BW32" s="1211"/>
      <c r="BX32" s="1211"/>
      <c r="BY32" s="1212"/>
      <c r="BZ32" s="1211"/>
      <c r="CA32" s="1211"/>
      <c r="CB32" s="1212"/>
      <c r="CC32" s="1211"/>
      <c r="CD32" s="1211"/>
      <c r="CE32" s="1212"/>
      <c r="CF32" s="1211"/>
      <c r="CG32" s="1211"/>
      <c r="CH32" s="1212"/>
      <c r="CI32" s="1211"/>
      <c r="CJ32" s="1211"/>
      <c r="CK32" s="1212"/>
      <c r="CL32" s="1211"/>
      <c r="CM32" s="1211"/>
      <c r="CN32" s="1212"/>
      <c r="CO32" s="1211"/>
      <c r="CP32" s="1211"/>
      <c r="CQ32" s="1212"/>
      <c r="CR32" s="1211"/>
      <c r="CS32" s="1211"/>
      <c r="CT32" s="1212"/>
      <c r="CU32" s="1211"/>
      <c r="CV32" s="1211"/>
      <c r="CW32" s="1212"/>
      <c r="CX32" s="1211"/>
      <c r="CY32" s="1211"/>
      <c r="CZ32" s="1212"/>
      <c r="DA32" s="1211"/>
      <c r="DB32" s="1211"/>
      <c r="DC32" s="1212"/>
      <c r="DD32" s="1211"/>
      <c r="DE32" s="1211"/>
      <c r="DF32" s="1212"/>
      <c r="DG32" s="1211"/>
      <c r="DH32" s="1211"/>
      <c r="DI32" s="1212"/>
      <c r="DJ32" s="1211"/>
      <c r="DK32" s="1211"/>
      <c r="DL32" s="1212"/>
      <c r="DM32" s="1211"/>
      <c r="DN32" s="1211"/>
      <c r="DO32" s="1212"/>
      <c r="DP32" s="1211"/>
      <c r="DQ32" s="1211"/>
      <c r="DR32" s="1212"/>
      <c r="DS32" s="1211"/>
      <c r="DT32" s="1211"/>
      <c r="DU32" s="1212"/>
      <c r="DV32" s="1211"/>
      <c r="DW32" s="1211"/>
      <c r="DX32" s="1212"/>
      <c r="DY32" s="1211"/>
      <c r="DZ32" s="1211"/>
      <c r="EA32" s="1212"/>
      <c r="EB32" s="1211"/>
      <c r="EC32" s="1211"/>
      <c r="ED32" s="1212"/>
      <c r="EE32" s="1211"/>
      <c r="EF32" s="1211"/>
      <c r="EG32" s="1212"/>
      <c r="EH32" s="1211"/>
      <c r="EI32" s="1211"/>
      <c r="EJ32" s="1212"/>
      <c r="EK32" s="1211"/>
      <c r="EL32" s="1211"/>
      <c r="EM32" s="1212"/>
      <c r="EN32" s="1211"/>
      <c r="EO32" s="1211"/>
      <c r="EP32" s="1212"/>
      <c r="EQ32" s="1211"/>
      <c r="ER32" s="1211"/>
      <c r="ES32" s="1212"/>
      <c r="ET32" s="1211"/>
      <c r="EU32" s="1211"/>
      <c r="EV32" s="1212"/>
      <c r="EW32" s="1211"/>
      <c r="EX32" s="1211"/>
      <c r="EY32" s="1212"/>
      <c r="EZ32" s="1211"/>
      <c r="FA32" s="1211"/>
      <c r="FB32" s="1212"/>
      <c r="FC32" s="1211"/>
      <c r="FD32" s="1211"/>
      <c r="FE32" s="1212"/>
      <c r="FF32" s="1211"/>
      <c r="FG32" s="1211"/>
      <c r="FH32" s="1212"/>
      <c r="FI32" s="1211"/>
      <c r="FJ32" s="1211"/>
      <c r="FK32" s="1212"/>
      <c r="FL32" s="1211"/>
      <c r="FM32" s="1211"/>
      <c r="FN32" s="1212"/>
      <c r="FO32" s="1211"/>
      <c r="FP32" s="1211"/>
      <c r="FQ32" s="1212"/>
      <c r="FR32" s="1211"/>
      <c r="FS32" s="1211"/>
      <c r="FT32" s="1212"/>
      <c r="FU32" s="1211"/>
      <c r="FV32" s="1211"/>
      <c r="FW32" s="1212"/>
      <c r="FX32" s="1211"/>
      <c r="FY32" s="1211"/>
      <c r="FZ32" s="1212"/>
      <c r="GA32" s="1211"/>
      <c r="GB32" s="1211"/>
      <c r="GC32" s="1212"/>
      <c r="GD32" s="1211"/>
      <c r="GE32" s="1211"/>
      <c r="GF32" s="1212"/>
      <c r="GG32" s="1211"/>
      <c r="GH32" s="1211"/>
      <c r="GI32" s="1212"/>
      <c r="GJ32" s="1211"/>
      <c r="GK32" s="1211"/>
      <c r="GL32" s="1212"/>
      <c r="GM32" s="1211"/>
      <c r="GN32" s="1211"/>
      <c r="GO32" s="1212"/>
      <c r="GP32" s="1211"/>
      <c r="GQ32" s="1211"/>
      <c r="GR32" s="1212"/>
      <c r="GS32" s="1211"/>
      <c r="GT32" s="1211"/>
      <c r="GU32" s="1212"/>
      <c r="GV32" s="1211"/>
      <c r="GW32" s="1211"/>
      <c r="GX32" s="1212"/>
      <c r="GY32" s="1211"/>
      <c r="GZ32" s="1211"/>
      <c r="HA32" s="1212"/>
      <c r="HB32" s="1211"/>
      <c r="HC32" s="1211"/>
      <c r="HD32" s="1212"/>
      <c r="HE32" s="1211"/>
      <c r="HF32" s="1211"/>
      <c r="HG32" s="1212"/>
      <c r="HH32" s="1211"/>
      <c r="HI32" s="1211"/>
      <c r="HJ32" s="1212"/>
      <c r="HK32" s="1211"/>
      <c r="HL32" s="1211"/>
      <c r="HM32" s="1212"/>
      <c r="HN32" s="1211"/>
      <c r="HO32" s="1211"/>
      <c r="HP32" s="1212"/>
      <c r="HQ32" s="1211"/>
      <c r="HR32" s="1211"/>
      <c r="HS32" s="1212"/>
      <c r="HT32" s="1211"/>
      <c r="HU32" s="1211"/>
      <c r="HV32" s="1212"/>
      <c r="HW32" s="1211"/>
      <c r="HX32" s="1211"/>
      <c r="HY32" s="1212"/>
      <c r="HZ32" s="1211"/>
      <c r="IA32" s="1211"/>
      <c r="IB32" s="1212"/>
      <c r="IC32" s="1211"/>
      <c r="ID32" s="1211"/>
      <c r="IE32" s="1212"/>
      <c r="IF32" s="1211"/>
      <c r="IG32" s="1211"/>
      <c r="IH32" s="1212"/>
      <c r="II32" s="1211"/>
      <c r="IJ32" s="1211"/>
      <c r="IK32" s="1212"/>
      <c r="IL32" s="1211"/>
      <c r="IM32" s="1211"/>
      <c r="IN32" s="1212"/>
      <c r="IO32" s="1211"/>
      <c r="IP32" s="1211"/>
      <c r="IQ32" s="1212"/>
      <c r="IR32" s="1211"/>
      <c r="IS32" s="1211"/>
      <c r="IT32" s="1212"/>
      <c r="IU32" s="1211"/>
      <c r="IV32" s="1211"/>
      <c r="IW32" s="1212"/>
      <c r="IX32" s="1211"/>
      <c r="IY32" s="1211"/>
      <c r="IZ32" s="1212"/>
      <c r="JA32" s="1211"/>
      <c r="JB32" s="1211"/>
      <c r="JC32" s="1212"/>
      <c r="JD32" s="1211"/>
      <c r="JE32" s="1211"/>
      <c r="JF32" s="1212"/>
      <c r="JG32" s="1211"/>
      <c r="JH32" s="1211"/>
      <c r="JI32" s="1212"/>
      <c r="JJ32" s="1211"/>
      <c r="JK32" s="1211"/>
      <c r="JL32" s="1212"/>
      <c r="JM32" s="1211"/>
      <c r="JN32" s="1211"/>
      <c r="JO32" s="1212"/>
      <c r="JP32" s="1213"/>
      <c r="JQ32" s="1213"/>
      <c r="JR32" s="1214"/>
      <c r="JS32" s="1211"/>
      <c r="JT32" s="1211"/>
      <c r="JU32" s="1212"/>
      <c r="JV32" s="1211"/>
      <c r="JW32" s="1211"/>
      <c r="JX32" s="1212"/>
      <c r="JY32" s="1211"/>
      <c r="JZ32" s="1211"/>
      <c r="KA32" s="1212"/>
      <c r="KB32" s="1211"/>
      <c r="KC32" s="1211"/>
      <c r="KD32" s="1212"/>
      <c r="KE32" s="1211"/>
      <c r="KF32" s="1211"/>
      <c r="KG32" s="1212"/>
      <c r="KH32" s="1211"/>
      <c r="KI32" s="1211"/>
      <c r="KJ32" s="1212"/>
      <c r="KK32" s="1211"/>
      <c r="KL32" s="1211"/>
      <c r="KM32" s="1212"/>
      <c r="KN32" s="1211"/>
      <c r="KO32" s="1211"/>
      <c r="KP32" s="1212"/>
      <c r="KQ32" s="1211"/>
      <c r="KR32" s="1211"/>
      <c r="KS32" s="1212"/>
      <c r="KT32" s="1211"/>
      <c r="KU32" s="1211"/>
      <c r="KV32" s="1212"/>
      <c r="KW32" s="1211"/>
      <c r="KX32" s="1211"/>
      <c r="KY32" s="1212"/>
      <c r="KZ32" s="1211"/>
      <c r="LA32" s="1211"/>
      <c r="LB32" s="1212"/>
      <c r="LC32" s="1211"/>
      <c r="LD32" s="1211"/>
      <c r="LE32" s="1212"/>
      <c r="LF32" s="1211"/>
      <c r="LG32" s="1211"/>
      <c r="LH32" s="1212"/>
      <c r="LI32" s="1211"/>
      <c r="LJ32" s="1211"/>
      <c r="LK32" s="1212"/>
      <c r="LL32" s="1211"/>
      <c r="LM32" s="1211"/>
      <c r="LN32" s="1212"/>
      <c r="LO32" s="1211"/>
      <c r="LP32" s="1211"/>
      <c r="LQ32" s="1212"/>
      <c r="LR32" s="1211"/>
      <c r="LS32" s="1211"/>
      <c r="LT32" s="1212"/>
      <c r="LU32" s="1211"/>
      <c r="LV32" s="1211"/>
      <c r="LW32" s="1212"/>
      <c r="LX32" s="1211"/>
      <c r="LY32" s="1211"/>
      <c r="LZ32" s="1212"/>
      <c r="MA32" s="1211"/>
      <c r="MB32" s="1211"/>
      <c r="MC32" s="1212"/>
      <c r="MD32" s="1211"/>
      <c r="ME32" s="1211"/>
      <c r="MF32" s="1212"/>
      <c r="MG32" s="1211"/>
      <c r="MH32" s="1211"/>
      <c r="MI32" s="1212"/>
      <c r="MJ32" s="1211"/>
      <c r="MK32" s="1211"/>
      <c r="ML32" s="1212"/>
      <c r="MM32" s="1211"/>
      <c r="MN32" s="1211"/>
      <c r="MO32" s="1212"/>
      <c r="MP32" s="1211"/>
      <c r="MQ32" s="1211"/>
      <c r="MR32" s="1212"/>
      <c r="MS32" s="1211"/>
      <c r="MT32" s="1211"/>
      <c r="MU32" s="1212"/>
      <c r="MV32" s="1211"/>
      <c r="MW32" s="1211"/>
      <c r="MX32" s="1212"/>
      <c r="MY32" s="1211"/>
      <c r="MZ32" s="1211"/>
      <c r="NA32" s="1212"/>
      <c r="NB32" s="1211"/>
      <c r="NC32" s="1211"/>
      <c r="ND32" s="1212"/>
      <c r="NE32" s="1409" t="s">
        <v>20</v>
      </c>
      <c r="NF32" s="1409"/>
      <c r="NG32" s="1410"/>
      <c r="NH32" s="1409" t="s">
        <v>20</v>
      </c>
      <c r="NI32" s="1409"/>
      <c r="NJ32" s="1410"/>
      <c r="NK32" s="1319">
        <v>0.83</v>
      </c>
      <c r="NL32" s="1320"/>
      <c r="NM32" s="1363"/>
      <c r="NN32" s="1319">
        <v>0.82</v>
      </c>
      <c r="NO32" s="1320"/>
      <c r="NP32" s="1363"/>
      <c r="NQ32" s="1319">
        <v>0.9</v>
      </c>
      <c r="NR32" s="1320"/>
      <c r="NS32" s="1363"/>
      <c r="NT32" s="1319">
        <v>0.92</v>
      </c>
      <c r="NU32" s="1320"/>
      <c r="NV32" s="1363"/>
      <c r="NW32" s="1319">
        <v>0.93</v>
      </c>
      <c r="NX32" s="1320"/>
      <c r="NY32" s="1363"/>
      <c r="NZ32" s="1409" t="s">
        <v>20</v>
      </c>
      <c r="OA32" s="1409"/>
      <c r="OB32" s="1410"/>
      <c r="OC32" s="1319">
        <v>0.92</v>
      </c>
      <c r="OD32" s="1320"/>
      <c r="OE32" s="1363"/>
      <c r="OF32" s="1319">
        <v>0.95450000000000002</v>
      </c>
      <c r="OG32" s="1320"/>
      <c r="OH32" s="1363"/>
      <c r="OI32" s="1319">
        <v>0.92859999999999998</v>
      </c>
      <c r="OJ32" s="1320"/>
      <c r="OK32" s="1363"/>
      <c r="OL32" s="1319">
        <v>0.76470000000000005</v>
      </c>
      <c r="OM32" s="1320"/>
      <c r="ON32" s="1363"/>
      <c r="OO32" s="1319">
        <v>0.92310000000000003</v>
      </c>
      <c r="OP32" s="1320"/>
      <c r="OQ32" s="1363"/>
      <c r="OR32" s="1319"/>
      <c r="OS32" s="1320"/>
      <c r="OT32" s="1363"/>
      <c r="OU32" s="1319"/>
      <c r="OV32" s="1320"/>
      <c r="OW32" s="1363"/>
      <c r="OX32" s="1319"/>
      <c r="OY32" s="1320"/>
      <c r="OZ32" s="1363"/>
      <c r="PA32" s="1319"/>
      <c r="PB32" s="1320"/>
      <c r="PC32" s="1363"/>
      <c r="PD32" s="1319">
        <v>0.42859999999999998</v>
      </c>
      <c r="PE32" s="1320"/>
      <c r="PF32" s="1363"/>
      <c r="PG32" s="1319">
        <v>0.61899999999999999</v>
      </c>
      <c r="PH32" s="1320"/>
      <c r="PI32" s="1363"/>
      <c r="PJ32" s="1319"/>
      <c r="PK32" s="1320"/>
      <c r="PL32" s="1363"/>
      <c r="PM32" s="1319"/>
      <c r="PN32" s="1320"/>
      <c r="PO32" s="1363"/>
      <c r="PP32" s="1319"/>
      <c r="PQ32" s="1320"/>
      <c r="PR32" s="1363"/>
      <c r="PS32" s="1319"/>
      <c r="PT32" s="1320"/>
      <c r="PU32" s="1363"/>
      <c r="PV32" s="1319">
        <v>0.82350000000000001</v>
      </c>
      <c r="PW32" s="1320"/>
      <c r="PX32" s="1363"/>
      <c r="PY32" s="1319">
        <v>0.89470000000000005</v>
      </c>
      <c r="PZ32" s="1320"/>
      <c r="QA32" s="1363"/>
      <c r="QB32" s="1319">
        <v>0.85709999999999997</v>
      </c>
      <c r="QC32" s="1320"/>
      <c r="QD32" s="1363"/>
      <c r="QE32" s="1319">
        <v>0.94750000000000001</v>
      </c>
      <c r="QF32" s="1320"/>
      <c r="QG32" s="1363"/>
      <c r="QH32" s="1319">
        <v>0.8</v>
      </c>
      <c r="QI32" s="1320"/>
      <c r="QJ32" s="1363"/>
      <c r="QK32" s="1319"/>
      <c r="QL32" s="1320"/>
      <c r="QM32" s="1363"/>
      <c r="QN32" s="1319"/>
      <c r="QO32" s="1320"/>
      <c r="QP32" s="1363"/>
      <c r="QQ32" s="1319">
        <v>0.8</v>
      </c>
      <c r="QR32" s="1320"/>
      <c r="QS32" s="1363"/>
      <c r="QT32" s="1319">
        <v>0.92310000000000003</v>
      </c>
      <c r="QU32" s="1320"/>
      <c r="QV32" s="1363"/>
      <c r="QW32" s="1319">
        <v>0.95</v>
      </c>
      <c r="QX32" s="1320"/>
      <c r="QY32" s="1363"/>
      <c r="QZ32" s="1319">
        <v>0.94440000000000002</v>
      </c>
      <c r="RA32" s="1320"/>
      <c r="RB32" s="1363"/>
      <c r="RC32" s="1319">
        <v>0.9375</v>
      </c>
      <c r="RD32" s="1320"/>
      <c r="RE32" s="1363"/>
      <c r="RF32" s="1319"/>
      <c r="RG32" s="1320"/>
      <c r="RH32" s="1363"/>
      <c r="RI32" s="1319"/>
      <c r="RJ32" s="1320"/>
      <c r="RK32" s="1363"/>
      <c r="RL32" s="1319">
        <v>0.85709999999999997</v>
      </c>
      <c r="RM32" s="1320"/>
      <c r="RN32" s="1363"/>
      <c r="RO32" s="1319"/>
      <c r="RP32" s="1320"/>
      <c r="RQ32" s="1363"/>
      <c r="RR32" s="1319">
        <v>0.92310000000000003</v>
      </c>
      <c r="RS32" s="1320"/>
      <c r="RT32" s="1363"/>
      <c r="RU32" s="1319">
        <v>1</v>
      </c>
      <c r="RV32" s="1320"/>
      <c r="RW32" s="1363"/>
      <c r="RX32" s="1319">
        <v>1</v>
      </c>
      <c r="RY32" s="1320"/>
      <c r="RZ32" s="1363"/>
      <c r="SA32" s="1319"/>
      <c r="SB32" s="1320"/>
      <c r="SC32" s="1363"/>
      <c r="SD32" s="1319">
        <v>0.9</v>
      </c>
      <c r="SE32" s="1320"/>
      <c r="SF32" s="1363"/>
      <c r="SG32" s="1319"/>
      <c r="SH32" s="1320"/>
      <c r="SI32" s="1363"/>
      <c r="SJ32" s="1319">
        <v>0.9375</v>
      </c>
      <c r="SK32" s="1320"/>
      <c r="SL32" s="1363"/>
      <c r="SM32" s="1319">
        <v>0.875</v>
      </c>
      <c r="SN32" s="1320"/>
      <c r="SO32" s="1363"/>
      <c r="SP32" s="1319">
        <v>0.875</v>
      </c>
      <c r="SQ32" s="1320"/>
      <c r="SR32" s="1363"/>
      <c r="SS32" s="1319">
        <v>0.9</v>
      </c>
      <c r="ST32" s="1320"/>
      <c r="SU32" s="1363"/>
      <c r="SV32" s="1319"/>
      <c r="SW32" s="1320"/>
      <c r="SX32" s="1363"/>
      <c r="SY32" s="1319"/>
      <c r="SZ32" s="1320"/>
      <c r="TA32" s="1363"/>
      <c r="TB32" s="1319">
        <v>0.88890000000000002</v>
      </c>
      <c r="TC32" s="1320"/>
      <c r="TD32" s="1363"/>
      <c r="TE32" s="1319">
        <v>1</v>
      </c>
      <c r="TF32" s="1320"/>
      <c r="TG32" s="1363"/>
      <c r="TH32" s="1319">
        <v>0.81820000000000004</v>
      </c>
      <c r="TI32" s="1320"/>
      <c r="TJ32" s="1363"/>
      <c r="TK32" s="1319">
        <v>0.92310000000000003</v>
      </c>
      <c r="TL32" s="1320"/>
      <c r="TM32" s="1363"/>
      <c r="TN32" s="1319">
        <v>0.84619999999999995</v>
      </c>
      <c r="TO32" s="1320"/>
      <c r="TP32" s="1363"/>
      <c r="TQ32" s="1319"/>
      <c r="TR32" s="1320"/>
      <c r="TS32" s="1363"/>
      <c r="TT32" s="1319">
        <v>0.94740000000000002</v>
      </c>
      <c r="TU32" s="1320"/>
      <c r="TV32" s="1363"/>
      <c r="TW32" s="1319">
        <v>0.92310000000000003</v>
      </c>
      <c r="TX32" s="1320"/>
      <c r="TY32" s="1363"/>
      <c r="TZ32" s="1319">
        <v>0.95650000000000002</v>
      </c>
      <c r="UA32" s="1320"/>
      <c r="UB32" s="1363"/>
      <c r="UC32" s="1319">
        <v>0.88890000000000002</v>
      </c>
      <c r="UD32" s="1320"/>
      <c r="UE32" s="1363"/>
      <c r="UF32" s="1319">
        <v>0.79759999999999998</v>
      </c>
      <c r="UG32" s="1320"/>
      <c r="UH32" s="1363"/>
      <c r="UI32" s="1319">
        <v>1</v>
      </c>
      <c r="UJ32" s="1320"/>
      <c r="UK32" s="1363"/>
      <c r="UL32" s="1319"/>
      <c r="UM32" s="1320"/>
      <c r="UN32" s="1363"/>
      <c r="UO32" s="1319"/>
      <c r="UP32" s="1320"/>
      <c r="UQ32" s="1363"/>
      <c r="UR32" s="1319">
        <v>1</v>
      </c>
      <c r="US32" s="1320"/>
      <c r="UT32" s="1363"/>
      <c r="UU32" s="1319">
        <v>0.92310000000000003</v>
      </c>
      <c r="UV32" s="1320"/>
      <c r="UW32" s="1363"/>
      <c r="UX32" s="1319">
        <v>0.91669999999999996</v>
      </c>
      <c r="UY32" s="1320"/>
      <c r="UZ32" s="1363"/>
      <c r="VA32" s="1319">
        <v>0.93330000000000002</v>
      </c>
      <c r="VB32" s="1320"/>
      <c r="VC32" s="1363"/>
      <c r="VD32" s="1319">
        <v>1</v>
      </c>
      <c r="VE32" s="1320"/>
      <c r="VF32" s="1363"/>
      <c r="VG32" s="1319"/>
      <c r="VH32" s="1320"/>
      <c r="VI32" s="1363"/>
      <c r="VJ32" s="1319">
        <v>1</v>
      </c>
      <c r="VK32" s="1320"/>
      <c r="VL32" s="1363"/>
      <c r="VM32" s="1319">
        <v>1</v>
      </c>
      <c r="VN32" s="1320"/>
      <c r="VO32" s="1363"/>
      <c r="VP32" s="1319">
        <v>1</v>
      </c>
      <c r="VQ32" s="1320"/>
      <c r="VR32" s="1363"/>
      <c r="VS32" s="1319">
        <v>1</v>
      </c>
      <c r="VT32" s="1320"/>
      <c r="VU32" s="1363"/>
      <c r="VV32" s="1319">
        <v>1</v>
      </c>
      <c r="VW32" s="1320"/>
      <c r="VX32" s="1363"/>
      <c r="VY32" s="1319">
        <v>0.94</v>
      </c>
      <c r="VZ32" s="1320"/>
      <c r="WA32" s="1363"/>
      <c r="WB32" s="1319"/>
      <c r="WC32" s="1320"/>
      <c r="WD32" s="1363"/>
      <c r="WE32" s="1319">
        <v>1</v>
      </c>
      <c r="WF32" s="1320"/>
      <c r="WG32" s="1363"/>
      <c r="WH32" s="1319">
        <v>0.96</v>
      </c>
      <c r="WI32" s="1320"/>
      <c r="WJ32" s="1363"/>
      <c r="WK32" s="1319">
        <v>1</v>
      </c>
      <c r="WL32" s="1320"/>
      <c r="WM32" s="1363"/>
      <c r="WN32" s="1319">
        <v>1</v>
      </c>
      <c r="WO32" s="1320"/>
      <c r="WP32" s="1363"/>
      <c r="WQ32" s="1319">
        <v>1</v>
      </c>
      <c r="WR32" s="1320"/>
      <c r="WS32" s="1363"/>
      <c r="WT32" s="1319">
        <v>1</v>
      </c>
      <c r="WU32" s="1320"/>
      <c r="WV32" s="1363"/>
      <c r="WW32" s="1319"/>
      <c r="WX32" s="1320"/>
      <c r="WY32" s="1363"/>
      <c r="WZ32" s="1319">
        <v>1</v>
      </c>
      <c r="XA32" s="1320"/>
      <c r="XB32" s="1363"/>
      <c r="XC32" s="1319">
        <v>1</v>
      </c>
      <c r="XD32" s="1320"/>
      <c r="XE32" s="1363"/>
      <c r="XF32" s="1319">
        <v>1</v>
      </c>
      <c r="XG32" s="1320"/>
      <c r="XH32" s="1363"/>
      <c r="XI32" s="1319">
        <v>1</v>
      </c>
      <c r="XJ32" s="1320"/>
      <c r="XK32" s="1363"/>
      <c r="XL32" s="1319">
        <v>1</v>
      </c>
      <c r="XM32" s="1320"/>
      <c r="XN32" s="1363"/>
      <c r="XO32" s="1319">
        <v>1</v>
      </c>
      <c r="XP32" s="1320"/>
      <c r="XQ32" s="1363"/>
      <c r="XR32" s="1319"/>
      <c r="XS32" s="1320"/>
      <c r="XT32" s="1363"/>
      <c r="XU32" s="1319">
        <v>1</v>
      </c>
      <c r="XV32" s="1320"/>
      <c r="XW32" s="1363"/>
      <c r="XX32" s="1319">
        <v>0.92</v>
      </c>
      <c r="XY32" s="1320"/>
      <c r="XZ32" s="1363"/>
      <c r="YA32" s="1319">
        <v>0.97</v>
      </c>
      <c r="YB32" s="1320"/>
      <c r="YC32" s="1363"/>
      <c r="YD32" s="1319">
        <v>0.97</v>
      </c>
      <c r="YE32" s="1320"/>
      <c r="YF32" s="1363"/>
      <c r="YG32" s="1319">
        <v>1</v>
      </c>
      <c r="YH32" s="1320"/>
      <c r="YI32" s="1363"/>
      <c r="YJ32" s="1319">
        <v>1</v>
      </c>
      <c r="YK32" s="1320"/>
      <c r="YL32" s="1363"/>
      <c r="YM32" s="1319"/>
      <c r="YN32" s="1320"/>
      <c r="YO32" s="1363"/>
      <c r="YP32" s="1319">
        <v>1</v>
      </c>
      <c r="YQ32" s="1320"/>
      <c r="YR32" s="1363"/>
      <c r="YS32" s="1319">
        <v>1</v>
      </c>
      <c r="YT32" s="1320"/>
      <c r="YU32" s="1363"/>
      <c r="YV32" s="1319">
        <v>1</v>
      </c>
      <c r="YW32" s="1320"/>
      <c r="YX32" s="1363"/>
      <c r="YY32" s="1319">
        <v>1</v>
      </c>
      <c r="YZ32" s="1320"/>
      <c r="ZA32" s="1363"/>
      <c r="ZB32" s="1319">
        <v>1</v>
      </c>
      <c r="ZC32" s="1320"/>
      <c r="ZD32" s="1363"/>
      <c r="ZE32" s="1319">
        <v>1</v>
      </c>
      <c r="ZF32" s="1320"/>
      <c r="ZG32" s="1363"/>
      <c r="ZH32" s="1319"/>
      <c r="ZI32" s="1320"/>
      <c r="ZJ32" s="1363"/>
      <c r="ZK32" s="1319"/>
      <c r="ZL32" s="1320"/>
      <c r="ZM32" s="1363"/>
      <c r="ZN32" s="1319">
        <v>1</v>
      </c>
      <c r="ZO32" s="1320"/>
      <c r="ZP32" s="1363"/>
      <c r="ZQ32" s="1319">
        <v>1</v>
      </c>
      <c r="ZR32" s="1320"/>
      <c r="ZS32" s="1363"/>
      <c r="ZT32" s="1319">
        <v>1</v>
      </c>
      <c r="ZU32" s="1320"/>
      <c r="ZV32" s="1363"/>
      <c r="ZW32" s="1319">
        <v>1</v>
      </c>
      <c r="ZX32" s="1320"/>
      <c r="ZY32" s="1363"/>
      <c r="ZZ32" s="1319">
        <v>1</v>
      </c>
      <c r="AAA32" s="1320"/>
      <c r="AAB32" s="1363"/>
      <c r="AAC32" s="1319"/>
      <c r="AAD32" s="1320"/>
      <c r="AAE32" s="1363"/>
      <c r="AAF32" s="1319"/>
      <c r="AAG32" s="1320"/>
      <c r="AAH32" s="1363"/>
      <c r="AAI32" s="1319">
        <v>1</v>
      </c>
      <c r="AAJ32" s="1320"/>
      <c r="AAK32" s="1363"/>
      <c r="AAL32" s="1319">
        <v>1</v>
      </c>
      <c r="AAM32" s="1320"/>
      <c r="AAN32" s="1363"/>
      <c r="AAO32" s="1319">
        <v>1</v>
      </c>
      <c r="AAP32" s="1320"/>
      <c r="AAQ32" s="1363"/>
      <c r="AAR32" s="1319">
        <v>1</v>
      </c>
      <c r="AAS32" s="1320"/>
      <c r="AAT32" s="1363"/>
      <c r="AAU32" s="1319">
        <v>1</v>
      </c>
      <c r="AAV32" s="1320"/>
      <c r="AAW32" s="1363"/>
      <c r="AAX32" s="1319"/>
      <c r="AAY32" s="1320"/>
      <c r="AAZ32" s="1363"/>
      <c r="ABA32" s="1319">
        <v>1</v>
      </c>
      <c r="ABB32" s="1320"/>
      <c r="ABC32" s="1363"/>
      <c r="ABD32" s="1319">
        <v>1</v>
      </c>
      <c r="ABE32" s="1320"/>
      <c r="ABF32" s="1363"/>
      <c r="ABG32" s="1319">
        <v>1</v>
      </c>
      <c r="ABH32" s="1320"/>
      <c r="ABI32" s="1363"/>
      <c r="ABJ32" s="1319">
        <v>1</v>
      </c>
      <c r="ABK32" s="1320"/>
      <c r="ABL32" s="1363"/>
      <c r="ABM32" s="1319">
        <v>1</v>
      </c>
      <c r="ABN32" s="1320"/>
      <c r="ABO32" s="1363"/>
      <c r="ABP32" s="1319">
        <v>1</v>
      </c>
      <c r="ABQ32" s="1320"/>
      <c r="ABR32" s="1363"/>
      <c r="ABS32" s="1319"/>
      <c r="ABT32" s="1320"/>
      <c r="ABU32" s="1363"/>
      <c r="ABV32" s="1319">
        <v>1</v>
      </c>
      <c r="ABW32" s="1320"/>
      <c r="ABX32" s="1363"/>
      <c r="ABY32" s="1319">
        <v>1</v>
      </c>
      <c r="ABZ32" s="1320"/>
      <c r="ACA32" s="1363"/>
      <c r="ACB32" s="1319">
        <v>1</v>
      </c>
      <c r="ACC32" s="1320"/>
      <c r="ACD32" s="1363"/>
      <c r="ACE32" s="1319">
        <v>1</v>
      </c>
      <c r="ACF32" s="1320"/>
      <c r="ACG32" s="1363"/>
      <c r="ACH32" s="1319"/>
      <c r="ACI32" s="1320"/>
      <c r="ACJ32" s="1363"/>
      <c r="ACK32" s="1319"/>
      <c r="ACL32" s="1320"/>
      <c r="ACM32" s="1363"/>
      <c r="ACN32" s="1319"/>
      <c r="ACO32" s="1320"/>
      <c r="ACP32" s="1363"/>
      <c r="ACQ32" s="1319"/>
      <c r="ACR32" s="1320"/>
      <c r="ACS32" s="1363"/>
      <c r="ACT32" s="1319">
        <v>1</v>
      </c>
      <c r="ACU32" s="1320"/>
      <c r="ACV32" s="1363"/>
      <c r="ACW32" s="1319">
        <v>1</v>
      </c>
      <c r="ACX32" s="1320"/>
      <c r="ACY32" s="1363"/>
      <c r="ACZ32" s="1319">
        <v>1</v>
      </c>
      <c r="ADA32" s="1320"/>
      <c r="ADB32" s="1363"/>
      <c r="ADC32" s="1319">
        <v>1</v>
      </c>
      <c r="ADD32" s="1320"/>
      <c r="ADE32" s="1363"/>
      <c r="ADF32" s="1319">
        <v>1</v>
      </c>
      <c r="ADG32" s="1320"/>
      <c r="ADH32" s="1363"/>
      <c r="ADI32" s="1319"/>
      <c r="ADJ32" s="1320"/>
      <c r="ADK32" s="1363"/>
      <c r="ADL32" s="1319">
        <v>1</v>
      </c>
      <c r="ADM32" s="1320"/>
      <c r="ADN32" s="1363"/>
      <c r="ADO32" s="1319">
        <v>1</v>
      </c>
      <c r="ADP32" s="1320"/>
      <c r="ADQ32" s="1363"/>
      <c r="ADR32" s="1319">
        <v>1</v>
      </c>
      <c r="ADS32" s="1320"/>
      <c r="ADT32" s="1363"/>
      <c r="ADU32" s="1319">
        <v>1</v>
      </c>
      <c r="ADV32" s="1320"/>
      <c r="ADW32" s="1363"/>
      <c r="ADX32" s="1319">
        <v>1</v>
      </c>
      <c r="ADY32" s="1320"/>
      <c r="ADZ32" s="1363"/>
      <c r="AEA32" s="1319">
        <v>0.93</v>
      </c>
      <c r="AEB32" s="1320"/>
      <c r="AEC32" s="1363"/>
      <c r="AED32" s="1319"/>
      <c r="AEE32" s="1320"/>
      <c r="AEF32" s="1363"/>
      <c r="AEG32" s="1319">
        <v>1</v>
      </c>
      <c r="AEH32" s="1320"/>
      <c r="AEI32" s="1363"/>
      <c r="AEJ32" s="1319">
        <v>1</v>
      </c>
      <c r="AEK32" s="1320"/>
      <c r="AEL32" s="1363"/>
      <c r="AEM32" s="1319">
        <v>1</v>
      </c>
      <c r="AEN32" s="1320"/>
      <c r="AEO32" s="1363"/>
      <c r="AEP32" s="1319">
        <v>1</v>
      </c>
      <c r="AEQ32" s="1320"/>
      <c r="AER32" s="1363"/>
      <c r="AES32" s="1319">
        <v>0.94</v>
      </c>
      <c r="AET32" s="1320"/>
      <c r="AEU32" s="1363"/>
      <c r="AEV32" s="1319">
        <v>1</v>
      </c>
      <c r="AEW32" s="1320"/>
      <c r="AEX32" s="1363"/>
      <c r="AEY32" s="1319"/>
      <c r="AEZ32" s="1320"/>
      <c r="AFA32" s="1363"/>
      <c r="AFB32" s="1319">
        <v>1</v>
      </c>
      <c r="AFC32" s="1320"/>
      <c r="AFD32" s="1363"/>
      <c r="AFE32" s="1319">
        <v>1</v>
      </c>
      <c r="AFF32" s="1320"/>
      <c r="AFG32" s="1363"/>
      <c r="AFH32" s="1319">
        <v>1</v>
      </c>
      <c r="AFI32" s="1320"/>
      <c r="AFJ32" s="1363"/>
      <c r="AFK32" s="1319">
        <v>1</v>
      </c>
      <c r="AFL32" s="1320"/>
      <c r="AFM32" s="1363"/>
      <c r="AFN32" s="1319">
        <v>1</v>
      </c>
      <c r="AFO32" s="1320"/>
      <c r="AFP32" s="1363"/>
      <c r="AFQ32" s="1319">
        <v>1</v>
      </c>
      <c r="AFR32" s="1320"/>
      <c r="AFS32" s="1363"/>
      <c r="AFT32" s="1319"/>
      <c r="AFU32" s="1320"/>
      <c r="AFV32" s="1363"/>
      <c r="AFW32" s="1319">
        <v>1</v>
      </c>
      <c r="AFX32" s="1320"/>
      <c r="AFY32" s="1363"/>
      <c r="AFZ32" s="1319">
        <v>1</v>
      </c>
      <c r="AGA32" s="1320"/>
      <c r="AGB32" s="1363"/>
      <c r="AGC32" s="1319">
        <v>1</v>
      </c>
      <c r="AGD32" s="1320"/>
      <c r="AGE32" s="1363"/>
      <c r="AGF32" s="1319">
        <v>1</v>
      </c>
      <c r="AGG32" s="1320"/>
      <c r="AGH32" s="1363"/>
      <c r="AGI32" s="1319">
        <v>1</v>
      </c>
      <c r="AGJ32" s="1320"/>
      <c r="AGK32" s="1363"/>
      <c r="AGL32" s="1319">
        <v>1</v>
      </c>
      <c r="AGM32" s="1320"/>
      <c r="AGN32" s="1363"/>
      <c r="AGO32" s="1319"/>
      <c r="AGP32" s="1320"/>
      <c r="AGQ32" s="1363"/>
      <c r="AGR32" s="1319">
        <v>1</v>
      </c>
      <c r="AGS32" s="1320"/>
      <c r="AGT32" s="1363"/>
      <c r="AGU32" s="1319">
        <v>1</v>
      </c>
      <c r="AGV32" s="1320"/>
      <c r="AGW32" s="1363"/>
      <c r="AGX32" s="1319">
        <v>1</v>
      </c>
      <c r="AGY32" s="1320"/>
      <c r="AGZ32" s="1363"/>
      <c r="AHA32" s="1319">
        <v>1</v>
      </c>
      <c r="AHB32" s="1320"/>
      <c r="AHC32" s="1363"/>
      <c r="AHD32" s="1319">
        <v>1</v>
      </c>
      <c r="AHE32" s="1320"/>
      <c r="AHF32" s="1363"/>
      <c r="AHG32" s="1319">
        <v>0.96</v>
      </c>
      <c r="AHH32" s="1320"/>
      <c r="AHI32" s="1363"/>
      <c r="AHJ32" s="1319"/>
      <c r="AHK32" s="1320"/>
      <c r="AHL32" s="1363"/>
      <c r="AHM32" s="1319"/>
      <c r="AHN32" s="1320"/>
      <c r="AHO32" s="1363"/>
      <c r="AHP32" s="1319">
        <v>1</v>
      </c>
      <c r="AHQ32" s="1320"/>
      <c r="AHR32" s="1363"/>
      <c r="AHS32" s="1319">
        <v>1</v>
      </c>
      <c r="AHT32" s="1320"/>
      <c r="AHU32" s="1363"/>
      <c r="AHV32" s="1319">
        <v>1</v>
      </c>
      <c r="AHW32" s="1320"/>
      <c r="AHX32" s="1363"/>
      <c r="AHY32" s="1319">
        <v>1</v>
      </c>
      <c r="AHZ32" s="1320"/>
      <c r="AIA32" s="1363"/>
      <c r="AIB32" s="1319">
        <v>0.92</v>
      </c>
      <c r="AIC32" s="1320"/>
      <c r="AID32" s="1363"/>
      <c r="AIE32" s="1319" t="s">
        <v>20</v>
      </c>
      <c r="AIF32" s="1320"/>
      <c r="AIG32" s="1363"/>
      <c r="AIH32" s="1319">
        <v>0.97</v>
      </c>
      <c r="AII32" s="1320"/>
      <c r="AIJ32" s="1363"/>
      <c r="AIK32" s="1319">
        <v>1</v>
      </c>
      <c r="AIL32" s="1320"/>
      <c r="AIM32" s="1363"/>
      <c r="AIN32" s="1319">
        <v>0.94</v>
      </c>
      <c r="AIO32" s="1320"/>
      <c r="AIP32" s="1363"/>
      <c r="AIQ32" s="1319">
        <v>0.69</v>
      </c>
      <c r="AIR32" s="1320"/>
      <c r="AIS32" s="1320"/>
      <c r="AIT32" s="1319">
        <v>0.92</v>
      </c>
      <c r="AIU32" s="1320"/>
      <c r="AIV32" s="1363"/>
      <c r="AIW32" s="1319">
        <v>0.92</v>
      </c>
      <c r="AIX32" s="1320"/>
      <c r="AIY32" s="1320"/>
      <c r="AIZ32" s="1319"/>
      <c r="AJA32" s="1320"/>
      <c r="AJB32" s="1363"/>
      <c r="AJC32" s="1319"/>
      <c r="AJD32" s="1320"/>
      <c r="AJE32" s="1363"/>
      <c r="AJF32" s="1319"/>
      <c r="AJG32" s="1320"/>
      <c r="AJH32" s="1363"/>
      <c r="AJI32" s="1319">
        <v>0.95</v>
      </c>
      <c r="AJJ32" s="1320"/>
      <c r="AJK32" s="1363"/>
      <c r="AJL32" s="1319">
        <v>1</v>
      </c>
      <c r="AJM32" s="1320"/>
      <c r="AJN32" s="1320"/>
      <c r="AJO32" s="1319">
        <v>1</v>
      </c>
      <c r="AJP32" s="1320"/>
      <c r="AJQ32" s="1363"/>
      <c r="AJR32" s="1319">
        <v>1</v>
      </c>
      <c r="AJS32" s="1320"/>
      <c r="AJT32" s="1320"/>
      <c r="AJU32" s="1319"/>
      <c r="AJV32" s="1320"/>
      <c r="AJW32" s="1363"/>
      <c r="AJX32" s="1319">
        <v>1</v>
      </c>
      <c r="AJY32" s="1320"/>
      <c r="AJZ32" s="1363"/>
      <c r="AKA32" s="1319">
        <v>1</v>
      </c>
      <c r="AKB32" s="1320"/>
      <c r="AKC32" s="1363"/>
      <c r="AKD32" s="1319">
        <v>1</v>
      </c>
      <c r="AKE32" s="1320"/>
      <c r="AKF32" s="1363"/>
      <c r="AKG32" s="1319">
        <v>1</v>
      </c>
      <c r="AKH32" s="1320"/>
      <c r="AKI32" s="1320"/>
      <c r="AKJ32" s="1319">
        <v>1</v>
      </c>
      <c r="AKK32" s="1320"/>
      <c r="AKL32" s="1363"/>
      <c r="AKM32" s="1319">
        <v>1</v>
      </c>
      <c r="AKN32" s="1320"/>
      <c r="AKO32" s="1320"/>
      <c r="AKP32" s="1319"/>
      <c r="AKQ32" s="1320"/>
      <c r="AKR32" s="1363"/>
      <c r="AKS32" s="1319">
        <v>1</v>
      </c>
      <c r="AKT32" s="1320"/>
      <c r="AKU32" s="1363"/>
      <c r="AKV32" s="1319">
        <v>1</v>
      </c>
      <c r="AKW32" s="1320"/>
      <c r="AKX32" s="1363"/>
      <c r="AKY32" s="1319">
        <v>1</v>
      </c>
      <c r="AKZ32" s="1320"/>
      <c r="ALA32" s="1363"/>
      <c r="ALB32" s="1319"/>
      <c r="ALC32" s="1320"/>
      <c r="ALD32" s="1320"/>
      <c r="ALE32" s="1319">
        <v>1</v>
      </c>
      <c r="ALF32" s="1320"/>
      <c r="ALG32" s="1363"/>
      <c r="ALH32" s="1319">
        <v>1</v>
      </c>
      <c r="ALI32" s="1320"/>
      <c r="ALJ32" s="1320"/>
      <c r="ALK32" s="1319"/>
      <c r="ALL32" s="1320"/>
      <c r="ALM32" s="1363"/>
      <c r="ALN32" s="1319">
        <v>1</v>
      </c>
      <c r="ALO32" s="1320"/>
      <c r="ALP32" s="1363"/>
      <c r="ALQ32" s="1319">
        <v>0.89</v>
      </c>
      <c r="ALR32" s="1320"/>
      <c r="ALS32" s="1363"/>
      <c r="ALT32" s="1319">
        <v>1</v>
      </c>
      <c r="ALU32" s="1320"/>
      <c r="ALV32" s="1363"/>
      <c r="ALW32" s="1319">
        <v>0.96</v>
      </c>
      <c r="ALX32" s="1320"/>
      <c r="ALY32" s="1320"/>
      <c r="ALZ32" s="1319"/>
      <c r="AMA32" s="1320"/>
      <c r="AMB32" s="1363"/>
      <c r="AMC32" s="1319">
        <v>1</v>
      </c>
      <c r="AMD32" s="1320"/>
      <c r="AME32" s="1320"/>
      <c r="AMF32" s="1319"/>
      <c r="AMG32" s="1320"/>
      <c r="AMH32" s="1363"/>
      <c r="AMI32" s="1319">
        <v>1</v>
      </c>
      <c r="AMJ32" s="1320"/>
      <c r="AMK32" s="1363"/>
      <c r="AML32" s="1319">
        <v>1</v>
      </c>
      <c r="AMM32" s="1320"/>
      <c r="AMN32" s="1363"/>
      <c r="AMO32" s="1319">
        <v>0.96</v>
      </c>
      <c r="AMP32" s="1320"/>
      <c r="AMQ32" s="1363"/>
      <c r="AMR32" s="1319">
        <v>1</v>
      </c>
      <c r="AMS32" s="1320"/>
      <c r="AMT32" s="1320"/>
      <c r="AMU32" s="1319">
        <v>1</v>
      </c>
      <c r="AMV32" s="1320"/>
      <c r="AMW32" s="1363"/>
      <c r="AMX32" s="1319">
        <v>1</v>
      </c>
      <c r="AMY32" s="1320"/>
      <c r="AMZ32" s="1320"/>
      <c r="ANA32" s="1319"/>
      <c r="ANB32" s="1320"/>
      <c r="ANC32" s="1363"/>
      <c r="AND32" s="1319">
        <v>1</v>
      </c>
      <c r="ANE32" s="1320"/>
      <c r="ANF32" s="1363"/>
      <c r="ANG32" s="1319">
        <v>1</v>
      </c>
      <c r="ANH32" s="1320"/>
      <c r="ANI32" s="1363"/>
      <c r="ANJ32" s="1319">
        <v>1</v>
      </c>
      <c r="ANK32" s="1320"/>
      <c r="ANL32" s="1363"/>
      <c r="ANM32" s="1319">
        <v>1</v>
      </c>
      <c r="ANN32" s="1320"/>
      <c r="ANO32" s="1320"/>
      <c r="ANP32" s="1319">
        <v>1</v>
      </c>
      <c r="ANQ32" s="1320"/>
      <c r="ANR32" s="1363"/>
      <c r="ANS32" s="1319">
        <v>1</v>
      </c>
      <c r="ANT32" s="1320"/>
      <c r="ANU32" s="1320"/>
      <c r="ANV32" s="1319"/>
      <c r="ANW32" s="1320"/>
      <c r="ANX32" s="1363"/>
      <c r="ANY32" s="1319">
        <v>1</v>
      </c>
      <c r="ANZ32" s="1320"/>
      <c r="AOA32" s="1363"/>
      <c r="AOB32" s="1319">
        <v>0.94</v>
      </c>
      <c r="AOC32" s="1320"/>
      <c r="AOD32" s="1363"/>
      <c r="AOE32" s="1319">
        <v>1</v>
      </c>
      <c r="AOF32" s="1320"/>
      <c r="AOG32" s="1363"/>
      <c r="AOH32" s="1319">
        <v>1</v>
      </c>
      <c r="AOI32" s="1320"/>
      <c r="AOJ32" s="1320"/>
      <c r="AOK32" s="1319">
        <v>1</v>
      </c>
      <c r="AOL32" s="1320"/>
      <c r="AOM32" s="1363"/>
      <c r="AON32" s="1319">
        <v>1</v>
      </c>
      <c r="AOO32" s="1320"/>
      <c r="AOP32" s="1320"/>
      <c r="AOQ32" s="1319"/>
      <c r="AOR32" s="1320"/>
      <c r="AOS32" s="1363"/>
      <c r="AOT32" s="1319">
        <v>0.95</v>
      </c>
      <c r="AOU32" s="1320"/>
      <c r="AOV32" s="1363"/>
      <c r="AOW32" s="1319">
        <v>1</v>
      </c>
      <c r="AOX32" s="1320"/>
      <c r="AOY32" s="1363"/>
      <c r="AOZ32" s="1319">
        <v>0.94</v>
      </c>
      <c r="APA32" s="1320"/>
      <c r="APB32" s="1363"/>
      <c r="APC32" s="1319">
        <v>1</v>
      </c>
      <c r="APD32" s="1320"/>
      <c r="APE32" s="1320"/>
      <c r="APF32" s="1319">
        <v>1</v>
      </c>
      <c r="APG32" s="1320"/>
      <c r="APH32" s="1363"/>
      <c r="API32" s="1319">
        <v>0.9</v>
      </c>
      <c r="APJ32" s="1320"/>
      <c r="APK32" s="1320"/>
      <c r="APL32" s="1319"/>
      <c r="APM32" s="1320"/>
      <c r="APN32" s="1363"/>
      <c r="APO32" s="1319">
        <v>1</v>
      </c>
      <c r="APP32" s="1320"/>
      <c r="APQ32" s="1363"/>
      <c r="APR32" s="1319">
        <v>1</v>
      </c>
      <c r="APS32" s="1320"/>
      <c r="APT32" s="1363"/>
      <c r="APU32" s="1319">
        <v>1</v>
      </c>
      <c r="APV32" s="1320"/>
      <c r="APW32" s="1363"/>
      <c r="APX32" s="1319">
        <v>1</v>
      </c>
      <c r="APY32" s="1320"/>
      <c r="APZ32" s="1320"/>
      <c r="AQA32" s="1319">
        <v>1</v>
      </c>
      <c r="AQB32" s="1320"/>
      <c r="AQC32" s="1363"/>
      <c r="AQD32" s="1319">
        <v>1</v>
      </c>
      <c r="AQE32" s="1320"/>
      <c r="AQF32" s="1363"/>
      <c r="AQG32" s="1319"/>
      <c r="AQH32" s="1320"/>
      <c r="AQI32" s="1363"/>
      <c r="AQJ32" s="1319">
        <v>1</v>
      </c>
      <c r="AQK32" s="1320"/>
      <c r="AQL32" s="1363"/>
      <c r="AQM32" s="1319">
        <v>1</v>
      </c>
      <c r="AQN32" s="1320"/>
      <c r="AQO32" s="1363"/>
      <c r="AQP32" s="1319">
        <v>1</v>
      </c>
      <c r="AQQ32" s="1320"/>
      <c r="AQR32" s="1320"/>
      <c r="AQS32" s="1319">
        <v>1</v>
      </c>
      <c r="AQT32" s="1320"/>
      <c r="AQU32" s="1320"/>
      <c r="AQV32" s="1319">
        <v>1</v>
      </c>
      <c r="AQW32" s="1320"/>
      <c r="AQX32" s="1320"/>
      <c r="AQY32" s="1319">
        <v>1</v>
      </c>
      <c r="AQZ32" s="1320"/>
      <c r="ARA32" s="1363"/>
      <c r="ARB32" s="1319" t="s">
        <v>20</v>
      </c>
      <c r="ARC32" s="1320"/>
      <c r="ARD32" s="1363"/>
      <c r="ARE32" s="1319" t="s">
        <v>20</v>
      </c>
      <c r="ARF32" s="1320"/>
      <c r="ARG32" s="1363"/>
      <c r="ARH32" s="1319">
        <v>1</v>
      </c>
      <c r="ARI32" s="1320"/>
      <c r="ARJ32" s="1363"/>
      <c r="ARK32" s="1320"/>
      <c r="ARL32" s="1320"/>
      <c r="ARM32" s="1363"/>
      <c r="ARN32" s="1319"/>
      <c r="ARO32" s="1320"/>
      <c r="ARP32" s="1363"/>
      <c r="ARQ32" s="1320">
        <v>1</v>
      </c>
      <c r="ARR32" s="1320"/>
      <c r="ARS32" s="1363"/>
      <c r="ART32" s="1320">
        <v>1</v>
      </c>
      <c r="ARU32" s="1320"/>
      <c r="ARV32" s="1363"/>
      <c r="ARW32" s="1320"/>
      <c r="ARX32" s="1320"/>
      <c r="ARY32" s="1363"/>
      <c r="ARZ32" s="1320">
        <v>1</v>
      </c>
      <c r="ASA32" s="1320"/>
      <c r="ASB32" s="1363"/>
      <c r="ASC32" s="1319">
        <v>1</v>
      </c>
      <c r="ASD32" s="1320"/>
      <c r="ASE32" s="1320"/>
      <c r="ASF32" s="1319">
        <v>1</v>
      </c>
      <c r="ASG32" s="1320"/>
      <c r="ASH32" s="1363"/>
      <c r="ASI32" s="1319"/>
      <c r="ASJ32" s="1320"/>
      <c r="ASK32" s="1320"/>
      <c r="ASL32" s="1319">
        <v>1</v>
      </c>
      <c r="ASM32" s="1320"/>
      <c r="ASN32" s="1363"/>
      <c r="ASO32" s="1319">
        <v>1</v>
      </c>
      <c r="ASP32" s="1320"/>
      <c r="ASQ32" s="1320"/>
      <c r="ASR32" s="1319"/>
      <c r="ASS32" s="1320"/>
      <c r="AST32" s="1363"/>
      <c r="ASU32" s="1319"/>
      <c r="ASV32" s="1320"/>
      <c r="ASW32" s="1363"/>
      <c r="ASX32" s="1319"/>
      <c r="ASY32" s="1320"/>
      <c r="ASZ32" s="1320"/>
      <c r="ATA32" s="1319"/>
      <c r="ATB32" s="1320"/>
      <c r="ATC32" s="1363"/>
      <c r="ATD32" s="1319"/>
      <c r="ATE32" s="1320"/>
      <c r="ATF32" s="1320"/>
      <c r="ATG32" s="1319"/>
      <c r="ATH32" s="1320"/>
      <c r="ATI32" s="1363"/>
      <c r="ATJ32" s="1319"/>
      <c r="ATK32" s="1320"/>
      <c r="ATL32" s="1363"/>
      <c r="ATM32" s="1319"/>
      <c r="ATN32" s="1320"/>
      <c r="ATO32" s="1363"/>
      <c r="ATP32" s="1319"/>
      <c r="ATQ32" s="1320"/>
      <c r="ATR32" s="1363"/>
      <c r="ATS32" s="1319">
        <v>1</v>
      </c>
      <c r="ATT32" s="1320"/>
      <c r="ATU32" s="1363"/>
      <c r="ATV32" s="1320">
        <v>1</v>
      </c>
      <c r="ATW32" s="1320"/>
      <c r="ATX32" s="1363"/>
      <c r="ATY32" s="1319">
        <v>1</v>
      </c>
      <c r="ATZ32" s="1320"/>
      <c r="AUA32" s="1320"/>
      <c r="AUB32" s="1319">
        <v>1</v>
      </c>
      <c r="AUC32" s="1320"/>
      <c r="AUD32" s="1363"/>
      <c r="AUE32" s="1319"/>
      <c r="AUF32" s="1320"/>
      <c r="AUG32" s="1363"/>
      <c r="AUH32" s="1319"/>
      <c r="AUI32" s="1320"/>
      <c r="AUJ32" s="1363"/>
      <c r="AUK32" s="1319"/>
      <c r="AUL32" s="1320"/>
      <c r="AUM32" s="1320"/>
      <c r="AUN32" s="1319">
        <v>1</v>
      </c>
      <c r="AUO32" s="1320"/>
      <c r="AUP32" s="1320"/>
      <c r="AUQ32" s="1319">
        <v>0.96</v>
      </c>
      <c r="AUR32" s="1320"/>
      <c r="AUS32" s="1320"/>
      <c r="AUT32" s="1319">
        <v>0.75</v>
      </c>
      <c r="AUU32" s="1320"/>
      <c r="AUV32" s="1320"/>
      <c r="AUW32" s="1319">
        <v>1</v>
      </c>
      <c r="AUX32" s="1320"/>
      <c r="AUY32" s="1320"/>
      <c r="AUZ32" s="1319">
        <v>0.95</v>
      </c>
      <c r="AVA32" s="1320"/>
      <c r="AVB32" s="1320"/>
      <c r="AVC32" s="1319"/>
      <c r="AVD32" s="1320"/>
      <c r="AVE32" s="1320"/>
      <c r="AVF32" s="1319">
        <v>0.95</v>
      </c>
      <c r="AVG32" s="1320"/>
      <c r="AVH32" s="1320"/>
      <c r="AVI32" s="1319"/>
      <c r="AVJ32" s="1320"/>
      <c r="AVK32" s="1320"/>
      <c r="AVL32" s="1319">
        <v>1</v>
      </c>
      <c r="AVM32" s="1320"/>
      <c r="AVN32" s="1320"/>
      <c r="AVO32" s="1319">
        <v>0.83</v>
      </c>
      <c r="AVP32" s="1320"/>
      <c r="AVQ32" s="1320"/>
      <c r="AVR32" s="1319"/>
      <c r="AVS32" s="1320"/>
      <c r="AVT32" s="1320"/>
      <c r="AVU32" s="1319"/>
      <c r="AVV32" s="1320"/>
      <c r="AVW32" s="1320"/>
      <c r="AVX32" s="1319"/>
      <c r="AVY32" s="1320"/>
      <c r="AVZ32" s="1320"/>
      <c r="AWA32" s="1319"/>
      <c r="AWB32" s="1320"/>
      <c r="AWC32" s="1320"/>
      <c r="AWD32" s="1319"/>
      <c r="AWE32" s="1320"/>
      <c r="AWF32" s="1320"/>
      <c r="AWG32" s="1319"/>
      <c r="AWH32" s="1320"/>
      <c r="AWI32" s="1320"/>
      <c r="AWJ32" s="1319"/>
      <c r="AWK32" s="1320"/>
      <c r="AWL32" s="1320"/>
      <c r="AWM32" s="1319"/>
      <c r="AWN32" s="1320"/>
      <c r="AWO32" s="1363"/>
      <c r="AWP32" s="1320"/>
      <c r="AWQ32" s="1320"/>
      <c r="AWR32" s="1363"/>
      <c r="AWS32" s="1319"/>
      <c r="AWT32" s="1320"/>
      <c r="AWU32" s="1363"/>
      <c r="AWV32" s="1319"/>
      <c r="AWW32" s="1320"/>
      <c r="AWX32" s="1363"/>
      <c r="AWY32" s="1319"/>
      <c r="AWZ32" s="1320"/>
      <c r="AXA32" s="1320"/>
      <c r="AXB32" s="1319"/>
      <c r="AXC32" s="1320"/>
      <c r="AXD32" s="1363"/>
      <c r="AXE32" s="1319"/>
      <c r="AXF32" s="1320"/>
      <c r="AXG32" s="1320"/>
      <c r="AXH32" s="1319"/>
      <c r="AXI32" s="1320"/>
      <c r="AXJ32" s="1363"/>
      <c r="AXK32" s="1319"/>
      <c r="AXL32" s="1320"/>
      <c r="AXM32" s="1363"/>
      <c r="AXN32" s="1319"/>
      <c r="AXO32" s="1320"/>
      <c r="AXP32" s="1363"/>
      <c r="AXQ32" s="1319"/>
      <c r="AXR32" s="1320"/>
      <c r="AXS32" s="1363"/>
      <c r="AXT32" s="1319"/>
      <c r="AXU32" s="1320"/>
      <c r="AXV32" s="1320"/>
      <c r="AXW32" s="1319"/>
      <c r="AXX32" s="1320"/>
      <c r="AXY32" s="1363"/>
      <c r="AXZ32" s="1319"/>
      <c r="AYA32" s="1320"/>
      <c r="AYB32" s="1320"/>
      <c r="AYC32" s="1319"/>
      <c r="AYD32" s="1320"/>
      <c r="AYE32" s="1363"/>
      <c r="AYF32" s="1319"/>
      <c r="AYG32" s="1320"/>
      <c r="AYH32" s="1363"/>
      <c r="AYI32" s="1319"/>
      <c r="AYJ32" s="1320"/>
      <c r="AYK32" s="1363"/>
      <c r="AYL32" s="1319"/>
      <c r="AYM32" s="1320"/>
      <c r="AYN32" s="1363"/>
      <c r="AYO32" s="1319"/>
      <c r="AYP32" s="1320"/>
      <c r="AYQ32" s="1320"/>
      <c r="AYR32" s="1319"/>
      <c r="AYS32" s="1320"/>
      <c r="AYT32" s="1363"/>
      <c r="AYU32" s="1319"/>
      <c r="AYV32" s="1320"/>
      <c r="AYW32" s="1320"/>
      <c r="AYX32" s="1319"/>
      <c r="AYY32" s="1320"/>
      <c r="AYZ32" s="1363"/>
      <c r="AZA32" s="1319"/>
      <c r="AZB32" s="1320"/>
      <c r="AZC32" s="1363"/>
      <c r="AZD32" s="1319"/>
      <c r="AZE32" s="1320"/>
      <c r="AZF32" s="1363"/>
      <c r="AZG32" s="1319"/>
      <c r="AZH32" s="1320"/>
      <c r="AZI32" s="1363"/>
      <c r="AZJ32" s="1319"/>
      <c r="AZK32" s="1320"/>
      <c r="AZL32" s="1320"/>
      <c r="AZM32" s="1319"/>
      <c r="AZN32" s="1320"/>
      <c r="AZO32" s="1363"/>
      <c r="AZP32" s="1319"/>
      <c r="AZQ32" s="1320"/>
      <c r="AZR32" s="1320"/>
      <c r="AZS32" s="1319"/>
      <c r="AZT32" s="1320"/>
      <c r="AZU32" s="1363"/>
      <c r="AZV32" s="1319"/>
      <c r="AZW32" s="1320"/>
      <c r="AZX32" s="1363"/>
      <c r="AZY32" s="1319"/>
      <c r="AZZ32" s="1320"/>
      <c r="BAA32" s="1363"/>
      <c r="BAB32" s="1319"/>
      <c r="BAC32" s="1320"/>
      <c r="BAD32" s="1363"/>
      <c r="BAE32" s="1319"/>
      <c r="BAF32" s="1320"/>
      <c r="BAG32" s="1320"/>
      <c r="BAH32" s="1319"/>
      <c r="BAI32" s="1320"/>
      <c r="BAJ32" s="1363"/>
    </row>
    <row r="33" spans="1:1399" s="382" customFormat="1">
      <c r="B33" s="1189" t="s">
        <v>358</v>
      </c>
      <c r="C33" s="1207"/>
      <c r="D33" s="1207"/>
      <c r="E33" s="1190" t="s">
        <v>349</v>
      </c>
      <c r="F33" s="1208"/>
      <c r="G33" s="1208"/>
      <c r="H33" s="1191"/>
      <c r="I33" s="1208"/>
      <c r="J33" s="1208"/>
      <c r="K33" s="1191"/>
      <c r="L33" s="1208"/>
      <c r="M33" s="1208"/>
      <c r="N33" s="1191"/>
      <c r="O33" s="1208"/>
      <c r="P33" s="1208"/>
      <c r="Q33" s="1191"/>
      <c r="R33" s="1208"/>
      <c r="S33" s="1208"/>
      <c r="T33" s="1191"/>
      <c r="U33" s="1208"/>
      <c r="V33" s="1208"/>
      <c r="W33" s="1191"/>
      <c r="X33" s="1208"/>
      <c r="Y33" s="1208"/>
      <c r="Z33" s="1191"/>
      <c r="AA33" s="1208"/>
      <c r="AB33" s="1208"/>
      <c r="AC33" s="1191"/>
      <c r="AD33" s="1208"/>
      <c r="AE33" s="1208"/>
      <c r="AF33" s="1191"/>
      <c r="AG33" s="1208"/>
      <c r="AH33" s="1208"/>
      <c r="AI33" s="1191"/>
      <c r="AJ33" s="1208"/>
      <c r="AK33" s="1208"/>
      <c r="AL33" s="1191"/>
      <c r="AM33" s="1208"/>
      <c r="AN33" s="1208"/>
      <c r="AO33" s="1191"/>
      <c r="AP33" s="1208"/>
      <c r="AQ33" s="1208"/>
      <c r="AR33" s="1191"/>
      <c r="AS33" s="1208"/>
      <c r="AT33" s="1208"/>
      <c r="AU33" s="1191"/>
      <c r="AV33" s="1208"/>
      <c r="AW33" s="1208"/>
      <c r="AX33" s="1191"/>
      <c r="AY33" s="1208"/>
      <c r="AZ33" s="1208"/>
      <c r="BA33" s="1191"/>
      <c r="BB33" s="1208"/>
      <c r="BC33" s="1208"/>
      <c r="BD33" s="1191"/>
      <c r="BE33" s="1208"/>
      <c r="BF33" s="1208"/>
      <c r="BG33" s="1191"/>
      <c r="BH33" s="1208"/>
      <c r="BI33" s="1208"/>
      <c r="BJ33" s="1191"/>
      <c r="BK33" s="1208"/>
      <c r="BL33" s="1208"/>
      <c r="BM33" s="1191"/>
      <c r="BN33" s="1208"/>
      <c r="BO33" s="1208"/>
      <c r="BP33" s="1191"/>
      <c r="BQ33" s="1208"/>
      <c r="BR33" s="1208"/>
      <c r="BS33" s="1191"/>
      <c r="BT33" s="1208"/>
      <c r="BU33" s="1208"/>
      <c r="BV33" s="1191"/>
      <c r="BW33" s="1208"/>
      <c r="BX33" s="1208"/>
      <c r="BY33" s="1191"/>
      <c r="BZ33" s="1208"/>
      <c r="CA33" s="1208"/>
      <c r="CB33" s="1191"/>
      <c r="CC33" s="1208"/>
      <c r="CD33" s="1208"/>
      <c r="CE33" s="1191"/>
      <c r="CF33" s="1208"/>
      <c r="CG33" s="1208"/>
      <c r="CH33" s="1191"/>
      <c r="CI33" s="1208"/>
      <c r="CJ33" s="1208"/>
      <c r="CK33" s="1191"/>
      <c r="CL33" s="1208"/>
      <c r="CM33" s="1208"/>
      <c r="CN33" s="1191"/>
      <c r="CO33" s="1208"/>
      <c r="CP33" s="1208"/>
      <c r="CQ33" s="1191"/>
      <c r="CR33" s="1208"/>
      <c r="CS33" s="1208"/>
      <c r="CT33" s="1191"/>
      <c r="CU33" s="1208"/>
      <c r="CV33" s="1208"/>
      <c r="CW33" s="1191"/>
      <c r="CX33" s="1208"/>
      <c r="CY33" s="1208"/>
      <c r="CZ33" s="1191"/>
      <c r="DA33" s="1208"/>
      <c r="DB33" s="1208"/>
      <c r="DC33" s="1191"/>
      <c r="DD33" s="1208"/>
      <c r="DE33" s="1208"/>
      <c r="DF33" s="1191"/>
      <c r="DG33" s="1208"/>
      <c r="DH33" s="1208"/>
      <c r="DI33" s="1191"/>
      <c r="DJ33" s="1208"/>
      <c r="DK33" s="1208"/>
      <c r="DL33" s="1191"/>
      <c r="DM33" s="1208"/>
      <c r="DN33" s="1208"/>
      <c r="DO33" s="1191"/>
      <c r="DP33" s="1208"/>
      <c r="DQ33" s="1208"/>
      <c r="DR33" s="1191"/>
      <c r="DS33" s="1208"/>
      <c r="DT33" s="1208"/>
      <c r="DU33" s="1191"/>
      <c r="DV33" s="1208"/>
      <c r="DW33" s="1208"/>
      <c r="DX33" s="1191"/>
      <c r="DY33" s="1208"/>
      <c r="DZ33" s="1208"/>
      <c r="EA33" s="1191"/>
      <c r="EB33" s="1208"/>
      <c r="EC33" s="1208"/>
      <c r="ED33" s="1191"/>
      <c r="EE33" s="1208"/>
      <c r="EF33" s="1208"/>
      <c r="EG33" s="1191"/>
      <c r="EH33" s="1208"/>
      <c r="EI33" s="1208"/>
      <c r="EJ33" s="1191"/>
      <c r="EK33" s="1208"/>
      <c r="EL33" s="1208"/>
      <c r="EM33" s="1191"/>
      <c r="EN33" s="1208"/>
      <c r="EO33" s="1208"/>
      <c r="EP33" s="1191"/>
      <c r="EQ33" s="1208"/>
      <c r="ER33" s="1208"/>
      <c r="ES33" s="1191"/>
      <c r="ET33" s="1208"/>
      <c r="EU33" s="1208"/>
      <c r="EV33" s="1191"/>
      <c r="EW33" s="1208"/>
      <c r="EX33" s="1208"/>
      <c r="EY33" s="1191"/>
      <c r="EZ33" s="1208"/>
      <c r="FA33" s="1208"/>
      <c r="FB33" s="1191"/>
      <c r="FC33" s="1208"/>
      <c r="FD33" s="1208"/>
      <c r="FE33" s="1191"/>
      <c r="FF33" s="1208"/>
      <c r="FG33" s="1208"/>
      <c r="FH33" s="1191"/>
      <c r="FI33" s="1208"/>
      <c r="FJ33" s="1208"/>
      <c r="FK33" s="1191"/>
      <c r="FL33" s="1208"/>
      <c r="FM33" s="1208"/>
      <c r="FN33" s="1191"/>
      <c r="FO33" s="1208"/>
      <c r="FP33" s="1208"/>
      <c r="FQ33" s="1191"/>
      <c r="FR33" s="1208"/>
      <c r="FS33" s="1208"/>
      <c r="FT33" s="1191"/>
      <c r="FU33" s="1208"/>
      <c r="FV33" s="1208"/>
      <c r="FW33" s="1191"/>
      <c r="FX33" s="1208"/>
      <c r="FY33" s="1208"/>
      <c r="FZ33" s="1191"/>
      <c r="GA33" s="1208"/>
      <c r="GB33" s="1208"/>
      <c r="GC33" s="1191"/>
      <c r="GD33" s="1208"/>
      <c r="GE33" s="1208"/>
      <c r="GF33" s="1191"/>
      <c r="GG33" s="1208"/>
      <c r="GH33" s="1208"/>
      <c r="GI33" s="1191"/>
      <c r="GJ33" s="1208"/>
      <c r="GK33" s="1208"/>
      <c r="GL33" s="1191"/>
      <c r="GM33" s="1208"/>
      <c r="GN33" s="1208"/>
      <c r="GO33" s="1191"/>
      <c r="GP33" s="1208"/>
      <c r="GQ33" s="1208"/>
      <c r="GR33" s="1191"/>
      <c r="GS33" s="1208"/>
      <c r="GT33" s="1208"/>
      <c r="GU33" s="1191"/>
      <c r="GV33" s="1208"/>
      <c r="GW33" s="1208"/>
      <c r="GX33" s="1191"/>
      <c r="GY33" s="1208"/>
      <c r="GZ33" s="1208"/>
      <c r="HA33" s="1191"/>
      <c r="HB33" s="1208"/>
      <c r="HC33" s="1208"/>
      <c r="HD33" s="1191"/>
      <c r="HE33" s="1208"/>
      <c r="HF33" s="1208"/>
      <c r="HG33" s="1191"/>
      <c r="HH33" s="1208"/>
      <c r="HI33" s="1208"/>
      <c r="HJ33" s="1191"/>
      <c r="HK33" s="1208"/>
      <c r="HL33" s="1208"/>
      <c r="HM33" s="1191"/>
      <c r="HN33" s="1208"/>
      <c r="HO33" s="1208"/>
      <c r="HP33" s="1191"/>
      <c r="HQ33" s="1208"/>
      <c r="HR33" s="1208"/>
      <c r="HS33" s="1191"/>
      <c r="HT33" s="1208"/>
      <c r="HU33" s="1208"/>
      <c r="HV33" s="1191"/>
      <c r="HW33" s="1208"/>
      <c r="HX33" s="1208"/>
      <c r="HY33" s="1191"/>
      <c r="HZ33" s="1208"/>
      <c r="IA33" s="1208"/>
      <c r="IB33" s="1191"/>
      <c r="IC33" s="1208"/>
      <c r="ID33" s="1208"/>
      <c r="IE33" s="1191"/>
      <c r="IF33" s="1208"/>
      <c r="IG33" s="1208"/>
      <c r="IH33" s="1191"/>
      <c r="II33" s="1208"/>
      <c r="IJ33" s="1208"/>
      <c r="IK33" s="1191"/>
      <c r="IL33" s="1208"/>
      <c r="IM33" s="1208"/>
      <c r="IN33" s="1191"/>
      <c r="IO33" s="1208"/>
      <c r="IP33" s="1208"/>
      <c r="IQ33" s="1191"/>
      <c r="IR33" s="1208"/>
      <c r="IS33" s="1208"/>
      <c r="IT33" s="1191"/>
      <c r="IU33" s="1208"/>
      <c r="IV33" s="1208"/>
      <c r="IW33" s="1191"/>
      <c r="IX33" s="1208"/>
      <c r="IY33" s="1208"/>
      <c r="IZ33" s="1191"/>
      <c r="JA33" s="1208"/>
      <c r="JB33" s="1208"/>
      <c r="JC33" s="1191"/>
      <c r="JD33" s="1208"/>
      <c r="JE33" s="1208"/>
      <c r="JF33" s="1191"/>
      <c r="JG33" s="1208"/>
      <c r="JH33" s="1208"/>
      <c r="JI33" s="1191"/>
      <c r="JJ33" s="1208"/>
      <c r="JK33" s="1208"/>
      <c r="JL33" s="1191"/>
      <c r="JM33" s="1208"/>
      <c r="JN33" s="1208"/>
      <c r="JO33" s="1191"/>
      <c r="JP33" s="1208"/>
      <c r="JQ33" s="1208"/>
      <c r="JR33" s="1191"/>
      <c r="JS33" s="1208"/>
      <c r="JT33" s="1208"/>
      <c r="JU33" s="1191"/>
      <c r="JV33" s="1208"/>
      <c r="JW33" s="1208"/>
      <c r="JX33" s="1191"/>
      <c r="JY33" s="1208"/>
      <c r="JZ33" s="1208"/>
      <c r="KA33" s="1191"/>
      <c r="KB33" s="1208"/>
      <c r="KC33" s="1208"/>
      <c r="KD33" s="1191"/>
      <c r="KE33" s="1208"/>
      <c r="KF33" s="1208"/>
      <c r="KG33" s="1191"/>
      <c r="KH33" s="1208"/>
      <c r="KI33" s="1208"/>
      <c r="KJ33" s="1191"/>
      <c r="KK33" s="1208"/>
      <c r="KL33" s="1208"/>
      <c r="KM33" s="1191"/>
      <c r="KN33" s="1208"/>
      <c r="KO33" s="1208"/>
      <c r="KP33" s="1191"/>
      <c r="KQ33" s="1208"/>
      <c r="KR33" s="1208"/>
      <c r="KS33" s="1191"/>
      <c r="KT33" s="1208"/>
      <c r="KU33" s="1208"/>
      <c r="KV33" s="1191"/>
      <c r="KW33" s="1208"/>
      <c r="KX33" s="1208"/>
      <c r="KY33" s="1191"/>
      <c r="KZ33" s="1208"/>
      <c r="LA33" s="1208"/>
      <c r="LB33" s="1191"/>
      <c r="LC33" s="1208"/>
      <c r="LD33" s="1208"/>
      <c r="LE33" s="1191"/>
      <c r="LF33" s="1208"/>
      <c r="LG33" s="1208"/>
      <c r="LH33" s="1191"/>
      <c r="LI33" s="1208"/>
      <c r="LJ33" s="1208"/>
      <c r="LK33" s="1191"/>
      <c r="LL33" s="1208"/>
      <c r="LM33" s="1208"/>
      <c r="LN33" s="1191"/>
      <c r="LO33" s="1208"/>
      <c r="LP33" s="1208"/>
      <c r="LQ33" s="1191"/>
      <c r="LR33" s="1208"/>
      <c r="LS33" s="1208"/>
      <c r="LT33" s="1191"/>
      <c r="LU33" s="1208"/>
      <c r="LV33" s="1208"/>
      <c r="LW33" s="1191"/>
      <c r="LX33" s="1208"/>
      <c r="LY33" s="1208"/>
      <c r="LZ33" s="1191"/>
      <c r="MA33" s="1208"/>
      <c r="MB33" s="1208"/>
      <c r="MC33" s="1191"/>
      <c r="MD33" s="1208"/>
      <c r="ME33" s="1208"/>
      <c r="MF33" s="1191"/>
      <c r="MG33" s="1208"/>
      <c r="MH33" s="1208"/>
      <c r="MI33" s="1191"/>
      <c r="MJ33" s="1208"/>
      <c r="MK33" s="1208"/>
      <c r="ML33" s="1191"/>
      <c r="MM33" s="1208"/>
      <c r="MN33" s="1208"/>
      <c r="MO33" s="1191"/>
      <c r="MP33" s="1208"/>
      <c r="MQ33" s="1208"/>
      <c r="MR33" s="1191"/>
      <c r="MS33" s="1208"/>
      <c r="MT33" s="1208"/>
      <c r="MU33" s="1191"/>
      <c r="MV33" s="1208"/>
      <c r="MW33" s="1208"/>
      <c r="MX33" s="1191"/>
      <c r="MY33" s="1208"/>
      <c r="MZ33" s="1208"/>
      <c r="NA33" s="1191"/>
      <c r="NB33" s="1208"/>
      <c r="NC33" s="1208"/>
      <c r="ND33" s="1191"/>
      <c r="NE33" s="1373" t="s">
        <v>20</v>
      </c>
      <c r="NF33" s="1373"/>
      <c r="NG33" s="1374"/>
      <c r="NH33" s="1373" t="s">
        <v>20</v>
      </c>
      <c r="NI33" s="1373"/>
      <c r="NJ33" s="1374"/>
      <c r="NK33" s="1313">
        <v>0.54</v>
      </c>
      <c r="NL33" s="1314"/>
      <c r="NM33" s="1357"/>
      <c r="NN33" s="1313">
        <v>0.71</v>
      </c>
      <c r="NO33" s="1314"/>
      <c r="NP33" s="1357"/>
      <c r="NQ33" s="1313">
        <v>0.6</v>
      </c>
      <c r="NR33" s="1314"/>
      <c r="NS33" s="1357"/>
      <c r="NT33" s="1313">
        <v>0.65</v>
      </c>
      <c r="NU33" s="1314"/>
      <c r="NV33" s="1357"/>
      <c r="NW33" s="1313">
        <v>0.5</v>
      </c>
      <c r="NX33" s="1314"/>
      <c r="NY33" s="1357"/>
      <c r="NZ33" s="1373" t="s">
        <v>20</v>
      </c>
      <c r="OA33" s="1373"/>
      <c r="OB33" s="1374"/>
      <c r="OC33" s="1313">
        <v>0.54</v>
      </c>
      <c r="OD33" s="1314"/>
      <c r="OE33" s="1357"/>
      <c r="OF33" s="1313">
        <v>0.72729999999999995</v>
      </c>
      <c r="OG33" s="1314"/>
      <c r="OH33" s="1357"/>
      <c r="OI33" s="1313">
        <v>0.60709999999999997</v>
      </c>
      <c r="OJ33" s="1314"/>
      <c r="OK33" s="1357"/>
      <c r="OL33" s="1313">
        <v>0.47060000000000002</v>
      </c>
      <c r="OM33" s="1314"/>
      <c r="ON33" s="1357"/>
      <c r="OO33" s="1313">
        <v>0.61539999999999995</v>
      </c>
      <c r="OP33" s="1314"/>
      <c r="OQ33" s="1357"/>
      <c r="OR33" s="1313"/>
      <c r="OS33" s="1314"/>
      <c r="OT33" s="1357"/>
      <c r="OU33" s="1313"/>
      <c r="OV33" s="1314"/>
      <c r="OW33" s="1357"/>
      <c r="OX33" s="1313"/>
      <c r="OY33" s="1314"/>
      <c r="OZ33" s="1357"/>
      <c r="PA33" s="1313"/>
      <c r="PB33" s="1314"/>
      <c r="PC33" s="1357"/>
      <c r="PD33" s="1313">
        <v>0.57140000000000002</v>
      </c>
      <c r="PE33" s="1314"/>
      <c r="PF33" s="1357"/>
      <c r="PG33" s="1313">
        <v>0.55559999999999998</v>
      </c>
      <c r="PH33" s="1314"/>
      <c r="PI33" s="1357"/>
      <c r="PJ33" s="1313"/>
      <c r="PK33" s="1314"/>
      <c r="PL33" s="1357"/>
      <c r="PM33" s="1313"/>
      <c r="PN33" s="1314"/>
      <c r="PO33" s="1357"/>
      <c r="PP33" s="1313"/>
      <c r="PQ33" s="1314"/>
      <c r="PR33" s="1357"/>
      <c r="PS33" s="1313"/>
      <c r="PT33" s="1314"/>
      <c r="PU33" s="1357"/>
      <c r="PV33" s="1313">
        <v>0.5</v>
      </c>
      <c r="PW33" s="1314"/>
      <c r="PX33" s="1357"/>
      <c r="PY33" s="1313">
        <v>0.55259999999999998</v>
      </c>
      <c r="PZ33" s="1314"/>
      <c r="QA33" s="1357"/>
      <c r="QB33" s="1313">
        <v>0.60709999999999997</v>
      </c>
      <c r="QC33" s="1314"/>
      <c r="QD33" s="1357"/>
      <c r="QE33" s="1313">
        <v>0.57889999999999997</v>
      </c>
      <c r="QF33" s="1314"/>
      <c r="QG33" s="1357"/>
      <c r="QH33" s="1313">
        <v>0.8</v>
      </c>
      <c r="QI33" s="1314"/>
      <c r="QJ33" s="1357"/>
      <c r="QK33" s="1313"/>
      <c r="QL33" s="1314"/>
      <c r="QM33" s="1357"/>
      <c r="QN33" s="1313"/>
      <c r="QO33" s="1314"/>
      <c r="QP33" s="1357"/>
      <c r="QQ33" s="1313">
        <v>0.55000000000000004</v>
      </c>
      <c r="QR33" s="1314"/>
      <c r="QS33" s="1357"/>
      <c r="QT33" s="1313">
        <v>0.57689999999999997</v>
      </c>
      <c r="QU33" s="1314"/>
      <c r="QV33" s="1357"/>
      <c r="QW33" s="1313">
        <v>0.6</v>
      </c>
      <c r="QX33" s="1314"/>
      <c r="QY33" s="1357"/>
      <c r="QZ33" s="1313">
        <v>0.55559999999999998</v>
      </c>
      <c r="RA33" s="1314"/>
      <c r="RB33" s="1357"/>
      <c r="RC33" s="1313">
        <v>0.5625</v>
      </c>
      <c r="RD33" s="1314"/>
      <c r="RE33" s="1357"/>
      <c r="RF33" s="1313"/>
      <c r="RG33" s="1314"/>
      <c r="RH33" s="1357"/>
      <c r="RI33" s="1313"/>
      <c r="RJ33" s="1314"/>
      <c r="RK33" s="1357"/>
      <c r="RL33" s="1313">
        <v>0.53569999999999995</v>
      </c>
      <c r="RM33" s="1314"/>
      <c r="RN33" s="1357"/>
      <c r="RO33" s="1313"/>
      <c r="RP33" s="1314"/>
      <c r="RQ33" s="1357"/>
      <c r="RR33" s="1313">
        <v>0.5</v>
      </c>
      <c r="RS33" s="1314"/>
      <c r="RT33" s="1357"/>
      <c r="RU33" s="1313">
        <v>0.63329999999999997</v>
      </c>
      <c r="RV33" s="1314"/>
      <c r="RW33" s="1357"/>
      <c r="RX33" s="1313">
        <v>0.57689999999999997</v>
      </c>
      <c r="RY33" s="1314"/>
      <c r="RZ33" s="1357"/>
      <c r="SA33" s="1313"/>
      <c r="SB33" s="1314"/>
      <c r="SC33" s="1357"/>
      <c r="SD33" s="1313">
        <v>0.97499999999999998</v>
      </c>
      <c r="SE33" s="1314"/>
      <c r="SF33" s="1357"/>
      <c r="SG33" s="1313"/>
      <c r="SH33" s="1314"/>
      <c r="SI33" s="1357"/>
      <c r="SJ33" s="1313">
        <v>0.59379999999999999</v>
      </c>
      <c r="SK33" s="1314"/>
      <c r="SL33" s="1357"/>
      <c r="SM33" s="1313">
        <v>0.625</v>
      </c>
      <c r="SN33" s="1314"/>
      <c r="SO33" s="1357"/>
      <c r="SP33" s="1313">
        <v>0.5625</v>
      </c>
      <c r="SQ33" s="1314"/>
      <c r="SR33" s="1357"/>
      <c r="SS33" s="1313">
        <v>0.65</v>
      </c>
      <c r="ST33" s="1314"/>
      <c r="SU33" s="1357"/>
      <c r="SV33" s="1313"/>
      <c r="SW33" s="1314"/>
      <c r="SX33" s="1357"/>
      <c r="SY33" s="1313"/>
      <c r="SZ33" s="1314"/>
      <c r="TA33" s="1357"/>
      <c r="TB33" s="1313">
        <v>0.55559999999999998</v>
      </c>
      <c r="TC33" s="1314"/>
      <c r="TD33" s="1357"/>
      <c r="TE33" s="1313">
        <v>0.4375</v>
      </c>
      <c r="TF33" s="1314"/>
      <c r="TG33" s="1357"/>
      <c r="TH33" s="1313">
        <v>0.45450000000000002</v>
      </c>
      <c r="TI33" s="1314"/>
      <c r="TJ33" s="1357"/>
      <c r="TK33" s="1313">
        <v>0.45450000000000002</v>
      </c>
      <c r="TL33" s="1314"/>
      <c r="TM33" s="1357"/>
      <c r="TN33" s="1313">
        <v>0.57689999999999997</v>
      </c>
      <c r="TO33" s="1314"/>
      <c r="TP33" s="1357"/>
      <c r="TQ33" s="1313"/>
      <c r="TR33" s="1314"/>
      <c r="TS33" s="1357"/>
      <c r="TT33" s="1313">
        <v>0.61760000000000004</v>
      </c>
      <c r="TU33" s="1314"/>
      <c r="TV33" s="1357"/>
      <c r="TW33" s="1313">
        <v>0.54169999999999996</v>
      </c>
      <c r="TX33" s="1314"/>
      <c r="TY33" s="1357"/>
      <c r="TZ33" s="1313">
        <v>0.61360000000000003</v>
      </c>
      <c r="UA33" s="1314"/>
      <c r="UB33" s="1357"/>
      <c r="UC33" s="1313">
        <v>0.625</v>
      </c>
      <c r="UD33" s="1314"/>
      <c r="UE33" s="1357"/>
      <c r="UF33" s="1313">
        <v>0.64290000000000003</v>
      </c>
      <c r="UG33" s="1314"/>
      <c r="UH33" s="1357"/>
      <c r="UI33" s="1313">
        <v>0.45</v>
      </c>
      <c r="UJ33" s="1314"/>
      <c r="UK33" s="1357"/>
      <c r="UL33" s="1313"/>
      <c r="UM33" s="1314"/>
      <c r="UN33" s="1357"/>
      <c r="UO33" s="1313"/>
      <c r="UP33" s="1314"/>
      <c r="UQ33" s="1357"/>
      <c r="UR33" s="1313">
        <v>0.54169999999999996</v>
      </c>
      <c r="US33" s="1314"/>
      <c r="UT33" s="1357"/>
      <c r="UU33" s="1313">
        <v>0.625</v>
      </c>
      <c r="UV33" s="1314"/>
      <c r="UW33" s="1357"/>
      <c r="UX33" s="1313">
        <v>0.4</v>
      </c>
      <c r="UY33" s="1314"/>
      <c r="UZ33" s="1357"/>
      <c r="VA33" s="1313">
        <v>0.5</v>
      </c>
      <c r="VB33" s="1314"/>
      <c r="VC33" s="1357"/>
      <c r="VD33" s="1313">
        <v>0.65</v>
      </c>
      <c r="VE33" s="1314"/>
      <c r="VF33" s="1357"/>
      <c r="VG33" s="1313"/>
      <c r="VH33" s="1314"/>
      <c r="VI33" s="1357"/>
      <c r="VJ33" s="1313">
        <v>0.61539999999999995</v>
      </c>
      <c r="VK33" s="1314"/>
      <c r="VL33" s="1357"/>
      <c r="VM33" s="1313">
        <v>0.65710000000000002</v>
      </c>
      <c r="VN33" s="1314"/>
      <c r="VO33" s="1357"/>
      <c r="VP33" s="1313">
        <v>0.71209999999999996</v>
      </c>
      <c r="VQ33" s="1314"/>
      <c r="VR33" s="1357"/>
      <c r="VS33" s="1313">
        <v>0.77139999999999997</v>
      </c>
      <c r="VT33" s="1314"/>
      <c r="VU33" s="1357"/>
      <c r="VV33" s="1313">
        <v>0.79410000000000003</v>
      </c>
      <c r="VW33" s="1314"/>
      <c r="VX33" s="1357"/>
      <c r="VY33" s="1313">
        <v>0.875</v>
      </c>
      <c r="VZ33" s="1314"/>
      <c r="WA33" s="1357"/>
      <c r="WB33" s="1313"/>
      <c r="WC33" s="1314"/>
      <c r="WD33" s="1357"/>
      <c r="WE33" s="1313">
        <v>0.85709999999999997</v>
      </c>
      <c r="WF33" s="1314"/>
      <c r="WG33" s="1357"/>
      <c r="WH33" s="1313">
        <v>0.86</v>
      </c>
      <c r="WI33" s="1314"/>
      <c r="WJ33" s="1357"/>
      <c r="WK33" s="1313">
        <v>0.7903</v>
      </c>
      <c r="WL33" s="1314"/>
      <c r="WM33" s="1357"/>
      <c r="WN33" s="1313">
        <v>0.80859999999999999</v>
      </c>
      <c r="WO33" s="1314"/>
      <c r="WP33" s="1357"/>
      <c r="WQ33" s="1313">
        <v>0.67859999999999998</v>
      </c>
      <c r="WR33" s="1314"/>
      <c r="WS33" s="1357"/>
      <c r="WT33" s="1313">
        <v>0.79410000000000003</v>
      </c>
      <c r="WU33" s="1314"/>
      <c r="WV33" s="1357"/>
      <c r="WW33" s="1313"/>
      <c r="WX33" s="1314"/>
      <c r="WY33" s="1357"/>
      <c r="WZ33" s="1313">
        <v>0.79169999999999996</v>
      </c>
      <c r="XA33" s="1314"/>
      <c r="XB33" s="1357"/>
      <c r="XC33" s="1313">
        <v>0.71050000000000002</v>
      </c>
      <c r="XD33" s="1314"/>
      <c r="XE33" s="1357"/>
      <c r="XF33" s="1313">
        <v>0.5</v>
      </c>
      <c r="XG33" s="1314"/>
      <c r="XH33" s="1357"/>
      <c r="XI33" s="1313">
        <v>0.46150000000000002</v>
      </c>
      <c r="XJ33" s="1314"/>
      <c r="XK33" s="1357"/>
      <c r="XL33" s="1313">
        <v>0.58819999999999995</v>
      </c>
      <c r="XM33" s="1314"/>
      <c r="XN33" s="1357"/>
      <c r="XO33" s="1313">
        <v>0.57140000000000002</v>
      </c>
      <c r="XP33" s="1314"/>
      <c r="XQ33" s="1357"/>
      <c r="XR33" s="1313"/>
      <c r="XS33" s="1314"/>
      <c r="XT33" s="1357"/>
      <c r="XU33" s="1313">
        <v>0.85</v>
      </c>
      <c r="XV33" s="1314"/>
      <c r="XW33" s="1357"/>
      <c r="XX33" s="1313">
        <v>0.5</v>
      </c>
      <c r="XY33" s="1314"/>
      <c r="XZ33" s="1357"/>
      <c r="YA33" s="1313">
        <v>0.41</v>
      </c>
      <c r="YB33" s="1314"/>
      <c r="YC33" s="1357"/>
      <c r="YD33" s="1313">
        <v>0.59</v>
      </c>
      <c r="YE33" s="1314"/>
      <c r="YF33" s="1357"/>
      <c r="YG33" s="1313">
        <v>0.42</v>
      </c>
      <c r="YH33" s="1314"/>
      <c r="YI33" s="1357"/>
      <c r="YJ33" s="1313">
        <v>0.73</v>
      </c>
      <c r="YK33" s="1314"/>
      <c r="YL33" s="1357"/>
      <c r="YM33" s="1313"/>
      <c r="YN33" s="1314"/>
      <c r="YO33" s="1357"/>
      <c r="YP33" s="1313">
        <v>0.46</v>
      </c>
      <c r="YQ33" s="1314"/>
      <c r="YR33" s="1357"/>
      <c r="YS33" s="1313">
        <v>0.41</v>
      </c>
      <c r="YT33" s="1314"/>
      <c r="YU33" s="1357"/>
      <c r="YV33" s="1313">
        <v>0.61</v>
      </c>
      <c r="YW33" s="1314"/>
      <c r="YX33" s="1357"/>
      <c r="YY33" s="1313">
        <v>0.38</v>
      </c>
      <c r="YZ33" s="1314"/>
      <c r="ZA33" s="1357"/>
      <c r="ZB33" s="1313">
        <v>0.8</v>
      </c>
      <c r="ZC33" s="1314"/>
      <c r="ZD33" s="1357"/>
      <c r="ZE33" s="1313">
        <v>0.36</v>
      </c>
      <c r="ZF33" s="1314"/>
      <c r="ZG33" s="1357"/>
      <c r="ZH33" s="1313"/>
      <c r="ZI33" s="1314"/>
      <c r="ZJ33" s="1357"/>
      <c r="ZK33" s="1313"/>
      <c r="ZL33" s="1314"/>
      <c r="ZM33" s="1357"/>
      <c r="ZN33" s="1313">
        <v>0.57999999999999996</v>
      </c>
      <c r="ZO33" s="1314"/>
      <c r="ZP33" s="1357"/>
      <c r="ZQ33" s="1313">
        <v>0.53</v>
      </c>
      <c r="ZR33" s="1314"/>
      <c r="ZS33" s="1357"/>
      <c r="ZT33" s="1313">
        <v>0.38</v>
      </c>
      <c r="ZU33" s="1314"/>
      <c r="ZV33" s="1357"/>
      <c r="ZW33" s="1313">
        <v>0.33</v>
      </c>
      <c r="ZX33" s="1314"/>
      <c r="ZY33" s="1357"/>
      <c r="ZZ33" s="1313">
        <v>0.43</v>
      </c>
      <c r="AAA33" s="1314"/>
      <c r="AAB33" s="1357"/>
      <c r="AAC33" s="1313"/>
      <c r="AAD33" s="1314"/>
      <c r="AAE33" s="1357"/>
      <c r="AAF33" s="1313"/>
      <c r="AAG33" s="1314"/>
      <c r="AAH33" s="1357"/>
      <c r="AAI33" s="1313">
        <v>0.44</v>
      </c>
      <c r="AAJ33" s="1314"/>
      <c r="AAK33" s="1357"/>
      <c r="AAL33" s="1313">
        <v>0.47</v>
      </c>
      <c r="AAM33" s="1314"/>
      <c r="AAN33" s="1357"/>
      <c r="AAO33" s="1313">
        <v>0.43</v>
      </c>
      <c r="AAP33" s="1314"/>
      <c r="AAQ33" s="1357"/>
      <c r="AAR33" s="1313">
        <v>0.38</v>
      </c>
      <c r="AAS33" s="1314"/>
      <c r="AAT33" s="1357"/>
      <c r="AAU33" s="1313">
        <v>0.28999999999999998</v>
      </c>
      <c r="AAV33" s="1314"/>
      <c r="AAW33" s="1357"/>
      <c r="AAX33" s="1313"/>
      <c r="AAY33" s="1314"/>
      <c r="AAZ33" s="1357"/>
      <c r="ABA33" s="1313">
        <v>0.7</v>
      </c>
      <c r="ABB33" s="1314"/>
      <c r="ABC33" s="1357"/>
      <c r="ABD33" s="1313">
        <v>0.52</v>
      </c>
      <c r="ABE33" s="1314"/>
      <c r="ABF33" s="1357"/>
      <c r="ABG33" s="1313">
        <v>0.54</v>
      </c>
      <c r="ABH33" s="1314"/>
      <c r="ABI33" s="1357"/>
      <c r="ABJ33" s="1313">
        <v>0.61</v>
      </c>
      <c r="ABK33" s="1314"/>
      <c r="ABL33" s="1357"/>
      <c r="ABM33" s="1313">
        <v>0.56999999999999995</v>
      </c>
      <c r="ABN33" s="1314"/>
      <c r="ABO33" s="1357"/>
      <c r="ABP33" s="1313">
        <v>0.53</v>
      </c>
      <c r="ABQ33" s="1314"/>
      <c r="ABR33" s="1357"/>
      <c r="ABS33" s="1313"/>
      <c r="ABT33" s="1314"/>
      <c r="ABU33" s="1357"/>
      <c r="ABV33" s="1313">
        <v>0.72</v>
      </c>
      <c r="ABW33" s="1314"/>
      <c r="ABX33" s="1357"/>
      <c r="ABY33" s="1313">
        <v>0.53</v>
      </c>
      <c r="ABZ33" s="1314"/>
      <c r="ACA33" s="1357"/>
      <c r="ACB33" s="1313">
        <v>0.56999999999999995</v>
      </c>
      <c r="ACC33" s="1314"/>
      <c r="ACD33" s="1357"/>
      <c r="ACE33" s="1313">
        <v>0.56999999999999995</v>
      </c>
      <c r="ACF33" s="1314"/>
      <c r="ACG33" s="1357"/>
      <c r="ACH33" s="1313"/>
      <c r="ACI33" s="1314"/>
      <c r="ACJ33" s="1357"/>
      <c r="ACK33" s="1313"/>
      <c r="ACL33" s="1314"/>
      <c r="ACM33" s="1357"/>
      <c r="ACN33" s="1313"/>
      <c r="ACO33" s="1314"/>
      <c r="ACP33" s="1357"/>
      <c r="ACQ33" s="1313"/>
      <c r="ACR33" s="1314"/>
      <c r="ACS33" s="1357"/>
      <c r="ACT33" s="1313">
        <v>0.56999999999999995</v>
      </c>
      <c r="ACU33" s="1314"/>
      <c r="ACV33" s="1357"/>
      <c r="ACW33" s="1313">
        <v>0.25</v>
      </c>
      <c r="ACX33" s="1314"/>
      <c r="ACY33" s="1357"/>
      <c r="ACZ33" s="1313">
        <v>0.56999999999999995</v>
      </c>
      <c r="ADA33" s="1314"/>
      <c r="ADB33" s="1357"/>
      <c r="ADC33" s="1313">
        <v>0.42</v>
      </c>
      <c r="ADD33" s="1314"/>
      <c r="ADE33" s="1357"/>
      <c r="ADF33" s="1313">
        <v>0.61</v>
      </c>
      <c r="ADG33" s="1314"/>
      <c r="ADH33" s="1357"/>
      <c r="ADI33" s="1313"/>
      <c r="ADJ33" s="1314"/>
      <c r="ADK33" s="1357"/>
      <c r="ADL33" s="1313">
        <v>0.92</v>
      </c>
      <c r="ADM33" s="1314"/>
      <c r="ADN33" s="1357"/>
      <c r="ADO33" s="1313">
        <v>0.52</v>
      </c>
      <c r="ADP33" s="1314"/>
      <c r="ADQ33" s="1357"/>
      <c r="ADR33" s="1313">
        <v>0.56000000000000005</v>
      </c>
      <c r="ADS33" s="1314"/>
      <c r="ADT33" s="1357"/>
      <c r="ADU33" s="1313">
        <v>0.4</v>
      </c>
      <c r="ADV33" s="1314"/>
      <c r="ADW33" s="1357"/>
      <c r="ADX33" s="1313">
        <v>0.5</v>
      </c>
      <c r="ADY33" s="1314"/>
      <c r="ADZ33" s="1357"/>
      <c r="AEA33" s="1313">
        <v>0.3</v>
      </c>
      <c r="AEB33" s="1314"/>
      <c r="AEC33" s="1357"/>
      <c r="AED33" s="1313"/>
      <c r="AEE33" s="1314"/>
      <c r="AEF33" s="1357"/>
      <c r="AEG33" s="1313">
        <v>1</v>
      </c>
      <c r="AEH33" s="1314"/>
      <c r="AEI33" s="1357"/>
      <c r="AEJ33" s="1313">
        <v>0.7</v>
      </c>
      <c r="AEK33" s="1314"/>
      <c r="AEL33" s="1357"/>
      <c r="AEM33" s="1313">
        <v>0.86</v>
      </c>
      <c r="AEN33" s="1314"/>
      <c r="AEO33" s="1357"/>
      <c r="AEP33" s="1313">
        <v>0.46</v>
      </c>
      <c r="AEQ33" s="1314"/>
      <c r="AER33" s="1357"/>
      <c r="AES33" s="1313">
        <v>0.53</v>
      </c>
      <c r="AET33" s="1314"/>
      <c r="AEU33" s="1357"/>
      <c r="AEV33" s="1313">
        <v>0.59</v>
      </c>
      <c r="AEW33" s="1314"/>
      <c r="AEX33" s="1357"/>
      <c r="AEY33" s="1313"/>
      <c r="AEZ33" s="1314"/>
      <c r="AFA33" s="1357"/>
      <c r="AFB33" s="1313">
        <v>0.61</v>
      </c>
      <c r="AFC33" s="1314"/>
      <c r="AFD33" s="1357"/>
      <c r="AFE33" s="1313">
        <v>0.46</v>
      </c>
      <c r="AFF33" s="1314"/>
      <c r="AFG33" s="1357"/>
      <c r="AFH33" s="1313">
        <v>0.35</v>
      </c>
      <c r="AFI33" s="1314"/>
      <c r="AFJ33" s="1357"/>
      <c r="AFK33" s="1313">
        <v>0.22</v>
      </c>
      <c r="AFL33" s="1314"/>
      <c r="AFM33" s="1357"/>
      <c r="AFN33" s="1313">
        <v>0.34</v>
      </c>
      <c r="AFO33" s="1314"/>
      <c r="AFP33" s="1357"/>
      <c r="AFQ33" s="1313">
        <v>0.46</v>
      </c>
      <c r="AFR33" s="1314"/>
      <c r="AFS33" s="1357"/>
      <c r="AFT33" s="1313"/>
      <c r="AFU33" s="1314"/>
      <c r="AFV33" s="1357"/>
      <c r="AFW33" s="1313">
        <v>0.67</v>
      </c>
      <c r="AFX33" s="1314"/>
      <c r="AFY33" s="1357"/>
      <c r="AFZ33" s="1313">
        <v>0.82</v>
      </c>
      <c r="AGA33" s="1314"/>
      <c r="AGB33" s="1357"/>
      <c r="AGC33" s="1313">
        <v>0.7</v>
      </c>
      <c r="AGD33" s="1314"/>
      <c r="AGE33" s="1357"/>
      <c r="AGF33" s="1313">
        <v>0.76</v>
      </c>
      <c r="AGG33" s="1314"/>
      <c r="AGH33" s="1357"/>
      <c r="AGI33" s="1313">
        <v>0.74</v>
      </c>
      <c r="AGJ33" s="1314"/>
      <c r="AGK33" s="1357"/>
      <c r="AGL33" s="1313">
        <v>0.87</v>
      </c>
      <c r="AGM33" s="1314"/>
      <c r="AGN33" s="1357"/>
      <c r="AGO33" s="1313"/>
      <c r="AGP33" s="1314"/>
      <c r="AGQ33" s="1357"/>
      <c r="AGR33" s="1313">
        <v>0.75</v>
      </c>
      <c r="AGS33" s="1314"/>
      <c r="AGT33" s="1357"/>
      <c r="AGU33" s="1313">
        <v>0.72</v>
      </c>
      <c r="AGV33" s="1314"/>
      <c r="AGW33" s="1357"/>
      <c r="AGX33" s="1313">
        <v>0.7</v>
      </c>
      <c r="AGY33" s="1314"/>
      <c r="AGZ33" s="1357"/>
      <c r="AHA33" s="1313">
        <v>0.65</v>
      </c>
      <c r="AHB33" s="1314"/>
      <c r="AHC33" s="1357"/>
      <c r="AHD33" s="1313">
        <v>0.6</v>
      </c>
      <c r="AHE33" s="1314"/>
      <c r="AHF33" s="1357"/>
      <c r="AHG33" s="1313">
        <v>0.7</v>
      </c>
      <c r="AHH33" s="1314"/>
      <c r="AHI33" s="1357"/>
      <c r="AHJ33" s="1313"/>
      <c r="AHK33" s="1314"/>
      <c r="AHL33" s="1357"/>
      <c r="AHM33" s="1313"/>
      <c r="AHN33" s="1314"/>
      <c r="AHO33" s="1357"/>
      <c r="AHP33" s="1313">
        <v>0.74</v>
      </c>
      <c r="AHQ33" s="1314"/>
      <c r="AHR33" s="1357"/>
      <c r="AHS33" s="1313">
        <v>0.4</v>
      </c>
      <c r="AHT33" s="1314"/>
      <c r="AHU33" s="1357"/>
      <c r="AHV33" s="1313">
        <v>0.49</v>
      </c>
      <c r="AHW33" s="1314"/>
      <c r="AHX33" s="1357"/>
      <c r="AHY33" s="1313">
        <v>0.49</v>
      </c>
      <c r="AHZ33" s="1314"/>
      <c r="AIA33" s="1357"/>
      <c r="AIB33" s="1313">
        <v>0.4</v>
      </c>
      <c r="AIC33" s="1314"/>
      <c r="AID33" s="1357"/>
      <c r="AIE33" s="1313" t="s">
        <v>20</v>
      </c>
      <c r="AIF33" s="1314"/>
      <c r="AIG33" s="1357"/>
      <c r="AIH33" s="1313">
        <v>0.86</v>
      </c>
      <c r="AII33" s="1314"/>
      <c r="AIJ33" s="1357"/>
      <c r="AIK33" s="1313">
        <v>0.56000000000000005</v>
      </c>
      <c r="AIL33" s="1314"/>
      <c r="AIM33" s="1357"/>
      <c r="AIN33" s="1313">
        <v>0.5</v>
      </c>
      <c r="AIO33" s="1314"/>
      <c r="AIP33" s="1357"/>
      <c r="AIQ33" s="1313">
        <v>0.59</v>
      </c>
      <c r="AIR33" s="1314"/>
      <c r="AIS33" s="1314"/>
      <c r="AIT33" s="1313">
        <v>0.73</v>
      </c>
      <c r="AIU33" s="1314"/>
      <c r="AIV33" s="1357"/>
      <c r="AIW33" s="1313">
        <v>0.57999999999999996</v>
      </c>
      <c r="AIX33" s="1314"/>
      <c r="AIY33" s="1314"/>
      <c r="AIZ33" s="1313"/>
      <c r="AJA33" s="1314"/>
      <c r="AJB33" s="1357"/>
      <c r="AJC33" s="1313"/>
      <c r="AJD33" s="1314"/>
      <c r="AJE33" s="1357"/>
      <c r="AJF33" s="1313"/>
      <c r="AJG33" s="1314"/>
      <c r="AJH33" s="1357"/>
      <c r="AJI33" s="1313">
        <v>0.79</v>
      </c>
      <c r="AJJ33" s="1314"/>
      <c r="AJK33" s="1357"/>
      <c r="AJL33" s="1313">
        <v>0.61</v>
      </c>
      <c r="AJM33" s="1314"/>
      <c r="AJN33" s="1314"/>
      <c r="AJO33" s="1313">
        <v>0.35</v>
      </c>
      <c r="AJP33" s="1314"/>
      <c r="AJQ33" s="1357"/>
      <c r="AJR33" s="1313">
        <v>0.37</v>
      </c>
      <c r="AJS33" s="1314"/>
      <c r="AJT33" s="1314"/>
      <c r="AJU33" s="1313"/>
      <c r="AJV33" s="1314"/>
      <c r="AJW33" s="1357"/>
      <c r="AJX33" s="1313">
        <v>0.61</v>
      </c>
      <c r="AJY33" s="1314"/>
      <c r="AJZ33" s="1357"/>
      <c r="AKA33" s="1313">
        <v>0.6</v>
      </c>
      <c r="AKB33" s="1314"/>
      <c r="AKC33" s="1357"/>
      <c r="AKD33" s="1313">
        <v>0.75</v>
      </c>
      <c r="AKE33" s="1314"/>
      <c r="AKF33" s="1357"/>
      <c r="AKG33" s="1313">
        <v>0.49</v>
      </c>
      <c r="AKH33" s="1314"/>
      <c r="AKI33" s="1314"/>
      <c r="AKJ33" s="1313">
        <v>0.61</v>
      </c>
      <c r="AKK33" s="1314"/>
      <c r="AKL33" s="1357"/>
      <c r="AKM33" s="1313">
        <v>0.5</v>
      </c>
      <c r="AKN33" s="1314"/>
      <c r="AKO33" s="1314"/>
      <c r="AKP33" s="1313"/>
      <c r="AKQ33" s="1314"/>
      <c r="AKR33" s="1357"/>
      <c r="AKS33" s="1313">
        <v>0.93</v>
      </c>
      <c r="AKT33" s="1314"/>
      <c r="AKU33" s="1357"/>
      <c r="AKV33" s="1313">
        <v>0.78</v>
      </c>
      <c r="AKW33" s="1314"/>
      <c r="AKX33" s="1357"/>
      <c r="AKY33" s="1313">
        <v>0.89</v>
      </c>
      <c r="AKZ33" s="1314"/>
      <c r="ALA33" s="1357"/>
      <c r="ALB33" s="1313" t="s">
        <v>20</v>
      </c>
      <c r="ALC33" s="1314"/>
      <c r="ALD33" s="1314"/>
      <c r="ALE33" s="1313">
        <v>1</v>
      </c>
      <c r="ALF33" s="1314"/>
      <c r="ALG33" s="1357"/>
      <c r="ALH33" s="1313">
        <v>0.92</v>
      </c>
      <c r="ALI33" s="1314"/>
      <c r="ALJ33" s="1314"/>
      <c r="ALK33" s="1313"/>
      <c r="ALL33" s="1314"/>
      <c r="ALM33" s="1357"/>
      <c r="ALN33" s="1313">
        <v>0.85</v>
      </c>
      <c r="ALO33" s="1314"/>
      <c r="ALP33" s="1357"/>
      <c r="ALQ33" s="1313">
        <v>0.53</v>
      </c>
      <c r="ALR33" s="1314"/>
      <c r="ALS33" s="1357"/>
      <c r="ALT33" s="1313">
        <v>0.84</v>
      </c>
      <c r="ALU33" s="1314"/>
      <c r="ALV33" s="1357"/>
      <c r="ALW33" s="1313">
        <v>0.88</v>
      </c>
      <c r="ALX33" s="1314"/>
      <c r="ALY33" s="1314"/>
      <c r="ALZ33" s="1313"/>
      <c r="AMA33" s="1314"/>
      <c r="AMB33" s="1357"/>
      <c r="AMC33" s="1313">
        <v>0.73</v>
      </c>
      <c r="AMD33" s="1314"/>
      <c r="AME33" s="1314"/>
      <c r="AMF33" s="1313"/>
      <c r="AMG33" s="1314"/>
      <c r="AMH33" s="1357"/>
      <c r="AMI33" s="1313">
        <v>0.88</v>
      </c>
      <c r="AMJ33" s="1314"/>
      <c r="AMK33" s="1357"/>
      <c r="AML33" s="1313">
        <v>0.95</v>
      </c>
      <c r="AMM33" s="1314"/>
      <c r="AMN33" s="1357"/>
      <c r="AMO33" s="1313">
        <v>0.65</v>
      </c>
      <c r="AMP33" s="1314"/>
      <c r="AMQ33" s="1357"/>
      <c r="AMR33" s="1313">
        <v>0.73</v>
      </c>
      <c r="AMS33" s="1314"/>
      <c r="AMT33" s="1314"/>
      <c r="AMU33" s="1313">
        <v>0.74</v>
      </c>
      <c r="AMV33" s="1314"/>
      <c r="AMW33" s="1357"/>
      <c r="AMX33" s="1313">
        <v>0.48</v>
      </c>
      <c r="AMY33" s="1314"/>
      <c r="AMZ33" s="1357"/>
      <c r="ANA33" s="1313"/>
      <c r="ANB33" s="1314"/>
      <c r="ANC33" s="1357"/>
      <c r="AND33" s="1313">
        <v>0.71</v>
      </c>
      <c r="ANE33" s="1314"/>
      <c r="ANF33" s="1357"/>
      <c r="ANG33" s="1313">
        <v>0.45</v>
      </c>
      <c r="ANH33" s="1314"/>
      <c r="ANI33" s="1357"/>
      <c r="ANJ33" s="1313">
        <v>0.6</v>
      </c>
      <c r="ANK33" s="1314"/>
      <c r="ANL33" s="1357"/>
      <c r="ANM33" s="1313">
        <v>0.37</v>
      </c>
      <c r="ANN33" s="1314"/>
      <c r="ANO33" s="1314"/>
      <c r="ANP33" s="1313">
        <v>0.19</v>
      </c>
      <c r="ANQ33" s="1314"/>
      <c r="ANR33" s="1357"/>
      <c r="ANS33" s="1313">
        <v>0.14000000000000001</v>
      </c>
      <c r="ANT33" s="1314"/>
      <c r="ANU33" s="1314"/>
      <c r="ANV33" s="1313"/>
      <c r="ANW33" s="1314"/>
      <c r="ANX33" s="1357"/>
      <c r="ANY33" s="1313">
        <v>0.88</v>
      </c>
      <c r="ANZ33" s="1314"/>
      <c r="AOA33" s="1357"/>
      <c r="AOB33" s="1313">
        <v>0.45</v>
      </c>
      <c r="AOC33" s="1314"/>
      <c r="AOD33" s="1357"/>
      <c r="AOE33" s="1313">
        <v>0.4</v>
      </c>
      <c r="AOF33" s="1314"/>
      <c r="AOG33" s="1357"/>
      <c r="AOH33" s="1313">
        <v>0.56999999999999995</v>
      </c>
      <c r="AOI33" s="1314"/>
      <c r="AOJ33" s="1314"/>
      <c r="AOK33" s="1313">
        <v>0.45</v>
      </c>
      <c r="AOL33" s="1314"/>
      <c r="AOM33" s="1357"/>
      <c r="AON33" s="1313">
        <v>0.72</v>
      </c>
      <c r="AOO33" s="1314"/>
      <c r="AOP33" s="1314"/>
      <c r="AOQ33" s="1313"/>
      <c r="AOR33" s="1314"/>
      <c r="AOS33" s="1357"/>
      <c r="AOT33" s="1313">
        <v>0.71</v>
      </c>
      <c r="AOU33" s="1314"/>
      <c r="AOV33" s="1357"/>
      <c r="AOW33" s="1313">
        <v>0.6</v>
      </c>
      <c r="AOX33" s="1314"/>
      <c r="AOY33" s="1357"/>
      <c r="AOZ33" s="1313">
        <v>0.27</v>
      </c>
      <c r="APA33" s="1314"/>
      <c r="APB33" s="1357"/>
      <c r="APC33" s="1313">
        <v>0.23</v>
      </c>
      <c r="APD33" s="1314"/>
      <c r="APE33" s="1314"/>
      <c r="APF33" s="1313">
        <v>0.33</v>
      </c>
      <c r="APG33" s="1314"/>
      <c r="APH33" s="1357"/>
      <c r="API33" s="1313">
        <v>0.32</v>
      </c>
      <c r="APJ33" s="1314"/>
      <c r="APK33" s="1314"/>
      <c r="APL33" s="1313"/>
      <c r="APM33" s="1314"/>
      <c r="APN33" s="1357"/>
      <c r="APO33" s="1313">
        <v>0.89</v>
      </c>
      <c r="APP33" s="1314"/>
      <c r="APQ33" s="1357"/>
      <c r="APR33" s="1313">
        <v>0.78</v>
      </c>
      <c r="APS33" s="1314"/>
      <c r="APT33" s="1357"/>
      <c r="APU33" s="1313">
        <v>0.43</v>
      </c>
      <c r="APV33" s="1314"/>
      <c r="APW33" s="1357"/>
      <c r="APX33" s="1313">
        <v>0.37</v>
      </c>
      <c r="APY33" s="1314"/>
      <c r="APZ33" s="1314"/>
      <c r="AQA33" s="1313">
        <v>0.23</v>
      </c>
      <c r="AQB33" s="1314"/>
      <c r="AQC33" s="1357"/>
      <c r="AQD33" s="1313">
        <v>0.42</v>
      </c>
      <c r="AQE33" s="1314"/>
      <c r="AQF33" s="1357"/>
      <c r="AQG33" s="1313"/>
      <c r="AQH33" s="1314"/>
      <c r="AQI33" s="1357"/>
      <c r="AQJ33" s="1313">
        <v>0.53</v>
      </c>
      <c r="AQK33" s="1314"/>
      <c r="AQL33" s="1357"/>
      <c r="AQM33" s="1313">
        <v>0.47</v>
      </c>
      <c r="AQN33" s="1314"/>
      <c r="AQO33" s="1357"/>
      <c r="AQP33" s="1313">
        <v>0.35</v>
      </c>
      <c r="AQQ33" s="1314"/>
      <c r="AQR33" s="1314"/>
      <c r="AQS33" s="1313">
        <v>0.49</v>
      </c>
      <c r="AQT33" s="1314"/>
      <c r="AQU33" s="1314"/>
      <c r="AQV33" s="1313">
        <v>0.37</v>
      </c>
      <c r="AQW33" s="1314"/>
      <c r="AQX33" s="1314"/>
      <c r="AQY33" s="1313">
        <v>0.26</v>
      </c>
      <c r="AQZ33" s="1314"/>
      <c r="ARA33" s="1357"/>
      <c r="ARB33" s="1313" t="s">
        <v>20</v>
      </c>
      <c r="ARC33" s="1314"/>
      <c r="ARD33" s="1357"/>
      <c r="ARE33" s="1313" t="s">
        <v>20</v>
      </c>
      <c r="ARF33" s="1314"/>
      <c r="ARG33" s="1357"/>
      <c r="ARH33" s="1313">
        <v>0.46</v>
      </c>
      <c r="ARI33" s="1314"/>
      <c r="ARJ33" s="1357"/>
      <c r="ARK33" s="1314"/>
      <c r="ARL33" s="1314"/>
      <c r="ARM33" s="1357"/>
      <c r="ARN33" s="1313"/>
      <c r="ARO33" s="1314"/>
      <c r="ARP33" s="1357"/>
      <c r="ARQ33" s="1314">
        <v>0.85</v>
      </c>
      <c r="ARR33" s="1314"/>
      <c r="ARS33" s="1357"/>
      <c r="ART33" s="1314">
        <v>0.85</v>
      </c>
      <c r="ARU33" s="1314"/>
      <c r="ARV33" s="1357"/>
      <c r="ARW33" s="1314"/>
      <c r="ARX33" s="1314"/>
      <c r="ARY33" s="1357"/>
      <c r="ARZ33" s="1313">
        <v>0.71</v>
      </c>
      <c r="ASA33" s="1314"/>
      <c r="ASB33" s="1357"/>
      <c r="ASC33" s="1313">
        <v>0.57999999999999996</v>
      </c>
      <c r="ASD33" s="1314"/>
      <c r="ASE33" s="1314"/>
      <c r="ASF33" s="1313">
        <v>0.61</v>
      </c>
      <c r="ASG33" s="1314"/>
      <c r="ASH33" s="1357"/>
      <c r="ASI33" s="1313"/>
      <c r="ASJ33" s="1314"/>
      <c r="ASK33" s="1314"/>
      <c r="ASL33" s="1313">
        <v>0.95</v>
      </c>
      <c r="ASM33" s="1314"/>
      <c r="ASN33" s="1357"/>
      <c r="ASO33" s="1313">
        <v>0.79</v>
      </c>
      <c r="ASP33" s="1314"/>
      <c r="ASQ33" s="1314"/>
      <c r="ASR33" s="1313"/>
      <c r="ASS33" s="1314"/>
      <c r="AST33" s="1357"/>
      <c r="ASU33" s="1313"/>
      <c r="ASV33" s="1314"/>
      <c r="ASW33" s="1357"/>
      <c r="ASX33" s="1313"/>
      <c r="ASY33" s="1314"/>
      <c r="ASZ33" s="1314"/>
      <c r="ATA33" s="1313"/>
      <c r="ATB33" s="1314"/>
      <c r="ATC33" s="1357"/>
      <c r="ATD33" s="1313"/>
      <c r="ATE33" s="1314"/>
      <c r="ATF33" s="1314"/>
      <c r="ATG33" s="1313"/>
      <c r="ATH33" s="1314"/>
      <c r="ATI33" s="1357"/>
      <c r="ATJ33" s="1313"/>
      <c r="ATK33" s="1314"/>
      <c r="ATL33" s="1357"/>
      <c r="ATM33" s="1313"/>
      <c r="ATN33" s="1314"/>
      <c r="ATO33" s="1357"/>
      <c r="ATP33" s="1313"/>
      <c r="ATQ33" s="1314"/>
      <c r="ATR33" s="1357"/>
      <c r="ATS33" s="1313">
        <v>0.95</v>
      </c>
      <c r="ATT33" s="1314"/>
      <c r="ATU33" s="1357"/>
      <c r="ATV33" s="1314">
        <v>0.83</v>
      </c>
      <c r="ATW33" s="1314"/>
      <c r="ATX33" s="1357"/>
      <c r="ATY33" s="1313">
        <v>0.68</v>
      </c>
      <c r="ATZ33" s="1314"/>
      <c r="AUA33" s="1314"/>
      <c r="AUB33" s="1313">
        <v>0.86</v>
      </c>
      <c r="AUC33" s="1314"/>
      <c r="AUD33" s="1357"/>
      <c r="AUE33" s="1313"/>
      <c r="AUF33" s="1314"/>
      <c r="AUG33" s="1357"/>
      <c r="AUH33" s="1313"/>
      <c r="AUI33" s="1314"/>
      <c r="AUJ33" s="1357"/>
      <c r="AUK33" s="1313"/>
      <c r="AUL33" s="1314"/>
      <c r="AUM33" s="1314"/>
      <c r="AUN33" s="1313">
        <v>0.85</v>
      </c>
      <c r="AUO33" s="1314"/>
      <c r="AUP33" s="1314"/>
      <c r="AUQ33" s="1313">
        <v>0.89</v>
      </c>
      <c r="AUR33" s="1314"/>
      <c r="AUS33" s="1314"/>
      <c r="AUT33" s="1313">
        <v>0.88</v>
      </c>
      <c r="AUU33" s="1314"/>
      <c r="AUV33" s="1314"/>
      <c r="AUW33" s="1313">
        <v>0.75</v>
      </c>
      <c r="AUX33" s="1314"/>
      <c r="AUY33" s="1314"/>
      <c r="AUZ33" s="1313">
        <v>0.77</v>
      </c>
      <c r="AVA33" s="1314"/>
      <c r="AVB33" s="1314"/>
      <c r="AVC33" s="1313"/>
      <c r="AVD33" s="1314"/>
      <c r="AVE33" s="1314"/>
      <c r="AVF33" s="1313">
        <v>0.88</v>
      </c>
      <c r="AVG33" s="1314"/>
      <c r="AVH33" s="1314"/>
      <c r="AVI33" s="1313"/>
      <c r="AVJ33" s="1314"/>
      <c r="AVK33" s="1314"/>
      <c r="AVL33" s="1313">
        <v>0.73</v>
      </c>
      <c r="AVM33" s="1314"/>
      <c r="AVN33" s="1314"/>
      <c r="AVO33" s="1313">
        <v>1</v>
      </c>
      <c r="AVP33" s="1314"/>
      <c r="AVQ33" s="1314"/>
      <c r="AVR33" s="1313"/>
      <c r="AVS33" s="1314"/>
      <c r="AVT33" s="1314"/>
      <c r="AVU33" s="1313"/>
      <c r="AVV33" s="1314"/>
      <c r="AVW33" s="1314"/>
      <c r="AVX33" s="1313"/>
      <c r="AVY33" s="1314"/>
      <c r="AVZ33" s="1314"/>
      <c r="AWA33" s="1313"/>
      <c r="AWB33" s="1314"/>
      <c r="AWC33" s="1314"/>
      <c r="AWD33" s="1313"/>
      <c r="AWE33" s="1314"/>
      <c r="AWF33" s="1314"/>
      <c r="AWG33" s="1313"/>
      <c r="AWH33" s="1314"/>
      <c r="AWI33" s="1314"/>
      <c r="AWJ33" s="1313"/>
      <c r="AWK33" s="1314"/>
      <c r="AWL33" s="1314"/>
      <c r="AWM33" s="1313"/>
      <c r="AWN33" s="1314"/>
      <c r="AWO33" s="1357"/>
      <c r="AWP33" s="1314"/>
      <c r="AWQ33" s="1314"/>
      <c r="AWR33" s="1357"/>
      <c r="AWS33" s="1313"/>
      <c r="AWT33" s="1314"/>
      <c r="AWU33" s="1357"/>
      <c r="AWV33" s="1313"/>
      <c r="AWW33" s="1314"/>
      <c r="AWX33" s="1357"/>
      <c r="AWY33" s="1313"/>
      <c r="AWZ33" s="1314"/>
      <c r="AXA33" s="1314"/>
      <c r="AXB33" s="1313"/>
      <c r="AXC33" s="1314"/>
      <c r="AXD33" s="1357"/>
      <c r="AXE33" s="1313"/>
      <c r="AXF33" s="1314"/>
      <c r="AXG33" s="1314"/>
      <c r="AXH33" s="1313"/>
      <c r="AXI33" s="1314"/>
      <c r="AXJ33" s="1357"/>
      <c r="AXK33" s="1313"/>
      <c r="AXL33" s="1314"/>
      <c r="AXM33" s="1357"/>
      <c r="AXN33" s="1313"/>
      <c r="AXO33" s="1314"/>
      <c r="AXP33" s="1357"/>
      <c r="AXQ33" s="1313"/>
      <c r="AXR33" s="1314"/>
      <c r="AXS33" s="1357"/>
      <c r="AXT33" s="1313"/>
      <c r="AXU33" s="1314"/>
      <c r="AXV33" s="1314"/>
      <c r="AXW33" s="1313"/>
      <c r="AXX33" s="1314"/>
      <c r="AXY33" s="1357"/>
      <c r="AXZ33" s="1313"/>
      <c r="AYA33" s="1314"/>
      <c r="AYB33" s="1314"/>
      <c r="AYC33" s="1313"/>
      <c r="AYD33" s="1314"/>
      <c r="AYE33" s="1357"/>
      <c r="AYF33" s="1313"/>
      <c r="AYG33" s="1314"/>
      <c r="AYH33" s="1357"/>
      <c r="AYI33" s="1313"/>
      <c r="AYJ33" s="1314"/>
      <c r="AYK33" s="1357"/>
      <c r="AYL33" s="1313"/>
      <c r="AYM33" s="1314"/>
      <c r="AYN33" s="1357"/>
      <c r="AYO33" s="1313"/>
      <c r="AYP33" s="1314"/>
      <c r="AYQ33" s="1314"/>
      <c r="AYR33" s="1313"/>
      <c r="AYS33" s="1314"/>
      <c r="AYT33" s="1357"/>
      <c r="AYU33" s="1313"/>
      <c r="AYV33" s="1314"/>
      <c r="AYW33" s="1314"/>
      <c r="AYX33" s="1313"/>
      <c r="AYY33" s="1314"/>
      <c r="AYZ33" s="1357"/>
      <c r="AZA33" s="1313"/>
      <c r="AZB33" s="1314"/>
      <c r="AZC33" s="1357"/>
      <c r="AZD33" s="1313"/>
      <c r="AZE33" s="1314"/>
      <c r="AZF33" s="1357"/>
      <c r="AZG33" s="1313"/>
      <c r="AZH33" s="1314"/>
      <c r="AZI33" s="1357"/>
      <c r="AZJ33" s="1313"/>
      <c r="AZK33" s="1314"/>
      <c r="AZL33" s="1314"/>
      <c r="AZM33" s="1313"/>
      <c r="AZN33" s="1314"/>
      <c r="AZO33" s="1357"/>
      <c r="AZP33" s="1313"/>
      <c r="AZQ33" s="1314"/>
      <c r="AZR33" s="1314"/>
      <c r="AZS33" s="1313"/>
      <c r="AZT33" s="1314"/>
      <c r="AZU33" s="1357"/>
      <c r="AZV33" s="1313"/>
      <c r="AZW33" s="1314"/>
      <c r="AZX33" s="1357"/>
      <c r="AZY33" s="1313"/>
      <c r="AZZ33" s="1314"/>
      <c r="BAA33" s="1357"/>
      <c r="BAB33" s="1313"/>
      <c r="BAC33" s="1314"/>
      <c r="BAD33" s="1357"/>
      <c r="BAE33" s="1313"/>
      <c r="BAF33" s="1314"/>
      <c r="BAG33" s="1314"/>
      <c r="BAH33" s="1313"/>
      <c r="BAI33" s="1314"/>
      <c r="BAJ33" s="1357"/>
    </row>
    <row r="34" spans="1:1399" ht="14.5" customHeight="1">
      <c r="B34" s="5" t="s">
        <v>359</v>
      </c>
      <c r="C34" s="16"/>
      <c r="D34" s="16"/>
      <c r="E34" s="15"/>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89"/>
      <c r="BY34" s="89"/>
      <c r="BZ34" s="89"/>
      <c r="CA34" s="89"/>
      <c r="CB34" s="89"/>
      <c r="CC34" s="89"/>
      <c r="CD34" s="89"/>
      <c r="CE34" s="89"/>
      <c r="CF34" s="89"/>
      <c r="CG34" s="89"/>
      <c r="CH34" s="89"/>
      <c r="CI34" s="89"/>
      <c r="CJ34" s="89"/>
      <c r="CK34" s="89"/>
      <c r="CL34" s="89"/>
      <c r="CM34" s="89"/>
      <c r="CN34" s="89"/>
      <c r="CO34" s="89"/>
      <c r="CP34" s="89"/>
      <c r="CQ34" s="89"/>
      <c r="CR34" s="89"/>
      <c r="CS34" s="89"/>
      <c r="CT34" s="89"/>
      <c r="CU34" s="89"/>
      <c r="CV34" s="89"/>
      <c r="CW34" s="89"/>
      <c r="CX34" s="89"/>
      <c r="CY34" s="89"/>
      <c r="CZ34" s="89"/>
      <c r="DA34" s="89"/>
      <c r="DB34" s="89"/>
      <c r="DC34" s="89"/>
      <c r="DD34" s="89"/>
      <c r="DE34" s="89"/>
      <c r="DF34" s="89"/>
      <c r="DG34" s="89"/>
      <c r="DH34" s="89"/>
      <c r="DI34" s="89"/>
      <c r="DJ34" s="89"/>
      <c r="DK34" s="89"/>
      <c r="DL34" s="89"/>
      <c r="DM34" s="89"/>
      <c r="DN34" s="89"/>
      <c r="DO34" s="89"/>
      <c r="DP34" s="89"/>
      <c r="DQ34" s="89"/>
      <c r="DR34" s="89"/>
      <c r="DS34" s="89"/>
      <c r="DT34" s="89"/>
      <c r="DU34" s="89"/>
      <c r="DV34" s="89"/>
      <c r="DW34" s="89"/>
      <c r="DX34" s="89"/>
      <c r="DY34" s="89"/>
      <c r="DZ34" s="89"/>
      <c r="EA34" s="89"/>
      <c r="EB34" s="89"/>
      <c r="EC34" s="89"/>
      <c r="ED34" s="89"/>
      <c r="EE34" s="89"/>
      <c r="EF34" s="89"/>
      <c r="EG34" s="89"/>
      <c r="EH34" s="89"/>
      <c r="EI34" s="89"/>
      <c r="EJ34" s="89"/>
      <c r="EK34" s="89"/>
      <c r="EL34" s="89"/>
      <c r="EM34" s="89"/>
      <c r="EN34" s="89"/>
      <c r="EO34" s="89"/>
      <c r="EP34" s="89"/>
      <c r="EQ34" s="89"/>
      <c r="ER34" s="89"/>
      <c r="ES34" s="89"/>
      <c r="ET34" s="89"/>
      <c r="EU34" s="89"/>
      <c r="EV34" s="89"/>
      <c r="EW34" s="89"/>
      <c r="EX34" s="89"/>
      <c r="EY34" s="89"/>
      <c r="EZ34" s="89"/>
      <c r="FA34" s="89"/>
      <c r="FB34" s="89"/>
      <c r="FC34" s="89"/>
      <c r="FD34" s="89"/>
      <c r="FE34" s="89"/>
      <c r="FF34" s="89"/>
      <c r="FG34" s="89"/>
      <c r="FH34" s="89"/>
      <c r="FI34" s="89"/>
      <c r="FJ34" s="89"/>
      <c r="FK34" s="89"/>
      <c r="FL34" s="89"/>
      <c r="FM34" s="89"/>
      <c r="FN34" s="89"/>
      <c r="FO34" s="89"/>
      <c r="FP34" s="89"/>
      <c r="FQ34" s="89"/>
      <c r="FR34" s="89"/>
      <c r="FS34" s="89"/>
      <c r="FT34" s="89"/>
      <c r="FU34" s="89"/>
      <c r="FV34" s="89"/>
      <c r="FW34" s="89"/>
      <c r="FX34" s="89"/>
      <c r="FY34" s="89"/>
      <c r="FZ34" s="89"/>
      <c r="GA34" s="89"/>
      <c r="GB34" s="89"/>
      <c r="GC34" s="89"/>
      <c r="GD34" s="89"/>
      <c r="GE34" s="89"/>
      <c r="GF34" s="89"/>
      <c r="GG34" s="89"/>
      <c r="GH34" s="89"/>
      <c r="GI34" s="89"/>
      <c r="GJ34" s="89"/>
      <c r="GK34" s="89"/>
      <c r="GL34" s="89"/>
      <c r="GM34" s="89"/>
      <c r="GN34" s="89"/>
      <c r="GO34" s="89"/>
      <c r="GP34" s="89"/>
      <c r="GQ34" s="89"/>
      <c r="GR34" s="89"/>
      <c r="GS34" s="89"/>
      <c r="GT34" s="89"/>
      <c r="GU34" s="89"/>
      <c r="GV34" s="89"/>
      <c r="GW34" s="89"/>
      <c r="GX34" s="89"/>
      <c r="GY34" s="89"/>
      <c r="GZ34" s="89"/>
      <c r="HA34" s="89"/>
      <c r="HB34" s="89"/>
      <c r="HC34" s="89"/>
      <c r="HD34" s="89"/>
      <c r="HE34" s="89"/>
      <c r="HF34" s="89"/>
      <c r="HG34" s="89"/>
      <c r="HH34" s="89"/>
      <c r="HI34" s="89"/>
      <c r="HJ34" s="89"/>
      <c r="HK34" s="89"/>
      <c r="HL34" s="89"/>
      <c r="HM34" s="89"/>
      <c r="HN34" s="89"/>
      <c r="HO34" s="89"/>
      <c r="HP34" s="89"/>
      <c r="HQ34" s="89"/>
      <c r="HR34" s="89"/>
      <c r="HS34" s="89"/>
      <c r="HT34" s="89"/>
      <c r="HU34" s="89"/>
      <c r="HV34" s="89"/>
      <c r="HW34" s="89"/>
      <c r="HX34" s="89"/>
      <c r="HY34" s="89"/>
      <c r="HZ34" s="89"/>
      <c r="IA34" s="89"/>
      <c r="IB34" s="89"/>
      <c r="IC34" s="89"/>
      <c r="ID34" s="89"/>
      <c r="IE34" s="89"/>
      <c r="IF34" s="89"/>
      <c r="IG34" s="89"/>
      <c r="IH34" s="89"/>
      <c r="II34" s="89"/>
      <c r="IJ34" s="89"/>
      <c r="IK34" s="89"/>
      <c r="IL34" s="89"/>
      <c r="IM34" s="89"/>
      <c r="IN34" s="89"/>
      <c r="IO34" s="89"/>
      <c r="IP34" s="89"/>
      <c r="IQ34" s="89"/>
      <c r="IR34" s="89"/>
      <c r="IS34" s="89"/>
      <c r="IT34" s="89"/>
      <c r="IU34" s="89"/>
      <c r="IV34" s="89"/>
      <c r="IW34" s="89"/>
      <c r="IX34" s="89"/>
      <c r="IY34" s="89"/>
      <c r="IZ34" s="89"/>
      <c r="JA34" s="89"/>
      <c r="JB34" s="89"/>
      <c r="JC34" s="89"/>
      <c r="JD34" s="89"/>
      <c r="JE34" s="89"/>
      <c r="JF34" s="89"/>
      <c r="JG34" s="89"/>
      <c r="JH34" s="89"/>
      <c r="JI34" s="89"/>
      <c r="JJ34" s="89"/>
      <c r="JK34" s="89"/>
      <c r="JL34" s="89"/>
      <c r="JM34" s="89"/>
      <c r="JN34" s="89"/>
      <c r="JO34" s="89"/>
      <c r="JP34" s="89"/>
      <c r="JQ34" s="89"/>
      <c r="JR34" s="89"/>
      <c r="JS34" s="89"/>
      <c r="JT34" s="89"/>
      <c r="JU34" s="89"/>
      <c r="JV34" s="89"/>
      <c r="JW34" s="89"/>
      <c r="JX34" s="89"/>
      <c r="JY34" s="89"/>
      <c r="JZ34" s="89"/>
      <c r="KA34" s="89"/>
      <c r="KB34" s="89"/>
      <c r="KC34" s="89"/>
      <c r="KD34" s="89"/>
      <c r="KE34" s="89"/>
      <c r="KF34" s="89"/>
      <c r="KG34" s="89"/>
      <c r="KH34" s="89"/>
      <c r="KI34" s="89"/>
      <c r="KJ34" s="89"/>
      <c r="KK34" s="89"/>
      <c r="KL34" s="89"/>
      <c r="KM34" s="89"/>
      <c r="KN34" s="89"/>
      <c r="KO34" s="89"/>
      <c r="KP34" s="89"/>
      <c r="KQ34" s="89"/>
      <c r="KR34" s="89"/>
      <c r="KS34" s="89"/>
      <c r="KT34" s="89"/>
      <c r="KU34" s="89"/>
      <c r="KV34" s="89"/>
      <c r="KW34" s="89"/>
      <c r="KX34" s="89"/>
      <c r="KY34" s="89"/>
      <c r="KZ34" s="89"/>
      <c r="LA34" s="89"/>
      <c r="LB34" s="89"/>
      <c r="LC34" s="89"/>
      <c r="LD34" s="89"/>
      <c r="LE34" s="89"/>
      <c r="LF34" s="89"/>
      <c r="LG34" s="89"/>
      <c r="LH34" s="89"/>
      <c r="LI34" s="89"/>
      <c r="LJ34" s="89"/>
      <c r="LK34" s="89"/>
      <c r="LL34" s="89"/>
      <c r="LM34" s="89"/>
      <c r="LN34" s="89"/>
      <c r="LO34" s="89"/>
      <c r="LP34" s="89"/>
      <c r="LQ34" s="89"/>
      <c r="LR34" s="89"/>
      <c r="LS34" s="89"/>
      <c r="LT34" s="89"/>
      <c r="LU34" s="89"/>
      <c r="LV34" s="89"/>
      <c r="LW34" s="89"/>
      <c r="LX34" s="89"/>
      <c r="LY34" s="89"/>
      <c r="LZ34" s="89"/>
      <c r="MA34" s="89"/>
      <c r="MB34" s="89"/>
      <c r="MC34" s="89"/>
      <c r="MD34" s="89"/>
      <c r="ME34" s="89"/>
      <c r="MF34" s="89"/>
      <c r="MG34" s="89"/>
      <c r="MH34" s="89"/>
      <c r="MI34" s="89"/>
      <c r="MJ34" s="89"/>
      <c r="MK34" s="89"/>
      <c r="ML34" s="89"/>
      <c r="MM34" s="89"/>
      <c r="MN34" s="89"/>
      <c r="MO34" s="89"/>
      <c r="MP34" s="89"/>
      <c r="MQ34" s="89"/>
      <c r="MR34" s="89"/>
      <c r="MS34" s="89"/>
      <c r="MT34" s="89"/>
      <c r="MU34" s="89"/>
      <c r="MV34" s="89"/>
      <c r="MW34" s="89"/>
      <c r="MX34" s="89"/>
      <c r="MY34" s="89"/>
      <c r="MZ34" s="89"/>
      <c r="NA34" s="89"/>
      <c r="NB34" s="89"/>
      <c r="NC34" s="89"/>
      <c r="ND34" s="89"/>
      <c r="NE34" s="89"/>
      <c r="NF34" s="89"/>
      <c r="NG34" s="89"/>
      <c r="NH34" s="89"/>
      <c r="NI34" s="89"/>
      <c r="NJ34" s="89"/>
      <c r="NK34" s="960"/>
      <c r="NL34" s="960"/>
      <c r="NM34" s="960"/>
      <c r="NN34" s="960"/>
      <c r="NO34" s="960"/>
      <c r="NP34" s="960"/>
      <c r="NQ34" s="960"/>
      <c r="NR34" s="960"/>
      <c r="NS34" s="960"/>
      <c r="NT34" s="960"/>
      <c r="NU34" s="960"/>
      <c r="NV34" s="960"/>
      <c r="NW34" s="960"/>
      <c r="NX34" s="960"/>
      <c r="NY34" s="960"/>
      <c r="NZ34" s="89"/>
      <c r="OA34" s="89"/>
      <c r="OB34" s="89"/>
      <c r="OC34" s="960"/>
      <c r="OD34" s="960"/>
      <c r="OE34" s="960"/>
      <c r="OF34" s="960"/>
      <c r="OG34" s="960"/>
      <c r="OH34" s="960"/>
      <c r="OI34" s="960"/>
      <c r="OJ34" s="960"/>
      <c r="OK34" s="960"/>
      <c r="OL34" s="960"/>
      <c r="OM34" s="960"/>
      <c r="ON34" s="960"/>
      <c r="OO34" s="960"/>
      <c r="OP34" s="960"/>
      <c r="OQ34" s="960"/>
      <c r="OR34" s="960"/>
      <c r="OS34" s="960"/>
      <c r="OT34" s="960"/>
      <c r="OU34" s="960"/>
      <c r="OV34" s="960"/>
      <c r="OW34" s="960"/>
      <c r="OX34" s="960"/>
      <c r="OY34" s="960"/>
      <c r="OZ34" s="960"/>
      <c r="PA34" s="960"/>
      <c r="PB34" s="960"/>
      <c r="PC34" s="960"/>
      <c r="PD34" s="960"/>
      <c r="PE34" s="960"/>
      <c r="PF34" s="960"/>
      <c r="PG34" s="960"/>
      <c r="PH34" s="960"/>
      <c r="PI34" s="960"/>
      <c r="PJ34" s="960"/>
      <c r="PK34" s="960"/>
      <c r="PL34" s="960"/>
      <c r="PM34" s="960"/>
      <c r="PN34" s="960"/>
      <c r="PO34" s="960"/>
      <c r="PP34" s="960"/>
      <c r="PQ34" s="960"/>
      <c r="PR34" s="960"/>
      <c r="PS34" s="960"/>
      <c r="PT34" s="960"/>
      <c r="PU34" s="960"/>
      <c r="PV34" s="960"/>
      <c r="PW34" s="960"/>
      <c r="PX34" s="960"/>
      <c r="PY34" s="960"/>
      <c r="PZ34" s="960"/>
      <c r="QA34" s="960"/>
      <c r="QB34" s="960"/>
      <c r="QC34" s="960"/>
      <c r="QD34" s="960"/>
      <c r="QE34" s="960"/>
      <c r="QF34" s="960"/>
      <c r="QG34" s="960"/>
      <c r="QH34" s="960"/>
      <c r="QI34" s="960"/>
      <c r="QJ34" s="960"/>
      <c r="QK34" s="960"/>
      <c r="QL34" s="960"/>
      <c r="QM34" s="960"/>
      <c r="QN34" s="960"/>
      <c r="QO34" s="960"/>
      <c r="QP34" s="960"/>
      <c r="QQ34" s="960"/>
      <c r="QR34" s="960"/>
      <c r="QS34" s="960"/>
      <c r="QT34" s="960"/>
      <c r="QU34" s="960"/>
      <c r="QV34" s="960"/>
      <c r="QW34" s="960"/>
      <c r="QX34" s="960"/>
      <c r="QY34" s="960"/>
      <c r="QZ34" s="960"/>
      <c r="RA34" s="960"/>
      <c r="RB34" s="960"/>
      <c r="RC34" s="960"/>
      <c r="RD34" s="960"/>
      <c r="RE34" s="960"/>
      <c r="RF34" s="960"/>
      <c r="RG34" s="960"/>
      <c r="RH34" s="960"/>
      <c r="RI34" s="960"/>
      <c r="RJ34" s="960"/>
      <c r="RK34" s="960"/>
      <c r="RL34" s="960"/>
      <c r="RM34" s="960"/>
      <c r="RN34" s="960"/>
      <c r="RO34" s="960"/>
      <c r="RP34" s="960"/>
      <c r="RQ34" s="960"/>
      <c r="RR34" s="960"/>
      <c r="RS34" s="960"/>
      <c r="RT34" s="960"/>
      <c r="RU34" s="960"/>
      <c r="RV34" s="960"/>
      <c r="RW34" s="960"/>
      <c r="RX34" s="960"/>
      <c r="RY34" s="960"/>
      <c r="RZ34" s="960"/>
      <c r="SA34" s="960"/>
      <c r="SB34" s="960"/>
      <c r="SC34" s="960"/>
      <c r="SD34" s="960"/>
      <c r="SE34" s="960"/>
      <c r="SF34" s="960"/>
      <c r="SG34" s="960"/>
      <c r="SH34" s="960"/>
      <c r="SI34" s="960"/>
      <c r="SJ34" s="960"/>
      <c r="SK34" s="960"/>
      <c r="SL34" s="960"/>
      <c r="SM34" s="960"/>
      <c r="SN34" s="960"/>
      <c r="SO34" s="960"/>
      <c r="SP34" s="960"/>
      <c r="SQ34" s="960"/>
      <c r="SR34" s="960"/>
      <c r="SS34" s="960"/>
      <c r="ST34" s="960"/>
      <c r="SU34" s="960"/>
      <c r="SV34" s="960"/>
      <c r="SW34" s="960"/>
      <c r="SX34" s="960"/>
      <c r="SY34" s="960"/>
      <c r="SZ34" s="960"/>
      <c r="TA34" s="960"/>
      <c r="TB34" s="960"/>
      <c r="TC34" s="960"/>
      <c r="TD34" s="960"/>
      <c r="TE34" s="960"/>
      <c r="TF34" s="960"/>
      <c r="TG34" s="960"/>
      <c r="TH34" s="960"/>
      <c r="TI34" s="960"/>
      <c r="TJ34" s="960"/>
      <c r="TK34" s="960"/>
      <c r="TL34" s="960"/>
      <c r="TM34" s="960"/>
      <c r="TN34" s="960"/>
      <c r="TO34" s="960"/>
      <c r="TP34" s="960"/>
      <c r="TQ34" s="960"/>
      <c r="TR34" s="960"/>
      <c r="TS34" s="960"/>
      <c r="TT34" s="960"/>
      <c r="TU34" s="960"/>
      <c r="TV34" s="960"/>
      <c r="TW34" s="960"/>
      <c r="TX34" s="960"/>
      <c r="TY34" s="960"/>
      <c r="TZ34" s="960"/>
      <c r="UA34" s="960"/>
      <c r="UB34" s="960"/>
      <c r="UC34" s="960"/>
      <c r="UD34" s="960"/>
      <c r="UE34" s="960"/>
      <c r="UF34" s="960"/>
      <c r="UG34" s="960"/>
      <c r="UH34" s="960"/>
      <c r="UI34" s="960"/>
      <c r="UJ34" s="960"/>
      <c r="UK34" s="960"/>
      <c r="UL34" s="960"/>
      <c r="UM34" s="960"/>
      <c r="UN34" s="960"/>
      <c r="UO34" s="960"/>
      <c r="UP34" s="960"/>
      <c r="UQ34" s="960"/>
      <c r="UR34" s="960"/>
      <c r="US34" s="960"/>
      <c r="UT34" s="960"/>
      <c r="UU34" s="960"/>
      <c r="UV34" s="960"/>
      <c r="UW34" s="960"/>
      <c r="UX34" s="960"/>
      <c r="UY34" s="960"/>
      <c r="UZ34" s="960"/>
      <c r="VA34" s="960"/>
      <c r="VB34" s="960"/>
      <c r="VC34" s="960"/>
      <c r="VD34" s="960"/>
      <c r="VE34" s="960"/>
      <c r="VF34" s="960"/>
      <c r="VG34" s="960"/>
      <c r="VH34" s="960"/>
      <c r="VI34" s="960"/>
      <c r="VJ34" s="960"/>
      <c r="VK34" s="960"/>
      <c r="VL34" s="960"/>
      <c r="VM34" s="960"/>
      <c r="VN34" s="960"/>
      <c r="VO34" s="960"/>
      <c r="VP34" s="960"/>
      <c r="VQ34" s="960"/>
      <c r="VR34" s="960"/>
      <c r="VS34" s="960"/>
      <c r="VT34" s="960"/>
      <c r="VU34" s="960"/>
      <c r="VV34" s="960"/>
      <c r="VW34" s="960"/>
      <c r="VX34" s="960"/>
      <c r="VY34" s="960"/>
      <c r="VZ34" s="960"/>
      <c r="WA34" s="960"/>
      <c r="WB34" s="960"/>
      <c r="WC34" s="960"/>
      <c r="WD34" s="960"/>
      <c r="WE34" s="960"/>
      <c r="WF34" s="960"/>
      <c r="WG34" s="960"/>
      <c r="WH34" s="960"/>
      <c r="WI34" s="960"/>
      <c r="WJ34" s="960"/>
      <c r="WK34" s="960"/>
      <c r="WL34" s="960"/>
      <c r="WM34" s="960"/>
      <c r="WN34" s="960"/>
      <c r="WO34" s="960"/>
      <c r="WP34" s="960"/>
      <c r="WQ34" s="960"/>
      <c r="WR34" s="960"/>
      <c r="WS34" s="960"/>
      <c r="WT34" s="960"/>
      <c r="WU34" s="960"/>
      <c r="WV34" s="960"/>
      <c r="WW34" s="960"/>
      <c r="WX34" s="960"/>
      <c r="WY34" s="960"/>
      <c r="WZ34" s="960"/>
      <c r="XA34" s="960"/>
      <c r="XB34" s="960"/>
      <c r="XC34" s="960"/>
      <c r="XD34" s="960"/>
      <c r="XE34" s="960"/>
      <c r="XF34" s="960"/>
      <c r="XG34" s="960"/>
      <c r="XH34" s="960"/>
      <c r="XI34" s="960"/>
      <c r="XJ34" s="960"/>
      <c r="XK34" s="960"/>
      <c r="XL34" s="960"/>
      <c r="XM34" s="960"/>
      <c r="XN34" s="960"/>
      <c r="XO34" s="960"/>
      <c r="XP34" s="960"/>
      <c r="XQ34" s="960"/>
      <c r="XR34" s="960"/>
      <c r="XS34" s="960"/>
      <c r="XT34" s="960"/>
      <c r="XU34" s="960"/>
      <c r="XV34" s="960"/>
      <c r="XW34" s="960"/>
      <c r="XX34" s="960"/>
      <c r="XY34" s="960"/>
      <c r="XZ34" s="960"/>
      <c r="YA34" s="960"/>
      <c r="YB34" s="960"/>
      <c r="YC34" s="960"/>
      <c r="YD34" s="960"/>
      <c r="YE34" s="960"/>
      <c r="YF34" s="960"/>
      <c r="YG34" s="960"/>
      <c r="YH34" s="960"/>
      <c r="YI34" s="960"/>
      <c r="YJ34" s="960"/>
      <c r="YK34" s="960"/>
      <c r="YL34" s="960"/>
      <c r="YM34" s="960"/>
      <c r="YN34" s="960"/>
      <c r="YO34" s="960"/>
      <c r="YP34" s="960"/>
      <c r="YQ34" s="960"/>
      <c r="YR34" s="960"/>
      <c r="YS34" s="960"/>
      <c r="YT34" s="960"/>
      <c r="YU34" s="960"/>
      <c r="YV34" s="960"/>
      <c r="YW34" s="960"/>
      <c r="YX34" s="960"/>
      <c r="YY34" s="960"/>
      <c r="YZ34" s="960"/>
      <c r="ZA34" s="960"/>
      <c r="ZB34" s="960"/>
      <c r="ZC34" s="960"/>
      <c r="ZD34" s="960"/>
      <c r="ZE34" s="960"/>
      <c r="ZF34" s="960"/>
      <c r="ZG34" s="960"/>
      <c r="ZH34" s="960"/>
      <c r="ZI34" s="960"/>
      <c r="ZJ34" s="960"/>
      <c r="ZK34" s="960"/>
      <c r="ZL34" s="960"/>
      <c r="ZM34" s="960"/>
      <c r="ZN34" s="960"/>
      <c r="ZO34" s="960"/>
      <c r="ZP34" s="960"/>
      <c r="ZQ34" s="960"/>
      <c r="ZR34" s="960"/>
      <c r="ZS34" s="960"/>
      <c r="ZT34" s="960"/>
      <c r="ZU34" s="960"/>
      <c r="ZV34" s="960"/>
      <c r="ZW34" s="960"/>
      <c r="ZX34" s="960"/>
      <c r="ZY34" s="960"/>
      <c r="ZZ34" s="960"/>
      <c r="AAA34" s="960"/>
      <c r="AAB34" s="960"/>
      <c r="AAC34" s="960"/>
      <c r="AAD34" s="960"/>
      <c r="AAE34" s="960"/>
      <c r="AAF34" s="960"/>
      <c r="AAG34" s="960"/>
      <c r="AAH34" s="960"/>
      <c r="AAI34" s="960"/>
      <c r="AAJ34" s="960"/>
      <c r="AAK34" s="960"/>
      <c r="AAL34" s="960"/>
      <c r="AAM34" s="960"/>
      <c r="AAN34" s="960"/>
      <c r="AAO34" s="960"/>
      <c r="AAP34" s="960"/>
      <c r="AAQ34" s="960"/>
      <c r="AAR34" s="960"/>
      <c r="AAS34" s="960"/>
      <c r="AAT34" s="960"/>
      <c r="AAU34" s="960"/>
      <c r="AAV34" s="960"/>
      <c r="AAW34" s="960"/>
      <c r="AAX34" s="960"/>
      <c r="AAY34" s="960"/>
      <c r="AAZ34" s="960"/>
      <c r="ABA34" s="960"/>
      <c r="ABB34" s="960"/>
      <c r="ABC34" s="960"/>
      <c r="ABD34" s="960"/>
      <c r="ABE34" s="960"/>
      <c r="ABF34" s="960"/>
      <c r="ABG34" s="960"/>
      <c r="ABH34" s="960"/>
      <c r="ABI34" s="960"/>
      <c r="ABJ34" s="960"/>
      <c r="ABK34" s="960"/>
      <c r="ABL34" s="960"/>
      <c r="ABM34" s="960"/>
      <c r="ABN34" s="960"/>
      <c r="ABO34" s="960"/>
      <c r="ABP34" s="960"/>
      <c r="ABQ34" s="960"/>
      <c r="ABR34" s="960"/>
      <c r="ABS34" s="960"/>
      <c r="ABT34" s="960"/>
      <c r="ABU34" s="960"/>
      <c r="ABV34" s="960"/>
      <c r="ABW34" s="960"/>
      <c r="ABX34" s="960"/>
      <c r="ABY34" s="960"/>
      <c r="ABZ34" s="960"/>
      <c r="ACA34" s="960"/>
      <c r="ACB34" s="960"/>
      <c r="ACC34" s="960"/>
      <c r="ACD34" s="960"/>
      <c r="ACE34" s="960"/>
      <c r="ACF34" s="960"/>
      <c r="ACG34" s="960"/>
      <c r="ACH34" s="960"/>
      <c r="ACI34" s="960"/>
      <c r="ACJ34" s="960"/>
      <c r="ACK34" s="960"/>
      <c r="ACL34" s="960"/>
      <c r="ACM34" s="960"/>
      <c r="ACN34" s="960"/>
      <c r="ACO34" s="960"/>
      <c r="ACP34" s="960"/>
      <c r="ACQ34" s="960"/>
      <c r="ACR34" s="960"/>
      <c r="ACS34" s="960"/>
      <c r="ACT34" s="960"/>
      <c r="ACU34" s="960"/>
      <c r="ACV34" s="960"/>
      <c r="ACW34" s="960"/>
      <c r="ACX34" s="960"/>
      <c r="ACY34" s="960"/>
      <c r="ACZ34" s="960"/>
      <c r="ADA34" s="960"/>
      <c r="ADB34" s="960"/>
      <c r="ADC34" s="960"/>
      <c r="ADD34" s="960"/>
      <c r="ADE34" s="960"/>
      <c r="ADF34" s="960"/>
      <c r="ADG34" s="960"/>
      <c r="ADH34" s="960"/>
      <c r="ADI34" s="960"/>
      <c r="ADJ34" s="960"/>
      <c r="ADK34" s="960"/>
      <c r="ADL34" s="960"/>
      <c r="ADM34" s="960"/>
      <c r="ADN34" s="960"/>
      <c r="ADO34" s="960"/>
      <c r="ADP34" s="960"/>
      <c r="ADQ34" s="960"/>
      <c r="ADR34" s="960"/>
      <c r="ADS34" s="960"/>
      <c r="ADT34" s="960"/>
      <c r="ADU34" s="960"/>
      <c r="ADV34" s="960"/>
      <c r="ADW34" s="960"/>
      <c r="ADX34" s="960"/>
      <c r="ADY34" s="960"/>
      <c r="ADZ34" s="960"/>
      <c r="AEA34" s="960"/>
      <c r="AEB34" s="960"/>
      <c r="AEC34" s="960"/>
      <c r="AED34" s="960"/>
      <c r="AEE34" s="960"/>
      <c r="AEF34" s="960"/>
      <c r="AEG34" s="960"/>
      <c r="AEH34" s="960"/>
      <c r="AEI34" s="960"/>
      <c r="AEJ34" s="960"/>
      <c r="AEK34" s="960"/>
      <c r="AEL34" s="960"/>
      <c r="AEM34" s="960"/>
      <c r="AEN34" s="960"/>
      <c r="AEO34" s="960"/>
      <c r="AEP34" s="960"/>
      <c r="AEQ34" s="960"/>
      <c r="AER34" s="960"/>
      <c r="AES34" s="960"/>
      <c r="AET34" s="960"/>
      <c r="AEU34" s="960"/>
      <c r="AEV34" s="960"/>
      <c r="AEW34" s="960"/>
      <c r="AEX34" s="960"/>
      <c r="AEY34" s="960"/>
      <c r="AEZ34" s="960"/>
      <c r="AFA34" s="960"/>
      <c r="AFB34" s="960"/>
      <c r="AFC34" s="960"/>
      <c r="AFD34" s="960"/>
      <c r="AFE34" s="960"/>
      <c r="AFF34" s="960"/>
      <c r="AFG34" s="960"/>
      <c r="AFH34" s="960"/>
      <c r="AFI34" s="960"/>
      <c r="AFJ34" s="960"/>
      <c r="AFK34" s="960"/>
      <c r="AFL34" s="960"/>
      <c r="AFM34" s="960"/>
      <c r="AFN34" s="960"/>
      <c r="AFO34" s="960"/>
      <c r="AFP34" s="960"/>
      <c r="AFQ34" s="960"/>
      <c r="AFR34" s="960"/>
      <c r="AFS34" s="960"/>
      <c r="AFT34" s="960"/>
      <c r="AFU34" s="960"/>
      <c r="AFV34" s="960"/>
      <c r="AFW34" s="960"/>
      <c r="AFX34" s="960"/>
      <c r="AFY34" s="960"/>
      <c r="AFZ34" s="960"/>
      <c r="AGA34" s="960"/>
      <c r="AGB34" s="960"/>
      <c r="AGC34" s="960"/>
      <c r="AGD34" s="960"/>
      <c r="AGE34" s="960"/>
      <c r="AGF34" s="960"/>
      <c r="AGG34" s="960"/>
      <c r="AGH34" s="960"/>
      <c r="AGI34" s="960"/>
      <c r="AGJ34" s="960"/>
      <c r="AGK34" s="960"/>
      <c r="AGL34" s="960"/>
      <c r="AGM34" s="960"/>
      <c r="AGN34" s="960"/>
      <c r="AGO34" s="960"/>
      <c r="AGP34" s="960"/>
      <c r="AGQ34" s="960"/>
      <c r="AGR34" s="960"/>
      <c r="AGS34" s="960"/>
      <c r="AGT34" s="960"/>
      <c r="AGU34" s="960"/>
      <c r="AGV34" s="960"/>
      <c r="AGW34" s="960"/>
      <c r="AGX34" s="960"/>
      <c r="AGY34" s="960"/>
      <c r="AGZ34" s="960"/>
      <c r="AHA34" s="960"/>
      <c r="AHB34" s="960"/>
      <c r="AHC34" s="960"/>
      <c r="AHD34" s="960"/>
      <c r="AHE34" s="960"/>
      <c r="AHF34" s="960"/>
      <c r="AHG34" s="960"/>
      <c r="AHH34" s="960"/>
      <c r="AHI34" s="960"/>
      <c r="AHJ34" s="960"/>
      <c r="AHK34" s="960"/>
      <c r="AHL34" s="960"/>
      <c r="AHM34" s="960"/>
      <c r="AHN34" s="960"/>
      <c r="AHO34" s="960"/>
      <c r="AHP34" s="960"/>
      <c r="AHQ34" s="960"/>
      <c r="AHR34" s="960"/>
      <c r="AHS34" s="960"/>
      <c r="AHT34" s="960"/>
      <c r="AHU34" s="960"/>
      <c r="AHV34" s="960"/>
      <c r="AHW34" s="960"/>
      <c r="AHX34" s="960"/>
      <c r="AHY34" s="960"/>
      <c r="AHZ34" s="960"/>
      <c r="AIA34" s="960"/>
      <c r="AIB34" s="960"/>
      <c r="AIC34" s="960"/>
      <c r="AID34" s="960"/>
      <c r="AIE34" s="960"/>
      <c r="AIF34" s="960"/>
      <c r="AIG34" s="960"/>
      <c r="AIH34" s="1356" t="str">
        <f>IFERROR(AIH35/#REF!,"-")</f>
        <v>-</v>
      </c>
      <c r="AII34" s="1356"/>
      <c r="AIJ34" s="1356"/>
      <c r="AIK34" s="1356" t="str">
        <f>IFERROR(AIK35/#REF!,"-")</f>
        <v>-</v>
      </c>
      <c r="AIL34" s="1356"/>
      <c r="AIM34" s="1356"/>
      <c r="AIN34" s="1356" t="str">
        <f>IFERROR(AIN35/#REF!,"-")</f>
        <v>-</v>
      </c>
      <c r="AIO34" s="1356"/>
      <c r="AIP34" s="1356"/>
      <c r="AIQ34" s="1356" t="str">
        <f>IFERROR(AIQ35/#REF!,"-")</f>
        <v>-</v>
      </c>
      <c r="AIR34" s="1356"/>
      <c r="AIS34" s="1356"/>
      <c r="AIT34" s="1356" t="str">
        <f>IFERROR(AIT35/#REF!,"-")</f>
        <v>-</v>
      </c>
      <c r="AIU34" s="1356"/>
      <c r="AIV34" s="1356"/>
      <c r="AIW34" s="1356" t="str">
        <f>IFERROR(AIW35/#REF!,"-")</f>
        <v>-</v>
      </c>
      <c r="AIX34" s="1356"/>
      <c r="AIY34" s="1356"/>
      <c r="AIZ34" s="1356" t="str">
        <f>IFERROR(AIZ35/#REF!,"-")</f>
        <v>-</v>
      </c>
      <c r="AJA34" s="1356"/>
      <c r="AJB34" s="1356"/>
      <c r="AJC34" s="1356" t="str">
        <f>IFERROR(AJC35/#REF!,"-")</f>
        <v>-</v>
      </c>
      <c r="AJD34" s="1356"/>
      <c r="AJE34" s="1356"/>
      <c r="AJF34" s="1356" t="str">
        <f>IFERROR(AJF35/#REF!,"-")</f>
        <v>-</v>
      </c>
      <c r="AJG34" s="1356"/>
      <c r="AJH34" s="1356"/>
      <c r="AJI34" s="1356" t="str">
        <f>IFERROR(AJI35/#REF!,"-")</f>
        <v>-</v>
      </c>
      <c r="AJJ34" s="1356"/>
      <c r="AJK34" s="1356"/>
      <c r="AJL34" s="1356" t="str">
        <f>IFERROR(AJL35/#REF!,"-")</f>
        <v>-</v>
      </c>
      <c r="AJM34" s="1356"/>
      <c r="AJN34" s="1356"/>
      <c r="AJO34" s="1356" t="str">
        <f>IFERROR(AJO35/#REF!,"-")</f>
        <v>-</v>
      </c>
      <c r="AJP34" s="1356"/>
      <c r="AJQ34" s="1356"/>
      <c r="AJR34" s="1356" t="str">
        <f>IFERROR(AJR35/#REF!,"-")</f>
        <v>-</v>
      </c>
      <c r="AJS34" s="1356"/>
      <c r="AJT34" s="1356"/>
      <c r="AJU34" s="1356" t="str">
        <f>IFERROR(AJU35/#REF!,"-")</f>
        <v>-</v>
      </c>
      <c r="AJV34" s="1356"/>
      <c r="AJW34" s="1356"/>
      <c r="AJX34" s="1356" t="str">
        <f>IFERROR(AJX35/#REF!,"-")</f>
        <v>-</v>
      </c>
      <c r="AJY34" s="1356"/>
      <c r="AJZ34" s="1356"/>
      <c r="AKA34" s="1356" t="str">
        <f>IFERROR(AKA35/#REF!,"-")</f>
        <v>-</v>
      </c>
      <c r="AKB34" s="1356"/>
      <c r="AKC34" s="1356"/>
      <c r="AKD34" s="1356" t="str">
        <f>IFERROR(AKD35/#REF!,"-")</f>
        <v>-</v>
      </c>
      <c r="AKE34" s="1356"/>
      <c r="AKF34" s="1356"/>
      <c r="AKG34" s="1356" t="str">
        <f>IFERROR(AKG35/#REF!,"-")</f>
        <v>-</v>
      </c>
      <c r="AKH34" s="1356"/>
      <c r="AKI34" s="1356"/>
      <c r="AKJ34" s="1356" t="str">
        <f>IFERROR(AKJ35/#REF!,"-")</f>
        <v>-</v>
      </c>
      <c r="AKK34" s="1356"/>
      <c r="AKL34" s="1356"/>
      <c r="AKM34" s="1356" t="str">
        <f>IFERROR(AKM35/#REF!,"-")</f>
        <v>-</v>
      </c>
      <c r="AKN34" s="1356"/>
      <c r="AKO34" s="1356"/>
      <c r="AKP34" s="1356" t="str">
        <f>IFERROR(AKP35/#REF!,"-")</f>
        <v>-</v>
      </c>
      <c r="AKQ34" s="1356"/>
      <c r="AKR34" s="1356"/>
      <c r="AKS34" s="1356" t="str">
        <f>IFERROR(AKS35/#REF!,"-")</f>
        <v>-</v>
      </c>
      <c r="AKT34" s="1356"/>
      <c r="AKU34" s="1356"/>
      <c r="AKV34" s="1356" t="str">
        <f>IFERROR(AKV35/#REF!,"-")</f>
        <v>-</v>
      </c>
      <c r="AKW34" s="1356"/>
      <c r="AKX34" s="1356"/>
      <c r="AKY34" s="1356" t="str">
        <f>IFERROR(AKY35/#REF!,"-")</f>
        <v>-</v>
      </c>
      <c r="AKZ34" s="1356"/>
      <c r="ALA34" s="1356"/>
      <c r="ALB34" s="1356" t="str">
        <f>IFERROR(ALB35/#REF!,"-")</f>
        <v>-</v>
      </c>
      <c r="ALC34" s="1356"/>
      <c r="ALD34" s="1356"/>
      <c r="ALE34" s="1356" t="str">
        <f>IFERROR(ALE35/#REF!,"-")</f>
        <v>-</v>
      </c>
      <c r="ALF34" s="1356"/>
      <c r="ALG34" s="1356"/>
      <c r="ALH34" s="1356" t="str">
        <f>IFERROR(ALH35/#REF!,"-")</f>
        <v>-</v>
      </c>
      <c r="ALI34" s="1356"/>
      <c r="ALJ34" s="1356"/>
      <c r="ALK34" s="1356" t="str">
        <f>IFERROR(ALK35/#REF!,"-")</f>
        <v>-</v>
      </c>
      <c r="ALL34" s="1356"/>
      <c r="ALM34" s="1356"/>
      <c r="ALN34" s="1356" t="str">
        <f>IFERROR(ALN35/#REF!,"-")</f>
        <v>-</v>
      </c>
      <c r="ALO34" s="1356"/>
      <c r="ALP34" s="1356"/>
      <c r="ALQ34" s="1356" t="str">
        <f>IFERROR(ALQ35/#REF!,"-")</f>
        <v>-</v>
      </c>
      <c r="ALR34" s="1356"/>
      <c r="ALS34" s="1356"/>
      <c r="ALT34" s="1356" t="str">
        <f>IFERROR(ALT35/#REF!,"-")</f>
        <v>-</v>
      </c>
      <c r="ALU34" s="1356"/>
      <c r="ALV34" s="1356"/>
      <c r="ALW34" s="1355" t="str">
        <f>IFERROR(ALW35/#REF!,"-")</f>
        <v>-</v>
      </c>
      <c r="ALX34" s="1356"/>
      <c r="ALY34" s="1356"/>
      <c r="ALZ34" s="1355" t="str">
        <f>IFERROR(ALZ35/#REF!,"-")</f>
        <v>-</v>
      </c>
      <c r="AMA34" s="1356"/>
      <c r="AMB34" s="1356"/>
      <c r="AMC34" s="1355" t="str">
        <f>IFERROR(AMC35/#REF!,"-")</f>
        <v>-</v>
      </c>
      <c r="AMD34" s="1356"/>
      <c r="AME34" s="1356"/>
      <c r="AMF34" s="1355" t="str">
        <f>IFERROR(AMF35/#REF!,"-")</f>
        <v>-</v>
      </c>
      <c r="AMG34" s="1356"/>
      <c r="AMH34" s="1356"/>
      <c r="AMI34" s="1355" t="str">
        <f>IFERROR(AMI35/#REF!,"-")</f>
        <v>-</v>
      </c>
      <c r="AMJ34" s="1356"/>
      <c r="AMK34" s="1356"/>
      <c r="AML34" s="1355" t="str">
        <f>IFERROR(AML35/#REF!,"-")</f>
        <v>-</v>
      </c>
      <c r="AMM34" s="1356"/>
      <c r="AMN34" s="1356"/>
      <c r="AMO34" s="1355" t="str">
        <f>IFERROR(AMO35/#REF!,"-")</f>
        <v>-</v>
      </c>
      <c r="AMP34" s="1356"/>
      <c r="AMQ34" s="1356"/>
      <c r="AMR34" s="1355" t="str">
        <f>IFERROR(AMR35/#REF!,"-")</f>
        <v>-</v>
      </c>
      <c r="AMS34" s="1356"/>
      <c r="AMT34" s="1356"/>
      <c r="AMU34" s="1355" t="str">
        <f>IFERROR(AMU35/#REF!,"-")</f>
        <v>-</v>
      </c>
      <c r="AMV34" s="1356"/>
      <c r="AMW34" s="1356"/>
      <c r="AMX34" s="1355" t="str">
        <f>IFERROR(AMX35/#REF!,"-")</f>
        <v>-</v>
      </c>
      <c r="AMY34" s="1356"/>
      <c r="AMZ34" s="1356"/>
      <c r="ANA34" s="1355" t="str">
        <f>IFERROR(ANA35/#REF!,"-")</f>
        <v>-</v>
      </c>
      <c r="ANB34" s="1356"/>
      <c r="ANC34" s="1356"/>
      <c r="AND34" s="1355" t="str">
        <f>IFERROR(AND35/#REF!,"-")</f>
        <v>-</v>
      </c>
      <c r="ANE34" s="1356"/>
      <c r="ANF34" s="1356"/>
      <c r="ANG34" s="1355" t="str">
        <f>IFERROR(ANG35/#REF!,"-")</f>
        <v>-</v>
      </c>
      <c r="ANH34" s="1356"/>
      <c r="ANI34" s="1356"/>
      <c r="ANJ34" s="1355" t="str">
        <f>IFERROR(ANJ35/#REF!,"-")</f>
        <v>-</v>
      </c>
      <c r="ANK34" s="1356"/>
      <c r="ANL34" s="1356"/>
      <c r="ANM34" s="1355" t="str">
        <f>IFERROR(ANM35/#REF!,"-")</f>
        <v>-</v>
      </c>
      <c r="ANN34" s="1356"/>
      <c r="ANO34" s="1356"/>
      <c r="ANP34" s="1355" t="str">
        <f>IFERROR(ANP35/#REF!,"-")</f>
        <v>-</v>
      </c>
      <c r="ANQ34" s="1356"/>
      <c r="ANR34" s="1356"/>
      <c r="ANS34" s="1355" t="str">
        <f>IFERROR(ANS35/#REF!,"-")</f>
        <v>-</v>
      </c>
      <c r="ANT34" s="1356"/>
      <c r="ANU34" s="1356"/>
      <c r="ANV34" s="1355" t="str">
        <f>IFERROR(ANV35/#REF!,"-")</f>
        <v>-</v>
      </c>
      <c r="ANW34" s="1356"/>
      <c r="ANX34" s="1356"/>
      <c r="ANY34" s="1355" t="str">
        <f>IFERROR(ANY35/#REF!,"-")</f>
        <v>-</v>
      </c>
      <c r="ANZ34" s="1356"/>
      <c r="AOA34" s="1356"/>
      <c r="AOB34" s="1355" t="str">
        <f>IFERROR(AOB35/#REF!,"-")</f>
        <v>-</v>
      </c>
      <c r="AOC34" s="1356"/>
      <c r="AOD34" s="1356"/>
      <c r="AOE34" s="1355" t="str">
        <f>IFERROR(AOE35/#REF!,"-")</f>
        <v>-</v>
      </c>
      <c r="AOF34" s="1356"/>
      <c r="AOG34" s="1356"/>
      <c r="AOH34" s="1355" t="str">
        <f>IFERROR(AOH35/#REF!,"-")</f>
        <v>-</v>
      </c>
      <c r="AOI34" s="1356"/>
      <c r="AOJ34" s="1356"/>
      <c r="AOK34" s="1355" t="str">
        <f>IFERROR(AOK35/#REF!,"-")</f>
        <v>-</v>
      </c>
      <c r="AOL34" s="1356"/>
      <c r="AOM34" s="1356"/>
      <c r="AON34" s="1355" t="str">
        <f>IFERROR(AON35/#REF!,"-")</f>
        <v>-</v>
      </c>
      <c r="AOO34" s="1356"/>
      <c r="AOP34" s="1356"/>
      <c r="AOQ34" s="1355" t="str">
        <f>IFERROR(AOQ35/#REF!,"-")</f>
        <v>-</v>
      </c>
      <c r="AOR34" s="1356"/>
      <c r="AOS34" s="1356"/>
      <c r="AOT34" s="1355" t="str">
        <f>IFERROR(AOT35/#REF!,"-")</f>
        <v>-</v>
      </c>
      <c r="AOU34" s="1356"/>
      <c r="AOV34" s="1356"/>
      <c r="AOW34" s="1355" t="str">
        <f>IFERROR(AOW35/#REF!,"-")</f>
        <v>-</v>
      </c>
      <c r="AOX34" s="1356"/>
      <c r="AOY34" s="1356"/>
      <c r="AOZ34" s="1355" t="str">
        <f>IFERROR(AOZ35/#REF!,"-")</f>
        <v>-</v>
      </c>
      <c r="APA34" s="1356"/>
      <c r="APB34" s="1356"/>
      <c r="APC34" s="1355" t="str">
        <f>IFERROR(APC35/#REF!,"-")</f>
        <v>-</v>
      </c>
      <c r="APD34" s="1356"/>
      <c r="APE34" s="1356"/>
      <c r="APF34" s="1355" t="str">
        <f>IFERROR(APF35/#REF!,"-")</f>
        <v>-</v>
      </c>
      <c r="APG34" s="1356"/>
      <c r="APH34" s="1356"/>
      <c r="API34" s="1355" t="str">
        <f>IFERROR(API35/#REF!,"-")</f>
        <v>-</v>
      </c>
      <c r="APJ34" s="1356"/>
      <c r="APK34" s="1356"/>
      <c r="APL34" s="1355" t="str">
        <f>IFERROR(APL35/#REF!,"-")</f>
        <v>-</v>
      </c>
      <c r="APM34" s="1356"/>
      <c r="APN34" s="1356"/>
      <c r="APO34" s="1355" t="str">
        <f>IFERROR(APO35/#REF!,"-")</f>
        <v>-</v>
      </c>
      <c r="APP34" s="1356"/>
      <c r="APQ34" s="1356"/>
      <c r="APR34" s="1355" t="str">
        <f>IFERROR(APR35/#REF!,"-")</f>
        <v>-</v>
      </c>
      <c r="APS34" s="1356"/>
      <c r="APT34" s="1356"/>
      <c r="APU34" s="1355" t="str">
        <f>IFERROR(APU35/#REF!,"-")</f>
        <v>-</v>
      </c>
      <c r="APV34" s="1356"/>
      <c r="APW34" s="1356"/>
      <c r="APX34" s="1355" t="str">
        <f>IFERROR(APX35/#REF!,"-")</f>
        <v>-</v>
      </c>
      <c r="APY34" s="1356"/>
      <c r="APZ34" s="1356"/>
      <c r="AQA34" s="1355" t="str">
        <f>IFERROR(AQA35/#REF!,"-")</f>
        <v>-</v>
      </c>
      <c r="AQB34" s="1356"/>
      <c r="AQC34" s="1356"/>
      <c r="AQD34" s="1355" t="str">
        <f>IFERROR(AQD35/#REF!,"-")</f>
        <v>-</v>
      </c>
      <c r="AQE34" s="1356"/>
      <c r="AQF34" s="1356"/>
      <c r="AQG34" s="1355" t="str">
        <f>IFERROR(AQG35/#REF!,"-")</f>
        <v>-</v>
      </c>
      <c r="AQH34" s="1356"/>
      <c r="AQI34" s="1356"/>
      <c r="AQJ34" s="1355" t="str">
        <f>IFERROR(AQJ35/#REF!,"-")</f>
        <v>-</v>
      </c>
      <c r="AQK34" s="1356"/>
      <c r="AQL34" s="1356"/>
      <c r="AQM34" s="1355" t="str">
        <f>IFERROR(AQM35/#REF!,"-")</f>
        <v>-</v>
      </c>
      <c r="AQN34" s="1356"/>
      <c r="AQO34" s="1356"/>
      <c r="AQP34" s="1355" t="str">
        <f>IFERROR(AQP35/#REF!,"-")</f>
        <v>-</v>
      </c>
      <c r="AQQ34" s="1356"/>
      <c r="AQR34" s="1356"/>
      <c r="AQS34" s="1355" t="str">
        <f>IFERROR(AQS35/#REF!,"-")</f>
        <v>-</v>
      </c>
      <c r="AQT34" s="1356"/>
      <c r="AQU34" s="1356"/>
      <c r="AQV34" s="1355" t="str">
        <f>IFERROR(AQV35/#REF!,"-")</f>
        <v>-</v>
      </c>
      <c r="AQW34" s="1356"/>
      <c r="AQX34" s="1356"/>
      <c r="AQY34" s="1355" t="str">
        <f>IFERROR(AQY35/#REF!,"-")</f>
        <v>-</v>
      </c>
      <c r="AQZ34" s="1356"/>
      <c r="ARA34" s="1356"/>
      <c r="ARB34" s="1355" t="str">
        <f>IFERROR(ARB35/#REF!,"-")</f>
        <v>-</v>
      </c>
      <c r="ARC34" s="1356"/>
      <c r="ARD34" s="1356"/>
      <c r="ARE34" s="1355" t="str">
        <f>IFERROR(ARE35/#REF!,"-")</f>
        <v>-</v>
      </c>
      <c r="ARF34" s="1356"/>
      <c r="ARG34" s="1356"/>
      <c r="ARH34" s="1355" t="str">
        <f>IFERROR(ARH35/#REF!,"-")</f>
        <v>-</v>
      </c>
      <c r="ARI34" s="1356"/>
      <c r="ARJ34" s="1356"/>
      <c r="ARK34" s="1355" t="str">
        <f>IFERROR(ARK35/#REF!,"-")</f>
        <v>-</v>
      </c>
      <c r="ARL34" s="1356"/>
      <c r="ARM34" s="1356"/>
      <c r="ARN34" s="1355" t="str">
        <f>IFERROR(ARN35/#REF!,"-")</f>
        <v>-</v>
      </c>
      <c r="ARO34" s="1356"/>
      <c r="ARP34" s="1356"/>
      <c r="ARQ34" s="1355" t="str">
        <f>IFERROR(ARQ35/#REF!,"-")</f>
        <v>-</v>
      </c>
      <c r="ARR34" s="1356"/>
      <c r="ARS34" s="1356"/>
      <c r="ART34" s="1355" t="str">
        <f>IFERROR(ART35/#REF!,"-")</f>
        <v>-</v>
      </c>
      <c r="ARU34" s="1356"/>
      <c r="ARV34" s="1356"/>
      <c r="ARW34" s="1355" t="str">
        <f>IFERROR(ARW35/#REF!,"-")</f>
        <v>-</v>
      </c>
      <c r="ARX34" s="1356"/>
      <c r="ARY34" s="1356"/>
      <c r="ARZ34" s="1355" t="str">
        <f>IFERROR(ARZ35/#REF!,"-")</f>
        <v>-</v>
      </c>
      <c r="ASA34" s="1356"/>
      <c r="ASB34" s="1356"/>
      <c r="ASC34" s="1355" t="str">
        <f>IFERROR(ASC35/#REF!,"-")</f>
        <v>-</v>
      </c>
      <c r="ASD34" s="1356"/>
      <c r="ASE34" s="1356"/>
      <c r="ASF34" s="1355" t="str">
        <f>IFERROR(ASF35/#REF!,"-")</f>
        <v>-</v>
      </c>
      <c r="ASG34" s="1356"/>
      <c r="ASH34" s="1356"/>
      <c r="ASI34" s="1355" t="str">
        <f>IFERROR(ASI35/#REF!,"-")</f>
        <v>-</v>
      </c>
      <c r="ASJ34" s="1356"/>
      <c r="ASK34" s="1356"/>
      <c r="ASL34" s="1355" t="str">
        <f>IFERROR(ASL35/#REF!,"-")</f>
        <v>-</v>
      </c>
      <c r="ASM34" s="1356"/>
      <c r="ASN34" s="1356"/>
      <c r="ASO34" s="1355" t="str">
        <f>IFERROR(ASO35/#REF!,"-")</f>
        <v>-</v>
      </c>
      <c r="ASP34" s="1356"/>
      <c r="ASQ34" s="1356"/>
      <c r="ASR34" s="1355" t="str">
        <f>IFERROR(ASR35/#REF!,"-")</f>
        <v>-</v>
      </c>
      <c r="ASS34" s="1356"/>
      <c r="AST34" s="1356"/>
      <c r="ASU34" s="1355" t="str">
        <f>IFERROR(ASU35/#REF!,"-")</f>
        <v>-</v>
      </c>
      <c r="ASV34" s="1356"/>
      <c r="ASW34" s="1356"/>
      <c r="ASX34" s="1355" t="str">
        <f>IFERROR(ASX35/#REF!,"-")</f>
        <v>-</v>
      </c>
      <c r="ASY34" s="1356"/>
      <c r="ASZ34" s="1356"/>
      <c r="ATA34" s="1355" t="str">
        <f>IFERROR(ATA35/#REF!,"-")</f>
        <v>-</v>
      </c>
      <c r="ATB34" s="1356"/>
      <c r="ATC34" s="1356"/>
      <c r="ATD34" s="1355" t="str">
        <f>IFERROR(ATD35/#REF!,"-")</f>
        <v>-</v>
      </c>
      <c r="ATE34" s="1356"/>
      <c r="ATF34" s="1356"/>
      <c r="ATG34" s="1355" t="str">
        <f>IFERROR(ATG35/#REF!,"-")</f>
        <v>-</v>
      </c>
      <c r="ATH34" s="1356"/>
      <c r="ATI34" s="1356"/>
      <c r="ATJ34" s="1355" t="str">
        <f>IFERROR(ATJ35/#REF!,"-")</f>
        <v>-</v>
      </c>
      <c r="ATK34" s="1356"/>
      <c r="ATL34" s="1356"/>
      <c r="ATM34" s="1355" t="str">
        <f>IFERROR(ATM35/#REF!,"-")</f>
        <v>-</v>
      </c>
      <c r="ATN34" s="1356"/>
      <c r="ATO34" s="1356"/>
      <c r="ATP34" s="1355" t="str">
        <f>IFERROR(ATP35/#REF!,"-")</f>
        <v>-</v>
      </c>
      <c r="ATQ34" s="1356"/>
      <c r="ATR34" s="1356"/>
      <c r="ATS34" s="1355" t="str">
        <f>IFERROR(ATS35/#REF!,"-")</f>
        <v>-</v>
      </c>
      <c r="ATT34" s="1356"/>
      <c r="ATU34" s="1356"/>
      <c r="ATV34" s="1355" t="str">
        <f>IFERROR(ATV35/#REF!,"-")</f>
        <v>-</v>
      </c>
      <c r="ATW34" s="1356"/>
      <c r="ATX34" s="1356"/>
      <c r="ATY34" s="1355" t="str">
        <f>IFERROR(ATY35/#REF!,"-")</f>
        <v>-</v>
      </c>
      <c r="ATZ34" s="1356"/>
      <c r="AUA34" s="1356"/>
      <c r="AUB34" s="1355" t="str">
        <f>IFERROR(AUB35/#REF!,"-")</f>
        <v>-</v>
      </c>
      <c r="AUC34" s="1356"/>
      <c r="AUD34" s="1356"/>
      <c r="AUE34" s="1355" t="str">
        <f>IFERROR(AUE35/#REF!,"-")</f>
        <v>-</v>
      </c>
      <c r="AUF34" s="1356"/>
      <c r="AUG34" s="1356"/>
      <c r="AUH34" s="1355" t="str">
        <f>IFERROR(AUH35/#REF!,"-")</f>
        <v>-</v>
      </c>
      <c r="AUI34" s="1356"/>
      <c r="AUJ34" s="1356"/>
      <c r="AUK34" s="1355" t="str">
        <f>IFERROR(AUK35/#REF!,"-")</f>
        <v>-</v>
      </c>
      <c r="AUL34" s="1356"/>
      <c r="AUM34" s="1356"/>
      <c r="AUN34" s="1355" t="str">
        <f>IFERROR(AUN35/#REF!,"-")</f>
        <v>-</v>
      </c>
      <c r="AUO34" s="1356"/>
      <c r="AUP34" s="1356"/>
      <c r="AUQ34" s="1355" t="str">
        <f>IFERROR(AUQ35/#REF!,"-")</f>
        <v>-</v>
      </c>
      <c r="AUR34" s="1356"/>
      <c r="AUS34" s="1356"/>
      <c r="AUT34" s="1355" t="str">
        <f>IFERROR(AUT35/#REF!,"-")</f>
        <v>-</v>
      </c>
      <c r="AUU34" s="1356"/>
      <c r="AUV34" s="1356"/>
      <c r="AUW34" s="1355" t="str">
        <f>IFERROR(AUW35/#REF!,"-")</f>
        <v>-</v>
      </c>
      <c r="AUX34" s="1356"/>
      <c r="AUY34" s="1356"/>
      <c r="AUZ34" s="1355" t="str">
        <f>IFERROR(AUZ35/#REF!,"-")</f>
        <v>-</v>
      </c>
      <c r="AVA34" s="1356"/>
      <c r="AVB34" s="1356"/>
      <c r="AVC34" s="1355" t="str">
        <f>IFERROR(AVC35/#REF!,"-")</f>
        <v>-</v>
      </c>
      <c r="AVD34" s="1356"/>
      <c r="AVE34" s="1356"/>
      <c r="AVF34" s="1355" t="str">
        <f>IFERROR(AVF35/#REF!,"-")</f>
        <v>-</v>
      </c>
      <c r="AVG34" s="1356"/>
      <c r="AVH34" s="1356"/>
      <c r="AVI34" s="1355" t="str">
        <f>IFERROR(AVI35/#REF!,"-")</f>
        <v>-</v>
      </c>
      <c r="AVJ34" s="1356"/>
      <c r="AVK34" s="1356"/>
      <c r="AVL34" s="1355" t="str">
        <f>IFERROR(AVL35/#REF!,"-")</f>
        <v>-</v>
      </c>
      <c r="AVM34" s="1356"/>
      <c r="AVN34" s="1356"/>
      <c r="AVO34" s="1355" t="str">
        <f>IFERROR(AVO35/#REF!,"-")</f>
        <v>-</v>
      </c>
      <c r="AVP34" s="1356"/>
      <c r="AVQ34" s="1356"/>
      <c r="AVR34" s="1355" t="str">
        <f>IFERROR(AVR35/#REF!,"-")</f>
        <v>-</v>
      </c>
      <c r="AVS34" s="1356"/>
      <c r="AVT34" s="1356"/>
      <c r="AVU34" s="1355" t="str">
        <f>IFERROR(AVU35/#REF!,"-")</f>
        <v>-</v>
      </c>
      <c r="AVV34" s="1356"/>
      <c r="AVW34" s="1356"/>
      <c r="AVX34" s="1355" t="str">
        <f>IFERROR(AVX35/#REF!,"-")</f>
        <v>-</v>
      </c>
      <c r="AVY34" s="1356"/>
      <c r="AVZ34" s="1356"/>
      <c r="AWA34" s="1355" t="str">
        <f>IFERROR(AWA35/#REF!,"-")</f>
        <v>-</v>
      </c>
      <c r="AWB34" s="1356"/>
      <c r="AWC34" s="1356"/>
      <c r="AWD34" s="1355" t="str">
        <f>IFERROR(AWD35/#REF!,"-")</f>
        <v>-</v>
      </c>
      <c r="AWE34" s="1356"/>
      <c r="AWF34" s="1356"/>
      <c r="AWG34" s="1355" t="str">
        <f>IFERROR(AWG35/#REF!,"-")</f>
        <v>-</v>
      </c>
      <c r="AWH34" s="1356"/>
      <c r="AWI34" s="1356"/>
      <c r="AWJ34" s="1355" t="str">
        <f>IFERROR(AWJ35/#REF!,"-")</f>
        <v>-</v>
      </c>
      <c r="AWK34" s="1356"/>
      <c r="AWL34" s="1356"/>
      <c r="AWM34" s="1355" t="str">
        <f>IFERROR(AWM35/#REF!,"-")</f>
        <v>-</v>
      </c>
      <c r="AWN34" s="1356"/>
      <c r="AWO34" s="1356"/>
      <c r="AWP34" s="1355" t="str">
        <f>IFERROR(AWP35/#REF!,"-")</f>
        <v>-</v>
      </c>
      <c r="AWQ34" s="1356"/>
      <c r="AWR34" s="1356"/>
      <c r="AWS34" s="1355" t="str">
        <f>IFERROR(AWS35/#REF!,"-")</f>
        <v>-</v>
      </c>
      <c r="AWT34" s="1356"/>
      <c r="AWU34" s="1356"/>
      <c r="AWV34" s="1355" t="str">
        <f>IFERROR(AWV35/#REF!,"-")</f>
        <v>-</v>
      </c>
      <c r="AWW34" s="1356"/>
      <c r="AWX34" s="1356"/>
      <c r="AWY34" s="1355" t="str">
        <f>IFERROR(AWY35/#REF!,"-")</f>
        <v>-</v>
      </c>
      <c r="AWZ34" s="1356"/>
      <c r="AXA34" s="1356"/>
      <c r="AXB34" s="1355" t="str">
        <f>IFERROR(AXB35/#REF!,"-")</f>
        <v>-</v>
      </c>
      <c r="AXC34" s="1356"/>
      <c r="AXD34" s="1356"/>
      <c r="AXE34" s="1355" t="str">
        <f>IFERROR(AXE35/#REF!,"-")</f>
        <v>-</v>
      </c>
      <c r="AXF34" s="1356"/>
      <c r="AXG34" s="1356"/>
      <c r="AXH34" s="1355" t="str">
        <f>IFERROR(AXH35/#REF!,"-")</f>
        <v>-</v>
      </c>
      <c r="AXI34" s="1356"/>
      <c r="AXJ34" s="1356"/>
      <c r="AXK34" s="1355" t="str">
        <f>IFERROR(AXK35/#REF!,"-")</f>
        <v>-</v>
      </c>
      <c r="AXL34" s="1356"/>
      <c r="AXM34" s="1356"/>
      <c r="AXN34" s="1355" t="str">
        <f>IFERROR(AXN35/#REF!,"-")</f>
        <v>-</v>
      </c>
      <c r="AXO34" s="1356"/>
      <c r="AXP34" s="1356"/>
      <c r="AXQ34" s="1355" t="str">
        <f>IFERROR(AXQ35/#REF!,"-")</f>
        <v>-</v>
      </c>
      <c r="AXR34" s="1356"/>
      <c r="AXS34" s="1356"/>
      <c r="AXT34" s="1355" t="str">
        <f>IFERROR(AXT35/#REF!,"-")</f>
        <v>-</v>
      </c>
      <c r="AXU34" s="1356"/>
      <c r="AXV34" s="1356"/>
      <c r="AXW34" s="1355" t="str">
        <f>IFERROR(AXW35/#REF!,"-")</f>
        <v>-</v>
      </c>
      <c r="AXX34" s="1356"/>
      <c r="AXY34" s="1356"/>
      <c r="AXZ34" s="1355" t="str">
        <f>IFERROR(AXZ35/#REF!,"-")</f>
        <v>-</v>
      </c>
      <c r="AYA34" s="1356"/>
      <c r="AYB34" s="1356"/>
      <c r="AYC34" s="1355" t="str">
        <f>IFERROR(AYC35/#REF!,"-")</f>
        <v>-</v>
      </c>
      <c r="AYD34" s="1356"/>
      <c r="AYE34" s="1356"/>
      <c r="AYF34" s="1355" t="str">
        <f>IFERROR(AYF35/#REF!,"-")</f>
        <v>-</v>
      </c>
      <c r="AYG34" s="1356"/>
      <c r="AYH34" s="1356"/>
      <c r="AYI34" s="1355" t="str">
        <f>IFERROR(AYI35/#REF!,"-")</f>
        <v>-</v>
      </c>
      <c r="AYJ34" s="1356"/>
      <c r="AYK34" s="1356"/>
      <c r="AYL34" s="1355" t="str">
        <f>IFERROR(AYL35/#REF!,"-")</f>
        <v>-</v>
      </c>
      <c r="AYM34" s="1356"/>
      <c r="AYN34" s="1356"/>
      <c r="AYO34" s="1355" t="str">
        <f>IFERROR(AYO35/#REF!,"-")</f>
        <v>-</v>
      </c>
      <c r="AYP34" s="1356"/>
      <c r="AYQ34" s="1356"/>
      <c r="AYR34" s="1355" t="str">
        <f>IFERROR(AYR35/#REF!,"-")</f>
        <v>-</v>
      </c>
      <c r="AYS34" s="1356"/>
      <c r="AYT34" s="1356"/>
      <c r="AYU34" s="1355" t="str">
        <f>IFERROR(AYU35/#REF!,"-")</f>
        <v>-</v>
      </c>
      <c r="AYV34" s="1356"/>
      <c r="AYW34" s="1356"/>
      <c r="AYX34" s="1355" t="str">
        <f>IFERROR(AYX35/#REF!,"-")</f>
        <v>-</v>
      </c>
      <c r="AYY34" s="1356"/>
      <c r="AYZ34" s="1356"/>
      <c r="AZA34" s="1355" t="str">
        <f>IFERROR(AZA35/#REF!,"-")</f>
        <v>-</v>
      </c>
      <c r="AZB34" s="1356"/>
      <c r="AZC34" s="1356"/>
      <c r="AZD34" s="1355" t="str">
        <f>IFERROR(AZD35/#REF!,"-")</f>
        <v>-</v>
      </c>
      <c r="AZE34" s="1356"/>
      <c r="AZF34" s="1356"/>
      <c r="AZG34" s="1355" t="str">
        <f>IFERROR(AZG35/#REF!,"-")</f>
        <v>-</v>
      </c>
      <c r="AZH34" s="1356"/>
      <c r="AZI34" s="1356"/>
      <c r="AZJ34" s="1355" t="str">
        <f>IFERROR(AZJ35/#REF!,"-")</f>
        <v>-</v>
      </c>
      <c r="AZK34" s="1356"/>
      <c r="AZL34" s="1356"/>
      <c r="AZM34" s="1355" t="str">
        <f>IFERROR(AZM35/#REF!,"-")</f>
        <v>-</v>
      </c>
      <c r="AZN34" s="1356"/>
      <c r="AZO34" s="1356"/>
      <c r="AZP34" s="1355" t="str">
        <f>IFERROR(AZP35/#REF!,"-")</f>
        <v>-</v>
      </c>
      <c r="AZQ34" s="1356"/>
      <c r="AZR34" s="1356"/>
      <c r="AZS34" s="1355" t="str">
        <f>IFERROR(AZS35/#REF!,"-")</f>
        <v>-</v>
      </c>
      <c r="AZT34" s="1356"/>
      <c r="AZU34" s="1356"/>
      <c r="AZV34" s="1355" t="str">
        <f>IFERROR(AZV35/#REF!,"-")</f>
        <v>-</v>
      </c>
      <c r="AZW34" s="1356"/>
      <c r="AZX34" s="1356"/>
      <c r="AZY34" s="1355" t="str">
        <f>IFERROR(AZY35/#REF!,"-")</f>
        <v>-</v>
      </c>
      <c r="AZZ34" s="1356"/>
      <c r="BAA34" s="1356"/>
      <c r="BAB34" s="1355" t="str">
        <f>IFERROR(BAB35/#REF!,"-")</f>
        <v>-</v>
      </c>
      <c r="BAC34" s="1356"/>
      <c r="BAD34" s="1356"/>
      <c r="BAE34" s="1355" t="str">
        <f>IFERROR(BAE35/#REF!,"-")</f>
        <v>-</v>
      </c>
      <c r="BAF34" s="1356"/>
      <c r="BAG34" s="1356"/>
      <c r="BAH34" s="1355" t="str">
        <f>IFERROR(BAH35/#REF!,"-")</f>
        <v>-</v>
      </c>
      <c r="BAI34" s="1356"/>
      <c r="BAJ34" s="1446"/>
    </row>
    <row r="35" spans="1:1399" s="382" customFormat="1">
      <c r="B35" s="5" t="s">
        <v>360</v>
      </c>
      <c r="C35" s="1199"/>
      <c r="D35" s="1199"/>
      <c r="E35" s="952"/>
      <c r="F35" s="975"/>
      <c r="G35" s="975"/>
      <c r="H35" s="976"/>
      <c r="I35" s="975"/>
      <c r="J35" s="975"/>
      <c r="K35" s="976"/>
      <c r="L35" s="975"/>
      <c r="M35" s="975"/>
      <c r="N35" s="976"/>
      <c r="O35" s="975"/>
      <c r="P35" s="975"/>
      <c r="Q35" s="976"/>
      <c r="R35" s="975"/>
      <c r="S35" s="975"/>
      <c r="T35" s="976"/>
      <c r="U35" s="975"/>
      <c r="V35" s="975"/>
      <c r="W35" s="976"/>
      <c r="X35" s="975"/>
      <c r="Y35" s="975"/>
      <c r="Z35" s="976"/>
      <c r="AA35" s="975"/>
      <c r="AB35" s="975"/>
      <c r="AC35" s="976"/>
      <c r="AD35" s="975"/>
      <c r="AE35" s="975"/>
      <c r="AF35" s="976"/>
      <c r="AG35" s="975"/>
      <c r="AH35" s="975"/>
      <c r="AI35" s="976"/>
      <c r="AJ35" s="975"/>
      <c r="AK35" s="975"/>
      <c r="AL35" s="976"/>
      <c r="AM35" s="975"/>
      <c r="AN35" s="975"/>
      <c r="AO35" s="976"/>
      <c r="AP35" s="975"/>
      <c r="AQ35" s="975"/>
      <c r="AR35" s="976"/>
      <c r="AS35" s="975"/>
      <c r="AT35" s="975"/>
      <c r="AU35" s="976"/>
      <c r="AV35" s="975"/>
      <c r="AW35" s="975"/>
      <c r="AX35" s="976"/>
      <c r="AY35" s="975"/>
      <c r="AZ35" s="975"/>
      <c r="BA35" s="976"/>
      <c r="BB35" s="975"/>
      <c r="BC35" s="975"/>
      <c r="BD35" s="976"/>
      <c r="BE35" s="975"/>
      <c r="BF35" s="975"/>
      <c r="BG35" s="976"/>
      <c r="BH35" s="975"/>
      <c r="BI35" s="975"/>
      <c r="BJ35" s="976"/>
      <c r="BK35" s="975"/>
      <c r="BL35" s="975"/>
      <c r="BM35" s="976"/>
      <c r="BN35" s="975"/>
      <c r="BO35" s="975"/>
      <c r="BP35" s="976"/>
      <c r="BQ35" s="975"/>
      <c r="BR35" s="975"/>
      <c r="BS35" s="976"/>
      <c r="BT35" s="975"/>
      <c r="BU35" s="975"/>
      <c r="BV35" s="976"/>
      <c r="BW35" s="975"/>
      <c r="BX35" s="975"/>
      <c r="BY35" s="976"/>
      <c r="BZ35" s="975"/>
      <c r="CA35" s="975"/>
      <c r="CB35" s="976"/>
      <c r="CC35" s="975"/>
      <c r="CD35" s="975"/>
      <c r="CE35" s="976"/>
      <c r="CF35" s="975"/>
      <c r="CG35" s="975"/>
      <c r="CH35" s="976"/>
      <c r="CI35" s="975"/>
      <c r="CJ35" s="975"/>
      <c r="CK35" s="976"/>
      <c r="CL35" s="975"/>
      <c r="CM35" s="975"/>
      <c r="CN35" s="976"/>
      <c r="CO35" s="975"/>
      <c r="CP35" s="975"/>
      <c r="CQ35" s="976"/>
      <c r="CR35" s="975"/>
      <c r="CS35" s="975"/>
      <c r="CT35" s="976"/>
      <c r="CU35" s="975"/>
      <c r="CV35" s="975"/>
      <c r="CW35" s="976"/>
      <c r="CX35" s="975"/>
      <c r="CY35" s="975"/>
      <c r="CZ35" s="976"/>
      <c r="DA35" s="975"/>
      <c r="DB35" s="975"/>
      <c r="DC35" s="976"/>
      <c r="DD35" s="975"/>
      <c r="DE35" s="975"/>
      <c r="DF35" s="976"/>
      <c r="DG35" s="975"/>
      <c r="DH35" s="975"/>
      <c r="DI35" s="976"/>
      <c r="DJ35" s="975"/>
      <c r="DK35" s="975"/>
      <c r="DL35" s="976"/>
      <c r="DM35" s="975"/>
      <c r="DN35" s="975"/>
      <c r="DO35" s="976"/>
      <c r="DP35" s="975"/>
      <c r="DQ35" s="975"/>
      <c r="DR35" s="976"/>
      <c r="DS35" s="975"/>
      <c r="DT35" s="975"/>
      <c r="DU35" s="976"/>
      <c r="DV35" s="975"/>
      <c r="DW35" s="975"/>
      <c r="DX35" s="976"/>
      <c r="DY35" s="975"/>
      <c r="DZ35" s="975"/>
      <c r="EA35" s="976"/>
      <c r="EB35" s="975"/>
      <c r="EC35" s="975"/>
      <c r="ED35" s="976"/>
      <c r="EE35" s="975"/>
      <c r="EF35" s="975"/>
      <c r="EG35" s="976"/>
      <c r="EH35" s="975"/>
      <c r="EI35" s="975"/>
      <c r="EJ35" s="976"/>
      <c r="EK35" s="975"/>
      <c r="EL35" s="975"/>
      <c r="EM35" s="976"/>
      <c r="EN35" s="975"/>
      <c r="EO35" s="975"/>
      <c r="EP35" s="976"/>
      <c r="EQ35" s="975"/>
      <c r="ER35" s="975"/>
      <c r="ES35" s="976"/>
      <c r="ET35" s="975"/>
      <c r="EU35" s="975"/>
      <c r="EV35" s="976"/>
      <c r="EW35" s="975"/>
      <c r="EX35" s="975"/>
      <c r="EY35" s="976"/>
      <c r="EZ35" s="975"/>
      <c r="FA35" s="975"/>
      <c r="FB35" s="976"/>
      <c r="FC35" s="975"/>
      <c r="FD35" s="975"/>
      <c r="FE35" s="976"/>
      <c r="FF35" s="975"/>
      <c r="FG35" s="975"/>
      <c r="FH35" s="976"/>
      <c r="FI35" s="975"/>
      <c r="FJ35" s="975"/>
      <c r="FK35" s="976"/>
      <c r="FL35" s="975"/>
      <c r="FM35" s="975"/>
      <c r="FN35" s="976"/>
      <c r="FO35" s="975"/>
      <c r="FP35" s="975"/>
      <c r="FQ35" s="976"/>
      <c r="FR35" s="975"/>
      <c r="FS35" s="975"/>
      <c r="FT35" s="976"/>
      <c r="FU35" s="975"/>
      <c r="FV35" s="975"/>
      <c r="FW35" s="976"/>
      <c r="FX35" s="975"/>
      <c r="FY35" s="975"/>
      <c r="FZ35" s="976"/>
      <c r="GA35" s="975"/>
      <c r="GB35" s="975"/>
      <c r="GC35" s="976"/>
      <c r="GD35" s="975"/>
      <c r="GE35" s="975"/>
      <c r="GF35" s="976"/>
      <c r="GG35" s="975"/>
      <c r="GH35" s="975"/>
      <c r="GI35" s="976"/>
      <c r="GJ35" s="975"/>
      <c r="GK35" s="975"/>
      <c r="GL35" s="976"/>
      <c r="GM35" s="975"/>
      <c r="GN35" s="975"/>
      <c r="GO35" s="976"/>
      <c r="GP35" s="975"/>
      <c r="GQ35" s="975"/>
      <c r="GR35" s="976"/>
      <c r="GS35" s="975"/>
      <c r="GT35" s="975"/>
      <c r="GU35" s="976"/>
      <c r="GV35" s="975"/>
      <c r="GW35" s="975"/>
      <c r="GX35" s="976"/>
      <c r="GY35" s="975"/>
      <c r="GZ35" s="975"/>
      <c r="HA35" s="976"/>
      <c r="HB35" s="975"/>
      <c r="HC35" s="975"/>
      <c r="HD35" s="976"/>
      <c r="HE35" s="975"/>
      <c r="HF35" s="975"/>
      <c r="HG35" s="976"/>
      <c r="HH35" s="975"/>
      <c r="HI35" s="975"/>
      <c r="HJ35" s="976"/>
      <c r="HK35" s="975"/>
      <c r="HL35" s="975"/>
      <c r="HM35" s="976"/>
      <c r="HN35" s="975"/>
      <c r="HO35" s="975"/>
      <c r="HP35" s="976"/>
      <c r="HQ35" s="975"/>
      <c r="HR35" s="975"/>
      <c r="HS35" s="976"/>
      <c r="HT35" s="975"/>
      <c r="HU35" s="975"/>
      <c r="HV35" s="976"/>
      <c r="HW35" s="975"/>
      <c r="HX35" s="975"/>
      <c r="HY35" s="976"/>
      <c r="HZ35" s="975"/>
      <c r="IA35" s="975"/>
      <c r="IB35" s="976"/>
      <c r="IC35" s="975"/>
      <c r="ID35" s="975"/>
      <c r="IE35" s="976"/>
      <c r="IF35" s="975"/>
      <c r="IG35" s="975"/>
      <c r="IH35" s="976"/>
      <c r="II35" s="975"/>
      <c r="IJ35" s="975"/>
      <c r="IK35" s="976"/>
      <c r="IL35" s="975"/>
      <c r="IM35" s="975"/>
      <c r="IN35" s="976"/>
      <c r="IO35" s="975"/>
      <c r="IP35" s="975"/>
      <c r="IQ35" s="976"/>
      <c r="IR35" s="975"/>
      <c r="IS35" s="975"/>
      <c r="IT35" s="976"/>
      <c r="IU35" s="975"/>
      <c r="IV35" s="975"/>
      <c r="IW35" s="976"/>
      <c r="IX35" s="975"/>
      <c r="IY35" s="975"/>
      <c r="IZ35" s="976"/>
      <c r="JA35" s="975"/>
      <c r="JB35" s="975"/>
      <c r="JC35" s="976"/>
      <c r="JD35" s="975"/>
      <c r="JE35" s="975"/>
      <c r="JF35" s="976"/>
      <c r="JG35" s="975"/>
      <c r="JH35" s="975"/>
      <c r="JI35" s="976"/>
      <c r="JJ35" s="975"/>
      <c r="JK35" s="975"/>
      <c r="JL35" s="976"/>
      <c r="JM35" s="975"/>
      <c r="JN35" s="975"/>
      <c r="JO35" s="976"/>
      <c r="JP35" s="1202"/>
      <c r="JQ35" s="1202"/>
      <c r="JR35" s="1203"/>
      <c r="JS35" s="975"/>
      <c r="JT35" s="975"/>
      <c r="JU35" s="976"/>
      <c r="JV35" s="975"/>
      <c r="JW35" s="975"/>
      <c r="JX35" s="976"/>
      <c r="JY35" s="975"/>
      <c r="JZ35" s="975"/>
      <c r="KA35" s="976"/>
      <c r="KB35" s="975"/>
      <c r="KC35" s="975"/>
      <c r="KD35" s="976"/>
      <c r="KE35" s="975"/>
      <c r="KF35" s="975"/>
      <c r="KG35" s="976"/>
      <c r="KH35" s="975"/>
      <c r="KI35" s="975"/>
      <c r="KJ35" s="976"/>
      <c r="KK35" s="975"/>
      <c r="KL35" s="975"/>
      <c r="KM35" s="976"/>
      <c r="KN35" s="975"/>
      <c r="KO35" s="975"/>
      <c r="KP35" s="976"/>
      <c r="KQ35" s="975"/>
      <c r="KR35" s="975"/>
      <c r="KS35" s="976"/>
      <c r="KT35" s="975"/>
      <c r="KU35" s="975"/>
      <c r="KV35" s="976"/>
      <c r="KW35" s="975"/>
      <c r="KX35" s="975"/>
      <c r="KY35" s="976"/>
      <c r="KZ35" s="975"/>
      <c r="LA35" s="975"/>
      <c r="LB35" s="976"/>
      <c r="LC35" s="975"/>
      <c r="LD35" s="975"/>
      <c r="LE35" s="976"/>
      <c r="LF35" s="975"/>
      <c r="LG35" s="975"/>
      <c r="LH35" s="976"/>
      <c r="LI35" s="975"/>
      <c r="LJ35" s="975"/>
      <c r="LK35" s="976"/>
      <c r="LL35" s="975"/>
      <c r="LM35" s="975"/>
      <c r="LN35" s="976"/>
      <c r="LO35" s="975"/>
      <c r="LP35" s="975"/>
      <c r="LQ35" s="976"/>
      <c r="LR35" s="975"/>
      <c r="LS35" s="975"/>
      <c r="LT35" s="976"/>
      <c r="LU35" s="975"/>
      <c r="LV35" s="975"/>
      <c r="LW35" s="976"/>
      <c r="LX35" s="975"/>
      <c r="LY35" s="975"/>
      <c r="LZ35" s="976"/>
      <c r="MA35" s="975"/>
      <c r="MB35" s="975"/>
      <c r="MC35" s="976"/>
      <c r="MD35" s="975"/>
      <c r="ME35" s="975"/>
      <c r="MF35" s="976"/>
      <c r="MG35" s="975"/>
      <c r="MH35" s="975"/>
      <c r="MI35" s="976"/>
      <c r="MJ35" s="975"/>
      <c r="MK35" s="975"/>
      <c r="ML35" s="976"/>
      <c r="MM35" s="975"/>
      <c r="MN35" s="975"/>
      <c r="MO35" s="976"/>
      <c r="MP35" s="975"/>
      <c r="MQ35" s="975"/>
      <c r="MR35" s="976"/>
      <c r="MS35" s="975"/>
      <c r="MT35" s="975"/>
      <c r="MU35" s="976"/>
      <c r="MV35" s="975"/>
      <c r="MW35" s="975"/>
      <c r="MX35" s="976"/>
      <c r="MY35" s="975"/>
      <c r="MZ35" s="975"/>
      <c r="NA35" s="976"/>
      <c r="NB35" s="975"/>
      <c r="NC35" s="975"/>
      <c r="ND35" s="976"/>
      <c r="NE35" s="975"/>
      <c r="NF35" s="975"/>
      <c r="NG35" s="976"/>
      <c r="NH35" s="975"/>
      <c r="NI35" s="975"/>
      <c r="NJ35" s="976"/>
      <c r="NK35" s="972"/>
      <c r="NL35" s="973"/>
      <c r="NM35" s="974"/>
      <c r="NN35" s="972"/>
      <c r="NO35" s="973"/>
      <c r="NP35" s="974"/>
      <c r="NQ35" s="972"/>
      <c r="NR35" s="973"/>
      <c r="NS35" s="974"/>
      <c r="NT35" s="972"/>
      <c r="NU35" s="973"/>
      <c r="NV35" s="974"/>
      <c r="NW35" s="972"/>
      <c r="NX35" s="973"/>
      <c r="NY35" s="974"/>
      <c r="NZ35" s="975"/>
      <c r="OA35" s="975"/>
      <c r="OB35" s="976"/>
      <c r="OC35" s="972"/>
      <c r="OD35" s="973"/>
      <c r="OE35" s="974"/>
      <c r="OF35" s="972"/>
      <c r="OG35" s="973"/>
      <c r="OH35" s="974"/>
      <c r="OI35" s="972"/>
      <c r="OJ35" s="973"/>
      <c r="OK35" s="974"/>
      <c r="OL35" s="972"/>
      <c r="OM35" s="973"/>
      <c r="ON35" s="974"/>
      <c r="OO35" s="972"/>
      <c r="OP35" s="973"/>
      <c r="OQ35" s="974"/>
      <c r="OR35" s="972"/>
      <c r="OS35" s="973"/>
      <c r="OT35" s="974"/>
      <c r="OU35" s="972"/>
      <c r="OV35" s="973"/>
      <c r="OW35" s="974"/>
      <c r="OX35" s="972"/>
      <c r="OY35" s="973"/>
      <c r="OZ35" s="974"/>
      <c r="PA35" s="972"/>
      <c r="PB35" s="973"/>
      <c r="PC35" s="974"/>
      <c r="PD35" s="972"/>
      <c r="PE35" s="973"/>
      <c r="PF35" s="974"/>
      <c r="PG35" s="972"/>
      <c r="PH35" s="973"/>
      <c r="PI35" s="974"/>
      <c r="PJ35" s="972"/>
      <c r="PK35" s="973"/>
      <c r="PL35" s="974"/>
      <c r="PM35" s="972"/>
      <c r="PN35" s="973"/>
      <c r="PO35" s="974"/>
      <c r="PP35" s="972"/>
      <c r="PQ35" s="973"/>
      <c r="PR35" s="974"/>
      <c r="PS35" s="972"/>
      <c r="PT35" s="973"/>
      <c r="PU35" s="974"/>
      <c r="PV35" s="972"/>
      <c r="PW35" s="973"/>
      <c r="PX35" s="974"/>
      <c r="PY35" s="972"/>
      <c r="PZ35" s="973"/>
      <c r="QA35" s="974"/>
      <c r="QB35" s="972"/>
      <c r="QC35" s="973"/>
      <c r="QD35" s="974"/>
      <c r="QE35" s="972"/>
      <c r="QF35" s="973"/>
      <c r="QG35" s="974"/>
      <c r="QH35" s="972"/>
      <c r="QI35" s="973"/>
      <c r="QJ35" s="974"/>
      <c r="QK35" s="972"/>
      <c r="QL35" s="973"/>
      <c r="QM35" s="974"/>
      <c r="QN35" s="972"/>
      <c r="QO35" s="973"/>
      <c r="QP35" s="974"/>
      <c r="QQ35" s="972"/>
      <c r="QR35" s="973"/>
      <c r="QS35" s="974"/>
      <c r="QT35" s="972"/>
      <c r="QU35" s="973"/>
      <c r="QV35" s="974"/>
      <c r="QW35" s="972"/>
      <c r="QX35" s="973"/>
      <c r="QY35" s="974"/>
      <c r="QZ35" s="972"/>
      <c r="RA35" s="973"/>
      <c r="RB35" s="974"/>
      <c r="RC35" s="972"/>
      <c r="RD35" s="973"/>
      <c r="RE35" s="974"/>
      <c r="RF35" s="972"/>
      <c r="RG35" s="973"/>
      <c r="RH35" s="974"/>
      <c r="RI35" s="972"/>
      <c r="RJ35" s="973"/>
      <c r="RK35" s="974"/>
      <c r="RL35" s="972"/>
      <c r="RM35" s="973"/>
      <c r="RN35" s="974"/>
      <c r="RO35" s="972"/>
      <c r="RP35" s="973"/>
      <c r="RQ35" s="974"/>
      <c r="RR35" s="972"/>
      <c r="RS35" s="973"/>
      <c r="RT35" s="974"/>
      <c r="RU35" s="972"/>
      <c r="RV35" s="973"/>
      <c r="RW35" s="974"/>
      <c r="RX35" s="972"/>
      <c r="RY35" s="973"/>
      <c r="RZ35" s="974"/>
      <c r="SA35" s="972"/>
      <c r="SB35" s="973"/>
      <c r="SC35" s="974"/>
      <c r="SD35" s="972"/>
      <c r="SE35" s="973"/>
      <c r="SF35" s="974"/>
      <c r="SG35" s="972"/>
      <c r="SH35" s="973"/>
      <c r="SI35" s="974"/>
      <c r="SJ35" s="972"/>
      <c r="SK35" s="973"/>
      <c r="SL35" s="974"/>
      <c r="SM35" s="972"/>
      <c r="SN35" s="973"/>
      <c r="SO35" s="974"/>
      <c r="SP35" s="972"/>
      <c r="SQ35" s="973"/>
      <c r="SR35" s="974"/>
      <c r="SS35" s="972"/>
      <c r="ST35" s="973"/>
      <c r="SU35" s="974"/>
      <c r="SV35" s="972"/>
      <c r="SW35" s="973"/>
      <c r="SX35" s="974"/>
      <c r="SY35" s="972"/>
      <c r="SZ35" s="973"/>
      <c r="TA35" s="974"/>
      <c r="TB35" s="972"/>
      <c r="TC35" s="973"/>
      <c r="TD35" s="974"/>
      <c r="TE35" s="972"/>
      <c r="TF35" s="973"/>
      <c r="TG35" s="974"/>
      <c r="TH35" s="972"/>
      <c r="TI35" s="973"/>
      <c r="TJ35" s="974"/>
      <c r="TK35" s="972"/>
      <c r="TL35" s="973"/>
      <c r="TM35" s="974"/>
      <c r="TN35" s="972"/>
      <c r="TO35" s="973"/>
      <c r="TP35" s="974"/>
      <c r="TQ35" s="972"/>
      <c r="TR35" s="973"/>
      <c r="TS35" s="974"/>
      <c r="TT35" s="972"/>
      <c r="TU35" s="973"/>
      <c r="TV35" s="974"/>
      <c r="TW35" s="972"/>
      <c r="TX35" s="973"/>
      <c r="TY35" s="974"/>
      <c r="TZ35" s="972"/>
      <c r="UA35" s="973"/>
      <c r="UB35" s="974"/>
      <c r="UC35" s="972"/>
      <c r="UD35" s="973"/>
      <c r="UE35" s="974"/>
      <c r="UF35" s="972"/>
      <c r="UG35" s="973"/>
      <c r="UH35" s="974"/>
      <c r="UI35" s="972"/>
      <c r="UJ35" s="973"/>
      <c r="UK35" s="974"/>
      <c r="UL35" s="972"/>
      <c r="UM35" s="973"/>
      <c r="UN35" s="974"/>
      <c r="UO35" s="972"/>
      <c r="UP35" s="973"/>
      <c r="UQ35" s="974"/>
      <c r="UR35" s="972"/>
      <c r="US35" s="973"/>
      <c r="UT35" s="974"/>
      <c r="UU35" s="972"/>
      <c r="UV35" s="973"/>
      <c r="UW35" s="974"/>
      <c r="UX35" s="972"/>
      <c r="UY35" s="973"/>
      <c r="UZ35" s="974"/>
      <c r="VA35" s="972"/>
      <c r="VB35" s="973"/>
      <c r="VC35" s="974"/>
      <c r="VD35" s="972"/>
      <c r="VE35" s="973"/>
      <c r="VF35" s="974"/>
      <c r="VG35" s="972"/>
      <c r="VH35" s="973"/>
      <c r="VI35" s="974"/>
      <c r="VJ35" s="972"/>
      <c r="VK35" s="973"/>
      <c r="VL35" s="974"/>
      <c r="VM35" s="972"/>
      <c r="VN35" s="973"/>
      <c r="VO35" s="974"/>
      <c r="VP35" s="972"/>
      <c r="VQ35" s="973"/>
      <c r="VR35" s="974"/>
      <c r="VS35" s="972"/>
      <c r="VT35" s="973"/>
      <c r="VU35" s="974"/>
      <c r="VV35" s="972"/>
      <c r="VW35" s="973"/>
      <c r="VX35" s="974"/>
      <c r="VY35" s="972"/>
      <c r="VZ35" s="973"/>
      <c r="WA35" s="974"/>
      <c r="WB35" s="972"/>
      <c r="WC35" s="973"/>
      <c r="WD35" s="974"/>
      <c r="WE35" s="972"/>
      <c r="WF35" s="973"/>
      <c r="WG35" s="974"/>
      <c r="WH35" s="972"/>
      <c r="WI35" s="973"/>
      <c r="WJ35" s="974"/>
      <c r="WK35" s="972"/>
      <c r="WL35" s="973"/>
      <c r="WM35" s="974"/>
      <c r="WN35" s="972"/>
      <c r="WO35" s="973"/>
      <c r="WP35" s="974"/>
      <c r="WQ35" s="972"/>
      <c r="WR35" s="973"/>
      <c r="WS35" s="974"/>
      <c r="WT35" s="972"/>
      <c r="WU35" s="973"/>
      <c r="WV35" s="974"/>
      <c r="WW35" s="972"/>
      <c r="WX35" s="973"/>
      <c r="WY35" s="974"/>
      <c r="WZ35" s="972"/>
      <c r="XA35" s="973"/>
      <c r="XB35" s="974"/>
      <c r="XC35" s="972"/>
      <c r="XD35" s="973"/>
      <c r="XE35" s="974"/>
      <c r="XF35" s="972"/>
      <c r="XG35" s="973"/>
      <c r="XH35" s="974"/>
      <c r="XI35" s="972"/>
      <c r="XJ35" s="973"/>
      <c r="XK35" s="974"/>
      <c r="XL35" s="972"/>
      <c r="XM35" s="973"/>
      <c r="XN35" s="974"/>
      <c r="XO35" s="972"/>
      <c r="XP35" s="973"/>
      <c r="XQ35" s="974"/>
      <c r="XR35" s="972"/>
      <c r="XS35" s="973"/>
      <c r="XT35" s="974"/>
      <c r="XU35" s="972"/>
      <c r="XV35" s="973"/>
      <c r="XW35" s="974"/>
      <c r="XX35" s="972"/>
      <c r="XY35" s="973"/>
      <c r="XZ35" s="974"/>
      <c r="YA35" s="972"/>
      <c r="YB35" s="973"/>
      <c r="YC35" s="974"/>
      <c r="YD35" s="972"/>
      <c r="YE35" s="973"/>
      <c r="YF35" s="974"/>
      <c r="YG35" s="972"/>
      <c r="YH35" s="973"/>
      <c r="YI35" s="974"/>
      <c r="YJ35" s="972"/>
      <c r="YK35" s="973"/>
      <c r="YL35" s="974"/>
      <c r="YM35" s="972"/>
      <c r="YN35" s="973"/>
      <c r="YO35" s="974"/>
      <c r="YP35" s="972"/>
      <c r="YQ35" s="973"/>
      <c r="YR35" s="974"/>
      <c r="YS35" s="972"/>
      <c r="YT35" s="973"/>
      <c r="YU35" s="974"/>
      <c r="YV35" s="972"/>
      <c r="YW35" s="973"/>
      <c r="YX35" s="974"/>
      <c r="YY35" s="972"/>
      <c r="YZ35" s="973"/>
      <c r="ZA35" s="974"/>
      <c r="ZB35" s="972"/>
      <c r="ZC35" s="973"/>
      <c r="ZD35" s="974"/>
      <c r="ZE35" s="972"/>
      <c r="ZF35" s="973"/>
      <c r="ZG35" s="974"/>
      <c r="ZH35" s="972"/>
      <c r="ZI35" s="973"/>
      <c r="ZJ35" s="974"/>
      <c r="ZK35" s="972"/>
      <c r="ZL35" s="973"/>
      <c r="ZM35" s="974"/>
      <c r="ZN35" s="972"/>
      <c r="ZO35" s="973"/>
      <c r="ZP35" s="974"/>
      <c r="ZQ35" s="972"/>
      <c r="ZR35" s="973"/>
      <c r="ZS35" s="974"/>
      <c r="ZT35" s="972"/>
      <c r="ZU35" s="973"/>
      <c r="ZV35" s="974"/>
      <c r="ZW35" s="972"/>
      <c r="ZX35" s="973"/>
      <c r="ZY35" s="974"/>
      <c r="ZZ35" s="972"/>
      <c r="AAA35" s="973"/>
      <c r="AAB35" s="974"/>
      <c r="AAC35" s="972"/>
      <c r="AAD35" s="973"/>
      <c r="AAE35" s="974"/>
      <c r="AAF35" s="972"/>
      <c r="AAG35" s="973"/>
      <c r="AAH35" s="974"/>
      <c r="AAI35" s="972"/>
      <c r="AAJ35" s="973"/>
      <c r="AAK35" s="974"/>
      <c r="AAL35" s="972"/>
      <c r="AAM35" s="973"/>
      <c r="AAN35" s="974"/>
      <c r="AAO35" s="972"/>
      <c r="AAP35" s="973"/>
      <c r="AAQ35" s="974"/>
      <c r="AAR35" s="972"/>
      <c r="AAS35" s="973"/>
      <c r="AAT35" s="974"/>
      <c r="AAU35" s="972"/>
      <c r="AAV35" s="973"/>
      <c r="AAW35" s="974"/>
      <c r="AAX35" s="972"/>
      <c r="AAY35" s="973"/>
      <c r="AAZ35" s="974"/>
      <c r="ABA35" s="972"/>
      <c r="ABB35" s="973"/>
      <c r="ABC35" s="974"/>
      <c r="ABD35" s="972"/>
      <c r="ABE35" s="973"/>
      <c r="ABF35" s="974"/>
      <c r="ABG35" s="972"/>
      <c r="ABH35" s="973"/>
      <c r="ABI35" s="974"/>
      <c r="ABJ35" s="972"/>
      <c r="ABK35" s="973"/>
      <c r="ABL35" s="974"/>
      <c r="ABM35" s="972"/>
      <c r="ABN35" s="973"/>
      <c r="ABO35" s="974"/>
      <c r="ABP35" s="972"/>
      <c r="ABQ35" s="973"/>
      <c r="ABR35" s="974"/>
      <c r="ABS35" s="972"/>
      <c r="ABT35" s="973"/>
      <c r="ABU35" s="974"/>
      <c r="ABV35" s="972"/>
      <c r="ABW35" s="973"/>
      <c r="ABX35" s="974"/>
      <c r="ABY35" s="972"/>
      <c r="ABZ35" s="973"/>
      <c r="ACA35" s="974"/>
      <c r="ACB35" s="972"/>
      <c r="ACC35" s="973"/>
      <c r="ACD35" s="974"/>
      <c r="ACE35" s="972"/>
      <c r="ACF35" s="973"/>
      <c r="ACG35" s="974"/>
      <c r="ACH35" s="972"/>
      <c r="ACI35" s="973"/>
      <c r="ACJ35" s="974"/>
      <c r="ACK35" s="972"/>
      <c r="ACL35" s="973"/>
      <c r="ACM35" s="974"/>
      <c r="ACN35" s="972"/>
      <c r="ACO35" s="973"/>
      <c r="ACP35" s="974"/>
      <c r="ACQ35" s="972"/>
      <c r="ACR35" s="973"/>
      <c r="ACS35" s="974"/>
      <c r="ACT35" s="972"/>
      <c r="ACU35" s="973"/>
      <c r="ACV35" s="974"/>
      <c r="ACW35" s="972"/>
      <c r="ACX35" s="973"/>
      <c r="ACY35" s="974"/>
      <c r="ACZ35" s="972"/>
      <c r="ADA35" s="973"/>
      <c r="ADB35" s="974"/>
      <c r="ADC35" s="972"/>
      <c r="ADD35" s="973"/>
      <c r="ADE35" s="974"/>
      <c r="ADF35" s="972"/>
      <c r="ADG35" s="973"/>
      <c r="ADH35" s="974"/>
      <c r="ADI35" s="972"/>
      <c r="ADJ35" s="973"/>
      <c r="ADK35" s="974"/>
      <c r="ADL35" s="972"/>
      <c r="ADM35" s="973"/>
      <c r="ADN35" s="974"/>
      <c r="ADO35" s="972"/>
      <c r="ADP35" s="973"/>
      <c r="ADQ35" s="974"/>
      <c r="ADR35" s="972"/>
      <c r="ADS35" s="973"/>
      <c r="ADT35" s="974"/>
      <c r="ADU35" s="972"/>
      <c r="ADV35" s="973"/>
      <c r="ADW35" s="974"/>
      <c r="ADX35" s="972"/>
      <c r="ADY35" s="973"/>
      <c r="ADZ35" s="974"/>
      <c r="AEA35" s="972"/>
      <c r="AEB35" s="973"/>
      <c r="AEC35" s="974"/>
      <c r="AED35" s="972"/>
      <c r="AEE35" s="973"/>
      <c r="AEF35" s="974"/>
      <c r="AEG35" s="972"/>
      <c r="AEH35" s="973"/>
      <c r="AEI35" s="974"/>
      <c r="AEJ35" s="972"/>
      <c r="AEK35" s="973"/>
      <c r="AEL35" s="974"/>
      <c r="AEM35" s="972"/>
      <c r="AEN35" s="973"/>
      <c r="AEO35" s="974"/>
      <c r="AEP35" s="972"/>
      <c r="AEQ35" s="973"/>
      <c r="AER35" s="974"/>
      <c r="AES35" s="972"/>
      <c r="AET35" s="973"/>
      <c r="AEU35" s="974"/>
      <c r="AEV35" s="972"/>
      <c r="AEW35" s="973"/>
      <c r="AEX35" s="974"/>
      <c r="AEY35" s="972"/>
      <c r="AEZ35" s="973"/>
      <c r="AFA35" s="974"/>
      <c r="AFB35" s="972"/>
      <c r="AFC35" s="973"/>
      <c r="AFD35" s="974"/>
      <c r="AFE35" s="972"/>
      <c r="AFF35" s="973"/>
      <c r="AFG35" s="974"/>
      <c r="AFH35" s="972"/>
      <c r="AFI35" s="973"/>
      <c r="AFJ35" s="974"/>
      <c r="AFK35" s="972"/>
      <c r="AFL35" s="973"/>
      <c r="AFM35" s="974"/>
      <c r="AFN35" s="972"/>
      <c r="AFO35" s="973"/>
      <c r="AFP35" s="974"/>
      <c r="AFQ35" s="972"/>
      <c r="AFR35" s="973"/>
      <c r="AFS35" s="974"/>
      <c r="AFT35" s="972"/>
      <c r="AFU35" s="973"/>
      <c r="AFV35" s="974"/>
      <c r="AFW35" s="972"/>
      <c r="AFX35" s="973"/>
      <c r="AFY35" s="974"/>
      <c r="AFZ35" s="972"/>
      <c r="AGA35" s="973"/>
      <c r="AGB35" s="974"/>
      <c r="AGC35" s="972"/>
      <c r="AGD35" s="973"/>
      <c r="AGE35" s="974"/>
      <c r="AGF35" s="1265"/>
      <c r="AGG35" s="1204"/>
      <c r="AGH35" s="1205"/>
      <c r="AGI35" s="972"/>
      <c r="AGJ35" s="973"/>
      <c r="AGK35" s="974"/>
      <c r="AGL35" s="972"/>
      <c r="AGM35" s="973"/>
      <c r="AGN35" s="974"/>
      <c r="AGO35" s="972"/>
      <c r="AGP35" s="973"/>
      <c r="AGQ35" s="974"/>
      <c r="AGR35" s="972"/>
      <c r="AGS35" s="973"/>
      <c r="AGT35" s="974"/>
      <c r="AGU35" s="972"/>
      <c r="AGV35" s="973"/>
      <c r="AGW35" s="974"/>
      <c r="AGX35" s="972"/>
      <c r="AGY35" s="973"/>
      <c r="AGZ35" s="974"/>
      <c r="AHA35" s="972"/>
      <c r="AHB35" s="973"/>
      <c r="AHC35" s="974"/>
      <c r="AHD35" s="972"/>
      <c r="AHE35" s="973"/>
      <c r="AHF35" s="974"/>
      <c r="AHG35" s="972"/>
      <c r="AHH35" s="973"/>
      <c r="AHI35" s="974"/>
      <c r="AHJ35" s="972"/>
      <c r="AHK35" s="973"/>
      <c r="AHL35" s="974"/>
      <c r="AHM35" s="972"/>
      <c r="AHN35" s="973"/>
      <c r="AHO35" s="974"/>
      <c r="AHP35" s="972"/>
      <c r="AHQ35" s="973"/>
      <c r="AHR35" s="974"/>
      <c r="AHS35" s="972"/>
      <c r="AHT35" s="973"/>
      <c r="AHU35" s="974"/>
      <c r="AHV35" s="972"/>
      <c r="AHW35" s="973"/>
      <c r="AHX35" s="974"/>
      <c r="AHY35" s="972"/>
      <c r="AHZ35" s="973"/>
      <c r="AIA35" s="974"/>
      <c r="AIB35" s="972"/>
      <c r="AIC35" s="973"/>
      <c r="AID35" s="974"/>
      <c r="AIE35" s="972"/>
      <c r="AIF35" s="973"/>
      <c r="AIG35" s="974"/>
      <c r="AIH35" s="1291">
        <v>17</v>
      </c>
      <c r="AII35" s="1292"/>
      <c r="AIJ35" s="1293"/>
      <c r="AIK35" s="1291">
        <v>16</v>
      </c>
      <c r="AIL35" s="1292"/>
      <c r="AIM35" s="1293"/>
      <c r="AIN35" s="1291">
        <v>18</v>
      </c>
      <c r="AIO35" s="1292"/>
      <c r="AIP35" s="1293"/>
      <c r="AIQ35" s="1291">
        <v>13</v>
      </c>
      <c r="AIR35" s="1292"/>
      <c r="AIS35" s="1293"/>
      <c r="AIT35" s="1291">
        <v>13</v>
      </c>
      <c r="AIU35" s="1292"/>
      <c r="AIV35" s="1293"/>
      <c r="AIW35" s="1291">
        <v>14</v>
      </c>
      <c r="AIX35" s="1292"/>
      <c r="AIY35" s="1293"/>
      <c r="AIZ35" s="1291"/>
      <c r="AJA35" s="1292"/>
      <c r="AJB35" s="1293"/>
      <c r="AJC35" s="1291"/>
      <c r="AJD35" s="1292"/>
      <c r="AJE35" s="1293"/>
      <c r="AJF35" s="1291">
        <v>0</v>
      </c>
      <c r="AJG35" s="1292"/>
      <c r="AJH35" s="1293"/>
      <c r="AJI35" s="1291">
        <v>21</v>
      </c>
      <c r="AJJ35" s="1292"/>
      <c r="AJK35" s="1293"/>
      <c r="AJL35" s="1291">
        <v>15</v>
      </c>
      <c r="AJM35" s="1292"/>
      <c r="AJN35" s="1293"/>
      <c r="AJO35" s="1291">
        <v>13</v>
      </c>
      <c r="AJP35" s="1292"/>
      <c r="AJQ35" s="1293"/>
      <c r="AJR35" s="1291">
        <v>13</v>
      </c>
      <c r="AJS35" s="1292"/>
      <c r="AJT35" s="1293"/>
      <c r="AJU35" s="1291">
        <v>0</v>
      </c>
      <c r="AJV35" s="1292"/>
      <c r="AJW35" s="1293"/>
      <c r="AJX35" s="1291">
        <v>17</v>
      </c>
      <c r="AJY35" s="1292"/>
      <c r="AJZ35" s="1293"/>
      <c r="AKA35" s="1291">
        <v>11</v>
      </c>
      <c r="AKB35" s="1292"/>
      <c r="AKC35" s="1293"/>
      <c r="AKD35" s="1291">
        <v>13</v>
      </c>
      <c r="AKE35" s="1292"/>
      <c r="AKF35" s="1293"/>
      <c r="AKG35" s="1291">
        <v>16</v>
      </c>
      <c r="AKH35" s="1292"/>
      <c r="AKI35" s="1293"/>
      <c r="AKJ35" s="1291">
        <v>11</v>
      </c>
      <c r="AKK35" s="1292"/>
      <c r="AKL35" s="1293"/>
      <c r="AKM35" s="1291">
        <v>7</v>
      </c>
      <c r="AKN35" s="1292"/>
      <c r="AKO35" s="1293"/>
      <c r="AKP35" s="1291"/>
      <c r="AKQ35" s="1292"/>
      <c r="AKR35" s="1293"/>
      <c r="AKS35" s="1291">
        <v>25</v>
      </c>
      <c r="AKT35" s="1292"/>
      <c r="AKU35" s="1293"/>
      <c r="AKV35" s="1291">
        <v>14</v>
      </c>
      <c r="AKW35" s="1292"/>
      <c r="AKX35" s="1293"/>
      <c r="AKY35" s="1291">
        <v>30</v>
      </c>
      <c r="AKZ35" s="1292"/>
      <c r="ALA35" s="1293"/>
      <c r="ALB35" s="1291" t="s">
        <v>20</v>
      </c>
      <c r="ALC35" s="1292"/>
      <c r="ALD35" s="1293"/>
      <c r="ALE35" s="1291">
        <v>19</v>
      </c>
      <c r="ALF35" s="1292"/>
      <c r="ALG35" s="1293"/>
      <c r="ALH35" s="1291">
        <v>26</v>
      </c>
      <c r="ALI35" s="1292"/>
      <c r="ALJ35" s="1293"/>
      <c r="ALK35" s="1291"/>
      <c r="ALL35" s="1292"/>
      <c r="ALM35" s="1293"/>
      <c r="ALN35" s="1291">
        <v>15</v>
      </c>
      <c r="ALO35" s="1292"/>
      <c r="ALP35" s="1293"/>
      <c r="ALQ35" s="1291">
        <v>14</v>
      </c>
      <c r="ALR35" s="1292"/>
      <c r="ALS35" s="1293"/>
      <c r="ALT35" s="1291">
        <v>18</v>
      </c>
      <c r="ALU35" s="1292"/>
      <c r="ALV35" s="1293"/>
      <c r="ALW35" s="1291">
        <v>14</v>
      </c>
      <c r="ALX35" s="1292"/>
      <c r="ALY35" s="1293"/>
      <c r="ALZ35" s="1291"/>
      <c r="AMA35" s="1292"/>
      <c r="AMB35" s="1293"/>
      <c r="AMC35" s="1291">
        <v>16</v>
      </c>
      <c r="AMD35" s="1292"/>
      <c r="AME35" s="1293"/>
      <c r="AMF35" s="1291"/>
      <c r="AMG35" s="1292"/>
      <c r="AMH35" s="1293"/>
      <c r="AMI35" s="1291">
        <v>27</v>
      </c>
      <c r="AMJ35" s="1292"/>
      <c r="AMK35" s="1293"/>
      <c r="AML35" s="1291">
        <v>21</v>
      </c>
      <c r="AMM35" s="1292"/>
      <c r="AMN35" s="1293"/>
      <c r="AMO35" s="1291">
        <v>15</v>
      </c>
      <c r="AMP35" s="1292"/>
      <c r="AMQ35" s="1293"/>
      <c r="AMR35" s="1291">
        <v>15</v>
      </c>
      <c r="AMS35" s="1292"/>
      <c r="AMT35" s="1293"/>
      <c r="AMU35" s="1291">
        <v>14</v>
      </c>
      <c r="AMV35" s="1292"/>
      <c r="AMW35" s="1293"/>
      <c r="AMX35" s="1291">
        <v>15</v>
      </c>
      <c r="AMY35" s="1292"/>
      <c r="AMZ35" s="1293"/>
      <c r="ANA35" s="1291"/>
      <c r="ANB35" s="1292"/>
      <c r="ANC35" s="1293"/>
      <c r="AND35" s="1291">
        <v>17</v>
      </c>
      <c r="ANE35" s="1292"/>
      <c r="ANF35" s="1293"/>
      <c r="ANG35" s="1291">
        <v>14</v>
      </c>
      <c r="ANH35" s="1292"/>
      <c r="ANI35" s="1293"/>
      <c r="ANJ35" s="1291">
        <v>7</v>
      </c>
      <c r="ANK35" s="1292"/>
      <c r="ANL35" s="1293"/>
      <c r="ANM35" s="1291">
        <v>16</v>
      </c>
      <c r="ANN35" s="1292"/>
      <c r="ANO35" s="1293"/>
      <c r="ANP35" s="1291">
        <v>12</v>
      </c>
      <c r="ANQ35" s="1292"/>
      <c r="ANR35" s="1293"/>
      <c r="ANS35" s="1291">
        <v>14</v>
      </c>
      <c r="ANT35" s="1292"/>
      <c r="ANU35" s="1293"/>
      <c r="ANV35" s="1291"/>
      <c r="ANW35" s="1292"/>
      <c r="ANX35" s="1293"/>
      <c r="ANY35" s="1291">
        <v>23</v>
      </c>
      <c r="ANZ35" s="1292"/>
      <c r="AOA35" s="1293"/>
      <c r="AOB35" s="1291">
        <v>18</v>
      </c>
      <c r="AOC35" s="1292"/>
      <c r="AOD35" s="1293"/>
      <c r="AOE35" s="1291">
        <v>20</v>
      </c>
      <c r="AOF35" s="1292"/>
      <c r="AOG35" s="1293"/>
      <c r="AOH35" s="1291">
        <v>22</v>
      </c>
      <c r="AOI35" s="1292"/>
      <c r="AOJ35" s="1293"/>
      <c r="AOK35" s="1291">
        <v>10</v>
      </c>
      <c r="AOL35" s="1292"/>
      <c r="AOM35" s="1293"/>
      <c r="AON35" s="1291">
        <v>19</v>
      </c>
      <c r="AOO35" s="1292"/>
      <c r="AOP35" s="1293"/>
      <c r="AOQ35" s="1291"/>
      <c r="AOR35" s="1292"/>
      <c r="AOS35" s="1293"/>
      <c r="AOT35" s="1291">
        <v>20</v>
      </c>
      <c r="AOU35" s="1292"/>
      <c r="AOV35" s="1293"/>
      <c r="AOW35" s="1291">
        <v>17</v>
      </c>
      <c r="AOX35" s="1292"/>
      <c r="AOY35" s="1293"/>
      <c r="AOZ35" s="1291">
        <v>18</v>
      </c>
      <c r="APA35" s="1292"/>
      <c r="APB35" s="1293"/>
      <c r="APC35" s="1291">
        <v>19</v>
      </c>
      <c r="APD35" s="1292"/>
      <c r="APE35" s="1293"/>
      <c r="APF35" s="1291">
        <v>13</v>
      </c>
      <c r="APG35" s="1292"/>
      <c r="APH35" s="1293"/>
      <c r="API35" s="1291">
        <v>11</v>
      </c>
      <c r="APJ35" s="1292"/>
      <c r="APK35" s="1293"/>
      <c r="APL35" s="1291"/>
      <c r="APM35" s="1292"/>
      <c r="APN35" s="1293"/>
      <c r="APO35" s="1291">
        <v>12</v>
      </c>
      <c r="APP35" s="1292"/>
      <c r="APQ35" s="1293"/>
      <c r="APR35" s="1291">
        <v>7</v>
      </c>
      <c r="APS35" s="1292"/>
      <c r="APT35" s="1293"/>
      <c r="APU35" s="1291">
        <v>10</v>
      </c>
      <c r="APV35" s="1292"/>
      <c r="APW35" s="1293"/>
      <c r="APX35" s="1291">
        <v>18</v>
      </c>
      <c r="APY35" s="1292"/>
      <c r="APZ35" s="1293"/>
      <c r="AQA35" s="1291">
        <v>14</v>
      </c>
      <c r="AQB35" s="1292"/>
      <c r="AQC35" s="1293"/>
      <c r="AQD35" s="1291">
        <v>20</v>
      </c>
      <c r="AQE35" s="1292"/>
      <c r="AQF35" s="1293"/>
      <c r="AQG35" s="1291"/>
      <c r="AQH35" s="1292"/>
      <c r="AQI35" s="1293"/>
      <c r="AQJ35" s="1291">
        <v>19</v>
      </c>
      <c r="AQK35" s="1292"/>
      <c r="AQL35" s="1293"/>
      <c r="AQM35" s="1291">
        <v>15</v>
      </c>
      <c r="AQN35" s="1292"/>
      <c r="AQO35" s="1293"/>
      <c r="AQP35" s="1291">
        <v>15</v>
      </c>
      <c r="AQQ35" s="1292"/>
      <c r="AQR35" s="1292"/>
      <c r="AQS35" s="1291">
        <v>19</v>
      </c>
      <c r="AQT35" s="1292"/>
      <c r="AQU35" s="1293"/>
      <c r="AQV35" s="1292">
        <v>13</v>
      </c>
      <c r="AQW35" s="1292"/>
      <c r="AQX35" s="1293"/>
      <c r="AQY35" s="1291">
        <v>15</v>
      </c>
      <c r="AQZ35" s="1292"/>
      <c r="ARA35" s="1293"/>
      <c r="ARB35" s="1291" t="s">
        <v>20</v>
      </c>
      <c r="ARC35" s="1292"/>
      <c r="ARD35" s="1293"/>
      <c r="ARE35" s="1291" t="s">
        <v>20</v>
      </c>
      <c r="ARF35" s="1292"/>
      <c r="ARG35" s="1293"/>
      <c r="ARH35" s="1291">
        <v>7</v>
      </c>
      <c r="ARI35" s="1292"/>
      <c r="ARJ35" s="1293"/>
      <c r="ARK35" s="1292"/>
      <c r="ARL35" s="1292"/>
      <c r="ARM35" s="1293"/>
      <c r="ARN35" s="1291"/>
      <c r="ARO35" s="1292"/>
      <c r="ARP35" s="1293"/>
      <c r="ARQ35" s="1292">
        <v>7</v>
      </c>
      <c r="ARR35" s="1292"/>
      <c r="ARS35" s="1293"/>
      <c r="ART35" s="1292">
        <v>7</v>
      </c>
      <c r="ARU35" s="1292"/>
      <c r="ARV35" s="1293"/>
      <c r="ARW35" s="1292"/>
      <c r="ARX35" s="1292"/>
      <c r="ARY35" s="1293"/>
      <c r="ARZ35" s="1291">
        <v>3</v>
      </c>
      <c r="ASA35" s="1292"/>
      <c r="ASB35" s="1293"/>
      <c r="ASC35" s="1291">
        <v>6</v>
      </c>
      <c r="ASD35" s="1292"/>
      <c r="ASE35" s="1293"/>
      <c r="ASF35" s="1291"/>
      <c r="ASG35" s="1292"/>
      <c r="ASH35" s="1293"/>
      <c r="ASI35" s="1291"/>
      <c r="ASJ35" s="1292"/>
      <c r="ASK35" s="1293"/>
      <c r="ASL35" s="1291">
        <v>2</v>
      </c>
      <c r="ASM35" s="1292"/>
      <c r="ASN35" s="1293"/>
      <c r="ASO35" s="1291">
        <v>5</v>
      </c>
      <c r="ASP35" s="1292"/>
      <c r="ASQ35" s="1292"/>
      <c r="ASR35" s="1291"/>
      <c r="ASS35" s="1292"/>
      <c r="AST35" s="1293"/>
      <c r="ASU35" s="1291"/>
      <c r="ASV35" s="1292"/>
      <c r="ASW35" s="1293"/>
      <c r="ASX35" s="1291"/>
      <c r="ASY35" s="1292"/>
      <c r="ASZ35" s="1293"/>
      <c r="ATA35" s="1291"/>
      <c r="ATB35" s="1292"/>
      <c r="ATC35" s="1293"/>
      <c r="ATD35" s="1291"/>
      <c r="ATE35" s="1292"/>
      <c r="ATF35" s="1293"/>
      <c r="ATG35" s="1291"/>
      <c r="ATH35" s="1292"/>
      <c r="ATI35" s="1293"/>
      <c r="ATJ35" s="1291"/>
      <c r="ATK35" s="1292"/>
      <c r="ATL35" s="1293"/>
      <c r="ATM35" s="1291"/>
      <c r="ATN35" s="1292"/>
      <c r="ATO35" s="1293"/>
      <c r="ATP35" s="1291"/>
      <c r="ATQ35" s="1292"/>
      <c r="ATR35" s="1293"/>
      <c r="ATS35" s="1291">
        <v>4</v>
      </c>
      <c r="ATT35" s="1292"/>
      <c r="ATU35" s="1293"/>
      <c r="ATV35" s="1292">
        <v>4</v>
      </c>
      <c r="ATW35" s="1292"/>
      <c r="ATX35" s="1293"/>
      <c r="ATY35" s="1291">
        <v>7</v>
      </c>
      <c r="ATZ35" s="1292"/>
      <c r="AUA35" s="1293"/>
      <c r="AUB35" s="1291">
        <v>1</v>
      </c>
      <c r="AUC35" s="1292"/>
      <c r="AUD35" s="1293"/>
      <c r="AUE35" s="1291"/>
      <c r="AUF35" s="1292"/>
      <c r="AUG35" s="1293"/>
      <c r="AUH35" s="1291"/>
      <c r="AUI35" s="1292"/>
      <c r="AUJ35" s="1293"/>
      <c r="AUK35" s="1291"/>
      <c r="AUL35" s="1292"/>
      <c r="AUM35" s="1292"/>
      <c r="AUN35" s="1291">
        <v>2</v>
      </c>
      <c r="AUO35" s="1292"/>
      <c r="AUP35" s="1292"/>
      <c r="AUQ35" s="1291">
        <v>14</v>
      </c>
      <c r="AUR35" s="1292"/>
      <c r="AUS35" s="1292"/>
      <c r="AUT35" s="1291">
        <v>7</v>
      </c>
      <c r="AUU35" s="1292"/>
      <c r="AUV35" s="1292"/>
      <c r="AUW35" s="1291">
        <v>21</v>
      </c>
      <c r="AUX35" s="1292"/>
      <c r="AUY35" s="1292"/>
      <c r="AUZ35" s="1291">
        <v>12</v>
      </c>
      <c r="AVA35" s="1292"/>
      <c r="AVB35" s="1292"/>
      <c r="AVC35" s="1291"/>
      <c r="AVD35" s="1292"/>
      <c r="AVE35" s="1292"/>
      <c r="AVF35" s="1291">
        <v>11</v>
      </c>
      <c r="AVG35" s="1292"/>
      <c r="AVH35" s="1292"/>
      <c r="AVI35" s="1291"/>
      <c r="AVJ35" s="1292"/>
      <c r="AVK35" s="1292"/>
      <c r="AVL35" s="1291">
        <v>3</v>
      </c>
      <c r="AVM35" s="1292"/>
      <c r="AVN35" s="1292"/>
      <c r="AVO35" s="1291">
        <v>6</v>
      </c>
      <c r="AVP35" s="1292"/>
      <c r="AVQ35" s="1292"/>
      <c r="AVR35" s="1291"/>
      <c r="AVS35" s="1292"/>
      <c r="AVT35" s="1292"/>
      <c r="AVU35" s="1291"/>
      <c r="AVV35" s="1292"/>
      <c r="AVW35" s="1292"/>
      <c r="AVX35" s="1291"/>
      <c r="AVY35" s="1292"/>
      <c r="AVZ35" s="1292"/>
      <c r="AWA35" s="1291"/>
      <c r="AWB35" s="1292"/>
      <c r="AWC35" s="1292"/>
      <c r="AWD35" s="1291"/>
      <c r="AWE35" s="1292"/>
      <c r="AWF35" s="1292"/>
      <c r="AWG35" s="1291"/>
      <c r="AWH35" s="1292"/>
      <c r="AWI35" s="1292"/>
      <c r="AWJ35" s="1291"/>
      <c r="AWK35" s="1292"/>
      <c r="AWL35" s="1292"/>
      <c r="AWM35" s="1291"/>
      <c r="AWN35" s="1292"/>
      <c r="AWO35" s="1293"/>
      <c r="AWP35" s="1292"/>
      <c r="AWQ35" s="1292"/>
      <c r="AWR35" s="1293"/>
      <c r="AWS35" s="1291"/>
      <c r="AWT35" s="1292"/>
      <c r="AWU35" s="1293"/>
      <c r="AWV35" s="1291"/>
      <c r="AWW35" s="1292"/>
      <c r="AWX35" s="1293"/>
      <c r="AWY35" s="1291"/>
      <c r="AWZ35" s="1292"/>
      <c r="AXA35" s="1293"/>
      <c r="AXB35" s="1291"/>
      <c r="AXC35" s="1292"/>
      <c r="AXD35" s="1293"/>
      <c r="AXE35" s="1291"/>
      <c r="AXF35" s="1292"/>
      <c r="AXG35" s="1293"/>
      <c r="AXH35" s="1291"/>
      <c r="AXI35" s="1292"/>
      <c r="AXJ35" s="1293"/>
      <c r="AXK35" s="1291"/>
      <c r="AXL35" s="1292"/>
      <c r="AXM35" s="1293"/>
      <c r="AXN35" s="1291"/>
      <c r="AXO35" s="1292"/>
      <c r="AXP35" s="1293"/>
      <c r="AXQ35" s="1291"/>
      <c r="AXR35" s="1292"/>
      <c r="AXS35" s="1293"/>
      <c r="AXT35" s="1291"/>
      <c r="AXU35" s="1292"/>
      <c r="AXV35" s="1293"/>
      <c r="AXW35" s="1291"/>
      <c r="AXX35" s="1292"/>
      <c r="AXY35" s="1293"/>
      <c r="AXZ35" s="1291"/>
      <c r="AYA35" s="1292"/>
      <c r="AYB35" s="1293"/>
      <c r="AYC35" s="1291"/>
      <c r="AYD35" s="1292"/>
      <c r="AYE35" s="1293"/>
      <c r="AYF35" s="1291"/>
      <c r="AYG35" s="1292"/>
      <c r="AYH35" s="1293"/>
      <c r="AYI35" s="1291"/>
      <c r="AYJ35" s="1292"/>
      <c r="AYK35" s="1293"/>
      <c r="AYL35" s="1291"/>
      <c r="AYM35" s="1292"/>
      <c r="AYN35" s="1293"/>
      <c r="AYO35" s="1291"/>
      <c r="AYP35" s="1292"/>
      <c r="AYQ35" s="1293"/>
      <c r="AYR35" s="1291"/>
      <c r="AYS35" s="1292"/>
      <c r="AYT35" s="1293"/>
      <c r="AYU35" s="1291"/>
      <c r="AYV35" s="1292"/>
      <c r="AYW35" s="1293"/>
      <c r="AYX35" s="1291"/>
      <c r="AYY35" s="1292"/>
      <c r="AYZ35" s="1293"/>
      <c r="AZA35" s="1291"/>
      <c r="AZB35" s="1292"/>
      <c r="AZC35" s="1293"/>
      <c r="AZD35" s="1291"/>
      <c r="AZE35" s="1292"/>
      <c r="AZF35" s="1293"/>
      <c r="AZG35" s="1291"/>
      <c r="AZH35" s="1292"/>
      <c r="AZI35" s="1293"/>
      <c r="AZJ35" s="1291"/>
      <c r="AZK35" s="1292"/>
      <c r="AZL35" s="1293"/>
      <c r="AZM35" s="1291"/>
      <c r="AZN35" s="1292"/>
      <c r="AZO35" s="1293"/>
      <c r="AZP35" s="1291"/>
      <c r="AZQ35" s="1292"/>
      <c r="AZR35" s="1293"/>
      <c r="AZS35" s="1291"/>
      <c r="AZT35" s="1292"/>
      <c r="AZU35" s="1293"/>
      <c r="AZV35" s="1291"/>
      <c r="AZW35" s="1292"/>
      <c r="AZX35" s="1293"/>
      <c r="AZY35" s="1291"/>
      <c r="AZZ35" s="1292"/>
      <c r="BAA35" s="1293"/>
      <c r="BAB35" s="1291"/>
      <c r="BAC35" s="1292"/>
      <c r="BAD35" s="1293"/>
      <c r="BAE35" s="1291"/>
      <c r="BAF35" s="1292"/>
      <c r="BAG35" s="1293"/>
      <c r="BAH35" s="1291"/>
      <c r="BAI35" s="1292"/>
      <c r="BAJ35" s="1293"/>
    </row>
    <row r="36" spans="1:1399">
      <c r="B36" s="1251" t="s">
        <v>361</v>
      </c>
      <c r="C36" s="1252"/>
      <c r="D36" s="1253"/>
      <c r="E36" s="1254" t="s">
        <v>349</v>
      </c>
      <c r="F36" s="1316"/>
      <c r="G36" s="1316"/>
      <c r="H36" s="1358"/>
      <c r="I36" s="1316">
        <v>0.26250000000000001</v>
      </c>
      <c r="J36" s="1316"/>
      <c r="K36" s="1358"/>
      <c r="L36" s="1316" t="s">
        <v>20</v>
      </c>
      <c r="M36" s="1316"/>
      <c r="N36" s="1358"/>
      <c r="O36" s="1316">
        <v>0.27500000000000002</v>
      </c>
      <c r="P36" s="1316"/>
      <c r="Q36" s="1358"/>
      <c r="R36" s="1316">
        <v>0.23472222222222222</v>
      </c>
      <c r="S36" s="1316"/>
      <c r="T36" s="1358"/>
      <c r="U36" s="1316">
        <v>0.26666666666666666</v>
      </c>
      <c r="V36" s="1316"/>
      <c r="W36" s="1358"/>
      <c r="X36" s="1316">
        <v>0.24305555555555555</v>
      </c>
      <c r="Y36" s="1316"/>
      <c r="Z36" s="1358"/>
      <c r="AA36" s="1316">
        <v>0.30138888888888887</v>
      </c>
      <c r="AB36" s="1316"/>
      <c r="AC36" s="1358"/>
      <c r="AD36" s="1316">
        <v>0.25</v>
      </c>
      <c r="AE36" s="1316"/>
      <c r="AF36" s="1358"/>
      <c r="AG36" s="1316" t="s">
        <v>20</v>
      </c>
      <c r="AH36" s="1316"/>
      <c r="AI36" s="1358"/>
      <c r="AJ36" s="1316">
        <v>0.24861111111111112</v>
      </c>
      <c r="AK36" s="1316"/>
      <c r="AL36" s="1358"/>
      <c r="AM36" s="1316">
        <v>0.28819444444444442</v>
      </c>
      <c r="AN36" s="1316"/>
      <c r="AO36" s="1358"/>
      <c r="AP36" s="1316">
        <v>0.2361111111111111</v>
      </c>
      <c r="AQ36" s="1316"/>
      <c r="AR36" s="1358"/>
      <c r="AS36" s="1316">
        <v>0.3125</v>
      </c>
      <c r="AT36" s="1316"/>
      <c r="AU36" s="1358"/>
      <c r="AV36" s="1316">
        <v>0.38263888888888886</v>
      </c>
      <c r="AW36" s="1316"/>
      <c r="AX36" s="1358"/>
      <c r="AY36" s="1316">
        <v>0.25</v>
      </c>
      <c r="AZ36" s="1316"/>
      <c r="BA36" s="1358"/>
      <c r="BB36" s="1316"/>
      <c r="BC36" s="1316"/>
      <c r="BD36" s="1358"/>
      <c r="BE36" s="1316">
        <v>0.25</v>
      </c>
      <c r="BF36" s="1316"/>
      <c r="BG36" s="1358"/>
      <c r="BH36" s="1316">
        <v>0.25833333333333336</v>
      </c>
      <c r="BI36" s="1316"/>
      <c r="BJ36" s="1358"/>
      <c r="BK36" s="1316">
        <v>0.24374999999999999</v>
      </c>
      <c r="BL36" s="1316"/>
      <c r="BM36" s="1358"/>
      <c r="BN36" s="1316">
        <v>0.27986111111111112</v>
      </c>
      <c r="BO36" s="1316"/>
      <c r="BP36" s="1358"/>
      <c r="BQ36" s="1316">
        <v>0.30902777777777779</v>
      </c>
      <c r="BR36" s="1316"/>
      <c r="BS36" s="1358"/>
      <c r="BT36" s="1316">
        <v>0.2638888888888889</v>
      </c>
      <c r="BU36" s="1316"/>
      <c r="BV36" s="1358"/>
      <c r="BW36" s="1316"/>
      <c r="BX36" s="1316"/>
      <c r="BY36" s="1358"/>
      <c r="BZ36" s="1316">
        <v>0.27083333333333331</v>
      </c>
      <c r="CA36" s="1316"/>
      <c r="CB36" s="1358"/>
      <c r="CC36" s="1316">
        <v>0.38472222222222224</v>
      </c>
      <c r="CD36" s="1316"/>
      <c r="CE36" s="1358"/>
      <c r="CF36" s="1316">
        <v>0.2673611111111111</v>
      </c>
      <c r="CG36" s="1316"/>
      <c r="CH36" s="1358"/>
      <c r="CI36" s="1316">
        <v>0.28472222222222221</v>
      </c>
      <c r="CJ36" s="1316"/>
      <c r="CK36" s="1358"/>
      <c r="CL36" s="1316">
        <v>0.33680555555555558</v>
      </c>
      <c r="CM36" s="1316"/>
      <c r="CN36" s="1358"/>
      <c r="CO36" s="1316">
        <v>0.27152777777777776</v>
      </c>
      <c r="CP36" s="1316"/>
      <c r="CQ36" s="1358"/>
      <c r="CR36" s="1316"/>
      <c r="CS36" s="1316"/>
      <c r="CT36" s="1358"/>
      <c r="CU36" s="1405" t="s">
        <v>20</v>
      </c>
      <c r="CV36" s="1405"/>
      <c r="CW36" s="1406"/>
      <c r="CX36" s="1316">
        <v>0.24374999999999999</v>
      </c>
      <c r="CY36" s="1316"/>
      <c r="CZ36" s="1358"/>
      <c r="DA36" s="1316">
        <v>0.2361111111111111</v>
      </c>
      <c r="DB36" s="1316"/>
      <c r="DC36" s="1358"/>
      <c r="DD36" s="1316">
        <v>0.25</v>
      </c>
      <c r="DE36" s="1316"/>
      <c r="DF36" s="1358"/>
      <c r="DG36" s="1316">
        <v>0.33541666666666664</v>
      </c>
      <c r="DH36" s="1316"/>
      <c r="DI36" s="1358"/>
      <c r="DJ36" s="1316">
        <v>0.22708333333333333</v>
      </c>
      <c r="DK36" s="1316"/>
      <c r="DL36" s="1358"/>
      <c r="DM36" s="1316"/>
      <c r="DN36" s="1316"/>
      <c r="DO36" s="1358"/>
      <c r="DP36" s="1316">
        <v>0.25208333333333333</v>
      </c>
      <c r="DQ36" s="1316"/>
      <c r="DR36" s="1358"/>
      <c r="DS36" s="1316">
        <v>0.25069444444444444</v>
      </c>
      <c r="DT36" s="1316"/>
      <c r="DU36" s="1358"/>
      <c r="DV36" s="1316">
        <v>0.28611111111111109</v>
      </c>
      <c r="DW36" s="1316"/>
      <c r="DX36" s="1358"/>
      <c r="DY36" s="1316">
        <v>0.29166666666666669</v>
      </c>
      <c r="DZ36" s="1316"/>
      <c r="EA36" s="1358"/>
      <c r="EB36" s="1316">
        <v>0.30833333333333335</v>
      </c>
      <c r="EC36" s="1316"/>
      <c r="ED36" s="1358"/>
      <c r="EE36" s="1316">
        <v>0.22916666666666666</v>
      </c>
      <c r="EF36" s="1316"/>
      <c r="EG36" s="1358"/>
      <c r="EH36" s="1321" t="s">
        <v>20</v>
      </c>
      <c r="EI36" s="1321"/>
      <c r="EJ36" s="1350"/>
      <c r="EK36" s="1316">
        <v>0.2326388888888889</v>
      </c>
      <c r="EL36" s="1316"/>
      <c r="EM36" s="1358"/>
      <c r="EN36" s="1316">
        <v>0.33263888888888887</v>
      </c>
      <c r="EO36" s="1316"/>
      <c r="EP36" s="1358"/>
      <c r="EQ36" s="1316">
        <v>0.2638888888888889</v>
      </c>
      <c r="ER36" s="1316"/>
      <c r="ES36" s="1358"/>
      <c r="ET36" s="1316">
        <v>0.2951388888888889</v>
      </c>
      <c r="EU36" s="1316"/>
      <c r="EV36" s="1358"/>
      <c r="EW36" s="1316">
        <v>0.31527777777777777</v>
      </c>
      <c r="EX36" s="1316"/>
      <c r="EY36" s="1358"/>
      <c r="EZ36" s="1316">
        <v>0.29166666666666669</v>
      </c>
      <c r="FA36" s="1316"/>
      <c r="FB36" s="1358"/>
      <c r="FC36" s="1316" t="s">
        <v>20</v>
      </c>
      <c r="FD36" s="1316"/>
      <c r="FE36" s="1358"/>
      <c r="FF36" s="1316" t="s">
        <v>20</v>
      </c>
      <c r="FG36" s="1316"/>
      <c r="FH36" s="1358"/>
      <c r="FI36" s="1316">
        <v>0.28888888888888886</v>
      </c>
      <c r="FJ36" s="1316"/>
      <c r="FK36" s="1358"/>
      <c r="FL36" s="1316">
        <v>0.33333333333333331</v>
      </c>
      <c r="FM36" s="1316"/>
      <c r="FN36" s="1358"/>
      <c r="FO36" s="1316">
        <v>0.30763888888888891</v>
      </c>
      <c r="FP36" s="1316"/>
      <c r="FQ36" s="1358"/>
      <c r="FR36" s="1316">
        <v>0.37013888888888891</v>
      </c>
      <c r="FS36" s="1316"/>
      <c r="FT36" s="1358"/>
      <c r="FU36" s="1316">
        <v>0.3</v>
      </c>
      <c r="FV36" s="1316"/>
      <c r="FW36" s="1358"/>
      <c r="FX36" s="1316" t="s">
        <v>20</v>
      </c>
      <c r="FY36" s="1316"/>
      <c r="FZ36" s="1358"/>
      <c r="GA36" s="1316">
        <v>0.28402777777777777</v>
      </c>
      <c r="GB36" s="1316"/>
      <c r="GC36" s="1358"/>
      <c r="GD36" s="1316">
        <v>0.2986111111111111</v>
      </c>
      <c r="GE36" s="1316"/>
      <c r="GF36" s="1358"/>
      <c r="GG36" s="1405" t="s">
        <v>20</v>
      </c>
      <c r="GH36" s="1405"/>
      <c r="GI36" s="1406"/>
      <c r="GJ36" s="1316">
        <v>0.28125</v>
      </c>
      <c r="GK36" s="1316"/>
      <c r="GL36" s="1358"/>
      <c r="GM36" s="1316">
        <v>0.29097222222222224</v>
      </c>
      <c r="GN36" s="1316"/>
      <c r="GO36" s="1358"/>
      <c r="GP36" s="1316">
        <v>0.22916666666666666</v>
      </c>
      <c r="GQ36" s="1316"/>
      <c r="GR36" s="1358"/>
      <c r="GS36" s="1316" t="s">
        <v>20</v>
      </c>
      <c r="GT36" s="1316"/>
      <c r="GU36" s="1358"/>
      <c r="GV36" s="1316">
        <v>0.26597222222222222</v>
      </c>
      <c r="GW36" s="1316"/>
      <c r="GX36" s="1358"/>
      <c r="GY36" s="1316">
        <v>0.32291666666666669</v>
      </c>
      <c r="GZ36" s="1316"/>
      <c r="HA36" s="1358"/>
      <c r="HB36" s="1316">
        <v>0.29930555555555555</v>
      </c>
      <c r="HC36" s="1316"/>
      <c r="HD36" s="1358"/>
      <c r="HE36" s="1316">
        <v>0.29791666666666666</v>
      </c>
      <c r="HF36" s="1316"/>
      <c r="HG36" s="1358"/>
      <c r="HH36" s="1316">
        <v>0.44097222222222221</v>
      </c>
      <c r="HI36" s="1316"/>
      <c r="HJ36" s="1358"/>
      <c r="HK36" s="1316">
        <v>0.34722222222222221</v>
      </c>
      <c r="HL36" s="1316"/>
      <c r="HM36" s="1358"/>
      <c r="HN36" s="1405" t="s">
        <v>20</v>
      </c>
      <c r="HO36" s="1405"/>
      <c r="HP36" s="1406"/>
      <c r="HQ36" s="1316">
        <v>0.27083333333333331</v>
      </c>
      <c r="HR36" s="1316"/>
      <c r="HS36" s="1358"/>
      <c r="HT36" s="1316">
        <v>0.37847222222222221</v>
      </c>
      <c r="HU36" s="1316"/>
      <c r="HV36" s="1358"/>
      <c r="HW36" s="1316">
        <v>0.30208333333333331</v>
      </c>
      <c r="HX36" s="1316"/>
      <c r="HY36" s="1358"/>
      <c r="HZ36" s="1316">
        <v>0.29652777777777778</v>
      </c>
      <c r="IA36" s="1316"/>
      <c r="IB36" s="1358"/>
      <c r="IC36" s="1316"/>
      <c r="ID36" s="1316"/>
      <c r="IE36" s="1358"/>
      <c r="IF36" s="1316">
        <v>0.24861111111111112</v>
      </c>
      <c r="IG36" s="1316"/>
      <c r="IH36" s="1358"/>
      <c r="II36" s="1316"/>
      <c r="IJ36" s="1316"/>
      <c r="IK36" s="1358"/>
      <c r="IL36" s="1316">
        <v>0.25555555555555554</v>
      </c>
      <c r="IM36" s="1316"/>
      <c r="IN36" s="1358"/>
      <c r="IO36" s="1316">
        <v>0.26041666666666669</v>
      </c>
      <c r="IP36" s="1316"/>
      <c r="IQ36" s="1358"/>
      <c r="IR36" s="1316">
        <v>0.27916666666666667</v>
      </c>
      <c r="IS36" s="1316"/>
      <c r="IT36" s="1358"/>
      <c r="IU36" s="1316">
        <v>0.24166666666666667</v>
      </c>
      <c r="IV36" s="1316"/>
      <c r="IW36" s="1358"/>
      <c r="IX36" s="1316">
        <v>0.23680555555555555</v>
      </c>
      <c r="IY36" s="1316"/>
      <c r="IZ36" s="1358"/>
      <c r="JA36" s="1316">
        <v>0.26180555555555557</v>
      </c>
      <c r="JB36" s="1316"/>
      <c r="JC36" s="1358"/>
      <c r="JD36" s="1405" t="s">
        <v>20</v>
      </c>
      <c r="JE36" s="1405"/>
      <c r="JF36" s="1406"/>
      <c r="JG36" s="1316">
        <v>0.23958333333333334</v>
      </c>
      <c r="JH36" s="1316"/>
      <c r="JI36" s="1358"/>
      <c r="JJ36" s="1316">
        <v>0.27083333333333331</v>
      </c>
      <c r="JK36" s="1316"/>
      <c r="JL36" s="1358"/>
      <c r="JM36" s="1316">
        <v>0.27361111111111114</v>
      </c>
      <c r="JN36" s="1316"/>
      <c r="JO36" s="1358"/>
      <c r="JP36" s="1316"/>
      <c r="JQ36" s="1316"/>
      <c r="JR36" s="1358"/>
      <c r="JS36" s="1316">
        <v>0.26250000000000001</v>
      </c>
      <c r="JT36" s="1316"/>
      <c r="JU36" s="1358"/>
      <c r="JV36" s="1316">
        <v>0.26944444444444443</v>
      </c>
      <c r="JW36" s="1316"/>
      <c r="JX36" s="1358"/>
      <c r="JY36" s="1316"/>
      <c r="JZ36" s="1316"/>
      <c r="KA36" s="1358"/>
      <c r="KB36" s="1316">
        <v>0.25</v>
      </c>
      <c r="KC36" s="1316"/>
      <c r="KD36" s="1358"/>
      <c r="KE36" s="1316">
        <v>0.29652777777777778</v>
      </c>
      <c r="KF36" s="1316"/>
      <c r="KG36" s="1358"/>
      <c r="KH36" s="1316">
        <v>0.27500000000000002</v>
      </c>
      <c r="KI36" s="1316"/>
      <c r="KJ36" s="1358"/>
      <c r="KK36" s="1316">
        <v>0.26944444444444443</v>
      </c>
      <c r="KL36" s="1316"/>
      <c r="KM36" s="1358"/>
      <c r="KN36" s="1316">
        <v>0.30833333333333335</v>
      </c>
      <c r="KO36" s="1316"/>
      <c r="KP36" s="1358"/>
      <c r="KQ36" s="1316">
        <v>0.26111111111111113</v>
      </c>
      <c r="KR36" s="1316"/>
      <c r="KS36" s="1358"/>
      <c r="KT36" s="1316"/>
      <c r="KU36" s="1316"/>
      <c r="KV36" s="1358"/>
      <c r="KW36" s="1316">
        <v>0.26597222222222222</v>
      </c>
      <c r="KX36" s="1316"/>
      <c r="KY36" s="1358"/>
      <c r="KZ36" s="1316">
        <v>0.27013888888888887</v>
      </c>
      <c r="LA36" s="1316"/>
      <c r="LB36" s="1358"/>
      <c r="LC36" s="1316">
        <v>0.27638888888888891</v>
      </c>
      <c r="LD36" s="1316"/>
      <c r="LE36" s="1358"/>
      <c r="LF36" s="1316">
        <v>0.23125000000000001</v>
      </c>
      <c r="LG36" s="1316"/>
      <c r="LH36" s="1358"/>
      <c r="LI36" s="1316">
        <v>0.37847222222222221</v>
      </c>
      <c r="LJ36" s="1316"/>
      <c r="LK36" s="1358"/>
      <c r="LL36" s="1316">
        <v>0.35347222222222224</v>
      </c>
      <c r="LM36" s="1316"/>
      <c r="LN36" s="1358"/>
      <c r="LO36" s="1316"/>
      <c r="LP36" s="1316"/>
      <c r="LQ36" s="1358"/>
      <c r="LR36" s="1316">
        <v>0.22847222222222222</v>
      </c>
      <c r="LS36" s="1316"/>
      <c r="LT36" s="1358"/>
      <c r="LU36" s="1316">
        <v>0.24861111111111112</v>
      </c>
      <c r="LV36" s="1316"/>
      <c r="LW36" s="1358"/>
      <c r="LX36" s="1316">
        <v>0.29166666666666669</v>
      </c>
      <c r="LY36" s="1316"/>
      <c r="LZ36" s="1358"/>
      <c r="MA36" s="1316">
        <v>0.28888888888888886</v>
      </c>
      <c r="MB36" s="1316"/>
      <c r="MC36" s="1358"/>
      <c r="MD36" s="1316">
        <v>0.28125</v>
      </c>
      <c r="ME36" s="1316"/>
      <c r="MF36" s="1358"/>
      <c r="MG36" s="1316">
        <v>0.20833333333333334</v>
      </c>
      <c r="MH36" s="1316"/>
      <c r="MI36" s="1358"/>
      <c r="MJ36" s="1316"/>
      <c r="MK36" s="1316"/>
      <c r="ML36" s="1358"/>
      <c r="MM36" s="1316">
        <v>0.24236111111111111</v>
      </c>
      <c r="MN36" s="1316"/>
      <c r="MO36" s="1358"/>
      <c r="MP36" s="1316">
        <v>0.27569444444444446</v>
      </c>
      <c r="MQ36" s="1316"/>
      <c r="MR36" s="1358"/>
      <c r="MS36" s="1316">
        <v>0.25</v>
      </c>
      <c r="MT36" s="1316"/>
      <c r="MU36" s="1358"/>
      <c r="MV36" s="1316">
        <v>0.2986111111111111</v>
      </c>
      <c r="MW36" s="1316"/>
      <c r="MX36" s="1358"/>
      <c r="MY36" s="1316">
        <v>0.36805555555555558</v>
      </c>
      <c r="MZ36" s="1316"/>
      <c r="NA36" s="1358"/>
      <c r="NB36" s="1316">
        <v>0.24166666666666667</v>
      </c>
      <c r="NC36" s="1316"/>
      <c r="ND36" s="1358"/>
      <c r="NE36" s="1316" t="s">
        <v>20</v>
      </c>
      <c r="NF36" s="1316"/>
      <c r="NG36" s="1358"/>
      <c r="NH36" s="1316">
        <v>0.21527777777777779</v>
      </c>
      <c r="NI36" s="1316"/>
      <c r="NJ36" s="1358"/>
      <c r="NK36" s="1316">
        <v>0.24374999999999999</v>
      </c>
      <c r="NL36" s="1316"/>
      <c r="NM36" s="1358"/>
      <c r="NN36" s="1316">
        <v>0.32847222222222222</v>
      </c>
      <c r="NO36" s="1316"/>
      <c r="NP36" s="1358"/>
      <c r="NQ36" s="1316">
        <v>0.28819444444444442</v>
      </c>
      <c r="NR36" s="1316"/>
      <c r="NS36" s="1358"/>
      <c r="NT36" s="1316">
        <v>0.28472222222222221</v>
      </c>
      <c r="NU36" s="1316"/>
      <c r="NV36" s="1358"/>
      <c r="NW36" s="1316">
        <v>0.22083333333333333</v>
      </c>
      <c r="NX36" s="1316"/>
      <c r="NY36" s="1358"/>
      <c r="NZ36" s="1316" t="s">
        <v>20</v>
      </c>
      <c r="OA36" s="1316"/>
      <c r="OB36" s="1358"/>
      <c r="OC36" s="1316">
        <v>0.21180555555555555</v>
      </c>
      <c r="OD36" s="1316"/>
      <c r="OE36" s="1358"/>
      <c r="OF36" s="1316">
        <v>0.20902777777777778</v>
      </c>
      <c r="OG36" s="1316"/>
      <c r="OH36" s="1358"/>
      <c r="OI36" s="1316">
        <v>0.35347222222222224</v>
      </c>
      <c r="OJ36" s="1316"/>
      <c r="OK36" s="1358"/>
      <c r="OL36" s="1316">
        <v>0.35416666666666669</v>
      </c>
      <c r="OM36" s="1316"/>
      <c r="ON36" s="1358"/>
      <c r="OO36" s="1316">
        <v>0.29930555555555555</v>
      </c>
      <c r="OP36" s="1316"/>
      <c r="OQ36" s="1358"/>
      <c r="OR36" s="1316">
        <v>0.26805555555555555</v>
      </c>
      <c r="OS36" s="1316"/>
      <c r="OT36" s="1358"/>
      <c r="OU36" s="1316"/>
      <c r="OV36" s="1316"/>
      <c r="OW36" s="1358"/>
      <c r="OX36" s="1316"/>
      <c r="OY36" s="1316"/>
      <c r="OZ36" s="1358"/>
      <c r="PA36" s="1316">
        <v>0.3923611111111111</v>
      </c>
      <c r="PB36" s="1316"/>
      <c r="PC36" s="1358"/>
      <c r="PD36" s="1316">
        <v>0.32500000000000001</v>
      </c>
      <c r="PE36" s="1316"/>
      <c r="PF36" s="1358"/>
      <c r="PG36" s="1316">
        <v>0.33333333333333331</v>
      </c>
      <c r="PH36" s="1316"/>
      <c r="PI36" s="1358"/>
      <c r="PJ36" s="1316" t="s">
        <v>20</v>
      </c>
      <c r="PK36" s="1316"/>
      <c r="PL36" s="1358"/>
      <c r="PM36" s="1316">
        <v>0.3215277777777778</v>
      </c>
      <c r="PN36" s="1316"/>
      <c r="PO36" s="1358"/>
      <c r="PP36" s="1316"/>
      <c r="PQ36" s="1316"/>
      <c r="PR36" s="1358"/>
      <c r="PS36" s="1429" t="s">
        <v>20</v>
      </c>
      <c r="PT36" s="1429"/>
      <c r="PU36" s="1430"/>
      <c r="PV36" s="1316">
        <v>0.28194444444444444</v>
      </c>
      <c r="PW36" s="1316"/>
      <c r="PX36" s="1358"/>
      <c r="PY36" s="1316">
        <v>0.28125</v>
      </c>
      <c r="PZ36" s="1316"/>
      <c r="QA36" s="1358"/>
      <c r="QB36" s="1316">
        <v>0.29583333333333334</v>
      </c>
      <c r="QC36" s="1316"/>
      <c r="QD36" s="1358"/>
      <c r="QE36" s="1316">
        <v>0.29166666666666669</v>
      </c>
      <c r="QF36" s="1316"/>
      <c r="QG36" s="1358"/>
      <c r="QH36" s="1316">
        <v>0.27083333333333331</v>
      </c>
      <c r="QI36" s="1316"/>
      <c r="QJ36" s="1358"/>
      <c r="QK36" s="1316"/>
      <c r="QL36" s="1316"/>
      <c r="QM36" s="1358"/>
      <c r="QN36" s="1316">
        <v>0.2638888888888889</v>
      </c>
      <c r="QO36" s="1316"/>
      <c r="QP36" s="1358"/>
      <c r="QQ36" s="1316">
        <v>0.3125</v>
      </c>
      <c r="QR36" s="1316"/>
      <c r="QS36" s="1358"/>
      <c r="QT36" s="1316">
        <v>0.27777777777777779</v>
      </c>
      <c r="QU36" s="1316"/>
      <c r="QV36" s="1358"/>
      <c r="QW36" s="1316">
        <v>0.27777777777777779</v>
      </c>
      <c r="QX36" s="1316"/>
      <c r="QY36" s="1358"/>
      <c r="QZ36" s="1316">
        <v>0.33333333333333331</v>
      </c>
      <c r="RA36" s="1316"/>
      <c r="RB36" s="1358"/>
      <c r="RC36" s="1316">
        <v>0.2361111111111111</v>
      </c>
      <c r="RD36" s="1316"/>
      <c r="RE36" s="1358"/>
      <c r="RF36" s="1316"/>
      <c r="RG36" s="1316"/>
      <c r="RH36" s="1358"/>
      <c r="RI36" s="1316">
        <v>0.22916666666666666</v>
      </c>
      <c r="RJ36" s="1316"/>
      <c r="RK36" s="1358"/>
      <c r="RL36" s="1316">
        <v>0.3125</v>
      </c>
      <c r="RM36" s="1316"/>
      <c r="RN36" s="1358"/>
      <c r="RO36" s="1405" t="s">
        <v>20</v>
      </c>
      <c r="RP36" s="1405"/>
      <c r="RQ36" s="1406"/>
      <c r="RR36" s="1316">
        <v>0.29166666666666669</v>
      </c>
      <c r="RS36" s="1316"/>
      <c r="RT36" s="1358"/>
      <c r="RU36" s="1316">
        <v>0.3263888888888889</v>
      </c>
      <c r="RV36" s="1316"/>
      <c r="RW36" s="1358"/>
      <c r="RX36" s="1316">
        <v>0.26041666666666669</v>
      </c>
      <c r="RY36" s="1316"/>
      <c r="RZ36" s="1358"/>
      <c r="SA36" s="1316" t="s">
        <v>20</v>
      </c>
      <c r="SB36" s="1316"/>
      <c r="SC36" s="1358"/>
      <c r="SD36" s="1316">
        <v>0.30902777777777779</v>
      </c>
      <c r="SE36" s="1316"/>
      <c r="SF36" s="1358"/>
      <c r="SG36" s="1316">
        <v>0.20833333333333334</v>
      </c>
      <c r="SH36" s="1316"/>
      <c r="SI36" s="1358"/>
      <c r="SJ36" s="1316">
        <v>0.30555555555555558</v>
      </c>
      <c r="SK36" s="1316"/>
      <c r="SL36" s="1358"/>
      <c r="SM36" s="1316">
        <v>0.28472222222222221</v>
      </c>
      <c r="SN36" s="1316"/>
      <c r="SO36" s="1358"/>
      <c r="SP36" s="1316">
        <v>0.39583333333333331</v>
      </c>
      <c r="SQ36" s="1316"/>
      <c r="SR36" s="1358"/>
      <c r="SS36" s="1316">
        <v>0.25</v>
      </c>
      <c r="ST36" s="1316"/>
      <c r="SU36" s="1358"/>
      <c r="SV36" s="1316"/>
      <c r="SW36" s="1316"/>
      <c r="SX36" s="1358"/>
      <c r="SY36" s="1316">
        <v>0.27083333333333331</v>
      </c>
      <c r="SZ36" s="1316"/>
      <c r="TA36" s="1358"/>
      <c r="TB36" s="1316">
        <v>0.33333333333333331</v>
      </c>
      <c r="TC36" s="1316"/>
      <c r="TD36" s="1358"/>
      <c r="TE36" s="1316">
        <v>0.3611111111111111</v>
      </c>
      <c r="TF36" s="1316"/>
      <c r="TG36" s="1358"/>
      <c r="TH36" s="1316">
        <v>0.38541666666666669</v>
      </c>
      <c r="TI36" s="1316"/>
      <c r="TJ36" s="1358"/>
      <c r="TK36" s="1316">
        <v>0.29166666666666669</v>
      </c>
      <c r="TL36" s="1316"/>
      <c r="TM36" s="1358"/>
      <c r="TN36" s="1316">
        <v>0.3611111111111111</v>
      </c>
      <c r="TO36" s="1316"/>
      <c r="TP36" s="1358"/>
      <c r="TQ36" s="1316"/>
      <c r="TR36" s="1316"/>
      <c r="TS36" s="1358"/>
      <c r="TT36" s="1316">
        <v>0.27083333333333331</v>
      </c>
      <c r="TU36" s="1316"/>
      <c r="TV36" s="1358"/>
      <c r="TW36" s="1316">
        <v>0.36805555555555558</v>
      </c>
      <c r="TX36" s="1316"/>
      <c r="TY36" s="1358"/>
      <c r="TZ36" s="1316">
        <v>0.28819444444444442</v>
      </c>
      <c r="UA36" s="1316"/>
      <c r="UB36" s="1358"/>
      <c r="UC36" s="1316">
        <v>0.27777777777777779</v>
      </c>
      <c r="UD36" s="1316"/>
      <c r="UE36" s="1358"/>
      <c r="UF36" s="1316">
        <v>0.26041666666666669</v>
      </c>
      <c r="UG36" s="1316"/>
      <c r="UH36" s="1358"/>
      <c r="UI36" s="1316">
        <v>0.20833333333333334</v>
      </c>
      <c r="UJ36" s="1316"/>
      <c r="UK36" s="1358"/>
      <c r="UL36" s="1316"/>
      <c r="UM36" s="1316"/>
      <c r="UN36" s="1358"/>
      <c r="UO36" s="1316">
        <v>0.22222222222222221</v>
      </c>
      <c r="UP36" s="1316"/>
      <c r="UQ36" s="1358"/>
      <c r="UR36" s="1316">
        <v>0.3263888888888889</v>
      </c>
      <c r="US36" s="1316"/>
      <c r="UT36" s="1358"/>
      <c r="UU36" s="1316">
        <v>0.3263888888888889</v>
      </c>
      <c r="UV36" s="1316"/>
      <c r="UW36" s="1358"/>
      <c r="UX36" s="1316">
        <v>0.3263888888888889</v>
      </c>
      <c r="UY36" s="1316"/>
      <c r="UZ36" s="1358"/>
      <c r="VA36" s="1316">
        <v>0.29166666666666669</v>
      </c>
      <c r="VB36" s="1316"/>
      <c r="VC36" s="1358"/>
      <c r="VD36" s="1316">
        <v>0.27777777777777779</v>
      </c>
      <c r="VE36" s="1316"/>
      <c r="VF36" s="1358"/>
      <c r="VG36" s="1316"/>
      <c r="VH36" s="1316"/>
      <c r="VI36" s="1358"/>
      <c r="VJ36" s="1316">
        <v>0.2638888888888889</v>
      </c>
      <c r="VK36" s="1316"/>
      <c r="VL36" s="1358"/>
      <c r="VM36" s="1316">
        <v>0.2673611111111111</v>
      </c>
      <c r="VN36" s="1316"/>
      <c r="VO36" s="1358"/>
      <c r="VP36" s="1316">
        <v>0.2986111111111111</v>
      </c>
      <c r="VQ36" s="1316"/>
      <c r="VR36" s="1358"/>
      <c r="VS36" s="1316">
        <v>0.35416666666666669</v>
      </c>
      <c r="VT36" s="1316"/>
      <c r="VU36" s="1358"/>
      <c r="VV36" s="1316">
        <v>0.3263888888888889</v>
      </c>
      <c r="VW36" s="1316"/>
      <c r="VX36" s="1358"/>
      <c r="VY36" s="1316">
        <v>0.21527777777777779</v>
      </c>
      <c r="VZ36" s="1316"/>
      <c r="WA36" s="1358"/>
      <c r="WB36" s="1316"/>
      <c r="WC36" s="1316"/>
      <c r="WD36" s="1358"/>
      <c r="WE36" s="1316">
        <v>0.23958333333333334</v>
      </c>
      <c r="WF36" s="1316"/>
      <c r="WG36" s="1358"/>
      <c r="WH36" s="1316">
        <v>0.25347222222222221</v>
      </c>
      <c r="WI36" s="1316"/>
      <c r="WJ36" s="1358"/>
      <c r="WK36" s="1316">
        <v>0.4375</v>
      </c>
      <c r="WL36" s="1316"/>
      <c r="WM36" s="1358"/>
      <c r="WN36" s="1316">
        <v>0.33333333333333331</v>
      </c>
      <c r="WO36" s="1316"/>
      <c r="WP36" s="1358"/>
      <c r="WQ36" s="1316">
        <v>0.2638888888888889</v>
      </c>
      <c r="WR36" s="1316"/>
      <c r="WS36" s="1358"/>
      <c r="WT36" s="1316">
        <v>0.22222222222222221</v>
      </c>
      <c r="WU36" s="1316"/>
      <c r="WV36" s="1358"/>
      <c r="WW36" s="1316" t="s">
        <v>20</v>
      </c>
      <c r="WX36" s="1316"/>
      <c r="WY36" s="1358"/>
      <c r="WZ36" s="1316">
        <v>0.20833333333333334</v>
      </c>
      <c r="XA36" s="1316"/>
      <c r="XB36" s="1358"/>
      <c r="XC36" s="1316">
        <v>0.22916666666666666</v>
      </c>
      <c r="XD36" s="1316"/>
      <c r="XE36" s="1358"/>
      <c r="XF36" s="1316">
        <v>0.3298611111111111</v>
      </c>
      <c r="XG36" s="1316"/>
      <c r="XH36" s="1358"/>
      <c r="XI36" s="1316">
        <v>0.3263888888888889</v>
      </c>
      <c r="XJ36" s="1316"/>
      <c r="XK36" s="1358"/>
      <c r="XL36" s="1316">
        <v>0.3263888888888889</v>
      </c>
      <c r="XM36" s="1316"/>
      <c r="XN36" s="1358"/>
      <c r="XO36" s="1316">
        <v>0.24305555555555555</v>
      </c>
      <c r="XP36" s="1316"/>
      <c r="XQ36" s="1358"/>
      <c r="XR36" s="1316"/>
      <c r="XS36" s="1316"/>
      <c r="XT36" s="1358"/>
      <c r="XU36" s="1316">
        <v>0.25</v>
      </c>
      <c r="XV36" s="1316"/>
      <c r="XW36" s="1358"/>
      <c r="XX36" s="1316">
        <v>0.2361111111111111</v>
      </c>
      <c r="XY36" s="1316"/>
      <c r="XZ36" s="1358"/>
      <c r="YA36" s="1316">
        <v>0.31597222222222221</v>
      </c>
      <c r="YB36" s="1316"/>
      <c r="YC36" s="1358"/>
      <c r="YD36" s="1316">
        <v>0.29166666666666669</v>
      </c>
      <c r="YE36" s="1316"/>
      <c r="YF36" s="1358"/>
      <c r="YG36" s="1316">
        <v>0.36805555555555558</v>
      </c>
      <c r="YH36" s="1316"/>
      <c r="YI36" s="1358"/>
      <c r="YJ36" s="1316">
        <v>0.16666666666666666</v>
      </c>
      <c r="YK36" s="1316"/>
      <c r="YL36" s="1358"/>
      <c r="YM36" s="1316"/>
      <c r="YN36" s="1316"/>
      <c r="YO36" s="1358"/>
      <c r="YP36" s="1316">
        <v>0.25</v>
      </c>
      <c r="YQ36" s="1316"/>
      <c r="YR36" s="1358"/>
      <c r="YS36" s="1316">
        <v>0.3125</v>
      </c>
      <c r="YT36" s="1316"/>
      <c r="YU36" s="1358"/>
      <c r="YV36" s="1316">
        <v>0.25</v>
      </c>
      <c r="YW36" s="1316"/>
      <c r="YX36" s="1358"/>
      <c r="YY36" s="1316">
        <v>0.375</v>
      </c>
      <c r="YZ36" s="1316"/>
      <c r="ZA36" s="1358"/>
      <c r="ZB36" s="1316">
        <v>0.36458333333333331</v>
      </c>
      <c r="ZC36" s="1316"/>
      <c r="ZD36" s="1358"/>
      <c r="ZE36" s="1316">
        <v>0.3125</v>
      </c>
      <c r="ZF36" s="1316"/>
      <c r="ZG36" s="1358"/>
      <c r="ZH36" s="1316"/>
      <c r="ZI36" s="1316"/>
      <c r="ZJ36" s="1358"/>
      <c r="ZK36" s="1316">
        <v>0.27777777777777779</v>
      </c>
      <c r="ZL36" s="1316"/>
      <c r="ZM36" s="1358"/>
      <c r="ZN36" s="1316">
        <v>0.22916666666666666</v>
      </c>
      <c r="ZO36" s="1316"/>
      <c r="ZP36" s="1358"/>
      <c r="ZQ36" s="1316">
        <v>0.2986111111111111</v>
      </c>
      <c r="ZR36" s="1316"/>
      <c r="ZS36" s="1358"/>
      <c r="ZT36" s="1316">
        <v>0.33333333333333331</v>
      </c>
      <c r="ZU36" s="1316"/>
      <c r="ZV36" s="1358"/>
      <c r="ZW36" s="1316">
        <v>0.25</v>
      </c>
      <c r="ZX36" s="1316"/>
      <c r="ZY36" s="1358"/>
      <c r="ZZ36" s="1316">
        <v>0.25</v>
      </c>
      <c r="AAA36" s="1316"/>
      <c r="AAB36" s="1358"/>
      <c r="AAC36" s="1316"/>
      <c r="AAD36" s="1316"/>
      <c r="AAE36" s="1358"/>
      <c r="AAF36" s="1316">
        <v>0.2361111111111111</v>
      </c>
      <c r="AAG36" s="1316"/>
      <c r="AAH36" s="1358"/>
      <c r="AAI36" s="1316">
        <v>0.22222222222222221</v>
      </c>
      <c r="AAJ36" s="1316"/>
      <c r="AAK36" s="1358"/>
      <c r="AAL36" s="1316">
        <v>0.3125</v>
      </c>
      <c r="AAM36" s="1316"/>
      <c r="AAN36" s="1358"/>
      <c r="AAO36" s="1316">
        <v>0.3125</v>
      </c>
      <c r="AAP36" s="1316"/>
      <c r="AAQ36" s="1358"/>
      <c r="AAR36" s="1316">
        <v>0.29166666666666669</v>
      </c>
      <c r="AAS36" s="1316"/>
      <c r="AAT36" s="1358"/>
      <c r="AAU36" s="1316">
        <v>0.2013888888888889</v>
      </c>
      <c r="AAV36" s="1316"/>
      <c r="AAW36" s="1358"/>
      <c r="AAX36" s="1316"/>
      <c r="AAY36" s="1316"/>
      <c r="AAZ36" s="1358"/>
      <c r="ABA36" s="1316">
        <v>0.19444444444444445</v>
      </c>
      <c r="ABB36" s="1316"/>
      <c r="ABC36" s="1358"/>
      <c r="ABD36" s="1316">
        <v>0.28472222222222221</v>
      </c>
      <c r="ABE36" s="1316"/>
      <c r="ABF36" s="1358"/>
      <c r="ABG36" s="1316">
        <v>0.24305555555555555</v>
      </c>
      <c r="ABH36" s="1316"/>
      <c r="ABI36" s="1358"/>
      <c r="ABJ36" s="1316">
        <v>0.27777777777777779</v>
      </c>
      <c r="ABK36" s="1316"/>
      <c r="ABL36" s="1358"/>
      <c r="ABM36" s="1316">
        <v>0.24305555555555555</v>
      </c>
      <c r="ABN36" s="1316"/>
      <c r="ABO36" s="1358"/>
      <c r="ABP36" s="1316">
        <v>0.20833333333333334</v>
      </c>
      <c r="ABQ36" s="1316"/>
      <c r="ABR36" s="1358"/>
      <c r="ABS36" s="1316">
        <v>0.20833333333333334</v>
      </c>
      <c r="ABT36" s="1316"/>
      <c r="ABU36" s="1358"/>
      <c r="ABV36" s="1316">
        <v>0.25</v>
      </c>
      <c r="ABW36" s="1316"/>
      <c r="ABX36" s="1358"/>
      <c r="ABY36" s="1316">
        <v>0.34027777777777779</v>
      </c>
      <c r="ABZ36" s="1316"/>
      <c r="ACA36" s="1358"/>
      <c r="ACB36" s="1316">
        <v>0.34027777777777779</v>
      </c>
      <c r="ACC36" s="1316"/>
      <c r="ACD36" s="1358"/>
      <c r="ACE36" s="1316">
        <v>0.35416666666666669</v>
      </c>
      <c r="ACF36" s="1316"/>
      <c r="ACG36" s="1358"/>
      <c r="ACH36" s="1316" t="s">
        <v>20</v>
      </c>
      <c r="ACI36" s="1316"/>
      <c r="ACJ36" s="1358"/>
      <c r="ACK36" s="1316">
        <v>0.2951388888888889</v>
      </c>
      <c r="ACL36" s="1316"/>
      <c r="ACM36" s="1358"/>
      <c r="ACN36" s="1316"/>
      <c r="ACO36" s="1316"/>
      <c r="ACP36" s="1358"/>
      <c r="ACQ36" s="1316">
        <v>0.20833333333333334</v>
      </c>
      <c r="ACR36" s="1316"/>
      <c r="ACS36" s="1358"/>
      <c r="ACT36" s="1316">
        <v>0.20833333333333334</v>
      </c>
      <c r="ACU36" s="1316"/>
      <c r="ACV36" s="1358"/>
      <c r="ACW36" s="1316">
        <v>0.3125</v>
      </c>
      <c r="ACX36" s="1316"/>
      <c r="ACY36" s="1358"/>
      <c r="ACZ36" s="1316">
        <v>0.35069444444444442</v>
      </c>
      <c r="ADA36" s="1316"/>
      <c r="ADB36" s="1358"/>
      <c r="ADC36" s="1316">
        <v>0.33333333333333331</v>
      </c>
      <c r="ADD36" s="1316"/>
      <c r="ADE36" s="1358"/>
      <c r="ADF36" s="1316">
        <v>0.25</v>
      </c>
      <c r="ADG36" s="1316"/>
      <c r="ADH36" s="1358"/>
      <c r="ADI36" s="1316"/>
      <c r="ADJ36" s="1316"/>
      <c r="ADK36" s="1358"/>
      <c r="ADL36" s="1316">
        <v>0.22916666666666666</v>
      </c>
      <c r="ADM36" s="1316"/>
      <c r="ADN36" s="1358"/>
      <c r="ADO36" s="1316">
        <v>0.3125</v>
      </c>
      <c r="ADP36" s="1316"/>
      <c r="ADQ36" s="1358"/>
      <c r="ADR36" s="1316">
        <v>0.25</v>
      </c>
      <c r="ADS36" s="1316"/>
      <c r="ADT36" s="1358"/>
      <c r="ADU36" s="1316">
        <v>0.27083333333333331</v>
      </c>
      <c r="ADV36" s="1316"/>
      <c r="ADW36" s="1358"/>
      <c r="ADX36" s="1316">
        <v>0.29166666666666669</v>
      </c>
      <c r="ADY36" s="1316"/>
      <c r="ADZ36" s="1358"/>
      <c r="AEA36" s="1316">
        <v>0.23958333333333334</v>
      </c>
      <c r="AEB36" s="1316"/>
      <c r="AEC36" s="1358"/>
      <c r="AED36" s="1316"/>
      <c r="AEE36" s="1316"/>
      <c r="AEF36" s="1358"/>
      <c r="AEG36" s="1316">
        <v>0.24305555555555555</v>
      </c>
      <c r="AEH36" s="1316"/>
      <c r="AEI36" s="1358"/>
      <c r="AEJ36" s="1316">
        <v>0.19444444444444445</v>
      </c>
      <c r="AEK36" s="1316"/>
      <c r="AEL36" s="1358"/>
      <c r="AEM36" s="1316">
        <v>0.19791666666666666</v>
      </c>
      <c r="AEN36" s="1316"/>
      <c r="AEO36" s="1358"/>
      <c r="AEP36" s="1316">
        <v>0.38541666666666669</v>
      </c>
      <c r="AEQ36" s="1316"/>
      <c r="AER36" s="1358"/>
      <c r="AES36" s="1316">
        <v>0.34027777777777779</v>
      </c>
      <c r="AET36" s="1316"/>
      <c r="AEU36" s="1358"/>
      <c r="AEV36" s="1316">
        <v>0.22222222222222221</v>
      </c>
      <c r="AEW36" s="1316"/>
      <c r="AEX36" s="1358"/>
      <c r="AEY36" s="1316"/>
      <c r="AEZ36" s="1316"/>
      <c r="AFA36" s="1358"/>
      <c r="AFB36" s="1316">
        <v>0.27083333333333331</v>
      </c>
      <c r="AFC36" s="1316"/>
      <c r="AFD36" s="1358"/>
      <c r="AFE36" s="1316">
        <v>0.30555555555555558</v>
      </c>
      <c r="AFF36" s="1316"/>
      <c r="AFG36" s="1358"/>
      <c r="AFH36" s="1316">
        <v>0.30555555555555558</v>
      </c>
      <c r="AFI36" s="1316"/>
      <c r="AFJ36" s="1358"/>
      <c r="AFK36" s="1316">
        <v>0.28472222222222221</v>
      </c>
      <c r="AFL36" s="1316"/>
      <c r="AFM36" s="1358"/>
      <c r="AFN36" s="1316">
        <v>0.28472222222222221</v>
      </c>
      <c r="AFO36" s="1316"/>
      <c r="AFP36" s="1358"/>
      <c r="AFQ36" s="1316">
        <v>0.27083333333333331</v>
      </c>
      <c r="AFR36" s="1316"/>
      <c r="AFS36" s="1358"/>
      <c r="AFT36" s="1316"/>
      <c r="AFU36" s="1316"/>
      <c r="AFV36" s="1358"/>
      <c r="AFW36" s="1316">
        <v>0.27083333333333331</v>
      </c>
      <c r="AFX36" s="1316"/>
      <c r="AFY36" s="1358"/>
      <c r="AFZ36" s="1316">
        <v>0.3125</v>
      </c>
      <c r="AGA36" s="1316"/>
      <c r="AGB36" s="1358"/>
      <c r="AGC36" s="1316">
        <v>0.28472222222222221</v>
      </c>
      <c r="AGD36" s="1316"/>
      <c r="AGE36" s="1358"/>
      <c r="AGF36" s="1316">
        <v>0.30555555555555558</v>
      </c>
      <c r="AGG36" s="1316"/>
      <c r="AGH36" s="1358"/>
      <c r="AGI36" s="1316">
        <v>0.2638888888888889</v>
      </c>
      <c r="AGJ36" s="1316"/>
      <c r="AGK36" s="1358"/>
      <c r="AGL36" s="1316">
        <v>0.22222222222222221</v>
      </c>
      <c r="AGM36" s="1316"/>
      <c r="AGN36" s="1358"/>
      <c r="AGO36" s="1316"/>
      <c r="AGP36" s="1316"/>
      <c r="AGQ36" s="1358"/>
      <c r="AGR36" s="1316">
        <v>0.24305555555555555</v>
      </c>
      <c r="AGS36" s="1316"/>
      <c r="AGT36" s="1358"/>
      <c r="AGU36" s="1316">
        <v>0.2638888888888889</v>
      </c>
      <c r="AGV36" s="1316"/>
      <c r="AGW36" s="1358"/>
      <c r="AGX36" s="1316">
        <v>0.30555555555555558</v>
      </c>
      <c r="AGY36" s="1316"/>
      <c r="AGZ36" s="1358"/>
      <c r="AHA36" s="1316">
        <v>0.29166666666666669</v>
      </c>
      <c r="AHB36" s="1316"/>
      <c r="AHC36" s="1358"/>
      <c r="AHD36" s="1316">
        <v>0.27777777777777779</v>
      </c>
      <c r="AHE36" s="1316"/>
      <c r="AHF36" s="1358"/>
      <c r="AHG36" s="1316">
        <v>0.21527777777777779</v>
      </c>
      <c r="AHH36" s="1316"/>
      <c r="AHI36" s="1358"/>
      <c r="AHJ36" s="1316"/>
      <c r="AHK36" s="1316"/>
      <c r="AHL36" s="1358"/>
      <c r="AHM36" s="1316"/>
      <c r="AHN36" s="1316"/>
      <c r="AHO36" s="1358"/>
      <c r="AHP36" s="1316">
        <v>0.3298611111111111</v>
      </c>
      <c r="AHQ36" s="1316"/>
      <c r="AHR36" s="1358"/>
      <c r="AHS36" s="1316">
        <v>0.30555555555555558</v>
      </c>
      <c r="AHT36" s="1316"/>
      <c r="AHU36" s="1358"/>
      <c r="AHV36" s="1316">
        <v>0.2986111111111111</v>
      </c>
      <c r="AHW36" s="1316"/>
      <c r="AHX36" s="1358"/>
      <c r="AHY36" s="1316">
        <v>0.2361111111111111</v>
      </c>
      <c r="AHZ36" s="1316"/>
      <c r="AIA36" s="1358"/>
      <c r="AIB36" s="1316">
        <v>0.30208333333333331</v>
      </c>
      <c r="AIC36" s="1316"/>
      <c r="AID36" s="1358"/>
      <c r="AIE36" s="1315" t="s">
        <v>20</v>
      </c>
      <c r="AIF36" s="1316"/>
      <c r="AIG36" s="1358"/>
      <c r="AIH36" s="1316">
        <v>0.24652777777777779</v>
      </c>
      <c r="AII36" s="1316"/>
      <c r="AIJ36" s="1358"/>
      <c r="AIK36" s="1316">
        <v>0.27777777777777779</v>
      </c>
      <c r="AIL36" s="1316"/>
      <c r="AIM36" s="1358"/>
      <c r="AIN36" s="1316">
        <v>0.3125</v>
      </c>
      <c r="AIO36" s="1316"/>
      <c r="AIP36" s="1358"/>
      <c r="AIQ36" s="1316">
        <v>0.34375</v>
      </c>
      <c r="AIR36" s="1316"/>
      <c r="AIS36" s="1316"/>
      <c r="AIT36" s="1315">
        <v>0.30902777777777779</v>
      </c>
      <c r="AIU36" s="1316"/>
      <c r="AIV36" s="1358"/>
      <c r="AIW36" s="1316">
        <v>0.28472222222222221</v>
      </c>
      <c r="AIX36" s="1316"/>
      <c r="AIY36" s="1316"/>
      <c r="AIZ36" s="1315"/>
      <c r="AJA36" s="1316"/>
      <c r="AJB36" s="1358"/>
      <c r="AJC36" s="1316"/>
      <c r="AJD36" s="1316"/>
      <c r="AJE36" s="1358"/>
      <c r="AJF36" s="1316">
        <v>0.3125</v>
      </c>
      <c r="AJG36" s="1316"/>
      <c r="AJH36" s="1358"/>
      <c r="AJI36" s="1316">
        <v>0.24652777777777779</v>
      </c>
      <c r="AJJ36" s="1316"/>
      <c r="AJK36" s="1358"/>
      <c r="AJL36" s="1316">
        <v>0.28472222222222221</v>
      </c>
      <c r="AJM36" s="1316"/>
      <c r="AJN36" s="1316"/>
      <c r="AJO36" s="1315">
        <v>0.31944444444444442</v>
      </c>
      <c r="AJP36" s="1316"/>
      <c r="AJQ36" s="1358"/>
      <c r="AJR36" s="1316">
        <v>0.3263888888888889</v>
      </c>
      <c r="AJS36" s="1316"/>
      <c r="AJT36" s="1316"/>
      <c r="AJU36" s="1315"/>
      <c r="AJV36" s="1316"/>
      <c r="AJW36" s="1358"/>
      <c r="AJX36" s="1315">
        <v>0.27083333333333331</v>
      </c>
      <c r="AJY36" s="1316"/>
      <c r="AJZ36" s="1358"/>
      <c r="AKA36" s="1316">
        <v>0.35069444444444442</v>
      </c>
      <c r="AKB36" s="1316"/>
      <c r="AKC36" s="1358"/>
      <c r="AKD36" s="1316">
        <v>0.35416666666666669</v>
      </c>
      <c r="AKE36" s="1316"/>
      <c r="AKF36" s="1358"/>
      <c r="AKG36" s="1316">
        <v>0.3263888888888889</v>
      </c>
      <c r="AKH36" s="1316"/>
      <c r="AKI36" s="1316"/>
      <c r="AKJ36" s="1315">
        <v>0.36805555555555558</v>
      </c>
      <c r="AKK36" s="1316"/>
      <c r="AKL36" s="1358"/>
      <c r="AKM36" s="1316">
        <v>0.39583333333333331</v>
      </c>
      <c r="AKN36" s="1316"/>
      <c r="AKO36" s="1316"/>
      <c r="AKP36" s="1315"/>
      <c r="AKQ36" s="1316"/>
      <c r="AKR36" s="1358"/>
      <c r="AKS36" s="1316">
        <v>0.25</v>
      </c>
      <c r="AKT36" s="1316"/>
      <c r="AKU36" s="1358"/>
      <c r="AKV36" s="1316">
        <v>0.3263888888888889</v>
      </c>
      <c r="AKW36" s="1316"/>
      <c r="AKX36" s="1358"/>
      <c r="AKY36" s="1316">
        <v>0.35416666666666669</v>
      </c>
      <c r="AKZ36" s="1316"/>
      <c r="ALA36" s="1358"/>
      <c r="ALB36" s="1315"/>
      <c r="ALC36" s="1316"/>
      <c r="ALD36" s="1358"/>
      <c r="ALE36" s="1315">
        <v>0.29166666666666669</v>
      </c>
      <c r="ALF36" s="1316"/>
      <c r="ALG36" s="1358"/>
      <c r="ALH36" s="1316">
        <v>0.3263888888888889</v>
      </c>
      <c r="ALI36" s="1316"/>
      <c r="ALJ36" s="1316"/>
      <c r="ALK36" s="1315"/>
      <c r="ALL36" s="1316"/>
      <c r="ALM36" s="1358"/>
      <c r="ALN36" s="1316">
        <v>0.35416666666666669</v>
      </c>
      <c r="ALO36" s="1316"/>
      <c r="ALP36" s="1358"/>
      <c r="ALQ36" s="1316">
        <v>0.34722222222222221</v>
      </c>
      <c r="ALR36" s="1316"/>
      <c r="ALS36" s="1358"/>
      <c r="ALT36" s="1316">
        <v>0.28472222222222221</v>
      </c>
      <c r="ALU36" s="1316"/>
      <c r="ALV36" s="1316"/>
      <c r="ALW36" s="1445">
        <v>0.3125</v>
      </c>
      <c r="ALX36" s="1316"/>
      <c r="ALY36" s="1358"/>
      <c r="ALZ36" s="1315"/>
      <c r="AMA36" s="1316"/>
      <c r="AMB36" s="1358"/>
      <c r="AMC36" s="1316">
        <v>0.25</v>
      </c>
      <c r="AMD36" s="1316"/>
      <c r="AME36" s="1316"/>
      <c r="AMF36" s="1315"/>
      <c r="AMG36" s="1316"/>
      <c r="AMH36" s="1358"/>
      <c r="AMI36" s="1316">
        <v>0.24305555555555555</v>
      </c>
      <c r="AMJ36" s="1316"/>
      <c r="AMK36" s="1358"/>
      <c r="AML36" s="1316">
        <v>0.24305555555555555</v>
      </c>
      <c r="AMM36" s="1316"/>
      <c r="AMN36" s="1358"/>
      <c r="AMO36" s="1316">
        <v>0.30902777777777779</v>
      </c>
      <c r="AMP36" s="1316"/>
      <c r="AMQ36" s="1358"/>
      <c r="AMR36" s="1316">
        <v>0.29166666666666669</v>
      </c>
      <c r="AMS36" s="1316"/>
      <c r="AMT36" s="1316"/>
      <c r="AMU36" s="1315">
        <v>0.32291666666666669</v>
      </c>
      <c r="AMV36" s="1316"/>
      <c r="AMW36" s="1358"/>
      <c r="AMX36" s="1316">
        <v>0.28819444444444442</v>
      </c>
      <c r="AMY36" s="1316"/>
      <c r="AMZ36" s="1316"/>
      <c r="ANA36" s="1315"/>
      <c r="ANB36" s="1316"/>
      <c r="ANC36" s="1358"/>
      <c r="AND36" s="1316">
        <v>0.27083333333333331</v>
      </c>
      <c r="ANE36" s="1316"/>
      <c r="ANF36" s="1358"/>
      <c r="ANG36" s="1316">
        <v>0.34375</v>
      </c>
      <c r="ANH36" s="1316"/>
      <c r="ANI36" s="1358"/>
      <c r="ANJ36" s="1316">
        <v>0.33333333333333331</v>
      </c>
      <c r="ANK36" s="1316"/>
      <c r="ANL36" s="1358"/>
      <c r="ANM36" s="1316">
        <v>0.3125</v>
      </c>
      <c r="ANN36" s="1316"/>
      <c r="ANO36" s="1316"/>
      <c r="ANP36" s="1315">
        <v>0.39583333333333331</v>
      </c>
      <c r="ANQ36" s="1316"/>
      <c r="ANR36" s="1358"/>
      <c r="ANS36" s="1316">
        <v>0.37847222222222221</v>
      </c>
      <c r="ANT36" s="1316"/>
      <c r="ANU36" s="1316"/>
      <c r="ANV36" s="1315"/>
      <c r="ANW36" s="1316"/>
      <c r="ANX36" s="1358"/>
      <c r="ANY36" s="1316">
        <v>0.3125</v>
      </c>
      <c r="ANZ36" s="1316"/>
      <c r="AOA36" s="1358"/>
      <c r="AOB36" s="1316">
        <v>0.33333333333333331</v>
      </c>
      <c r="AOC36" s="1316"/>
      <c r="AOD36" s="1358"/>
      <c r="AOE36" s="1316">
        <v>0.34375</v>
      </c>
      <c r="AOF36" s="1316"/>
      <c r="AOG36" s="1358"/>
      <c r="AOH36" s="1316">
        <v>0.30902777777777779</v>
      </c>
      <c r="AOI36" s="1316"/>
      <c r="AOJ36" s="1316"/>
      <c r="AOK36" s="1315">
        <v>0.35416666666666669</v>
      </c>
      <c r="AOL36" s="1316"/>
      <c r="AOM36" s="1358"/>
      <c r="AON36" s="1316">
        <v>0.20833333333333334</v>
      </c>
      <c r="AOO36" s="1316"/>
      <c r="AOP36" s="1316"/>
      <c r="AOQ36" s="1315"/>
      <c r="AOR36" s="1316"/>
      <c r="AOS36" s="1358"/>
      <c r="AOT36" s="1316">
        <v>0.28472222222222221</v>
      </c>
      <c r="AOU36" s="1316"/>
      <c r="AOV36" s="1358"/>
      <c r="AOW36" s="1316">
        <v>0.29166666666666669</v>
      </c>
      <c r="AOX36" s="1316"/>
      <c r="AOY36" s="1358"/>
      <c r="AOZ36" s="1316">
        <v>0.28472222222222221</v>
      </c>
      <c r="APA36" s="1316"/>
      <c r="APB36" s="1358"/>
      <c r="APC36" s="1316">
        <v>0.29166666666666669</v>
      </c>
      <c r="APD36" s="1316"/>
      <c r="APE36" s="1316"/>
      <c r="APF36" s="1315">
        <v>0.36805555555555558</v>
      </c>
      <c r="APG36" s="1316"/>
      <c r="APH36" s="1358"/>
      <c r="API36" s="1316">
        <v>0.36805555555555558</v>
      </c>
      <c r="APJ36" s="1316"/>
      <c r="APK36" s="1316"/>
      <c r="APL36" s="1315"/>
      <c r="APM36" s="1316"/>
      <c r="APN36" s="1358"/>
      <c r="APO36" s="1316">
        <v>0.27777777777777779</v>
      </c>
      <c r="APP36" s="1316"/>
      <c r="APQ36" s="1358"/>
      <c r="APR36" s="1316">
        <v>0.33333333333333331</v>
      </c>
      <c r="APS36" s="1316"/>
      <c r="APT36" s="1358"/>
      <c r="APU36" s="1316">
        <v>0.30555555555555558</v>
      </c>
      <c r="APV36" s="1316"/>
      <c r="APW36" s="1358"/>
      <c r="APX36" s="1316">
        <v>0.27083333333333331</v>
      </c>
      <c r="APY36" s="1316"/>
      <c r="APZ36" s="1316"/>
      <c r="AQA36" s="1315">
        <v>0.30208333333333331</v>
      </c>
      <c r="AQB36" s="1316"/>
      <c r="AQC36" s="1358"/>
      <c r="AQD36" s="1316">
        <v>0.24305555555555555</v>
      </c>
      <c r="AQE36" s="1316"/>
      <c r="AQF36" s="1358"/>
      <c r="AQG36" s="1316"/>
      <c r="AQH36" s="1316"/>
      <c r="AQI36" s="1358"/>
      <c r="AQJ36" s="1316">
        <v>0.21180555555555555</v>
      </c>
      <c r="AQK36" s="1316"/>
      <c r="AQL36" s="1358"/>
      <c r="AQM36" s="1316">
        <v>0.2638888888888889</v>
      </c>
      <c r="AQN36" s="1316"/>
      <c r="AQO36" s="1358"/>
      <c r="AQP36" s="1315">
        <v>0.30208333333333331</v>
      </c>
      <c r="AQQ36" s="1316"/>
      <c r="AQR36" s="1316"/>
      <c r="AQS36" s="1315">
        <v>0.20833333333333334</v>
      </c>
      <c r="AQT36" s="1316"/>
      <c r="AQU36" s="1358"/>
      <c r="AQV36" s="1316">
        <v>0.3298611111111111</v>
      </c>
      <c r="AQW36" s="1316"/>
      <c r="AQX36" s="1358"/>
      <c r="AQY36" s="1316"/>
      <c r="AQZ36" s="1316"/>
      <c r="ARA36" s="1358"/>
      <c r="ARB36" s="1316"/>
      <c r="ARC36" s="1316"/>
      <c r="ARD36" s="1358"/>
      <c r="ARE36" s="1316"/>
      <c r="ARF36" s="1316"/>
      <c r="ARG36" s="1358"/>
      <c r="ARH36" s="1316"/>
      <c r="ARI36" s="1316"/>
      <c r="ARJ36" s="1358"/>
      <c r="ARK36" s="1316">
        <v>0.20833333333333334</v>
      </c>
      <c r="ARL36" s="1316"/>
      <c r="ARM36" s="1358"/>
      <c r="ARN36" s="1316">
        <v>0.24652777777777779</v>
      </c>
      <c r="ARO36" s="1316"/>
      <c r="ARP36" s="1358"/>
      <c r="ARQ36" s="1316">
        <v>0.30902777777777779</v>
      </c>
      <c r="ARR36" s="1316"/>
      <c r="ARS36" s="1358"/>
      <c r="ART36" s="1316">
        <v>0.26041666666666669</v>
      </c>
      <c r="ARU36" s="1316"/>
      <c r="ARV36" s="1358"/>
      <c r="ARW36" s="1316"/>
      <c r="ARX36" s="1316"/>
      <c r="ARY36" s="1358"/>
      <c r="ARZ36" s="1315">
        <v>8.3333333333333329E-2</v>
      </c>
      <c r="ASA36" s="1316"/>
      <c r="ASB36" s="1358"/>
      <c r="ASC36" s="1315">
        <v>0.21527777777777779</v>
      </c>
      <c r="ASD36" s="1316"/>
      <c r="ASE36" s="1358"/>
      <c r="ASF36" s="1315">
        <v>0.14583333333333334</v>
      </c>
      <c r="ASG36" s="1316"/>
      <c r="ASH36" s="1358"/>
      <c r="ASI36" s="1315">
        <v>0.2361111111111111</v>
      </c>
      <c r="ASJ36" s="1316"/>
      <c r="ASK36" s="1358"/>
      <c r="ASL36" s="1315">
        <v>0.22916666666666666</v>
      </c>
      <c r="ASM36" s="1316"/>
      <c r="ASN36" s="1358"/>
      <c r="ASO36" s="1315">
        <v>0.20833333333333334</v>
      </c>
      <c r="ASP36" s="1316"/>
      <c r="ASQ36" s="1316"/>
      <c r="ASR36" s="1315"/>
      <c r="ASS36" s="1316"/>
      <c r="AST36" s="1358"/>
      <c r="ASU36" s="1316">
        <v>0.1</v>
      </c>
      <c r="ASV36" s="1316"/>
      <c r="ASW36" s="1358"/>
      <c r="ASX36" s="1316">
        <v>0.2048611111111111</v>
      </c>
      <c r="ASY36" s="1316"/>
      <c r="ASZ36" s="1358"/>
      <c r="ATA36" s="1315">
        <v>0.18055555555555555</v>
      </c>
      <c r="ATB36" s="1316"/>
      <c r="ATC36" s="1358"/>
      <c r="ATD36" s="1316">
        <v>0.1736111111111111</v>
      </c>
      <c r="ATE36" s="1316"/>
      <c r="ATF36" s="1316"/>
      <c r="ATG36" s="1315">
        <v>0.2013888888888889</v>
      </c>
      <c r="ATH36" s="1316"/>
      <c r="ATI36" s="1358"/>
      <c r="ATJ36" s="1316">
        <v>0.21527777777777779</v>
      </c>
      <c r="ATK36" s="1316"/>
      <c r="ATL36" s="1358"/>
      <c r="ATM36" s="1316"/>
      <c r="ATN36" s="1316"/>
      <c r="ATO36" s="1358"/>
      <c r="ATP36" s="1316">
        <v>0.22222222222222221</v>
      </c>
      <c r="ATQ36" s="1316"/>
      <c r="ATR36" s="1358"/>
      <c r="ATS36" s="1316">
        <v>0.22222222222222221</v>
      </c>
      <c r="ATT36" s="1316"/>
      <c r="ATU36" s="1358"/>
      <c r="ATV36" s="1316">
        <v>0.16666666666666666</v>
      </c>
      <c r="ATW36" s="1316"/>
      <c r="ATX36" s="1358"/>
      <c r="ATY36" s="1316">
        <v>0.2013888888888889</v>
      </c>
      <c r="ATZ36" s="1316"/>
      <c r="AUA36" s="1316"/>
      <c r="AUB36" s="1315">
        <v>0.21527777777777779</v>
      </c>
      <c r="AUC36" s="1316"/>
      <c r="AUD36" s="1358"/>
      <c r="AUE36" s="1316">
        <v>0.16666666666666666</v>
      </c>
      <c r="AUF36" s="1316"/>
      <c r="AUG36" s="1358"/>
      <c r="AUH36" s="1316"/>
      <c r="AUI36" s="1316"/>
      <c r="AUJ36" s="1358"/>
      <c r="AUK36" s="1316">
        <v>0.20833333333333334</v>
      </c>
      <c r="AUL36" s="1316"/>
      <c r="AUM36" s="1316"/>
      <c r="AUN36" s="1315">
        <v>0.1875</v>
      </c>
      <c r="AUO36" s="1316"/>
      <c r="AUP36" s="1316"/>
      <c r="AUQ36" s="1341">
        <v>0.16666666666666666</v>
      </c>
      <c r="AUR36" s="1321"/>
      <c r="AUS36" s="1321"/>
      <c r="AUT36" s="1315">
        <v>0.16666666666666666</v>
      </c>
      <c r="AUU36" s="1316"/>
      <c r="AUV36" s="1316"/>
      <c r="AUW36" s="1315">
        <v>0.17708333333333334</v>
      </c>
      <c r="AUX36" s="1316"/>
      <c r="AUY36" s="1316"/>
      <c r="AUZ36" s="1315">
        <v>0.18055555555555555</v>
      </c>
      <c r="AVA36" s="1316"/>
      <c r="AVB36" s="1316"/>
      <c r="AVC36" s="1315"/>
      <c r="AVD36" s="1316"/>
      <c r="AVE36" s="1316"/>
      <c r="AVF36" s="1315">
        <v>0.125</v>
      </c>
      <c r="AVG36" s="1316"/>
      <c r="AVH36" s="1316"/>
      <c r="AVI36" s="1315"/>
      <c r="AVJ36" s="1316"/>
      <c r="AVK36" s="1316"/>
      <c r="AVL36" s="1315">
        <v>0.16666666666666666</v>
      </c>
      <c r="AVM36" s="1316"/>
      <c r="AVN36" s="1316"/>
      <c r="AVO36" s="1315">
        <v>0.1736111111111111</v>
      </c>
      <c r="AVP36" s="1316"/>
      <c r="AVQ36" s="1316"/>
      <c r="AVR36" s="1315"/>
      <c r="AVS36" s="1316"/>
      <c r="AVT36" s="1316"/>
      <c r="AVU36" s="1315"/>
      <c r="AVV36" s="1316"/>
      <c r="AVW36" s="1316"/>
      <c r="AVX36" s="1315"/>
      <c r="AVY36" s="1316"/>
      <c r="AVZ36" s="1316"/>
      <c r="AWA36" s="1315"/>
      <c r="AWB36" s="1316"/>
      <c r="AWC36" s="1316"/>
      <c r="AWD36" s="1315"/>
      <c r="AWE36" s="1316"/>
      <c r="AWF36" s="1316"/>
      <c r="AWG36" s="1315"/>
      <c r="AWH36" s="1316"/>
      <c r="AWI36" s="1316"/>
      <c r="AWJ36" s="1315"/>
      <c r="AWK36" s="1316"/>
      <c r="AWL36" s="1316"/>
      <c r="AWM36" s="1315"/>
      <c r="AWN36" s="1316"/>
      <c r="AWO36" s="1358"/>
      <c r="AWP36" s="1316"/>
      <c r="AWQ36" s="1316"/>
      <c r="AWR36" s="1358"/>
      <c r="AWS36" s="1315"/>
      <c r="AWT36" s="1316"/>
      <c r="AWU36" s="1358"/>
      <c r="AWV36" s="1315"/>
      <c r="AWW36" s="1316"/>
      <c r="AWX36" s="1358"/>
      <c r="AWY36" s="1315"/>
      <c r="AWZ36" s="1316"/>
      <c r="AXA36" s="1358"/>
      <c r="AXB36" s="1315"/>
      <c r="AXC36" s="1316"/>
      <c r="AXD36" s="1358"/>
      <c r="AXE36" s="1315"/>
      <c r="AXF36" s="1316"/>
      <c r="AXG36" s="1358"/>
      <c r="AXH36" s="1315"/>
      <c r="AXI36" s="1316"/>
      <c r="AXJ36" s="1358"/>
      <c r="AXK36" s="1315"/>
      <c r="AXL36" s="1316"/>
      <c r="AXM36" s="1358"/>
      <c r="AXN36" s="1315"/>
      <c r="AXO36" s="1316"/>
      <c r="AXP36" s="1358"/>
      <c r="AXQ36" s="1315"/>
      <c r="AXR36" s="1316"/>
      <c r="AXS36" s="1358"/>
      <c r="AXT36" s="1315"/>
      <c r="AXU36" s="1316"/>
      <c r="AXV36" s="1358"/>
      <c r="AXW36" s="1315"/>
      <c r="AXX36" s="1316"/>
      <c r="AXY36" s="1358"/>
      <c r="AXZ36" s="1315"/>
      <c r="AYA36" s="1316"/>
      <c r="AYB36" s="1358"/>
      <c r="AYC36" s="1315"/>
      <c r="AYD36" s="1316"/>
      <c r="AYE36" s="1358"/>
      <c r="AYF36" s="1315"/>
      <c r="AYG36" s="1316"/>
      <c r="AYH36" s="1358"/>
      <c r="AYI36" s="1315"/>
      <c r="AYJ36" s="1316"/>
      <c r="AYK36" s="1358"/>
      <c r="AYL36" s="1315"/>
      <c r="AYM36" s="1316"/>
      <c r="AYN36" s="1358"/>
      <c r="AYO36" s="1316"/>
      <c r="AYP36" s="1316"/>
      <c r="AYQ36" s="1316"/>
      <c r="AYR36" s="1315"/>
      <c r="AYS36" s="1316"/>
      <c r="AYT36" s="1358"/>
      <c r="AYU36" s="1316"/>
      <c r="AYV36" s="1316"/>
      <c r="AYW36" s="1316"/>
      <c r="AYX36" s="1315"/>
      <c r="AYY36" s="1316"/>
      <c r="AYZ36" s="1358"/>
      <c r="AZA36" s="1316"/>
      <c r="AZB36" s="1316"/>
      <c r="AZC36" s="1358"/>
      <c r="AZD36" s="1316"/>
      <c r="AZE36" s="1316"/>
      <c r="AZF36" s="1358"/>
      <c r="AZG36" s="1316"/>
      <c r="AZH36" s="1316"/>
      <c r="AZI36" s="1358"/>
      <c r="AZJ36" s="1316"/>
      <c r="AZK36" s="1316"/>
      <c r="AZL36" s="1316"/>
      <c r="AZM36" s="1315"/>
      <c r="AZN36" s="1316"/>
      <c r="AZO36" s="1358"/>
      <c r="AZP36" s="1316"/>
      <c r="AZQ36" s="1316"/>
      <c r="AZR36" s="1316"/>
      <c r="AZS36" s="1315"/>
      <c r="AZT36" s="1316"/>
      <c r="AZU36" s="1358"/>
      <c r="AZV36" s="1316"/>
      <c r="AZW36" s="1316"/>
      <c r="AZX36" s="1358"/>
      <c r="AZY36" s="1316"/>
      <c r="AZZ36" s="1316"/>
      <c r="BAA36" s="1358"/>
      <c r="BAB36" s="1316"/>
      <c r="BAC36" s="1316"/>
      <c r="BAD36" s="1358"/>
      <c r="BAE36" s="1316"/>
      <c r="BAF36" s="1316"/>
      <c r="BAG36" s="1316"/>
      <c r="BAH36" s="1315"/>
      <c r="BAI36" s="1316"/>
      <c r="BAJ36" s="1358"/>
    </row>
    <row r="37" spans="1:1399">
      <c r="B37" s="606" t="s">
        <v>362</v>
      </c>
      <c r="C37" s="16"/>
      <c r="D37" s="16"/>
      <c r="E37" s="9" t="s">
        <v>349</v>
      </c>
      <c r="F37" s="1200"/>
      <c r="G37" s="1200"/>
      <c r="H37" s="1093"/>
      <c r="I37" s="1200"/>
      <c r="J37" s="1200"/>
      <c r="K37" s="1093"/>
      <c r="L37" s="1200"/>
      <c r="M37" s="1200"/>
      <c r="N37" s="1093"/>
      <c r="O37" s="1200"/>
      <c r="P37" s="1200"/>
      <c r="Q37" s="1093"/>
      <c r="R37" s="1200"/>
      <c r="S37" s="1200"/>
      <c r="T37" s="1093"/>
      <c r="U37" s="1200"/>
      <c r="V37" s="1200"/>
      <c r="W37" s="1093"/>
      <c r="X37" s="1200"/>
      <c r="Y37" s="1200"/>
      <c r="Z37" s="1093"/>
      <c r="AA37" s="1200"/>
      <c r="AB37" s="1200"/>
      <c r="AC37" s="1093"/>
      <c r="AD37" s="1200"/>
      <c r="AE37" s="1200"/>
      <c r="AF37" s="1093"/>
      <c r="AG37" s="1200"/>
      <c r="AH37" s="1200"/>
      <c r="AI37" s="1093"/>
      <c r="AJ37" s="1200"/>
      <c r="AK37" s="1200"/>
      <c r="AL37" s="1093"/>
      <c r="AM37" s="1200"/>
      <c r="AN37" s="1200"/>
      <c r="AO37" s="1093"/>
      <c r="AP37" s="1200"/>
      <c r="AQ37" s="1200"/>
      <c r="AR37" s="1093"/>
      <c r="AS37" s="1200"/>
      <c r="AT37" s="1200"/>
      <c r="AU37" s="1093"/>
      <c r="AV37" s="1200"/>
      <c r="AW37" s="1200"/>
      <c r="AX37" s="1093"/>
      <c r="AY37" s="1200"/>
      <c r="AZ37" s="1200"/>
      <c r="BA37" s="1093"/>
      <c r="BB37" s="1200"/>
      <c r="BC37" s="1200"/>
      <c r="BD37" s="1093"/>
      <c r="BE37" s="1200"/>
      <c r="BF37" s="1200"/>
      <c r="BG37" s="1093"/>
      <c r="BH37" s="1200"/>
      <c r="BI37" s="1200"/>
      <c r="BJ37" s="1093"/>
      <c r="BK37" s="1200"/>
      <c r="BL37" s="1200"/>
      <c r="BM37" s="1093"/>
      <c r="BN37" s="1200"/>
      <c r="BO37" s="1200"/>
      <c r="BP37" s="1093"/>
      <c r="BQ37" s="1200"/>
      <c r="BR37" s="1200"/>
      <c r="BS37" s="1093"/>
      <c r="BT37" s="1200"/>
      <c r="BU37" s="1200"/>
      <c r="BV37" s="1093"/>
      <c r="BW37" s="1200"/>
      <c r="BX37" s="1200"/>
      <c r="BY37" s="1093"/>
      <c r="BZ37" s="1200"/>
      <c r="CA37" s="1200"/>
      <c r="CB37" s="1093"/>
      <c r="CC37" s="1200"/>
      <c r="CD37" s="1200"/>
      <c r="CE37" s="1093"/>
      <c r="CF37" s="1200"/>
      <c r="CG37" s="1200"/>
      <c r="CH37" s="1093"/>
      <c r="CI37" s="1200"/>
      <c r="CJ37" s="1200"/>
      <c r="CK37" s="1093"/>
      <c r="CL37" s="1200"/>
      <c r="CM37" s="1200"/>
      <c r="CN37" s="1093"/>
      <c r="CO37" s="1200"/>
      <c r="CP37" s="1200"/>
      <c r="CQ37" s="1093"/>
      <c r="CR37" s="1200"/>
      <c r="CS37" s="1200"/>
      <c r="CT37" s="1093"/>
      <c r="CU37" s="1215"/>
      <c r="CV37" s="1215"/>
      <c r="CW37" s="1094"/>
      <c r="CX37" s="1200"/>
      <c r="CY37" s="1200"/>
      <c r="CZ37" s="1093"/>
      <c r="DA37" s="1200"/>
      <c r="DB37" s="1200"/>
      <c r="DC37" s="1093"/>
      <c r="DD37" s="1200"/>
      <c r="DE37" s="1200"/>
      <c r="DF37" s="1093"/>
      <c r="DG37" s="1200"/>
      <c r="DH37" s="1200"/>
      <c r="DI37" s="1093"/>
      <c r="DJ37" s="1200"/>
      <c r="DK37" s="1200"/>
      <c r="DL37" s="1093"/>
      <c r="DM37" s="1200"/>
      <c r="DN37" s="1200"/>
      <c r="DO37" s="1093"/>
      <c r="DP37" s="1200"/>
      <c r="DQ37" s="1200"/>
      <c r="DR37" s="1093"/>
      <c r="DS37" s="1200"/>
      <c r="DT37" s="1200"/>
      <c r="DU37" s="1093"/>
      <c r="DV37" s="1200"/>
      <c r="DW37" s="1200"/>
      <c r="DX37" s="1093"/>
      <c r="DY37" s="1200"/>
      <c r="DZ37" s="1200"/>
      <c r="EA37" s="1093"/>
      <c r="EB37" s="1200"/>
      <c r="EC37" s="1200"/>
      <c r="ED37" s="1093"/>
      <c r="EE37" s="1200"/>
      <c r="EF37" s="1200"/>
      <c r="EG37" s="1093"/>
      <c r="EH37" s="7"/>
      <c r="EI37" s="7"/>
      <c r="EJ37" s="4"/>
      <c r="EK37" s="1200"/>
      <c r="EL37" s="1200"/>
      <c r="EM37" s="1093"/>
      <c r="EN37" s="1200"/>
      <c r="EO37" s="1200"/>
      <c r="EP37" s="1093"/>
      <c r="EQ37" s="1200"/>
      <c r="ER37" s="1200"/>
      <c r="ES37" s="1093"/>
      <c r="ET37" s="1200"/>
      <c r="EU37" s="1200"/>
      <c r="EV37" s="1093"/>
      <c r="EW37" s="1200"/>
      <c r="EX37" s="1200"/>
      <c r="EY37" s="1093"/>
      <c r="EZ37" s="1200"/>
      <c r="FA37" s="1200"/>
      <c r="FB37" s="1093"/>
      <c r="FC37" s="1200"/>
      <c r="FD37" s="1200"/>
      <c r="FE37" s="1093"/>
      <c r="FF37" s="1200"/>
      <c r="FG37" s="1200"/>
      <c r="FH37" s="1093"/>
      <c r="FI37" s="1200"/>
      <c r="FJ37" s="1200"/>
      <c r="FK37" s="1093"/>
      <c r="FL37" s="1200"/>
      <c r="FM37" s="1200"/>
      <c r="FN37" s="1093"/>
      <c r="FO37" s="1200"/>
      <c r="FP37" s="1200"/>
      <c r="FQ37" s="1093"/>
      <c r="FR37" s="1200"/>
      <c r="FS37" s="1200"/>
      <c r="FT37" s="1093"/>
      <c r="FU37" s="1200"/>
      <c r="FV37" s="1200"/>
      <c r="FW37" s="1093"/>
      <c r="FX37" s="1200"/>
      <c r="FY37" s="1200"/>
      <c r="FZ37" s="1093"/>
      <c r="GA37" s="1200"/>
      <c r="GB37" s="1200"/>
      <c r="GC37" s="1093"/>
      <c r="GD37" s="1200"/>
      <c r="GE37" s="1200"/>
      <c r="GF37" s="1093"/>
      <c r="GG37" s="1215"/>
      <c r="GH37" s="1215"/>
      <c r="GI37" s="1094"/>
      <c r="GJ37" s="1200"/>
      <c r="GK37" s="1200"/>
      <c r="GL37" s="1093"/>
      <c r="GM37" s="1200"/>
      <c r="GN37" s="1200"/>
      <c r="GO37" s="1093"/>
      <c r="GP37" s="1200"/>
      <c r="GQ37" s="1200"/>
      <c r="GR37" s="1093"/>
      <c r="GS37" s="1200"/>
      <c r="GT37" s="1200"/>
      <c r="GU37" s="1093"/>
      <c r="GV37" s="1200"/>
      <c r="GW37" s="1200"/>
      <c r="GX37" s="1093"/>
      <c r="GY37" s="1200"/>
      <c r="GZ37" s="1200"/>
      <c r="HA37" s="1093"/>
      <c r="HB37" s="1200"/>
      <c r="HC37" s="1200"/>
      <c r="HD37" s="1093"/>
      <c r="HE37" s="1200"/>
      <c r="HF37" s="1200"/>
      <c r="HG37" s="1093"/>
      <c r="HH37" s="1200"/>
      <c r="HI37" s="1200"/>
      <c r="HJ37" s="1093"/>
      <c r="HK37" s="1200"/>
      <c r="HL37" s="1200"/>
      <c r="HM37" s="1093"/>
      <c r="HN37" s="1215"/>
      <c r="HO37" s="1215"/>
      <c r="HP37" s="1094"/>
      <c r="HQ37" s="1200"/>
      <c r="HR37" s="1200"/>
      <c r="HS37" s="1093"/>
      <c r="HT37" s="1200"/>
      <c r="HU37" s="1200"/>
      <c r="HV37" s="1093"/>
      <c r="HW37" s="1200"/>
      <c r="HX37" s="1200"/>
      <c r="HY37" s="1093"/>
      <c r="HZ37" s="1200"/>
      <c r="IA37" s="1200"/>
      <c r="IB37" s="1093"/>
      <c r="IC37" s="1200"/>
      <c r="ID37" s="1200"/>
      <c r="IE37" s="1093"/>
      <c r="IF37" s="1200"/>
      <c r="IG37" s="1200"/>
      <c r="IH37" s="1093"/>
      <c r="II37" s="1200"/>
      <c r="IJ37" s="1200"/>
      <c r="IK37" s="1093"/>
      <c r="IL37" s="1200"/>
      <c r="IM37" s="1200"/>
      <c r="IN37" s="1093"/>
      <c r="IO37" s="1200"/>
      <c r="IP37" s="1200"/>
      <c r="IQ37" s="1093"/>
      <c r="IR37" s="1200"/>
      <c r="IS37" s="1200"/>
      <c r="IT37" s="1093"/>
      <c r="IU37" s="1200"/>
      <c r="IV37" s="1200"/>
      <c r="IW37" s="1093"/>
      <c r="IX37" s="1200"/>
      <c r="IY37" s="1200"/>
      <c r="IZ37" s="1093"/>
      <c r="JA37" s="1200"/>
      <c r="JB37" s="1200"/>
      <c r="JC37" s="1093"/>
      <c r="JD37" s="1215"/>
      <c r="JE37" s="1215"/>
      <c r="JF37" s="1094"/>
      <c r="JG37" s="1200"/>
      <c r="JH37" s="1200"/>
      <c r="JI37" s="1093"/>
      <c r="JJ37" s="1200"/>
      <c r="JK37" s="1200"/>
      <c r="JL37" s="1093"/>
      <c r="JM37" s="1200"/>
      <c r="JN37" s="1200"/>
      <c r="JO37" s="1093"/>
      <c r="JP37" s="1200"/>
      <c r="JQ37" s="1200"/>
      <c r="JR37" s="1093"/>
      <c r="JS37" s="1200"/>
      <c r="JT37" s="1200"/>
      <c r="JU37" s="1093"/>
      <c r="JV37" s="1200"/>
      <c r="JW37" s="1200"/>
      <c r="JX37" s="1093"/>
      <c r="JY37" s="1200"/>
      <c r="JZ37" s="1200"/>
      <c r="KA37" s="1093"/>
      <c r="KB37" s="1200"/>
      <c r="KC37" s="1200"/>
      <c r="KD37" s="1093"/>
      <c r="KE37" s="1200"/>
      <c r="KF37" s="1200"/>
      <c r="KG37" s="1093"/>
      <c r="KH37" s="1200"/>
      <c r="KI37" s="1200"/>
      <c r="KJ37" s="1093"/>
      <c r="KK37" s="1200"/>
      <c r="KL37" s="1200"/>
      <c r="KM37" s="1093"/>
      <c r="KN37" s="1200"/>
      <c r="KO37" s="1200"/>
      <c r="KP37" s="1093"/>
      <c r="KQ37" s="1200"/>
      <c r="KR37" s="1200"/>
      <c r="KS37" s="1093"/>
      <c r="KT37" s="1200"/>
      <c r="KU37" s="1200"/>
      <c r="KV37" s="1093"/>
      <c r="KW37" s="1200"/>
      <c r="KX37" s="1200"/>
      <c r="KY37" s="1093"/>
      <c r="KZ37" s="1200"/>
      <c r="LA37" s="1200"/>
      <c r="LB37" s="1093"/>
      <c r="LC37" s="1200"/>
      <c r="LD37" s="1200"/>
      <c r="LE37" s="1093"/>
      <c r="LF37" s="1200"/>
      <c r="LG37" s="1200"/>
      <c r="LH37" s="1093"/>
      <c r="LI37" s="1200"/>
      <c r="LJ37" s="1200"/>
      <c r="LK37" s="1093"/>
      <c r="LL37" s="1200"/>
      <c r="LM37" s="1200"/>
      <c r="LN37" s="1093"/>
      <c r="LO37" s="1200"/>
      <c r="LP37" s="1200"/>
      <c r="LQ37" s="1093"/>
      <c r="LR37" s="1200"/>
      <c r="LS37" s="1200"/>
      <c r="LT37" s="1093"/>
      <c r="LU37" s="1200"/>
      <c r="LV37" s="1200"/>
      <c r="LW37" s="1093"/>
      <c r="LX37" s="1200"/>
      <c r="LY37" s="1200"/>
      <c r="LZ37" s="1093"/>
      <c r="MA37" s="1200"/>
      <c r="MB37" s="1200"/>
      <c r="MC37" s="1093"/>
      <c r="MD37" s="1200"/>
      <c r="ME37" s="1200"/>
      <c r="MF37" s="1093"/>
      <c r="MG37" s="1200"/>
      <c r="MH37" s="1200"/>
      <c r="MI37" s="1093"/>
      <c r="MJ37" s="1200"/>
      <c r="MK37" s="1200"/>
      <c r="ML37" s="1093"/>
      <c r="MM37" s="1200"/>
      <c r="MN37" s="1200"/>
      <c r="MO37" s="1093"/>
      <c r="MP37" s="1200"/>
      <c r="MQ37" s="1200"/>
      <c r="MR37" s="1093"/>
      <c r="MS37" s="1200"/>
      <c r="MT37" s="1200"/>
      <c r="MU37" s="1093"/>
      <c r="MV37" s="1200"/>
      <c r="MW37" s="1200"/>
      <c r="MX37" s="1093"/>
      <c r="MY37" s="1200"/>
      <c r="MZ37" s="1200"/>
      <c r="NA37" s="1093"/>
      <c r="NB37" s="1200"/>
      <c r="NC37" s="1200"/>
      <c r="ND37" s="1093"/>
      <c r="NE37" s="1200"/>
      <c r="NF37" s="1200"/>
      <c r="NG37" s="1093"/>
      <c r="NH37" s="1200"/>
      <c r="NI37" s="1200"/>
      <c r="NJ37" s="1093"/>
      <c r="NK37" s="1200"/>
      <c r="NL37" s="1200"/>
      <c r="NM37" s="1093"/>
      <c r="NN37" s="1200"/>
      <c r="NO37" s="1200"/>
      <c r="NP37" s="1093"/>
      <c r="NQ37" s="1200"/>
      <c r="NR37" s="1200"/>
      <c r="NS37" s="1093"/>
      <c r="NT37" s="1200"/>
      <c r="NU37" s="1200"/>
      <c r="NV37" s="1093"/>
      <c r="NW37" s="1200"/>
      <c r="NX37" s="1200"/>
      <c r="NY37" s="1093"/>
      <c r="NZ37" s="1200"/>
      <c r="OA37" s="1200"/>
      <c r="OB37" s="1093"/>
      <c r="OC37" s="1200"/>
      <c r="OD37" s="1200"/>
      <c r="OE37" s="1093"/>
      <c r="OF37" s="1200"/>
      <c r="OG37" s="1200"/>
      <c r="OH37" s="1093"/>
      <c r="OI37" s="1200"/>
      <c r="OJ37" s="1200"/>
      <c r="OK37" s="1093"/>
      <c r="OL37" s="1200"/>
      <c r="OM37" s="1200"/>
      <c r="ON37" s="1093"/>
      <c r="OO37" s="1200"/>
      <c r="OP37" s="1200"/>
      <c r="OQ37" s="1093"/>
      <c r="OR37" s="1200"/>
      <c r="OS37" s="1200"/>
      <c r="OT37" s="1093"/>
      <c r="OU37" s="1200"/>
      <c r="OV37" s="1200"/>
      <c r="OW37" s="1093"/>
      <c r="OX37" s="1200"/>
      <c r="OY37" s="1200"/>
      <c r="OZ37" s="1093"/>
      <c r="PA37" s="1200"/>
      <c r="PB37" s="1200"/>
      <c r="PC37" s="1093"/>
      <c r="PD37" s="1200"/>
      <c r="PE37" s="1200"/>
      <c r="PF37" s="1093"/>
      <c r="PG37" s="1200"/>
      <c r="PH37" s="1200"/>
      <c r="PI37" s="1093"/>
      <c r="PJ37" s="1200"/>
      <c r="PK37" s="1200"/>
      <c r="PL37" s="1093"/>
      <c r="PM37" s="1200"/>
      <c r="PN37" s="1200"/>
      <c r="PO37" s="1093"/>
      <c r="PP37" s="1200"/>
      <c r="PQ37" s="1200"/>
      <c r="PR37" s="1093"/>
      <c r="PS37" s="1216"/>
      <c r="PT37" s="1216"/>
      <c r="PU37" s="1095"/>
      <c r="PV37" s="1200"/>
      <c r="PW37" s="1200"/>
      <c r="PX37" s="1093"/>
      <c r="PY37" s="1200"/>
      <c r="PZ37" s="1200"/>
      <c r="QA37" s="1093"/>
      <c r="QB37" s="1200"/>
      <c r="QC37" s="1200"/>
      <c r="QD37" s="1093"/>
      <c r="QE37" s="1200"/>
      <c r="QF37" s="1200"/>
      <c r="QG37" s="1093"/>
      <c r="QH37" s="1200"/>
      <c r="QI37" s="1200"/>
      <c r="QJ37" s="1093"/>
      <c r="QK37" s="1200"/>
      <c r="QL37" s="1200"/>
      <c r="QM37" s="1093"/>
      <c r="QN37" s="1200"/>
      <c r="QO37" s="1200"/>
      <c r="QP37" s="1093"/>
      <c r="QQ37" s="1200"/>
      <c r="QR37" s="1200"/>
      <c r="QS37" s="1093"/>
      <c r="QT37" s="1200"/>
      <c r="QU37" s="1200"/>
      <c r="QV37" s="1093"/>
      <c r="QW37" s="1200"/>
      <c r="QX37" s="1200"/>
      <c r="QY37" s="1093"/>
      <c r="QZ37" s="1200"/>
      <c r="RA37" s="1200"/>
      <c r="RB37" s="1093"/>
      <c r="RC37" s="1200"/>
      <c r="RD37" s="1200"/>
      <c r="RE37" s="1093"/>
      <c r="RF37" s="1200"/>
      <c r="RG37" s="1200"/>
      <c r="RH37" s="1093"/>
      <c r="RI37" s="1200"/>
      <c r="RJ37" s="1200"/>
      <c r="RK37" s="1093"/>
      <c r="RL37" s="1200"/>
      <c r="RM37" s="1200"/>
      <c r="RN37" s="1093"/>
      <c r="RO37" s="1215"/>
      <c r="RP37" s="1215"/>
      <c r="RQ37" s="1094"/>
      <c r="RR37" s="1200"/>
      <c r="RS37" s="1200"/>
      <c r="RT37" s="1093"/>
      <c r="RU37" s="1200"/>
      <c r="RV37" s="1200"/>
      <c r="RW37" s="1093"/>
      <c r="RX37" s="1200"/>
      <c r="RY37" s="1200"/>
      <c r="RZ37" s="1093"/>
      <c r="SA37" s="1200"/>
      <c r="SB37" s="1200"/>
      <c r="SC37" s="1093"/>
      <c r="SD37" s="1200"/>
      <c r="SE37" s="1200"/>
      <c r="SF37" s="1093"/>
      <c r="SG37" s="1200"/>
      <c r="SH37" s="1200"/>
      <c r="SI37" s="1093"/>
      <c r="SJ37" s="1200"/>
      <c r="SK37" s="1200"/>
      <c r="SL37" s="1093"/>
      <c r="SM37" s="1200"/>
      <c r="SN37" s="1200"/>
      <c r="SO37" s="1093"/>
      <c r="SP37" s="1200"/>
      <c r="SQ37" s="1200"/>
      <c r="SR37" s="1093"/>
      <c r="SS37" s="1200"/>
      <c r="ST37" s="1200"/>
      <c r="SU37" s="1093"/>
      <c r="SV37" s="1200"/>
      <c r="SW37" s="1200"/>
      <c r="SX37" s="1093"/>
      <c r="SY37" s="1200"/>
      <c r="SZ37" s="1200"/>
      <c r="TA37" s="1093"/>
      <c r="TB37" s="1200"/>
      <c r="TC37" s="1200"/>
      <c r="TD37" s="1093"/>
      <c r="TE37" s="1200"/>
      <c r="TF37" s="1200"/>
      <c r="TG37" s="1093"/>
      <c r="TH37" s="1200"/>
      <c r="TI37" s="1200"/>
      <c r="TJ37" s="1093"/>
      <c r="TK37" s="1200"/>
      <c r="TL37" s="1200"/>
      <c r="TM37" s="1093"/>
      <c r="TN37" s="1200"/>
      <c r="TO37" s="1200"/>
      <c r="TP37" s="1093"/>
      <c r="TQ37" s="1200"/>
      <c r="TR37" s="1200"/>
      <c r="TS37" s="1093"/>
      <c r="TT37" s="1200"/>
      <c r="TU37" s="1200"/>
      <c r="TV37" s="1093"/>
      <c r="TW37" s="1200"/>
      <c r="TX37" s="1200"/>
      <c r="TY37" s="1093"/>
      <c r="TZ37" s="1200"/>
      <c r="UA37" s="1200"/>
      <c r="UB37" s="1093"/>
      <c r="UC37" s="1200"/>
      <c r="UD37" s="1200"/>
      <c r="UE37" s="1093"/>
      <c r="UF37" s="1200"/>
      <c r="UG37" s="1200"/>
      <c r="UH37" s="1093"/>
      <c r="UI37" s="1200"/>
      <c r="UJ37" s="1200"/>
      <c r="UK37" s="1093"/>
      <c r="UL37" s="1200"/>
      <c r="UM37" s="1200"/>
      <c r="UN37" s="1093"/>
      <c r="UO37" s="1200"/>
      <c r="UP37" s="1200"/>
      <c r="UQ37" s="1093"/>
      <c r="UR37" s="1200"/>
      <c r="US37" s="1200"/>
      <c r="UT37" s="1093"/>
      <c r="UU37" s="1200"/>
      <c r="UV37" s="1200"/>
      <c r="UW37" s="1093"/>
      <c r="UX37" s="1200"/>
      <c r="UY37" s="1200"/>
      <c r="UZ37" s="1093"/>
      <c r="VA37" s="1200"/>
      <c r="VB37" s="1200"/>
      <c r="VC37" s="1093"/>
      <c r="VD37" s="1200"/>
      <c r="VE37" s="1200"/>
      <c r="VF37" s="1093"/>
      <c r="VG37" s="1200"/>
      <c r="VH37" s="1200"/>
      <c r="VI37" s="1093"/>
      <c r="VJ37" s="1200"/>
      <c r="VK37" s="1200"/>
      <c r="VL37" s="1093"/>
      <c r="VM37" s="1200"/>
      <c r="VN37" s="1200"/>
      <c r="VO37" s="1093"/>
      <c r="VP37" s="1200"/>
      <c r="VQ37" s="1200"/>
      <c r="VR37" s="1093"/>
      <c r="VS37" s="1200"/>
      <c r="VT37" s="1200"/>
      <c r="VU37" s="1093"/>
      <c r="VV37" s="1200"/>
      <c r="VW37" s="1200"/>
      <c r="VX37" s="1093"/>
      <c r="VY37" s="1200"/>
      <c r="VZ37" s="1200"/>
      <c r="WA37" s="1093"/>
      <c r="WB37" s="1200"/>
      <c r="WC37" s="1200"/>
      <c r="WD37" s="1093"/>
      <c r="WE37" s="1200"/>
      <c r="WF37" s="1200"/>
      <c r="WG37" s="1093"/>
      <c r="WH37" s="1200"/>
      <c r="WI37" s="1200"/>
      <c r="WJ37" s="1093"/>
      <c r="WK37" s="1200"/>
      <c r="WL37" s="1200"/>
      <c r="WM37" s="1093"/>
      <c r="WN37" s="1200"/>
      <c r="WO37" s="1200"/>
      <c r="WP37" s="1093"/>
      <c r="WQ37" s="1200"/>
      <c r="WR37" s="1200"/>
      <c r="WS37" s="1093"/>
      <c r="WT37" s="1200"/>
      <c r="WU37" s="1200"/>
      <c r="WV37" s="1093"/>
      <c r="WW37" s="1200"/>
      <c r="WX37" s="1200"/>
      <c r="WY37" s="1093"/>
      <c r="WZ37" s="1200"/>
      <c r="XA37" s="1200"/>
      <c r="XB37" s="1093"/>
      <c r="XC37" s="1200"/>
      <c r="XD37" s="1200"/>
      <c r="XE37" s="1093"/>
      <c r="XF37" s="1200"/>
      <c r="XG37" s="1200"/>
      <c r="XH37" s="1093"/>
      <c r="XI37" s="1200"/>
      <c r="XJ37" s="1200"/>
      <c r="XK37" s="1093"/>
      <c r="XL37" s="1200"/>
      <c r="XM37" s="1200"/>
      <c r="XN37" s="1093"/>
      <c r="XO37" s="1200"/>
      <c r="XP37" s="1200"/>
      <c r="XQ37" s="1093"/>
      <c r="XR37" s="1200"/>
      <c r="XS37" s="1200"/>
      <c r="XT37" s="1093"/>
      <c r="XU37" s="1200"/>
      <c r="XV37" s="1200"/>
      <c r="XW37" s="1093"/>
      <c r="XX37" s="1200"/>
      <c r="XY37" s="1200"/>
      <c r="XZ37" s="1093"/>
      <c r="YA37" s="1200"/>
      <c r="YB37" s="1200"/>
      <c r="YC37" s="1093"/>
      <c r="YD37" s="1200"/>
      <c r="YE37" s="1200"/>
      <c r="YF37" s="1093"/>
      <c r="YG37" s="1200"/>
      <c r="YH37" s="1200"/>
      <c r="YI37" s="1093"/>
      <c r="YJ37" s="1200"/>
      <c r="YK37" s="1200"/>
      <c r="YL37" s="1093"/>
      <c r="YM37" s="1200"/>
      <c r="YN37" s="1200"/>
      <c r="YO37" s="1093"/>
      <c r="YP37" s="1200"/>
      <c r="YQ37" s="1200"/>
      <c r="YR37" s="1093"/>
      <c r="YS37" s="1200"/>
      <c r="YT37" s="1200"/>
      <c r="YU37" s="1093"/>
      <c r="YV37" s="1200"/>
      <c r="YW37" s="1200"/>
      <c r="YX37" s="1093"/>
      <c r="YY37" s="1200"/>
      <c r="YZ37" s="1200"/>
      <c r="ZA37" s="1093"/>
      <c r="ZB37" s="1200"/>
      <c r="ZC37" s="1200"/>
      <c r="ZD37" s="1093"/>
      <c r="ZE37" s="1200"/>
      <c r="ZF37" s="1200"/>
      <c r="ZG37" s="1093"/>
      <c r="ZH37" s="1200"/>
      <c r="ZI37" s="1200"/>
      <c r="ZJ37" s="1093"/>
      <c r="ZK37" s="1200"/>
      <c r="ZL37" s="1200"/>
      <c r="ZM37" s="1093"/>
      <c r="ZN37" s="1200"/>
      <c r="ZO37" s="1200"/>
      <c r="ZP37" s="1093"/>
      <c r="ZQ37" s="1200"/>
      <c r="ZR37" s="1200"/>
      <c r="ZS37" s="1093"/>
      <c r="ZT37" s="1200"/>
      <c r="ZU37" s="1200"/>
      <c r="ZV37" s="1093"/>
      <c r="ZW37" s="1200"/>
      <c r="ZX37" s="1200"/>
      <c r="ZY37" s="1093"/>
      <c r="ZZ37" s="1200"/>
      <c r="AAA37" s="1200"/>
      <c r="AAB37" s="1093"/>
      <c r="AAC37" s="1200"/>
      <c r="AAD37" s="1200"/>
      <c r="AAE37" s="1093"/>
      <c r="AAF37" s="1200"/>
      <c r="AAG37" s="1200"/>
      <c r="AAH37" s="1093"/>
      <c r="AAI37" s="1200"/>
      <c r="AAJ37" s="1200"/>
      <c r="AAK37" s="1093"/>
      <c r="AAL37" s="1200"/>
      <c r="AAM37" s="1200"/>
      <c r="AAN37" s="1093"/>
      <c r="AAO37" s="1200"/>
      <c r="AAP37" s="1200"/>
      <c r="AAQ37" s="1093"/>
      <c r="AAR37" s="1200"/>
      <c r="AAS37" s="1200"/>
      <c r="AAT37" s="1093"/>
      <c r="AAU37" s="1200"/>
      <c r="AAV37" s="1200"/>
      <c r="AAW37" s="1093"/>
      <c r="AAX37" s="1200"/>
      <c r="AAY37" s="1200"/>
      <c r="AAZ37" s="1093"/>
      <c r="ABA37" s="1200"/>
      <c r="ABB37" s="1200"/>
      <c r="ABC37" s="1093"/>
      <c r="ABD37" s="1200"/>
      <c r="ABE37" s="1200"/>
      <c r="ABF37" s="1093"/>
      <c r="ABG37" s="1200"/>
      <c r="ABH37" s="1200"/>
      <c r="ABI37" s="1093"/>
      <c r="ABJ37" s="1200"/>
      <c r="ABK37" s="1200"/>
      <c r="ABL37" s="1093"/>
      <c r="ABM37" s="1200"/>
      <c r="ABN37" s="1200"/>
      <c r="ABO37" s="1093"/>
      <c r="ABP37" s="1200"/>
      <c r="ABQ37" s="1200"/>
      <c r="ABR37" s="1093"/>
      <c r="ABS37" s="1200"/>
      <c r="ABT37" s="1200"/>
      <c r="ABU37" s="1093"/>
      <c r="ABV37" s="1200"/>
      <c r="ABW37" s="1200"/>
      <c r="ABX37" s="1093"/>
      <c r="ABY37" s="1200"/>
      <c r="ABZ37" s="1200"/>
      <c r="ACA37" s="1093"/>
      <c r="ACB37" s="1200"/>
      <c r="ACC37" s="1200"/>
      <c r="ACD37" s="1093"/>
      <c r="ACE37" s="1200"/>
      <c r="ACF37" s="1200"/>
      <c r="ACG37" s="1093"/>
      <c r="ACH37" s="1200"/>
      <c r="ACI37" s="1200"/>
      <c r="ACJ37" s="1093"/>
      <c r="ACK37" s="1200"/>
      <c r="ACL37" s="1200"/>
      <c r="ACM37" s="1093"/>
      <c r="ACN37" s="1200"/>
      <c r="ACO37" s="1200"/>
      <c r="ACP37" s="1093"/>
      <c r="ACQ37" s="1200"/>
      <c r="ACR37" s="1200"/>
      <c r="ACS37" s="1093"/>
      <c r="ACT37" s="1200"/>
      <c r="ACU37" s="1200"/>
      <c r="ACV37" s="1093"/>
      <c r="ACW37" s="1200"/>
      <c r="ACX37" s="1200"/>
      <c r="ACY37" s="1093"/>
      <c r="ACZ37" s="1200"/>
      <c r="ADA37" s="1200"/>
      <c r="ADB37" s="1093"/>
      <c r="ADC37" s="1200"/>
      <c r="ADD37" s="1200"/>
      <c r="ADE37" s="1093"/>
      <c r="ADF37" s="1200"/>
      <c r="ADG37" s="1200"/>
      <c r="ADH37" s="1093"/>
      <c r="ADI37" s="1200"/>
      <c r="ADJ37" s="1200"/>
      <c r="ADK37" s="1093"/>
      <c r="ADL37" s="1200"/>
      <c r="ADM37" s="1200"/>
      <c r="ADN37" s="1093"/>
      <c r="ADO37" s="1200"/>
      <c r="ADP37" s="1200"/>
      <c r="ADQ37" s="1093"/>
      <c r="ADR37" s="1200"/>
      <c r="ADS37" s="1200"/>
      <c r="ADT37" s="1093"/>
      <c r="ADU37" s="1200"/>
      <c r="ADV37" s="1200"/>
      <c r="ADW37" s="1093"/>
      <c r="ADX37" s="1200"/>
      <c r="ADY37" s="1200"/>
      <c r="ADZ37" s="1093"/>
      <c r="AEA37" s="1200"/>
      <c r="AEB37" s="1200"/>
      <c r="AEC37" s="1093"/>
      <c r="AED37" s="1200"/>
      <c r="AEE37" s="1200"/>
      <c r="AEF37" s="1093"/>
      <c r="AEG37" s="1200"/>
      <c r="AEH37" s="1200"/>
      <c r="AEI37" s="1093"/>
      <c r="AEJ37" s="1200"/>
      <c r="AEK37" s="1200"/>
      <c r="AEL37" s="1093"/>
      <c r="AEM37" s="1200"/>
      <c r="AEN37" s="1200"/>
      <c r="AEO37" s="1093"/>
      <c r="AEP37" s="1200"/>
      <c r="AEQ37" s="1200"/>
      <c r="AER37" s="1093"/>
      <c r="AES37" s="1200"/>
      <c r="AET37" s="1200"/>
      <c r="AEU37" s="1093"/>
      <c r="AEV37" s="1200"/>
      <c r="AEW37" s="1200"/>
      <c r="AEX37" s="1093"/>
      <c r="AEY37" s="1200"/>
      <c r="AEZ37" s="1200"/>
      <c r="AFA37" s="1093"/>
      <c r="AFB37" s="1200"/>
      <c r="AFC37" s="1200"/>
      <c r="AFD37" s="1093"/>
      <c r="AFE37" s="1200"/>
      <c r="AFF37" s="1200"/>
      <c r="AFG37" s="1093"/>
      <c r="AFH37" s="1200"/>
      <c r="AFI37" s="1200"/>
      <c r="AFJ37" s="1093"/>
      <c r="AFK37" s="1200"/>
      <c r="AFL37" s="1200"/>
      <c r="AFM37" s="1093"/>
      <c r="AFN37" s="1200"/>
      <c r="AFO37" s="1200"/>
      <c r="AFP37" s="1093"/>
      <c r="AFQ37" s="1200"/>
      <c r="AFR37" s="1200"/>
      <c r="AFS37" s="1093"/>
      <c r="AFT37" s="1200"/>
      <c r="AFU37" s="1200"/>
      <c r="AFV37" s="1093"/>
      <c r="AFW37" s="1200"/>
      <c r="AFX37" s="1200"/>
      <c r="AFY37" s="1093"/>
      <c r="AFZ37" s="1200"/>
      <c r="AGA37" s="1200"/>
      <c r="AGB37" s="1093"/>
      <c r="AGC37" s="1200"/>
      <c r="AGD37" s="1200"/>
      <c r="AGE37" s="1093"/>
      <c r="AGF37" s="1200"/>
      <c r="AGG37" s="1200"/>
      <c r="AGH37" s="1093"/>
      <c r="AGI37" s="1200"/>
      <c r="AGJ37" s="1200"/>
      <c r="AGK37" s="1093"/>
      <c r="AGL37" s="1200"/>
      <c r="AGM37" s="1200"/>
      <c r="AGN37" s="1093"/>
      <c r="AGO37" s="1200"/>
      <c r="AGP37" s="1200"/>
      <c r="AGQ37" s="1093"/>
      <c r="AGR37" s="1200"/>
      <c r="AGS37" s="1200"/>
      <c r="AGT37" s="1093"/>
      <c r="AGU37" s="1200"/>
      <c r="AGV37" s="1200"/>
      <c r="AGW37" s="1093"/>
      <c r="AGX37" s="1200"/>
      <c r="AGY37" s="1200"/>
      <c r="AGZ37" s="1093"/>
      <c r="AHA37" s="1200"/>
      <c r="AHB37" s="1200"/>
      <c r="AHC37" s="1093"/>
      <c r="AHD37" s="1200"/>
      <c r="AHE37" s="1200"/>
      <c r="AHF37" s="1093"/>
      <c r="AHG37" s="1200"/>
      <c r="AHH37" s="1200"/>
      <c r="AHI37" s="1093"/>
      <c r="AHJ37" s="1200"/>
      <c r="AHK37" s="1200"/>
      <c r="AHL37" s="1093"/>
      <c r="AHM37" s="1200"/>
      <c r="AHN37" s="1200"/>
      <c r="AHO37" s="1093"/>
      <c r="AHP37" s="1200"/>
      <c r="AHQ37" s="1200"/>
      <c r="AHR37" s="1093"/>
      <c r="AHS37" s="1200"/>
      <c r="AHT37" s="1200"/>
      <c r="AHU37" s="1093"/>
      <c r="AHV37" s="1200"/>
      <c r="AHW37" s="1200"/>
      <c r="AHX37" s="1093"/>
      <c r="AHY37" s="1200"/>
      <c r="AHZ37" s="1200"/>
      <c r="AIA37" s="1093"/>
      <c r="AIB37" s="1200"/>
      <c r="AIC37" s="1200"/>
      <c r="AID37" s="1200"/>
      <c r="AIE37" s="1092"/>
      <c r="AIF37" s="1200"/>
      <c r="AIG37" s="1093"/>
      <c r="AIH37" s="1200"/>
      <c r="AII37" s="1200"/>
      <c r="AIJ37" s="1093"/>
      <c r="AIK37" s="1200"/>
      <c r="AIL37" s="1200"/>
      <c r="AIM37" s="1093"/>
      <c r="AIN37" s="1200"/>
      <c r="AIO37" s="1200"/>
      <c r="AIP37" s="1093"/>
      <c r="AIQ37" s="1200"/>
      <c r="AIR37" s="1200"/>
      <c r="AIS37" s="1200"/>
      <c r="AIT37" s="1092"/>
      <c r="AIU37" s="1200"/>
      <c r="AIV37" s="1093"/>
      <c r="AIW37" s="1200"/>
      <c r="AIX37" s="1200"/>
      <c r="AIY37" s="1200"/>
      <c r="AIZ37" s="1092"/>
      <c r="AJA37" s="1200"/>
      <c r="AJB37" s="1093"/>
      <c r="AJC37" s="1200"/>
      <c r="AJD37" s="1200"/>
      <c r="AJE37" s="1093"/>
      <c r="AJF37" s="1200"/>
      <c r="AJG37" s="1200"/>
      <c r="AJH37" s="1093"/>
      <c r="AJI37" s="1200"/>
      <c r="AJJ37" s="1200"/>
      <c r="AJK37" s="1093"/>
      <c r="AJL37" s="1200"/>
      <c r="AJM37" s="1200"/>
      <c r="AJN37" s="1200"/>
      <c r="AJO37" s="1092"/>
      <c r="AJP37" s="1200"/>
      <c r="AJQ37" s="1093"/>
      <c r="AJR37" s="1200"/>
      <c r="AJS37" s="1200"/>
      <c r="AJT37" s="1200"/>
      <c r="AJU37" s="1092"/>
      <c r="AJV37" s="1200"/>
      <c r="AJW37" s="1093"/>
      <c r="AJX37" s="1200"/>
      <c r="AJY37" s="1200"/>
      <c r="AJZ37" s="1093"/>
      <c r="AKA37" s="1200"/>
      <c r="AKB37" s="1200"/>
      <c r="AKC37" s="1093"/>
      <c r="AKD37" s="1200"/>
      <c r="AKE37" s="1200"/>
      <c r="AKF37" s="1093"/>
      <c r="AKG37" s="1200"/>
      <c r="AKH37" s="1200"/>
      <c r="AKI37" s="1200"/>
      <c r="AKJ37" s="1092"/>
      <c r="AKK37" s="1200"/>
      <c r="AKL37" s="1093"/>
      <c r="AKM37" s="1200"/>
      <c r="AKN37" s="1200"/>
      <c r="AKO37" s="1200"/>
      <c r="AKP37" s="1092"/>
      <c r="AKQ37" s="1200"/>
      <c r="AKR37" s="1093"/>
      <c r="AKS37" s="1200"/>
      <c r="AKT37" s="1200"/>
      <c r="AKU37" s="1093"/>
      <c r="AKV37" s="1200"/>
      <c r="AKW37" s="1200"/>
      <c r="AKX37" s="1093"/>
      <c r="AKY37" s="1200"/>
      <c r="AKZ37" s="1200"/>
      <c r="ALA37" s="1093"/>
      <c r="ALB37" s="1200"/>
      <c r="ALC37" s="1200"/>
      <c r="ALD37" s="1200"/>
      <c r="ALE37" s="1092"/>
      <c r="ALF37" s="1200"/>
      <c r="ALG37" s="1093"/>
      <c r="ALH37" s="1200"/>
      <c r="ALI37" s="1200"/>
      <c r="ALJ37" s="1200"/>
      <c r="ALK37" s="1092"/>
      <c r="ALL37" s="1200"/>
      <c r="ALM37" s="1093"/>
      <c r="ALN37" s="1200"/>
      <c r="ALO37" s="1200"/>
      <c r="ALP37" s="1093"/>
      <c r="ALQ37" s="1200"/>
      <c r="ALR37" s="1200"/>
      <c r="ALS37" s="1093"/>
      <c r="ALT37" s="1200"/>
      <c r="ALU37" s="1200"/>
      <c r="ALV37" s="1093"/>
      <c r="ALW37" s="1200"/>
      <c r="ALX37" s="1200"/>
      <c r="ALY37" s="1200"/>
      <c r="ALZ37" s="1092"/>
      <c r="AMA37" s="1200"/>
      <c r="AMB37" s="1093"/>
      <c r="AMC37" s="1200"/>
      <c r="AMD37" s="1200"/>
      <c r="AME37" s="1200"/>
      <c r="AMF37" s="1092"/>
      <c r="AMG37" s="1200"/>
      <c r="AMH37" s="1093"/>
      <c r="AMI37" s="1200"/>
      <c r="AMJ37" s="1200"/>
      <c r="AMK37" s="1093"/>
      <c r="AML37" s="1200"/>
      <c r="AMM37" s="1200"/>
      <c r="AMN37" s="1093"/>
      <c r="AMO37" s="1200"/>
      <c r="AMP37" s="1200"/>
      <c r="AMQ37" s="1093"/>
      <c r="AMR37" s="1200"/>
      <c r="AMS37" s="1200"/>
      <c r="AMT37" s="1200"/>
      <c r="AMU37" s="1092"/>
      <c r="AMV37" s="1200"/>
      <c r="AMW37" s="1093"/>
      <c r="AMX37" s="1200"/>
      <c r="AMY37" s="1200"/>
      <c r="AMZ37" s="1200"/>
      <c r="ANA37" s="1092"/>
      <c r="ANB37" s="1200"/>
      <c r="ANC37" s="1093"/>
      <c r="AND37" s="1200"/>
      <c r="ANE37" s="1200"/>
      <c r="ANF37" s="1093"/>
      <c r="ANG37" s="1200"/>
      <c r="ANH37" s="1200"/>
      <c r="ANI37" s="1093"/>
      <c r="ANJ37" s="1200"/>
      <c r="ANK37" s="1200"/>
      <c r="ANL37" s="1093"/>
      <c r="ANM37" s="1200"/>
      <c r="ANN37" s="1200"/>
      <c r="ANO37" s="1200"/>
      <c r="ANP37" s="1092"/>
      <c r="ANQ37" s="1200"/>
      <c r="ANR37" s="1093"/>
      <c r="ANS37" s="1200"/>
      <c r="ANT37" s="1200"/>
      <c r="ANU37" s="1200"/>
      <c r="ANV37" s="1092"/>
      <c r="ANW37" s="1200"/>
      <c r="ANX37" s="1093"/>
      <c r="ANY37" s="1200"/>
      <c r="ANZ37" s="1200"/>
      <c r="AOA37" s="1093"/>
      <c r="AOB37" s="1200"/>
      <c r="AOC37" s="1200"/>
      <c r="AOD37" s="1093"/>
      <c r="AOE37" s="1200"/>
      <c r="AOF37" s="1200"/>
      <c r="AOG37" s="1093"/>
      <c r="AOH37" s="1200"/>
      <c r="AOI37" s="1200"/>
      <c r="AOJ37" s="1200"/>
      <c r="AOK37" s="1092"/>
      <c r="AOL37" s="1200"/>
      <c r="AOM37" s="1093"/>
      <c r="AON37" s="1200"/>
      <c r="AOO37" s="1200"/>
      <c r="AOP37" s="1200"/>
      <c r="AOQ37" s="1092"/>
      <c r="AOR37" s="1200"/>
      <c r="AOS37" s="1093"/>
      <c r="AOT37" s="1200"/>
      <c r="AOU37" s="1200"/>
      <c r="AOV37" s="1093"/>
      <c r="AOW37" s="1200"/>
      <c r="AOX37" s="1200"/>
      <c r="AOY37" s="1093"/>
      <c r="AOZ37" s="1200"/>
      <c r="APA37" s="1200"/>
      <c r="APB37" s="1093"/>
      <c r="APC37" s="1200"/>
      <c r="APD37" s="1200"/>
      <c r="APE37" s="1200"/>
      <c r="APF37" s="1092"/>
      <c r="APG37" s="1200"/>
      <c r="APH37" s="1093"/>
      <c r="API37" s="1200"/>
      <c r="APJ37" s="1200"/>
      <c r="APK37" s="1200"/>
      <c r="APL37" s="1092"/>
      <c r="APM37" s="1200"/>
      <c r="APN37" s="1093"/>
      <c r="APO37" s="1200"/>
      <c r="APP37" s="1200"/>
      <c r="APQ37" s="1093"/>
      <c r="APR37" s="1200"/>
      <c r="APS37" s="1200"/>
      <c r="APT37" s="1093"/>
      <c r="APU37" s="1200"/>
      <c r="APV37" s="1200"/>
      <c r="APW37" s="1093"/>
      <c r="APX37" s="1200"/>
      <c r="APY37" s="1200"/>
      <c r="APZ37" s="1200"/>
      <c r="AQA37" s="1092"/>
      <c r="AQB37" s="1200"/>
      <c r="AQC37" s="1093"/>
      <c r="AQD37" s="1200"/>
      <c r="AQE37" s="1200"/>
      <c r="AQF37" s="1093"/>
      <c r="AQG37" s="1200"/>
      <c r="AQH37" s="1200"/>
      <c r="AQI37" s="1093"/>
      <c r="AQJ37" s="1200"/>
      <c r="AQK37" s="1200"/>
      <c r="AQL37" s="1093"/>
      <c r="AQM37" s="1200"/>
      <c r="AQN37" s="1200"/>
      <c r="AQO37" s="1200"/>
      <c r="AQP37" s="1092"/>
      <c r="AQQ37" s="1200"/>
      <c r="AQR37" s="1200"/>
      <c r="AQS37" s="1092"/>
      <c r="AQT37" s="1200"/>
      <c r="AQU37" s="1093"/>
      <c r="AQV37" s="1200"/>
      <c r="AQW37" s="1200"/>
      <c r="AQX37" s="1093"/>
      <c r="AQY37" s="1200"/>
      <c r="AQZ37" s="1200"/>
      <c r="ARA37" s="1093"/>
      <c r="ARB37" s="1200"/>
      <c r="ARC37" s="1200"/>
      <c r="ARD37" s="1093"/>
      <c r="ARE37" s="1200"/>
      <c r="ARF37" s="1200"/>
      <c r="ARG37" s="1093"/>
      <c r="ARH37" s="1200"/>
      <c r="ARI37" s="1200"/>
      <c r="ARJ37" s="1093"/>
      <c r="ARK37" s="1200"/>
      <c r="ARL37" s="1200"/>
      <c r="ARM37" s="1093"/>
      <c r="ARN37" s="1200"/>
      <c r="ARO37" s="1200"/>
      <c r="ARP37" s="1093"/>
      <c r="ARQ37" s="1200"/>
      <c r="ARR37" s="1200"/>
      <c r="ARS37" s="1093"/>
      <c r="ART37" s="1200"/>
      <c r="ARU37" s="1200"/>
      <c r="ARV37" s="1093"/>
      <c r="ARW37" s="1200"/>
      <c r="ARX37" s="1200"/>
      <c r="ARY37" s="1093"/>
      <c r="ARZ37" s="1200"/>
      <c r="ASA37" s="1200"/>
      <c r="ASB37" s="1093"/>
      <c r="ASC37" s="1200"/>
      <c r="ASD37" s="1200"/>
      <c r="ASE37" s="1200"/>
      <c r="ASF37" s="1092"/>
      <c r="ASG37" s="1200"/>
      <c r="ASH37" s="1093"/>
      <c r="ASI37" s="1200"/>
      <c r="ASJ37" s="1200"/>
      <c r="ASK37" s="1200"/>
      <c r="ASL37" s="1092"/>
      <c r="ASM37" s="1200"/>
      <c r="ASN37" s="1093"/>
      <c r="ASO37" s="1200"/>
      <c r="ASP37" s="1200"/>
      <c r="ASQ37" s="1200"/>
      <c r="ASR37" s="1274"/>
      <c r="ASS37" s="1275"/>
      <c r="AST37" s="1276"/>
      <c r="ASU37" s="1274"/>
      <c r="ASV37" s="1275"/>
      <c r="ASW37" s="1276"/>
      <c r="ASX37" s="1274"/>
      <c r="ASY37" s="1275"/>
      <c r="ASZ37" s="1276"/>
      <c r="ATA37" s="1274"/>
      <c r="ATB37" s="1275"/>
      <c r="ATC37" s="1276"/>
      <c r="ATD37" s="1274"/>
      <c r="ATE37" s="1275"/>
      <c r="ATF37" s="1276"/>
      <c r="ATG37" s="1274"/>
      <c r="ATH37" s="1275"/>
      <c r="ATI37" s="1276"/>
      <c r="ATJ37" s="1274"/>
      <c r="ATK37" s="1275"/>
      <c r="ATL37" s="1276"/>
      <c r="ATM37" s="1274"/>
      <c r="ATN37" s="1275"/>
      <c r="ATO37" s="1276"/>
      <c r="ATP37" s="1274"/>
      <c r="ATQ37" s="1275"/>
      <c r="ATR37" s="1276"/>
      <c r="ATS37" s="1274"/>
      <c r="ATT37" s="1275"/>
      <c r="ATU37" s="1276"/>
      <c r="ATV37" s="1274"/>
      <c r="ATW37" s="1275"/>
      <c r="ATX37" s="1276"/>
      <c r="ATY37" s="1274"/>
      <c r="ATZ37" s="1275"/>
      <c r="AUA37" s="1276"/>
      <c r="AUB37" s="1274"/>
      <c r="AUC37" s="1275"/>
      <c r="AUD37" s="1276"/>
      <c r="AUE37" s="1274"/>
      <c r="AUF37" s="1275"/>
      <c r="AUG37" s="1276"/>
      <c r="AUH37" s="1274"/>
      <c r="AUI37" s="1275"/>
      <c r="AUJ37" s="1276"/>
      <c r="AUK37" s="1274"/>
      <c r="AUL37" s="1275"/>
      <c r="AUM37" s="1276"/>
      <c r="AUN37" s="1274"/>
      <c r="AUO37" s="1275"/>
      <c r="AUP37" s="1276"/>
      <c r="AUQ37" s="1275">
        <v>0.33333333333333331</v>
      </c>
      <c r="AUR37" s="1275"/>
      <c r="AUS37" s="1276"/>
      <c r="AUT37" s="1275">
        <v>0.25</v>
      </c>
      <c r="AUU37" s="1275"/>
      <c r="AUV37" s="1276"/>
      <c r="AUW37" s="1275">
        <v>0.3125</v>
      </c>
      <c r="AUX37" s="1275"/>
      <c r="AUY37" s="1276"/>
      <c r="AUZ37" s="1275">
        <v>0.24305555555555555</v>
      </c>
      <c r="AVA37" s="1275"/>
      <c r="AVB37" s="1276"/>
      <c r="AVC37" s="1275"/>
      <c r="AVD37" s="1275"/>
      <c r="AVE37" s="1276"/>
      <c r="AVF37" s="1275">
        <v>0.29166666666666669</v>
      </c>
      <c r="AVG37" s="1275"/>
      <c r="AVH37" s="1276"/>
      <c r="AVI37" s="1275"/>
      <c r="AVJ37" s="1275"/>
      <c r="AVK37" s="1276"/>
      <c r="AVL37" s="1274">
        <v>0.22916666666666666</v>
      </c>
      <c r="AVM37" s="1275"/>
      <c r="AVN37" s="1276"/>
      <c r="AVO37" s="1274">
        <v>0.2361111111111111</v>
      </c>
      <c r="AVP37" s="1275"/>
      <c r="AVQ37" s="1276"/>
      <c r="AVR37" s="1274"/>
      <c r="AVS37" s="1275"/>
      <c r="AVT37" s="1276"/>
      <c r="AVU37" s="1274"/>
      <c r="AVV37" s="1275"/>
      <c r="AVW37" s="1276"/>
      <c r="AVX37" s="1274"/>
      <c r="AVY37" s="1275"/>
      <c r="AVZ37" s="1276"/>
      <c r="AWA37" s="1274"/>
      <c r="AWB37" s="1275"/>
      <c r="AWC37" s="1276"/>
      <c r="AWD37" s="1274"/>
      <c r="AWE37" s="1275"/>
      <c r="AWF37" s="1276"/>
      <c r="AWG37" s="1274"/>
      <c r="AWH37" s="1275"/>
      <c r="AWI37" s="1276"/>
      <c r="AWJ37" s="1274"/>
      <c r="AWK37" s="1275"/>
      <c r="AWL37" s="1276"/>
      <c r="AWM37" s="1274"/>
      <c r="AWN37" s="1275"/>
      <c r="AWO37" s="1276"/>
      <c r="AWP37" s="1274"/>
      <c r="AWQ37" s="1275"/>
      <c r="AWR37" s="1276"/>
      <c r="AWS37" s="1274"/>
      <c r="AWT37" s="1275"/>
      <c r="AWU37" s="1276"/>
      <c r="AWV37" s="1274"/>
      <c r="AWW37" s="1275"/>
      <c r="AWX37" s="1276"/>
      <c r="AWY37" s="1274"/>
      <c r="AWZ37" s="1275"/>
      <c r="AXA37" s="1276"/>
      <c r="AXB37" s="1274"/>
      <c r="AXC37" s="1275"/>
      <c r="AXD37" s="1276"/>
      <c r="AXE37" s="1274"/>
      <c r="AXF37" s="1275"/>
      <c r="AXG37" s="1276"/>
      <c r="AXH37" s="1274"/>
      <c r="AXI37" s="1275"/>
      <c r="AXJ37" s="1276"/>
      <c r="AXK37" s="1274"/>
      <c r="AXL37" s="1275"/>
      <c r="AXM37" s="1276"/>
      <c r="AXN37" s="1274"/>
      <c r="AXO37" s="1275"/>
      <c r="AXP37" s="1276"/>
      <c r="AXQ37" s="1274"/>
      <c r="AXR37" s="1275"/>
      <c r="AXS37" s="1276"/>
      <c r="AXT37" s="1274"/>
      <c r="AXU37" s="1275"/>
      <c r="AXV37" s="1276"/>
      <c r="AXW37" s="1274"/>
      <c r="AXX37" s="1275"/>
      <c r="AXY37" s="1276"/>
      <c r="AXZ37" s="1274"/>
      <c r="AYA37" s="1275"/>
      <c r="AYB37" s="1276"/>
      <c r="AYC37" s="1274"/>
      <c r="AYD37" s="1275"/>
      <c r="AYE37" s="1276"/>
      <c r="AYF37" s="1274"/>
      <c r="AYG37" s="1275"/>
      <c r="AYH37" s="1276"/>
      <c r="AYI37" s="1274"/>
      <c r="AYJ37" s="1275"/>
      <c r="AYK37" s="1276"/>
      <c r="AYL37" s="1274"/>
      <c r="AYM37" s="1275"/>
      <c r="AYN37" s="1276"/>
      <c r="AYO37" s="1274"/>
      <c r="AYP37" s="1275"/>
      <c r="AYQ37" s="1276"/>
      <c r="AYR37" s="1274"/>
      <c r="AYS37" s="1275"/>
      <c r="AYT37" s="1276"/>
      <c r="AYU37" s="1274"/>
      <c r="AYV37" s="1275"/>
      <c r="AYW37" s="1276"/>
      <c r="AYX37" s="1274"/>
      <c r="AYY37" s="1275"/>
      <c r="AYZ37" s="1276"/>
      <c r="AZA37" s="1274"/>
      <c r="AZB37" s="1275"/>
      <c r="AZC37" s="1276"/>
      <c r="AZD37" s="1274"/>
      <c r="AZE37" s="1275"/>
      <c r="AZF37" s="1276"/>
      <c r="AZG37" s="1274"/>
      <c r="AZH37" s="1275"/>
      <c r="AZI37" s="1276"/>
      <c r="AZJ37" s="1274"/>
      <c r="AZK37" s="1275"/>
      <c r="AZL37" s="1276"/>
      <c r="AZM37" s="1274"/>
      <c r="AZN37" s="1275"/>
      <c r="AZO37" s="1276"/>
      <c r="AZP37" s="1274"/>
      <c r="AZQ37" s="1275"/>
      <c r="AZR37" s="1276"/>
      <c r="AZS37" s="1274"/>
      <c r="AZT37" s="1275"/>
      <c r="AZU37" s="1276"/>
      <c r="AZV37" s="1274"/>
      <c r="AZW37" s="1275"/>
      <c r="AZX37" s="1276"/>
      <c r="AZY37" s="1274"/>
      <c r="AZZ37" s="1275"/>
      <c r="BAA37" s="1276"/>
      <c r="BAB37" s="1274"/>
      <c r="BAC37" s="1275"/>
      <c r="BAD37" s="1276"/>
      <c r="BAE37" s="1274"/>
      <c r="BAF37" s="1275"/>
      <c r="BAG37" s="1276"/>
      <c r="BAH37" s="1274"/>
      <c r="BAI37" s="1275"/>
      <c r="BAJ37" s="1276"/>
    </row>
    <row r="38" spans="1:1399">
      <c r="B38" s="1255" t="s">
        <v>363</v>
      </c>
      <c r="C38" s="1256"/>
      <c r="D38" s="42"/>
      <c r="E38" s="1192" t="s">
        <v>349</v>
      </c>
      <c r="F38" s="1257"/>
      <c r="G38" s="1257"/>
      <c r="H38" s="1258"/>
      <c r="I38" s="1257"/>
      <c r="J38" s="1257"/>
      <c r="K38" s="1258"/>
      <c r="L38" s="1257"/>
      <c r="M38" s="1257"/>
      <c r="N38" s="1258"/>
      <c r="O38" s="1257"/>
      <c r="P38" s="1257"/>
      <c r="Q38" s="1258"/>
      <c r="R38" s="1257"/>
      <c r="S38" s="1257"/>
      <c r="T38" s="1258"/>
      <c r="U38" s="1257"/>
      <c r="V38" s="1257"/>
      <c r="W38" s="1258"/>
      <c r="X38" s="1257"/>
      <c r="Y38" s="1257"/>
      <c r="Z38" s="1258"/>
      <c r="AA38" s="1257"/>
      <c r="AB38" s="1257"/>
      <c r="AC38" s="1258"/>
      <c r="AD38" s="1257"/>
      <c r="AE38" s="1257"/>
      <c r="AF38" s="1258"/>
      <c r="AG38" s="1257"/>
      <c r="AH38" s="1257"/>
      <c r="AI38" s="1258"/>
      <c r="AJ38" s="1257"/>
      <c r="AK38" s="1257"/>
      <c r="AL38" s="1258"/>
      <c r="AM38" s="1257"/>
      <c r="AN38" s="1257"/>
      <c r="AO38" s="1258"/>
      <c r="AP38" s="1257"/>
      <c r="AQ38" s="1257"/>
      <c r="AR38" s="1258"/>
      <c r="AS38" s="1257"/>
      <c r="AT38" s="1257"/>
      <c r="AU38" s="1258"/>
      <c r="AV38" s="1257"/>
      <c r="AW38" s="1257"/>
      <c r="AX38" s="1258"/>
      <c r="AY38" s="1257"/>
      <c r="AZ38" s="1257"/>
      <c r="BA38" s="1258"/>
      <c r="BB38" s="1257"/>
      <c r="BC38" s="1257"/>
      <c r="BD38" s="1258"/>
      <c r="BE38" s="1257"/>
      <c r="BF38" s="1257"/>
      <c r="BG38" s="1258"/>
      <c r="BH38" s="1257"/>
      <c r="BI38" s="1257"/>
      <c r="BJ38" s="1258"/>
      <c r="BK38" s="1257"/>
      <c r="BL38" s="1257"/>
      <c r="BM38" s="1258"/>
      <c r="BN38" s="1257"/>
      <c r="BO38" s="1257"/>
      <c r="BP38" s="1258"/>
      <c r="BQ38" s="1257"/>
      <c r="BR38" s="1257"/>
      <c r="BS38" s="1258"/>
      <c r="BT38" s="1257"/>
      <c r="BU38" s="1257"/>
      <c r="BV38" s="1258"/>
      <c r="BW38" s="1257"/>
      <c r="BX38" s="1257"/>
      <c r="BY38" s="1258"/>
      <c r="BZ38" s="1257"/>
      <c r="CA38" s="1257"/>
      <c r="CB38" s="1258"/>
      <c r="CC38" s="1257"/>
      <c r="CD38" s="1257"/>
      <c r="CE38" s="1258"/>
      <c r="CF38" s="1257"/>
      <c r="CG38" s="1257"/>
      <c r="CH38" s="1258"/>
      <c r="CI38" s="1257"/>
      <c r="CJ38" s="1257"/>
      <c r="CK38" s="1258"/>
      <c r="CL38" s="1257"/>
      <c r="CM38" s="1257"/>
      <c r="CN38" s="1258"/>
      <c r="CO38" s="1257"/>
      <c r="CP38" s="1257"/>
      <c r="CQ38" s="1258"/>
      <c r="CR38" s="1257"/>
      <c r="CS38" s="1257"/>
      <c r="CT38" s="1258"/>
      <c r="CU38" s="1259"/>
      <c r="CV38" s="1259"/>
      <c r="CW38" s="1260"/>
      <c r="CX38" s="1257"/>
      <c r="CY38" s="1257"/>
      <c r="CZ38" s="1258"/>
      <c r="DA38" s="1257"/>
      <c r="DB38" s="1257"/>
      <c r="DC38" s="1258"/>
      <c r="DD38" s="1257"/>
      <c r="DE38" s="1257"/>
      <c r="DF38" s="1258"/>
      <c r="DG38" s="1257"/>
      <c r="DH38" s="1257"/>
      <c r="DI38" s="1258"/>
      <c r="DJ38" s="1257"/>
      <c r="DK38" s="1257"/>
      <c r="DL38" s="1258"/>
      <c r="DM38" s="1257"/>
      <c r="DN38" s="1257"/>
      <c r="DO38" s="1258"/>
      <c r="DP38" s="1257"/>
      <c r="DQ38" s="1257"/>
      <c r="DR38" s="1258"/>
      <c r="DS38" s="1257"/>
      <c r="DT38" s="1257"/>
      <c r="DU38" s="1258"/>
      <c r="DV38" s="1257"/>
      <c r="DW38" s="1257"/>
      <c r="DX38" s="1258"/>
      <c r="DY38" s="1257"/>
      <c r="DZ38" s="1257"/>
      <c r="EA38" s="1258"/>
      <c r="EB38" s="1257"/>
      <c r="EC38" s="1257"/>
      <c r="ED38" s="1258"/>
      <c r="EE38" s="1257"/>
      <c r="EF38" s="1257"/>
      <c r="EG38" s="1258"/>
      <c r="EH38" s="1185"/>
      <c r="EI38" s="1185"/>
      <c r="EJ38" s="1184"/>
      <c r="EK38" s="1257"/>
      <c r="EL38" s="1257"/>
      <c r="EM38" s="1258"/>
      <c r="EN38" s="1257"/>
      <c r="EO38" s="1257"/>
      <c r="EP38" s="1258"/>
      <c r="EQ38" s="1257"/>
      <c r="ER38" s="1257"/>
      <c r="ES38" s="1258"/>
      <c r="ET38" s="1257"/>
      <c r="EU38" s="1257"/>
      <c r="EV38" s="1258"/>
      <c r="EW38" s="1257"/>
      <c r="EX38" s="1257"/>
      <c r="EY38" s="1258"/>
      <c r="EZ38" s="1257"/>
      <c r="FA38" s="1257"/>
      <c r="FB38" s="1258"/>
      <c r="FC38" s="1257"/>
      <c r="FD38" s="1257"/>
      <c r="FE38" s="1258"/>
      <c r="FF38" s="1257"/>
      <c r="FG38" s="1257"/>
      <c r="FH38" s="1258"/>
      <c r="FI38" s="1257"/>
      <c r="FJ38" s="1257"/>
      <c r="FK38" s="1258"/>
      <c r="FL38" s="1257"/>
      <c r="FM38" s="1257"/>
      <c r="FN38" s="1258"/>
      <c r="FO38" s="1257"/>
      <c r="FP38" s="1257"/>
      <c r="FQ38" s="1258"/>
      <c r="FR38" s="1257"/>
      <c r="FS38" s="1257"/>
      <c r="FT38" s="1258"/>
      <c r="FU38" s="1257"/>
      <c r="FV38" s="1257"/>
      <c r="FW38" s="1258"/>
      <c r="FX38" s="1257"/>
      <c r="FY38" s="1257"/>
      <c r="FZ38" s="1258"/>
      <c r="GA38" s="1257"/>
      <c r="GB38" s="1257"/>
      <c r="GC38" s="1258"/>
      <c r="GD38" s="1257"/>
      <c r="GE38" s="1257"/>
      <c r="GF38" s="1258"/>
      <c r="GG38" s="1259"/>
      <c r="GH38" s="1259"/>
      <c r="GI38" s="1260"/>
      <c r="GJ38" s="1257"/>
      <c r="GK38" s="1257"/>
      <c r="GL38" s="1258"/>
      <c r="GM38" s="1257"/>
      <c r="GN38" s="1257"/>
      <c r="GO38" s="1258"/>
      <c r="GP38" s="1257"/>
      <c r="GQ38" s="1257"/>
      <c r="GR38" s="1258"/>
      <c r="GS38" s="1257"/>
      <c r="GT38" s="1257"/>
      <c r="GU38" s="1258"/>
      <c r="GV38" s="1257"/>
      <c r="GW38" s="1257"/>
      <c r="GX38" s="1258"/>
      <c r="GY38" s="1257"/>
      <c r="GZ38" s="1257"/>
      <c r="HA38" s="1258"/>
      <c r="HB38" s="1257"/>
      <c r="HC38" s="1257"/>
      <c r="HD38" s="1258"/>
      <c r="HE38" s="1257"/>
      <c r="HF38" s="1257"/>
      <c r="HG38" s="1258"/>
      <c r="HH38" s="1257"/>
      <c r="HI38" s="1257"/>
      <c r="HJ38" s="1258"/>
      <c r="HK38" s="1257"/>
      <c r="HL38" s="1257"/>
      <c r="HM38" s="1258"/>
      <c r="HN38" s="1259"/>
      <c r="HO38" s="1259"/>
      <c r="HP38" s="1260"/>
      <c r="HQ38" s="1257"/>
      <c r="HR38" s="1257"/>
      <c r="HS38" s="1258"/>
      <c r="HT38" s="1257"/>
      <c r="HU38" s="1257"/>
      <c r="HV38" s="1258"/>
      <c r="HW38" s="1257"/>
      <c r="HX38" s="1257"/>
      <c r="HY38" s="1258"/>
      <c r="HZ38" s="1257"/>
      <c r="IA38" s="1257"/>
      <c r="IB38" s="1258"/>
      <c r="IC38" s="1257"/>
      <c r="ID38" s="1257"/>
      <c r="IE38" s="1258"/>
      <c r="IF38" s="1257"/>
      <c r="IG38" s="1257"/>
      <c r="IH38" s="1258"/>
      <c r="II38" s="1257"/>
      <c r="IJ38" s="1257"/>
      <c r="IK38" s="1258"/>
      <c r="IL38" s="1257"/>
      <c r="IM38" s="1257"/>
      <c r="IN38" s="1258"/>
      <c r="IO38" s="1257"/>
      <c r="IP38" s="1257"/>
      <c r="IQ38" s="1258"/>
      <c r="IR38" s="1257"/>
      <c r="IS38" s="1257"/>
      <c r="IT38" s="1258"/>
      <c r="IU38" s="1257"/>
      <c r="IV38" s="1257"/>
      <c r="IW38" s="1258"/>
      <c r="IX38" s="1257"/>
      <c r="IY38" s="1257"/>
      <c r="IZ38" s="1258"/>
      <c r="JA38" s="1257"/>
      <c r="JB38" s="1257"/>
      <c r="JC38" s="1258"/>
      <c r="JD38" s="1259"/>
      <c r="JE38" s="1259"/>
      <c r="JF38" s="1260"/>
      <c r="JG38" s="1257"/>
      <c r="JH38" s="1257"/>
      <c r="JI38" s="1258"/>
      <c r="JJ38" s="1257"/>
      <c r="JK38" s="1257"/>
      <c r="JL38" s="1258"/>
      <c r="JM38" s="1257"/>
      <c r="JN38" s="1257"/>
      <c r="JO38" s="1258"/>
      <c r="JP38" s="1257"/>
      <c r="JQ38" s="1257"/>
      <c r="JR38" s="1258"/>
      <c r="JS38" s="1257"/>
      <c r="JT38" s="1257"/>
      <c r="JU38" s="1258"/>
      <c r="JV38" s="1257"/>
      <c r="JW38" s="1257"/>
      <c r="JX38" s="1258"/>
      <c r="JY38" s="1257"/>
      <c r="JZ38" s="1257"/>
      <c r="KA38" s="1258"/>
      <c r="KB38" s="1257"/>
      <c r="KC38" s="1257"/>
      <c r="KD38" s="1258"/>
      <c r="KE38" s="1257"/>
      <c r="KF38" s="1257"/>
      <c r="KG38" s="1258"/>
      <c r="KH38" s="1257"/>
      <c r="KI38" s="1257"/>
      <c r="KJ38" s="1258"/>
      <c r="KK38" s="1257"/>
      <c r="KL38" s="1257"/>
      <c r="KM38" s="1258"/>
      <c r="KN38" s="1257"/>
      <c r="KO38" s="1257"/>
      <c r="KP38" s="1258"/>
      <c r="KQ38" s="1257"/>
      <c r="KR38" s="1257"/>
      <c r="KS38" s="1258"/>
      <c r="KT38" s="1257"/>
      <c r="KU38" s="1257"/>
      <c r="KV38" s="1258"/>
      <c r="KW38" s="1257"/>
      <c r="KX38" s="1257"/>
      <c r="KY38" s="1258"/>
      <c r="KZ38" s="1257"/>
      <c r="LA38" s="1257"/>
      <c r="LB38" s="1258"/>
      <c r="LC38" s="1257"/>
      <c r="LD38" s="1257"/>
      <c r="LE38" s="1258"/>
      <c r="LF38" s="1257"/>
      <c r="LG38" s="1257"/>
      <c r="LH38" s="1258"/>
      <c r="LI38" s="1257"/>
      <c r="LJ38" s="1257"/>
      <c r="LK38" s="1258"/>
      <c r="LL38" s="1257"/>
      <c r="LM38" s="1257"/>
      <c r="LN38" s="1258"/>
      <c r="LO38" s="1257"/>
      <c r="LP38" s="1257"/>
      <c r="LQ38" s="1258"/>
      <c r="LR38" s="1257"/>
      <c r="LS38" s="1257"/>
      <c r="LT38" s="1258"/>
      <c r="LU38" s="1257"/>
      <c r="LV38" s="1257"/>
      <c r="LW38" s="1258"/>
      <c r="LX38" s="1257"/>
      <c r="LY38" s="1257"/>
      <c r="LZ38" s="1258"/>
      <c r="MA38" s="1257"/>
      <c r="MB38" s="1257"/>
      <c r="MC38" s="1258"/>
      <c r="MD38" s="1257"/>
      <c r="ME38" s="1257"/>
      <c r="MF38" s="1258"/>
      <c r="MG38" s="1257"/>
      <c r="MH38" s="1257"/>
      <c r="MI38" s="1258"/>
      <c r="MJ38" s="1257"/>
      <c r="MK38" s="1257"/>
      <c r="ML38" s="1258"/>
      <c r="MM38" s="1257"/>
      <c r="MN38" s="1257"/>
      <c r="MO38" s="1258"/>
      <c r="MP38" s="1257"/>
      <c r="MQ38" s="1257"/>
      <c r="MR38" s="1258"/>
      <c r="MS38" s="1257"/>
      <c r="MT38" s="1257"/>
      <c r="MU38" s="1258"/>
      <c r="MV38" s="1257"/>
      <c r="MW38" s="1257"/>
      <c r="MX38" s="1258"/>
      <c r="MY38" s="1257"/>
      <c r="MZ38" s="1257"/>
      <c r="NA38" s="1258"/>
      <c r="NB38" s="1257"/>
      <c r="NC38" s="1257"/>
      <c r="ND38" s="1258"/>
      <c r="NE38" s="1257"/>
      <c r="NF38" s="1257"/>
      <c r="NG38" s="1258"/>
      <c r="NH38" s="1257"/>
      <c r="NI38" s="1257"/>
      <c r="NJ38" s="1258"/>
      <c r="NK38" s="1257"/>
      <c r="NL38" s="1257"/>
      <c r="NM38" s="1258"/>
      <c r="NN38" s="1257"/>
      <c r="NO38" s="1257"/>
      <c r="NP38" s="1258"/>
      <c r="NQ38" s="1257"/>
      <c r="NR38" s="1257"/>
      <c r="NS38" s="1258"/>
      <c r="NT38" s="1257"/>
      <c r="NU38" s="1257"/>
      <c r="NV38" s="1258"/>
      <c r="NW38" s="1257"/>
      <c r="NX38" s="1257"/>
      <c r="NY38" s="1258"/>
      <c r="NZ38" s="1257"/>
      <c r="OA38" s="1257"/>
      <c r="OB38" s="1258"/>
      <c r="OC38" s="1257"/>
      <c r="OD38" s="1257"/>
      <c r="OE38" s="1258"/>
      <c r="OF38" s="1257"/>
      <c r="OG38" s="1257"/>
      <c r="OH38" s="1258"/>
      <c r="OI38" s="1257"/>
      <c r="OJ38" s="1257"/>
      <c r="OK38" s="1258"/>
      <c r="OL38" s="1257"/>
      <c r="OM38" s="1257"/>
      <c r="ON38" s="1258"/>
      <c r="OO38" s="1257"/>
      <c r="OP38" s="1257"/>
      <c r="OQ38" s="1258"/>
      <c r="OR38" s="1257"/>
      <c r="OS38" s="1257"/>
      <c r="OT38" s="1258"/>
      <c r="OU38" s="1257"/>
      <c r="OV38" s="1257"/>
      <c r="OW38" s="1258"/>
      <c r="OX38" s="1257"/>
      <c r="OY38" s="1257"/>
      <c r="OZ38" s="1258"/>
      <c r="PA38" s="1257"/>
      <c r="PB38" s="1257"/>
      <c r="PC38" s="1258"/>
      <c r="PD38" s="1257"/>
      <c r="PE38" s="1257"/>
      <c r="PF38" s="1258"/>
      <c r="PG38" s="1257"/>
      <c r="PH38" s="1257"/>
      <c r="PI38" s="1258"/>
      <c r="PJ38" s="1257"/>
      <c r="PK38" s="1257"/>
      <c r="PL38" s="1258"/>
      <c r="PM38" s="1257"/>
      <c r="PN38" s="1257"/>
      <c r="PO38" s="1258"/>
      <c r="PP38" s="1257"/>
      <c r="PQ38" s="1257"/>
      <c r="PR38" s="1258"/>
      <c r="PS38" s="1261"/>
      <c r="PT38" s="1261"/>
      <c r="PU38" s="1262"/>
      <c r="PV38" s="1257"/>
      <c r="PW38" s="1257"/>
      <c r="PX38" s="1258"/>
      <c r="PY38" s="1257"/>
      <c r="PZ38" s="1257"/>
      <c r="QA38" s="1258"/>
      <c r="QB38" s="1257"/>
      <c r="QC38" s="1257"/>
      <c r="QD38" s="1258"/>
      <c r="QE38" s="1257"/>
      <c r="QF38" s="1257"/>
      <c r="QG38" s="1258"/>
      <c r="QH38" s="1257"/>
      <c r="QI38" s="1257"/>
      <c r="QJ38" s="1258"/>
      <c r="QK38" s="1257"/>
      <c r="QL38" s="1257"/>
      <c r="QM38" s="1258"/>
      <c r="QN38" s="1257"/>
      <c r="QO38" s="1257"/>
      <c r="QP38" s="1258"/>
      <c r="QQ38" s="1257"/>
      <c r="QR38" s="1257"/>
      <c r="QS38" s="1258"/>
      <c r="QT38" s="1257"/>
      <c r="QU38" s="1257"/>
      <c r="QV38" s="1258"/>
      <c r="QW38" s="1257"/>
      <c r="QX38" s="1257"/>
      <c r="QY38" s="1258"/>
      <c r="QZ38" s="1257"/>
      <c r="RA38" s="1257"/>
      <c r="RB38" s="1258"/>
      <c r="RC38" s="1257"/>
      <c r="RD38" s="1257"/>
      <c r="RE38" s="1258"/>
      <c r="RF38" s="1257"/>
      <c r="RG38" s="1257"/>
      <c r="RH38" s="1258"/>
      <c r="RI38" s="1257"/>
      <c r="RJ38" s="1257"/>
      <c r="RK38" s="1258"/>
      <c r="RL38" s="1257"/>
      <c r="RM38" s="1257"/>
      <c r="RN38" s="1258"/>
      <c r="RO38" s="1259"/>
      <c r="RP38" s="1259"/>
      <c r="RQ38" s="1260"/>
      <c r="RR38" s="1257"/>
      <c r="RS38" s="1257"/>
      <c r="RT38" s="1258"/>
      <c r="RU38" s="1257"/>
      <c r="RV38" s="1257"/>
      <c r="RW38" s="1258"/>
      <c r="RX38" s="1257"/>
      <c r="RY38" s="1257"/>
      <c r="RZ38" s="1258"/>
      <c r="SA38" s="1257"/>
      <c r="SB38" s="1257"/>
      <c r="SC38" s="1258"/>
      <c r="SD38" s="1257"/>
      <c r="SE38" s="1257"/>
      <c r="SF38" s="1258"/>
      <c r="SG38" s="1257"/>
      <c r="SH38" s="1257"/>
      <c r="SI38" s="1258"/>
      <c r="SJ38" s="1257"/>
      <c r="SK38" s="1257"/>
      <c r="SL38" s="1258"/>
      <c r="SM38" s="1257"/>
      <c r="SN38" s="1257"/>
      <c r="SO38" s="1258"/>
      <c r="SP38" s="1257"/>
      <c r="SQ38" s="1257"/>
      <c r="SR38" s="1258"/>
      <c r="SS38" s="1257"/>
      <c r="ST38" s="1257"/>
      <c r="SU38" s="1258"/>
      <c r="SV38" s="1257"/>
      <c r="SW38" s="1257"/>
      <c r="SX38" s="1258"/>
      <c r="SY38" s="1257"/>
      <c r="SZ38" s="1257"/>
      <c r="TA38" s="1258"/>
      <c r="TB38" s="1257"/>
      <c r="TC38" s="1257"/>
      <c r="TD38" s="1258"/>
      <c r="TE38" s="1257"/>
      <c r="TF38" s="1257"/>
      <c r="TG38" s="1258"/>
      <c r="TH38" s="1257"/>
      <c r="TI38" s="1257"/>
      <c r="TJ38" s="1258"/>
      <c r="TK38" s="1257"/>
      <c r="TL38" s="1257"/>
      <c r="TM38" s="1258"/>
      <c r="TN38" s="1257"/>
      <c r="TO38" s="1257"/>
      <c r="TP38" s="1258"/>
      <c r="TQ38" s="1257"/>
      <c r="TR38" s="1257"/>
      <c r="TS38" s="1258"/>
      <c r="TT38" s="1257"/>
      <c r="TU38" s="1257"/>
      <c r="TV38" s="1258"/>
      <c r="TW38" s="1257"/>
      <c r="TX38" s="1257"/>
      <c r="TY38" s="1258"/>
      <c r="TZ38" s="1257"/>
      <c r="UA38" s="1257"/>
      <c r="UB38" s="1258"/>
      <c r="UC38" s="1257"/>
      <c r="UD38" s="1257"/>
      <c r="UE38" s="1258"/>
      <c r="UF38" s="1257"/>
      <c r="UG38" s="1257"/>
      <c r="UH38" s="1258"/>
      <c r="UI38" s="1257"/>
      <c r="UJ38" s="1257"/>
      <c r="UK38" s="1258"/>
      <c r="UL38" s="1257"/>
      <c r="UM38" s="1257"/>
      <c r="UN38" s="1258"/>
      <c r="UO38" s="1257"/>
      <c r="UP38" s="1257"/>
      <c r="UQ38" s="1258"/>
      <c r="UR38" s="1257"/>
      <c r="US38" s="1257"/>
      <c r="UT38" s="1258"/>
      <c r="UU38" s="1257"/>
      <c r="UV38" s="1257"/>
      <c r="UW38" s="1258"/>
      <c r="UX38" s="1257"/>
      <c r="UY38" s="1257"/>
      <c r="UZ38" s="1258"/>
      <c r="VA38" s="1257"/>
      <c r="VB38" s="1257"/>
      <c r="VC38" s="1258"/>
      <c r="VD38" s="1257"/>
      <c r="VE38" s="1257"/>
      <c r="VF38" s="1258"/>
      <c r="VG38" s="1257"/>
      <c r="VH38" s="1257"/>
      <c r="VI38" s="1258"/>
      <c r="VJ38" s="1257"/>
      <c r="VK38" s="1257"/>
      <c r="VL38" s="1258"/>
      <c r="VM38" s="1257"/>
      <c r="VN38" s="1257"/>
      <c r="VO38" s="1258"/>
      <c r="VP38" s="1257"/>
      <c r="VQ38" s="1257"/>
      <c r="VR38" s="1258"/>
      <c r="VS38" s="1257"/>
      <c r="VT38" s="1257"/>
      <c r="VU38" s="1258"/>
      <c r="VV38" s="1257"/>
      <c r="VW38" s="1257"/>
      <c r="VX38" s="1258"/>
      <c r="VY38" s="1257"/>
      <c r="VZ38" s="1257"/>
      <c r="WA38" s="1258"/>
      <c r="WB38" s="1257"/>
      <c r="WC38" s="1257"/>
      <c r="WD38" s="1258"/>
      <c r="WE38" s="1257"/>
      <c r="WF38" s="1257"/>
      <c r="WG38" s="1258"/>
      <c r="WH38" s="1257"/>
      <c r="WI38" s="1257"/>
      <c r="WJ38" s="1258"/>
      <c r="WK38" s="1257"/>
      <c r="WL38" s="1257"/>
      <c r="WM38" s="1258"/>
      <c r="WN38" s="1257"/>
      <c r="WO38" s="1257"/>
      <c r="WP38" s="1258"/>
      <c r="WQ38" s="1257"/>
      <c r="WR38" s="1257"/>
      <c r="WS38" s="1258"/>
      <c r="WT38" s="1257"/>
      <c r="WU38" s="1257"/>
      <c r="WV38" s="1258"/>
      <c r="WW38" s="1257"/>
      <c r="WX38" s="1257"/>
      <c r="WY38" s="1258"/>
      <c r="WZ38" s="1257"/>
      <c r="XA38" s="1257"/>
      <c r="XB38" s="1258"/>
      <c r="XC38" s="1257"/>
      <c r="XD38" s="1257"/>
      <c r="XE38" s="1258"/>
      <c r="XF38" s="1257"/>
      <c r="XG38" s="1257"/>
      <c r="XH38" s="1258"/>
      <c r="XI38" s="1257"/>
      <c r="XJ38" s="1257"/>
      <c r="XK38" s="1258"/>
      <c r="XL38" s="1257"/>
      <c r="XM38" s="1257"/>
      <c r="XN38" s="1258"/>
      <c r="XO38" s="1257"/>
      <c r="XP38" s="1257"/>
      <c r="XQ38" s="1258"/>
      <c r="XR38" s="1257"/>
      <c r="XS38" s="1257"/>
      <c r="XT38" s="1258"/>
      <c r="XU38" s="1257"/>
      <c r="XV38" s="1257"/>
      <c r="XW38" s="1258"/>
      <c r="XX38" s="1257"/>
      <c r="XY38" s="1257"/>
      <c r="XZ38" s="1258"/>
      <c r="YA38" s="1257"/>
      <c r="YB38" s="1257"/>
      <c r="YC38" s="1258"/>
      <c r="YD38" s="1257"/>
      <c r="YE38" s="1257"/>
      <c r="YF38" s="1258"/>
      <c r="YG38" s="1257"/>
      <c r="YH38" s="1257"/>
      <c r="YI38" s="1258"/>
      <c r="YJ38" s="1257"/>
      <c r="YK38" s="1257"/>
      <c r="YL38" s="1258"/>
      <c r="YM38" s="1257"/>
      <c r="YN38" s="1257"/>
      <c r="YO38" s="1258"/>
      <c r="YP38" s="1257"/>
      <c r="YQ38" s="1257"/>
      <c r="YR38" s="1258"/>
      <c r="YS38" s="1257"/>
      <c r="YT38" s="1257"/>
      <c r="YU38" s="1258"/>
      <c r="YV38" s="1257"/>
      <c r="YW38" s="1257"/>
      <c r="YX38" s="1258"/>
      <c r="YY38" s="1257"/>
      <c r="YZ38" s="1257"/>
      <c r="ZA38" s="1258"/>
      <c r="ZB38" s="1257"/>
      <c r="ZC38" s="1257"/>
      <c r="ZD38" s="1258"/>
      <c r="ZE38" s="1257"/>
      <c r="ZF38" s="1257"/>
      <c r="ZG38" s="1258"/>
      <c r="ZH38" s="1257"/>
      <c r="ZI38" s="1257"/>
      <c r="ZJ38" s="1258"/>
      <c r="ZK38" s="1257"/>
      <c r="ZL38" s="1257"/>
      <c r="ZM38" s="1258"/>
      <c r="ZN38" s="1257"/>
      <c r="ZO38" s="1257"/>
      <c r="ZP38" s="1258"/>
      <c r="ZQ38" s="1257"/>
      <c r="ZR38" s="1257"/>
      <c r="ZS38" s="1258"/>
      <c r="ZT38" s="1257"/>
      <c r="ZU38" s="1257"/>
      <c r="ZV38" s="1258"/>
      <c r="ZW38" s="1257"/>
      <c r="ZX38" s="1257"/>
      <c r="ZY38" s="1258"/>
      <c r="ZZ38" s="1257"/>
      <c r="AAA38" s="1257"/>
      <c r="AAB38" s="1258"/>
      <c r="AAC38" s="1257"/>
      <c r="AAD38" s="1257"/>
      <c r="AAE38" s="1258"/>
      <c r="AAF38" s="1257"/>
      <c r="AAG38" s="1257"/>
      <c r="AAH38" s="1258"/>
      <c r="AAI38" s="1257"/>
      <c r="AAJ38" s="1257"/>
      <c r="AAK38" s="1258"/>
      <c r="AAL38" s="1257"/>
      <c r="AAM38" s="1257"/>
      <c r="AAN38" s="1258"/>
      <c r="AAO38" s="1257"/>
      <c r="AAP38" s="1257"/>
      <c r="AAQ38" s="1258"/>
      <c r="AAR38" s="1257"/>
      <c r="AAS38" s="1257"/>
      <c r="AAT38" s="1258"/>
      <c r="AAU38" s="1257"/>
      <c r="AAV38" s="1257"/>
      <c r="AAW38" s="1258"/>
      <c r="AAX38" s="1257"/>
      <c r="AAY38" s="1257"/>
      <c r="AAZ38" s="1258"/>
      <c r="ABA38" s="1257"/>
      <c r="ABB38" s="1257"/>
      <c r="ABC38" s="1258"/>
      <c r="ABD38" s="1257"/>
      <c r="ABE38" s="1257"/>
      <c r="ABF38" s="1258"/>
      <c r="ABG38" s="1257"/>
      <c r="ABH38" s="1257"/>
      <c r="ABI38" s="1258"/>
      <c r="ABJ38" s="1257"/>
      <c r="ABK38" s="1257"/>
      <c r="ABL38" s="1258"/>
      <c r="ABM38" s="1257"/>
      <c r="ABN38" s="1257"/>
      <c r="ABO38" s="1258"/>
      <c r="ABP38" s="1257"/>
      <c r="ABQ38" s="1257"/>
      <c r="ABR38" s="1258"/>
      <c r="ABS38" s="1257"/>
      <c r="ABT38" s="1257"/>
      <c r="ABU38" s="1258"/>
      <c r="ABV38" s="1257"/>
      <c r="ABW38" s="1257"/>
      <c r="ABX38" s="1258"/>
      <c r="ABY38" s="1257"/>
      <c r="ABZ38" s="1257"/>
      <c r="ACA38" s="1258"/>
      <c r="ACB38" s="1257"/>
      <c r="ACC38" s="1257"/>
      <c r="ACD38" s="1258"/>
      <c r="ACE38" s="1257"/>
      <c r="ACF38" s="1257"/>
      <c r="ACG38" s="1258"/>
      <c r="ACH38" s="1257"/>
      <c r="ACI38" s="1257"/>
      <c r="ACJ38" s="1258"/>
      <c r="ACK38" s="1257"/>
      <c r="ACL38" s="1257"/>
      <c r="ACM38" s="1258"/>
      <c r="ACN38" s="1257"/>
      <c r="ACO38" s="1257"/>
      <c r="ACP38" s="1258"/>
      <c r="ACQ38" s="1257"/>
      <c r="ACR38" s="1257"/>
      <c r="ACS38" s="1258"/>
      <c r="ACT38" s="1257"/>
      <c r="ACU38" s="1257"/>
      <c r="ACV38" s="1258"/>
      <c r="ACW38" s="1257"/>
      <c r="ACX38" s="1257"/>
      <c r="ACY38" s="1258"/>
      <c r="ACZ38" s="1257"/>
      <c r="ADA38" s="1257"/>
      <c r="ADB38" s="1258"/>
      <c r="ADC38" s="1257"/>
      <c r="ADD38" s="1257"/>
      <c r="ADE38" s="1258"/>
      <c r="ADF38" s="1257"/>
      <c r="ADG38" s="1257"/>
      <c r="ADH38" s="1258"/>
      <c r="ADI38" s="1257"/>
      <c r="ADJ38" s="1257"/>
      <c r="ADK38" s="1258"/>
      <c r="ADL38" s="1257"/>
      <c r="ADM38" s="1257"/>
      <c r="ADN38" s="1258"/>
      <c r="ADO38" s="1257"/>
      <c r="ADP38" s="1257"/>
      <c r="ADQ38" s="1258"/>
      <c r="ADR38" s="1257"/>
      <c r="ADS38" s="1257"/>
      <c r="ADT38" s="1258"/>
      <c r="ADU38" s="1257"/>
      <c r="ADV38" s="1257"/>
      <c r="ADW38" s="1258"/>
      <c r="ADX38" s="1257"/>
      <c r="ADY38" s="1257"/>
      <c r="ADZ38" s="1258"/>
      <c r="AEA38" s="1257"/>
      <c r="AEB38" s="1257"/>
      <c r="AEC38" s="1258"/>
      <c r="AED38" s="1257"/>
      <c r="AEE38" s="1257"/>
      <c r="AEF38" s="1258"/>
      <c r="AEG38" s="1257"/>
      <c r="AEH38" s="1257"/>
      <c r="AEI38" s="1258"/>
      <c r="AEJ38" s="1257"/>
      <c r="AEK38" s="1257"/>
      <c r="AEL38" s="1258"/>
      <c r="AEM38" s="1257"/>
      <c r="AEN38" s="1257"/>
      <c r="AEO38" s="1258"/>
      <c r="AEP38" s="1257"/>
      <c r="AEQ38" s="1257"/>
      <c r="AER38" s="1258"/>
      <c r="AES38" s="1257"/>
      <c r="AET38" s="1257"/>
      <c r="AEU38" s="1258"/>
      <c r="AEV38" s="1257"/>
      <c r="AEW38" s="1257"/>
      <c r="AEX38" s="1258"/>
      <c r="AEY38" s="1257"/>
      <c r="AEZ38" s="1257"/>
      <c r="AFA38" s="1258"/>
      <c r="AFB38" s="1257"/>
      <c r="AFC38" s="1257"/>
      <c r="AFD38" s="1258"/>
      <c r="AFE38" s="1257"/>
      <c r="AFF38" s="1257"/>
      <c r="AFG38" s="1258"/>
      <c r="AFH38" s="1257"/>
      <c r="AFI38" s="1257"/>
      <c r="AFJ38" s="1258"/>
      <c r="AFK38" s="1257"/>
      <c r="AFL38" s="1257"/>
      <c r="AFM38" s="1258"/>
      <c r="AFN38" s="1257"/>
      <c r="AFO38" s="1257"/>
      <c r="AFP38" s="1258"/>
      <c r="AFQ38" s="1257"/>
      <c r="AFR38" s="1257"/>
      <c r="AFS38" s="1258"/>
      <c r="AFT38" s="1257"/>
      <c r="AFU38" s="1257"/>
      <c r="AFV38" s="1258"/>
      <c r="AFW38" s="1257"/>
      <c r="AFX38" s="1257"/>
      <c r="AFY38" s="1258"/>
      <c r="AFZ38" s="1257"/>
      <c r="AGA38" s="1257"/>
      <c r="AGB38" s="1258"/>
      <c r="AGC38" s="1257"/>
      <c r="AGD38" s="1257"/>
      <c r="AGE38" s="1258"/>
      <c r="AGF38" s="1257"/>
      <c r="AGG38" s="1257"/>
      <c r="AGH38" s="1258"/>
      <c r="AGI38" s="1257"/>
      <c r="AGJ38" s="1257"/>
      <c r="AGK38" s="1258"/>
      <c r="AGL38" s="1257"/>
      <c r="AGM38" s="1257"/>
      <c r="AGN38" s="1258"/>
      <c r="AGO38" s="1257"/>
      <c r="AGP38" s="1257"/>
      <c r="AGQ38" s="1258"/>
      <c r="AGR38" s="1257"/>
      <c r="AGS38" s="1257"/>
      <c r="AGT38" s="1258"/>
      <c r="AGU38" s="1257"/>
      <c r="AGV38" s="1257"/>
      <c r="AGW38" s="1258"/>
      <c r="AGX38" s="1257"/>
      <c r="AGY38" s="1257"/>
      <c r="AGZ38" s="1258"/>
      <c r="AHA38" s="1257"/>
      <c r="AHB38" s="1257"/>
      <c r="AHC38" s="1258"/>
      <c r="AHD38" s="1257"/>
      <c r="AHE38" s="1257"/>
      <c r="AHF38" s="1258"/>
      <c r="AHG38" s="1257"/>
      <c r="AHH38" s="1257"/>
      <c r="AHI38" s="1258"/>
      <c r="AHJ38" s="1257"/>
      <c r="AHK38" s="1257"/>
      <c r="AHL38" s="1258"/>
      <c r="AHM38" s="1257"/>
      <c r="AHN38" s="1257"/>
      <c r="AHO38" s="1258"/>
      <c r="AHP38" s="1257"/>
      <c r="AHQ38" s="1257"/>
      <c r="AHR38" s="1258"/>
      <c r="AHS38" s="1257"/>
      <c r="AHT38" s="1257"/>
      <c r="AHU38" s="1258"/>
      <c r="AHV38" s="1257"/>
      <c r="AHW38" s="1257"/>
      <c r="AHX38" s="1258"/>
      <c r="AHY38" s="1257"/>
      <c r="AHZ38" s="1257"/>
      <c r="AIA38" s="1258"/>
      <c r="AIB38" s="1257"/>
      <c r="AIC38" s="1257"/>
      <c r="AID38" s="1257"/>
      <c r="AIE38" s="1263"/>
      <c r="AIF38" s="1257"/>
      <c r="AIG38" s="1258"/>
      <c r="AIH38" s="1257"/>
      <c r="AII38" s="1257"/>
      <c r="AIJ38" s="1258"/>
      <c r="AIK38" s="1257"/>
      <c r="AIL38" s="1257"/>
      <c r="AIM38" s="1258"/>
      <c r="AIN38" s="1257"/>
      <c r="AIO38" s="1257"/>
      <c r="AIP38" s="1258"/>
      <c r="AIQ38" s="1257"/>
      <c r="AIR38" s="1257"/>
      <c r="AIS38" s="1257"/>
      <c r="AIT38" s="1263"/>
      <c r="AIU38" s="1257"/>
      <c r="AIV38" s="1258"/>
      <c r="AIW38" s="1257"/>
      <c r="AIX38" s="1257"/>
      <c r="AIY38" s="1257"/>
      <c r="AIZ38" s="1263"/>
      <c r="AJA38" s="1257"/>
      <c r="AJB38" s="1258"/>
      <c r="AJC38" s="1257"/>
      <c r="AJD38" s="1257"/>
      <c r="AJE38" s="1258"/>
      <c r="AJF38" s="1257"/>
      <c r="AJG38" s="1257"/>
      <c r="AJH38" s="1258"/>
      <c r="AJI38" s="1257"/>
      <c r="AJJ38" s="1257"/>
      <c r="AJK38" s="1258"/>
      <c r="AJL38" s="1257"/>
      <c r="AJM38" s="1257"/>
      <c r="AJN38" s="1257"/>
      <c r="AJO38" s="1263"/>
      <c r="AJP38" s="1257"/>
      <c r="AJQ38" s="1258"/>
      <c r="AJR38" s="1257"/>
      <c r="AJS38" s="1257"/>
      <c r="AJT38" s="1257"/>
      <c r="AJU38" s="1263"/>
      <c r="AJV38" s="1257"/>
      <c r="AJW38" s="1258"/>
      <c r="AJX38" s="1257"/>
      <c r="AJY38" s="1257"/>
      <c r="AJZ38" s="1258"/>
      <c r="AKA38" s="1257"/>
      <c r="AKB38" s="1257"/>
      <c r="AKC38" s="1258"/>
      <c r="AKD38" s="1257"/>
      <c r="AKE38" s="1257"/>
      <c r="AKF38" s="1258"/>
      <c r="AKG38" s="1257"/>
      <c r="AKH38" s="1257"/>
      <c r="AKI38" s="1257"/>
      <c r="AKJ38" s="1263"/>
      <c r="AKK38" s="1257"/>
      <c r="AKL38" s="1258"/>
      <c r="AKM38" s="1257"/>
      <c r="AKN38" s="1257"/>
      <c r="AKO38" s="1257"/>
      <c r="AKP38" s="1263"/>
      <c r="AKQ38" s="1257"/>
      <c r="AKR38" s="1258"/>
      <c r="AKS38" s="1257"/>
      <c r="AKT38" s="1257"/>
      <c r="AKU38" s="1258"/>
      <c r="AKV38" s="1257"/>
      <c r="AKW38" s="1257"/>
      <c r="AKX38" s="1258"/>
      <c r="AKY38" s="1257"/>
      <c r="AKZ38" s="1257"/>
      <c r="ALA38" s="1258"/>
      <c r="ALB38" s="1257"/>
      <c r="ALC38" s="1257"/>
      <c r="ALD38" s="1257"/>
      <c r="ALE38" s="1263"/>
      <c r="ALF38" s="1257"/>
      <c r="ALG38" s="1258"/>
      <c r="ALH38" s="1257"/>
      <c r="ALI38" s="1257"/>
      <c r="ALJ38" s="1257"/>
      <c r="ALK38" s="1263"/>
      <c r="ALL38" s="1257"/>
      <c r="ALM38" s="1258"/>
      <c r="ALN38" s="1257"/>
      <c r="ALO38" s="1257"/>
      <c r="ALP38" s="1258"/>
      <c r="ALQ38" s="1257"/>
      <c r="ALR38" s="1257"/>
      <c r="ALS38" s="1258"/>
      <c r="ALT38" s="1257"/>
      <c r="ALU38" s="1257"/>
      <c r="ALV38" s="1257"/>
      <c r="ALW38" s="1264"/>
      <c r="ALX38" s="1257"/>
      <c r="ALY38" s="1257"/>
      <c r="ALZ38" s="1263"/>
      <c r="AMA38" s="1257"/>
      <c r="AMB38" s="1258"/>
      <c r="AMC38" s="1257"/>
      <c r="AMD38" s="1257"/>
      <c r="AME38" s="1257"/>
      <c r="AMF38" s="1263"/>
      <c r="AMG38" s="1257"/>
      <c r="AMH38" s="1258"/>
      <c r="AMI38" s="1257"/>
      <c r="AMJ38" s="1257"/>
      <c r="AMK38" s="1258"/>
      <c r="AML38" s="1257"/>
      <c r="AMM38" s="1257"/>
      <c r="AMN38" s="1258"/>
      <c r="AMO38" s="1257"/>
      <c r="AMP38" s="1257"/>
      <c r="AMQ38" s="1258"/>
      <c r="AMR38" s="1257"/>
      <c r="AMS38" s="1257"/>
      <c r="AMT38" s="1257"/>
      <c r="AMU38" s="1263"/>
      <c r="AMV38" s="1257"/>
      <c r="AMW38" s="1258"/>
      <c r="AMX38" s="1257"/>
      <c r="AMY38" s="1257"/>
      <c r="AMZ38" s="1257"/>
      <c r="ANA38" s="1263"/>
      <c r="ANB38" s="1257"/>
      <c r="ANC38" s="1258"/>
      <c r="AND38" s="1257"/>
      <c r="ANE38" s="1257"/>
      <c r="ANF38" s="1258"/>
      <c r="ANG38" s="1257"/>
      <c r="ANH38" s="1257"/>
      <c r="ANI38" s="1258"/>
      <c r="ANJ38" s="1257"/>
      <c r="ANK38" s="1257"/>
      <c r="ANL38" s="1258"/>
      <c r="ANM38" s="1257"/>
      <c r="ANN38" s="1257"/>
      <c r="ANO38" s="1257"/>
      <c r="ANP38" s="1263"/>
      <c r="ANQ38" s="1257"/>
      <c r="ANR38" s="1258"/>
      <c r="ANS38" s="1257"/>
      <c r="ANT38" s="1257"/>
      <c r="ANU38" s="1257"/>
      <c r="ANV38" s="1263"/>
      <c r="ANW38" s="1257"/>
      <c r="ANX38" s="1258"/>
      <c r="ANY38" s="1257"/>
      <c r="ANZ38" s="1257"/>
      <c r="AOA38" s="1258"/>
      <c r="AOB38" s="1257"/>
      <c r="AOC38" s="1257"/>
      <c r="AOD38" s="1258"/>
      <c r="AOE38" s="1257"/>
      <c r="AOF38" s="1257"/>
      <c r="AOG38" s="1258"/>
      <c r="AOH38" s="1257"/>
      <c r="AOI38" s="1257"/>
      <c r="AOJ38" s="1257"/>
      <c r="AOK38" s="1263"/>
      <c r="AOL38" s="1257"/>
      <c r="AOM38" s="1258"/>
      <c r="AON38" s="1257"/>
      <c r="AOO38" s="1257"/>
      <c r="AOP38" s="1257"/>
      <c r="AOQ38" s="1263"/>
      <c r="AOR38" s="1257"/>
      <c r="AOS38" s="1258"/>
      <c r="AOT38" s="1257"/>
      <c r="AOU38" s="1257"/>
      <c r="AOV38" s="1258"/>
      <c r="AOW38" s="1257"/>
      <c r="AOX38" s="1257"/>
      <c r="AOY38" s="1258"/>
      <c r="AOZ38" s="1257"/>
      <c r="APA38" s="1257"/>
      <c r="APB38" s="1258"/>
      <c r="APC38" s="1257"/>
      <c r="APD38" s="1257"/>
      <c r="APE38" s="1257"/>
      <c r="APF38" s="1263"/>
      <c r="APG38" s="1257"/>
      <c r="APH38" s="1258"/>
      <c r="API38" s="1257"/>
      <c r="APJ38" s="1257"/>
      <c r="APK38" s="1257"/>
      <c r="APL38" s="1263"/>
      <c r="APM38" s="1257"/>
      <c r="APN38" s="1258"/>
      <c r="APO38" s="1257"/>
      <c r="APP38" s="1257"/>
      <c r="APQ38" s="1258"/>
      <c r="APR38" s="1257"/>
      <c r="APS38" s="1257"/>
      <c r="APT38" s="1258"/>
      <c r="APU38" s="1257"/>
      <c r="APV38" s="1257"/>
      <c r="APW38" s="1258"/>
      <c r="APX38" s="1257"/>
      <c r="APY38" s="1257"/>
      <c r="APZ38" s="1257"/>
      <c r="AQA38" s="1263"/>
      <c r="AQB38" s="1257"/>
      <c r="AQC38" s="1258"/>
      <c r="AQD38" s="1257"/>
      <c r="AQE38" s="1257"/>
      <c r="AQF38" s="1258"/>
      <c r="AQG38" s="1257"/>
      <c r="AQH38" s="1257"/>
      <c r="AQI38" s="1258"/>
      <c r="AQJ38" s="1257"/>
      <c r="AQK38" s="1257"/>
      <c r="AQL38" s="1258"/>
      <c r="AQM38" s="1257"/>
      <c r="AQN38" s="1257"/>
      <c r="AQO38" s="1257"/>
      <c r="AQP38" s="1263"/>
      <c r="AQQ38" s="1257"/>
      <c r="AQR38" s="1257"/>
      <c r="AQS38" s="1263"/>
      <c r="AQT38" s="1257"/>
      <c r="AQU38" s="1258"/>
      <c r="AQV38" s="1257"/>
      <c r="AQW38" s="1257"/>
      <c r="AQX38" s="1258"/>
      <c r="AQY38" s="1257"/>
      <c r="AQZ38" s="1257"/>
      <c r="ARA38" s="1258"/>
      <c r="ARB38" s="1257"/>
      <c r="ARC38" s="1257"/>
      <c r="ARD38" s="1258"/>
      <c r="ARE38" s="1257"/>
      <c r="ARF38" s="1257"/>
      <c r="ARG38" s="1258"/>
      <c r="ARH38" s="1257"/>
      <c r="ARI38" s="1257"/>
      <c r="ARJ38" s="1258"/>
      <c r="ARK38" s="1360"/>
      <c r="ARL38" s="1360"/>
      <c r="ARM38" s="1361"/>
      <c r="ARN38" s="1360"/>
      <c r="ARO38" s="1360"/>
      <c r="ARP38" s="1361"/>
      <c r="ARQ38" s="1360">
        <v>0.29166666666666669</v>
      </c>
      <c r="ARR38" s="1360"/>
      <c r="ARS38" s="1361"/>
      <c r="ART38" s="1360">
        <v>0.16666666666666666</v>
      </c>
      <c r="ARU38" s="1360"/>
      <c r="ARV38" s="1361"/>
      <c r="ARW38" s="1360"/>
      <c r="ARX38" s="1360"/>
      <c r="ARY38" s="1361"/>
      <c r="ARZ38" s="1360">
        <v>0.30208333333333331</v>
      </c>
      <c r="ASA38" s="1360"/>
      <c r="ASB38" s="1361"/>
      <c r="ASC38" s="1360">
        <v>0.36458333333333331</v>
      </c>
      <c r="ASD38" s="1360"/>
      <c r="ASE38" s="1361"/>
      <c r="ASF38" s="1359"/>
      <c r="ASG38" s="1360"/>
      <c r="ASH38" s="1361"/>
      <c r="ASI38" s="1359"/>
      <c r="ASJ38" s="1360"/>
      <c r="ASK38" s="1361"/>
      <c r="ASL38" s="1359">
        <v>0.5</v>
      </c>
      <c r="ASM38" s="1360"/>
      <c r="ASN38" s="1361"/>
      <c r="ASO38" s="1359">
        <v>0.35416666666666669</v>
      </c>
      <c r="ASP38" s="1360"/>
      <c r="ASQ38" s="1360"/>
      <c r="ASR38" s="1359"/>
      <c r="ASS38" s="1360"/>
      <c r="AST38" s="1361"/>
      <c r="ASU38" s="1360">
        <v>0.28472222222222221</v>
      </c>
      <c r="ASV38" s="1360"/>
      <c r="ASW38" s="1361"/>
      <c r="ASX38" s="1359">
        <v>0.25</v>
      </c>
      <c r="ASY38" s="1360"/>
      <c r="ASZ38" s="1361"/>
      <c r="ATA38" s="1359">
        <v>0.2986111111111111</v>
      </c>
      <c r="ATB38" s="1360"/>
      <c r="ATC38" s="1361"/>
      <c r="ATD38" s="1359">
        <v>0.30555555555555558</v>
      </c>
      <c r="ATE38" s="1360"/>
      <c r="ATF38" s="1361"/>
      <c r="ATG38" s="1359">
        <v>0.24305555555555555</v>
      </c>
      <c r="ATH38" s="1360"/>
      <c r="ATI38" s="1361"/>
      <c r="ATJ38" s="1359">
        <v>0.1875</v>
      </c>
      <c r="ATK38" s="1360"/>
      <c r="ATL38" s="1361"/>
      <c r="ATM38" s="1359"/>
      <c r="ATN38" s="1360"/>
      <c r="ATO38" s="1361"/>
      <c r="ATP38" s="1359">
        <v>0.22916666666666666</v>
      </c>
      <c r="ATQ38" s="1360"/>
      <c r="ATR38" s="1361"/>
      <c r="ATS38" s="1359">
        <v>0.3125</v>
      </c>
      <c r="ATT38" s="1360"/>
      <c r="ATU38" s="1361"/>
      <c r="ATV38" s="1360">
        <v>0.24305555555555555</v>
      </c>
      <c r="ATW38" s="1360"/>
      <c r="ATX38" s="1361"/>
      <c r="ATY38" s="1359">
        <v>0.27083333333333331</v>
      </c>
      <c r="ATZ38" s="1360"/>
      <c r="AUA38" s="1361"/>
      <c r="AUB38" s="1359">
        <v>0.20833333333333334</v>
      </c>
      <c r="AUC38" s="1360"/>
      <c r="AUD38" s="1361"/>
      <c r="AUE38" s="1359">
        <v>0.24305555555555555</v>
      </c>
      <c r="AUF38" s="1360"/>
      <c r="AUG38" s="1361"/>
      <c r="AUH38" s="1257"/>
      <c r="AUI38" s="1257"/>
      <c r="AUJ38" s="1258"/>
      <c r="AUK38" s="1359">
        <v>0.20833333333333334</v>
      </c>
      <c r="AUL38" s="1360"/>
      <c r="AUM38" s="1361"/>
      <c r="AUN38" s="1360">
        <v>0.3125</v>
      </c>
      <c r="AUO38" s="1360"/>
      <c r="AUP38" s="1360"/>
      <c r="AUQ38" s="1298" t="str">
        <f t="shared" ref="AUQ38" si="1951">"-"</f>
        <v>-</v>
      </c>
      <c r="AUR38" s="1299"/>
      <c r="AUS38" s="1299"/>
      <c r="AUT38" s="1298" t="str">
        <f t="shared" ref="AUT38" si="1952">"-"</f>
        <v>-</v>
      </c>
      <c r="AUU38" s="1299"/>
      <c r="AUV38" s="1299"/>
      <c r="AUW38" s="1298" t="str">
        <f t="shared" ref="AUW38" si="1953">"-"</f>
        <v>-</v>
      </c>
      <c r="AUX38" s="1299"/>
      <c r="AUY38" s="1299"/>
      <c r="AUZ38" s="1298" t="str">
        <f t="shared" ref="AUZ38" si="1954">"-"</f>
        <v>-</v>
      </c>
      <c r="AVA38" s="1299"/>
      <c r="AVB38" s="1299"/>
      <c r="AVC38" s="1298" t="str">
        <f t="shared" ref="AVC38" si="1955">"-"</f>
        <v>-</v>
      </c>
      <c r="AVD38" s="1299"/>
      <c r="AVE38" s="1299"/>
      <c r="AVF38" s="1298" t="str">
        <f t="shared" ref="AVF38" si="1956">"-"</f>
        <v>-</v>
      </c>
      <c r="AVG38" s="1299"/>
      <c r="AVH38" s="1299"/>
      <c r="AVI38" s="1298" t="str">
        <f t="shared" ref="AVI38" si="1957">"-"</f>
        <v>-</v>
      </c>
      <c r="AVJ38" s="1299"/>
      <c r="AVK38" s="1299"/>
      <c r="AVL38" s="1298" t="str">
        <f t="shared" ref="AVL38" si="1958">"-"</f>
        <v>-</v>
      </c>
      <c r="AVM38" s="1299"/>
      <c r="AVN38" s="1299"/>
      <c r="AVO38" s="1298" t="str">
        <f t="shared" ref="AVO38" si="1959">"-"</f>
        <v>-</v>
      </c>
      <c r="AVP38" s="1299"/>
      <c r="AVQ38" s="1299"/>
      <c r="AVR38" s="1298" t="str">
        <f t="shared" ref="AVR38" si="1960">"-"</f>
        <v>-</v>
      </c>
      <c r="AVS38" s="1299"/>
      <c r="AVT38" s="1299"/>
      <c r="AVU38" s="1298" t="str">
        <f t="shared" ref="AVU38" si="1961">"-"</f>
        <v>-</v>
      </c>
      <c r="AVV38" s="1299"/>
      <c r="AVW38" s="1299"/>
      <c r="AVX38" s="1298" t="str">
        <f t="shared" ref="AVX38" si="1962">"-"</f>
        <v>-</v>
      </c>
      <c r="AVY38" s="1299"/>
      <c r="AVZ38" s="1299"/>
      <c r="AWA38" s="1298" t="str">
        <f t="shared" ref="AWA38" si="1963">"-"</f>
        <v>-</v>
      </c>
      <c r="AWB38" s="1299"/>
      <c r="AWC38" s="1299"/>
      <c r="AWD38" s="1298" t="str">
        <f t="shared" ref="AWD38" si="1964">"-"</f>
        <v>-</v>
      </c>
      <c r="AWE38" s="1299"/>
      <c r="AWF38" s="1299"/>
      <c r="AWG38" s="1298" t="str">
        <f t="shared" ref="AWG38" si="1965">"-"</f>
        <v>-</v>
      </c>
      <c r="AWH38" s="1299"/>
      <c r="AWI38" s="1299"/>
      <c r="AWJ38" s="1298" t="str">
        <f t="shared" ref="AWJ38" si="1966">"-"</f>
        <v>-</v>
      </c>
      <c r="AWK38" s="1299"/>
      <c r="AWL38" s="1299"/>
      <c r="AWM38" s="1298" t="str">
        <f t="shared" ref="AWM38" si="1967">"-"</f>
        <v>-</v>
      </c>
      <c r="AWN38" s="1299"/>
      <c r="AWO38" s="1299"/>
      <c r="AWP38" s="1298" t="str">
        <f t="shared" ref="AWP38" si="1968">"-"</f>
        <v>-</v>
      </c>
      <c r="AWQ38" s="1299"/>
      <c r="AWR38" s="1299"/>
      <c r="AWS38" s="1298" t="str">
        <f t="shared" ref="AWS38" si="1969">"-"</f>
        <v>-</v>
      </c>
      <c r="AWT38" s="1299"/>
      <c r="AWU38" s="1299"/>
      <c r="AWV38" s="1298" t="str">
        <f t="shared" ref="AWV38" si="1970">"-"</f>
        <v>-</v>
      </c>
      <c r="AWW38" s="1299"/>
      <c r="AWX38" s="1299"/>
      <c r="AWY38" s="1298" t="str">
        <f t="shared" ref="AWY38" si="1971">"-"</f>
        <v>-</v>
      </c>
      <c r="AWZ38" s="1299"/>
      <c r="AXA38" s="1299"/>
      <c r="AXB38" s="1298" t="str">
        <f t="shared" ref="AXB38" si="1972">"-"</f>
        <v>-</v>
      </c>
      <c r="AXC38" s="1299"/>
      <c r="AXD38" s="1299"/>
      <c r="AXE38" s="1298" t="str">
        <f t="shared" ref="AXE38" si="1973">"-"</f>
        <v>-</v>
      </c>
      <c r="AXF38" s="1299"/>
      <c r="AXG38" s="1299"/>
      <c r="AXH38" s="1298" t="str">
        <f t="shared" ref="AXH38" si="1974">"-"</f>
        <v>-</v>
      </c>
      <c r="AXI38" s="1299"/>
      <c r="AXJ38" s="1299"/>
      <c r="AXK38" s="1298" t="str">
        <f t="shared" ref="AXK38" si="1975">"-"</f>
        <v>-</v>
      </c>
      <c r="AXL38" s="1299"/>
      <c r="AXM38" s="1299"/>
      <c r="AXN38" s="1298" t="str">
        <f t="shared" ref="AXN38" si="1976">"-"</f>
        <v>-</v>
      </c>
      <c r="AXO38" s="1299"/>
      <c r="AXP38" s="1299"/>
      <c r="AXQ38" s="1298" t="str">
        <f t="shared" ref="AXQ38" si="1977">"-"</f>
        <v>-</v>
      </c>
      <c r="AXR38" s="1299"/>
      <c r="AXS38" s="1299"/>
      <c r="AXT38" s="1298" t="str">
        <f t="shared" ref="AXT38" si="1978">"-"</f>
        <v>-</v>
      </c>
      <c r="AXU38" s="1299"/>
      <c r="AXV38" s="1299"/>
      <c r="AXW38" s="1298" t="str">
        <f t="shared" ref="AXW38" si="1979">"-"</f>
        <v>-</v>
      </c>
      <c r="AXX38" s="1299"/>
      <c r="AXY38" s="1299"/>
      <c r="AXZ38" s="1298" t="str">
        <f t="shared" ref="AXZ38" si="1980">"-"</f>
        <v>-</v>
      </c>
      <c r="AYA38" s="1299"/>
      <c r="AYB38" s="1299"/>
      <c r="AYC38" s="1298" t="str">
        <f t="shared" ref="AYC38" si="1981">"-"</f>
        <v>-</v>
      </c>
      <c r="AYD38" s="1299"/>
      <c r="AYE38" s="1299"/>
      <c r="AYF38" s="1298" t="str">
        <f t="shared" ref="AYF38" si="1982">"-"</f>
        <v>-</v>
      </c>
      <c r="AYG38" s="1299"/>
      <c r="AYH38" s="1299"/>
      <c r="AYI38" s="1298" t="str">
        <f t="shared" ref="AYI38" si="1983">"-"</f>
        <v>-</v>
      </c>
      <c r="AYJ38" s="1299"/>
      <c r="AYK38" s="1299"/>
      <c r="AYL38" s="1298" t="str">
        <f t="shared" ref="AYL38" si="1984">"-"</f>
        <v>-</v>
      </c>
      <c r="AYM38" s="1299"/>
      <c r="AYN38" s="1299"/>
      <c r="AYO38" s="1298" t="str">
        <f t="shared" ref="AYO38" si="1985">"-"</f>
        <v>-</v>
      </c>
      <c r="AYP38" s="1299"/>
      <c r="AYQ38" s="1299"/>
      <c r="AYR38" s="1298" t="str">
        <f t="shared" ref="AYR38" si="1986">"-"</f>
        <v>-</v>
      </c>
      <c r="AYS38" s="1299"/>
      <c r="AYT38" s="1299"/>
      <c r="AYU38" s="1298" t="str">
        <f t="shared" ref="AYU38" si="1987">"-"</f>
        <v>-</v>
      </c>
      <c r="AYV38" s="1299"/>
      <c r="AYW38" s="1299"/>
      <c r="AYX38" s="1298" t="str">
        <f t="shared" ref="AYX38" si="1988">"-"</f>
        <v>-</v>
      </c>
      <c r="AYY38" s="1299"/>
      <c r="AYZ38" s="1299"/>
      <c r="AZA38" s="1298" t="str">
        <f t="shared" ref="AZA38" si="1989">"-"</f>
        <v>-</v>
      </c>
      <c r="AZB38" s="1299"/>
      <c r="AZC38" s="1299"/>
      <c r="AZD38" s="1298" t="str">
        <f t="shared" ref="AZD38" si="1990">"-"</f>
        <v>-</v>
      </c>
      <c r="AZE38" s="1299"/>
      <c r="AZF38" s="1299"/>
      <c r="AZG38" s="1298" t="str">
        <f t="shared" ref="AZG38" si="1991">"-"</f>
        <v>-</v>
      </c>
      <c r="AZH38" s="1299"/>
      <c r="AZI38" s="1299"/>
      <c r="AZJ38" s="1298" t="str">
        <f t="shared" ref="AZJ38" si="1992">"-"</f>
        <v>-</v>
      </c>
      <c r="AZK38" s="1299"/>
      <c r="AZL38" s="1299"/>
      <c r="AZM38" s="1298" t="str">
        <f t="shared" ref="AZM38" si="1993">"-"</f>
        <v>-</v>
      </c>
      <c r="AZN38" s="1299"/>
      <c r="AZO38" s="1299"/>
      <c r="AZP38" s="1298" t="str">
        <f t="shared" ref="AZP38" si="1994">"-"</f>
        <v>-</v>
      </c>
      <c r="AZQ38" s="1299"/>
      <c r="AZR38" s="1299"/>
      <c r="AZS38" s="1298" t="str">
        <f t="shared" ref="AZS38" si="1995">"-"</f>
        <v>-</v>
      </c>
      <c r="AZT38" s="1299"/>
      <c r="AZU38" s="1299"/>
      <c r="AZV38" s="1298" t="str">
        <f t="shared" ref="AZV38" si="1996">"-"</f>
        <v>-</v>
      </c>
      <c r="AZW38" s="1299"/>
      <c r="AZX38" s="1299"/>
      <c r="AZY38" s="1298" t="str">
        <f t="shared" ref="AZY38" si="1997">"-"</f>
        <v>-</v>
      </c>
      <c r="AZZ38" s="1299"/>
      <c r="BAA38" s="1299"/>
      <c r="BAB38" s="1298" t="str">
        <f t="shared" ref="BAB38" si="1998">"-"</f>
        <v>-</v>
      </c>
      <c r="BAC38" s="1299"/>
      <c r="BAD38" s="1299"/>
      <c r="BAE38" s="1298" t="str">
        <f t="shared" ref="BAE38" si="1999">"-"</f>
        <v>-</v>
      </c>
      <c r="BAF38" s="1299"/>
      <c r="BAG38" s="1299"/>
      <c r="BAH38" s="1298" t="str">
        <f t="shared" ref="BAH38" si="2000">"-"</f>
        <v>-</v>
      </c>
      <c r="BAI38" s="1299"/>
      <c r="BAJ38" s="1336"/>
    </row>
    <row r="39" spans="1:1399">
      <c r="A39" s="382"/>
      <c r="B39" s="1189" t="s">
        <v>364</v>
      </c>
      <c r="C39" s="1207"/>
      <c r="D39" s="1207"/>
      <c r="E39" s="1190" t="s">
        <v>349</v>
      </c>
      <c r="F39" s="1407" t="s">
        <v>20</v>
      </c>
      <c r="G39" s="1407"/>
      <c r="H39" s="1408"/>
      <c r="I39" s="1407" t="s">
        <v>20</v>
      </c>
      <c r="J39" s="1407"/>
      <c r="K39" s="1408"/>
      <c r="L39" s="1407" t="s">
        <v>20</v>
      </c>
      <c r="M39" s="1407"/>
      <c r="N39" s="1408"/>
      <c r="O39" s="1407" t="s">
        <v>20</v>
      </c>
      <c r="P39" s="1407"/>
      <c r="Q39" s="1408"/>
      <c r="R39" s="1407" t="s">
        <v>20</v>
      </c>
      <c r="S39" s="1407"/>
      <c r="T39" s="1408"/>
      <c r="U39" s="1407" t="s">
        <v>20</v>
      </c>
      <c r="V39" s="1407"/>
      <c r="W39" s="1408"/>
      <c r="X39" s="1407" t="s">
        <v>20</v>
      </c>
      <c r="Y39" s="1407"/>
      <c r="Z39" s="1408"/>
      <c r="AA39" s="1407" t="s">
        <v>20</v>
      </c>
      <c r="AB39" s="1407"/>
      <c r="AC39" s="1408"/>
      <c r="AD39" s="1407" t="s">
        <v>20</v>
      </c>
      <c r="AE39" s="1407"/>
      <c r="AF39" s="1408"/>
      <c r="AG39" s="1407" t="s">
        <v>20</v>
      </c>
      <c r="AH39" s="1407"/>
      <c r="AI39" s="1408"/>
      <c r="AJ39" s="1407" t="s">
        <v>20</v>
      </c>
      <c r="AK39" s="1407"/>
      <c r="AL39" s="1408"/>
      <c r="AM39" s="1407" t="s">
        <v>20</v>
      </c>
      <c r="AN39" s="1407"/>
      <c r="AO39" s="1408"/>
      <c r="AP39" s="1407" t="s">
        <v>20</v>
      </c>
      <c r="AQ39" s="1407"/>
      <c r="AR39" s="1408"/>
      <c r="AS39" s="1407" t="s">
        <v>20</v>
      </c>
      <c r="AT39" s="1407"/>
      <c r="AU39" s="1408"/>
      <c r="AV39" s="1407" t="s">
        <v>20</v>
      </c>
      <c r="AW39" s="1407"/>
      <c r="AX39" s="1408"/>
      <c r="AY39" s="1407" t="s">
        <v>20</v>
      </c>
      <c r="AZ39" s="1407"/>
      <c r="BA39" s="1408"/>
      <c r="BB39" s="1407" t="s">
        <v>20</v>
      </c>
      <c r="BC39" s="1407"/>
      <c r="BD39" s="1408"/>
      <c r="BE39" s="1407" t="s">
        <v>20</v>
      </c>
      <c r="BF39" s="1407"/>
      <c r="BG39" s="1408"/>
      <c r="BH39" s="1407" t="s">
        <v>20</v>
      </c>
      <c r="BI39" s="1407"/>
      <c r="BJ39" s="1408"/>
      <c r="BK39" s="1407" t="s">
        <v>20</v>
      </c>
      <c r="BL39" s="1407"/>
      <c r="BM39" s="1408"/>
      <c r="BN39" s="1407" t="s">
        <v>20</v>
      </c>
      <c r="BO39" s="1407"/>
      <c r="BP39" s="1408"/>
      <c r="BQ39" s="1407" t="s">
        <v>20</v>
      </c>
      <c r="BR39" s="1407"/>
      <c r="BS39" s="1408"/>
      <c r="BT39" s="1407" t="s">
        <v>20</v>
      </c>
      <c r="BU39" s="1407"/>
      <c r="BV39" s="1408"/>
      <c r="BW39" s="1407" t="s">
        <v>20</v>
      </c>
      <c r="BX39" s="1407"/>
      <c r="BY39" s="1408"/>
      <c r="BZ39" s="1407"/>
      <c r="CA39" s="1407"/>
      <c r="CB39" s="1408"/>
      <c r="CC39" s="1407"/>
      <c r="CD39" s="1407"/>
      <c r="CE39" s="1408"/>
      <c r="CF39" s="1407"/>
      <c r="CG39" s="1407"/>
      <c r="CH39" s="1408"/>
      <c r="CI39" s="1407"/>
      <c r="CJ39" s="1407"/>
      <c r="CK39" s="1408"/>
      <c r="CL39" s="1407"/>
      <c r="CM39" s="1407"/>
      <c r="CN39" s="1408"/>
      <c r="CO39" s="1407"/>
      <c r="CP39" s="1407"/>
      <c r="CQ39" s="1408"/>
      <c r="CR39" s="1407"/>
      <c r="CS39" s="1407"/>
      <c r="CT39" s="1408"/>
      <c r="CU39" s="1407"/>
      <c r="CV39" s="1407"/>
      <c r="CW39" s="1408"/>
      <c r="CX39" s="1407"/>
      <c r="CY39" s="1407"/>
      <c r="CZ39" s="1408"/>
      <c r="DA39" s="1407"/>
      <c r="DB39" s="1407"/>
      <c r="DC39" s="1408"/>
      <c r="DD39" s="1407"/>
      <c r="DE39" s="1407"/>
      <c r="DF39" s="1408"/>
      <c r="DG39" s="1407"/>
      <c r="DH39" s="1407"/>
      <c r="DI39" s="1408"/>
      <c r="DJ39" s="1407"/>
      <c r="DK39" s="1407"/>
      <c r="DL39" s="1408"/>
      <c r="DM39" s="1407"/>
      <c r="DN39" s="1407"/>
      <c r="DO39" s="1408"/>
      <c r="DP39" s="1407"/>
      <c r="DQ39" s="1407"/>
      <c r="DR39" s="1408"/>
      <c r="DS39" s="1407"/>
      <c r="DT39" s="1407"/>
      <c r="DU39" s="1408"/>
      <c r="DV39" s="1407"/>
      <c r="DW39" s="1407"/>
      <c r="DX39" s="1408"/>
      <c r="DY39" s="1407"/>
      <c r="DZ39" s="1407"/>
      <c r="EA39" s="1408"/>
      <c r="EB39" s="1407"/>
      <c r="EC39" s="1407"/>
      <c r="ED39" s="1408"/>
      <c r="EE39" s="1407"/>
      <c r="EF39" s="1407"/>
      <c r="EG39" s="1408"/>
      <c r="EH39" s="1407" t="s">
        <v>20</v>
      </c>
      <c r="EI39" s="1407"/>
      <c r="EJ39" s="1408"/>
      <c r="EK39" s="1407"/>
      <c r="EL39" s="1407"/>
      <c r="EM39" s="1408"/>
      <c r="EN39" s="1407"/>
      <c r="EO39" s="1407"/>
      <c r="EP39" s="1408"/>
      <c r="EQ39" s="1407"/>
      <c r="ER39" s="1407"/>
      <c r="ES39" s="1408"/>
      <c r="ET39" s="1407"/>
      <c r="EU39" s="1407"/>
      <c r="EV39" s="1408"/>
      <c r="EW39" s="1407"/>
      <c r="EX39" s="1407"/>
      <c r="EY39" s="1408"/>
      <c r="EZ39" s="1407"/>
      <c r="FA39" s="1407"/>
      <c r="FB39" s="1408"/>
      <c r="FC39" s="1407"/>
      <c r="FD39" s="1407"/>
      <c r="FE39" s="1408"/>
      <c r="FF39" s="1407"/>
      <c r="FG39" s="1407"/>
      <c r="FH39" s="1408"/>
      <c r="FI39" s="1407"/>
      <c r="FJ39" s="1407"/>
      <c r="FK39" s="1408"/>
      <c r="FL39" s="1407"/>
      <c r="FM39" s="1407"/>
      <c r="FN39" s="1408"/>
      <c r="FO39" s="1407"/>
      <c r="FP39" s="1407"/>
      <c r="FQ39" s="1408"/>
      <c r="FR39" s="1407"/>
      <c r="FS39" s="1407"/>
      <c r="FT39" s="1408"/>
      <c r="FU39" s="1407"/>
      <c r="FV39" s="1407"/>
      <c r="FW39" s="1408"/>
      <c r="FX39" s="1407"/>
      <c r="FY39" s="1407"/>
      <c r="FZ39" s="1408"/>
      <c r="GA39" s="1407"/>
      <c r="GB39" s="1407"/>
      <c r="GC39" s="1408"/>
      <c r="GD39" s="1407"/>
      <c r="GE39" s="1407"/>
      <c r="GF39" s="1408"/>
      <c r="GG39" s="1407"/>
      <c r="GH39" s="1407"/>
      <c r="GI39" s="1408"/>
      <c r="GJ39" s="1407"/>
      <c r="GK39" s="1407"/>
      <c r="GL39" s="1408"/>
      <c r="GM39" s="1407"/>
      <c r="GN39" s="1407"/>
      <c r="GO39" s="1408"/>
      <c r="GP39" s="1407"/>
      <c r="GQ39" s="1407"/>
      <c r="GR39" s="1408"/>
      <c r="GS39" s="1407"/>
      <c r="GT39" s="1407"/>
      <c r="GU39" s="1408"/>
      <c r="GV39" s="1407"/>
      <c r="GW39" s="1407"/>
      <c r="GX39" s="1408"/>
      <c r="GY39" s="1407"/>
      <c r="GZ39" s="1407"/>
      <c r="HA39" s="1408"/>
      <c r="HB39" s="1407"/>
      <c r="HC39" s="1407"/>
      <c r="HD39" s="1408"/>
      <c r="HE39" s="1428"/>
      <c r="HF39" s="1407"/>
      <c r="HG39" s="1408"/>
      <c r="HH39" s="1407"/>
      <c r="HI39" s="1407"/>
      <c r="HJ39" s="1408"/>
      <c r="HK39" s="1407"/>
      <c r="HL39" s="1407"/>
      <c r="HM39" s="1408"/>
      <c r="HN39" s="1407"/>
      <c r="HO39" s="1407"/>
      <c r="HP39" s="1408"/>
      <c r="HQ39" s="1407"/>
      <c r="HR39" s="1407"/>
      <c r="HS39" s="1408"/>
      <c r="HT39" s="1407"/>
      <c r="HU39" s="1407"/>
      <c r="HV39" s="1408"/>
      <c r="HW39" s="1407"/>
      <c r="HX39" s="1407"/>
      <c r="HY39" s="1408"/>
      <c r="HZ39" s="1407"/>
      <c r="IA39" s="1407"/>
      <c r="IB39" s="1408"/>
      <c r="IC39" s="1407"/>
      <c r="ID39" s="1407"/>
      <c r="IE39" s="1408"/>
      <c r="IF39" s="1407"/>
      <c r="IG39" s="1407"/>
      <c r="IH39" s="1408"/>
      <c r="II39" s="1407"/>
      <c r="IJ39" s="1407"/>
      <c r="IK39" s="1408"/>
      <c r="IL39" s="1407"/>
      <c r="IM39" s="1407"/>
      <c r="IN39" s="1408"/>
      <c r="IO39" s="1407"/>
      <c r="IP39" s="1407"/>
      <c r="IQ39" s="1408"/>
      <c r="IR39" s="1407"/>
      <c r="IS39" s="1407"/>
      <c r="IT39" s="1408"/>
      <c r="IU39" s="1407"/>
      <c r="IV39" s="1407"/>
      <c r="IW39" s="1408"/>
      <c r="IX39" s="1407"/>
      <c r="IY39" s="1407"/>
      <c r="IZ39" s="1408"/>
      <c r="JA39" s="1407"/>
      <c r="JB39" s="1407"/>
      <c r="JC39" s="1408"/>
      <c r="JD39" s="1407"/>
      <c r="JE39" s="1407"/>
      <c r="JF39" s="1408"/>
      <c r="JG39" s="1407"/>
      <c r="JH39" s="1407"/>
      <c r="JI39" s="1408"/>
      <c r="JJ39" s="1407"/>
      <c r="JK39" s="1407"/>
      <c r="JL39" s="1408"/>
      <c r="JM39" s="1407"/>
      <c r="JN39" s="1407"/>
      <c r="JO39" s="1408"/>
      <c r="JP39" s="1407"/>
      <c r="JQ39" s="1407"/>
      <c r="JR39" s="1408"/>
      <c r="JS39" s="1407"/>
      <c r="JT39" s="1407"/>
      <c r="JU39" s="1408"/>
      <c r="JV39" s="1407"/>
      <c r="JW39" s="1407"/>
      <c r="JX39" s="1408"/>
      <c r="JY39" s="1407"/>
      <c r="JZ39" s="1407"/>
      <c r="KA39" s="1408"/>
      <c r="KB39" s="1407"/>
      <c r="KC39" s="1407"/>
      <c r="KD39" s="1408"/>
      <c r="KE39" s="1407"/>
      <c r="KF39" s="1407"/>
      <c r="KG39" s="1408"/>
      <c r="KH39" s="1407"/>
      <c r="KI39" s="1407"/>
      <c r="KJ39" s="1408"/>
      <c r="KK39" s="1407"/>
      <c r="KL39" s="1407"/>
      <c r="KM39" s="1408"/>
      <c r="KN39" s="1407"/>
      <c r="KO39" s="1407"/>
      <c r="KP39" s="1408"/>
      <c r="KQ39" s="1407"/>
      <c r="KR39" s="1407"/>
      <c r="KS39" s="1408"/>
      <c r="KT39" s="1407"/>
      <c r="KU39" s="1407"/>
      <c r="KV39" s="1408"/>
      <c r="KW39" s="1407"/>
      <c r="KX39" s="1407"/>
      <c r="KY39" s="1408"/>
      <c r="KZ39" s="1407"/>
      <c r="LA39" s="1407"/>
      <c r="LB39" s="1408"/>
      <c r="LC39" s="1407"/>
      <c r="LD39" s="1407"/>
      <c r="LE39" s="1408"/>
      <c r="LF39" s="1407"/>
      <c r="LG39" s="1407"/>
      <c r="LH39" s="1408"/>
      <c r="LI39" s="1407"/>
      <c r="LJ39" s="1407"/>
      <c r="LK39" s="1408"/>
      <c r="LL39" s="1407"/>
      <c r="LM39" s="1407"/>
      <c r="LN39" s="1408"/>
      <c r="LO39" s="1407"/>
      <c r="LP39" s="1407"/>
      <c r="LQ39" s="1408"/>
      <c r="LR39" s="1407"/>
      <c r="LS39" s="1407"/>
      <c r="LT39" s="1408"/>
      <c r="LU39" s="1407"/>
      <c r="LV39" s="1407"/>
      <c r="LW39" s="1408"/>
      <c r="LX39" s="1407"/>
      <c r="LY39" s="1407"/>
      <c r="LZ39" s="1408"/>
      <c r="MA39" s="1407"/>
      <c r="MB39" s="1407"/>
      <c r="MC39" s="1408"/>
      <c r="MD39" s="1407"/>
      <c r="ME39" s="1407"/>
      <c r="MF39" s="1408"/>
      <c r="MG39" s="1407"/>
      <c r="MH39" s="1407"/>
      <c r="MI39" s="1408"/>
      <c r="MJ39" s="1407"/>
      <c r="MK39" s="1407"/>
      <c r="ML39" s="1408"/>
      <c r="MM39" s="1407"/>
      <c r="MN39" s="1407"/>
      <c r="MO39" s="1408"/>
      <c r="MP39" s="1407"/>
      <c r="MQ39" s="1407"/>
      <c r="MR39" s="1408"/>
      <c r="MS39" s="1407"/>
      <c r="MT39" s="1407"/>
      <c r="MU39" s="1408"/>
      <c r="MV39" s="1407"/>
      <c r="MW39" s="1407"/>
      <c r="MX39" s="1408"/>
      <c r="MY39" s="1407"/>
      <c r="MZ39" s="1407"/>
      <c r="NA39" s="1408"/>
      <c r="NB39" s="1407"/>
      <c r="NC39" s="1407"/>
      <c r="ND39" s="1408"/>
      <c r="NE39" s="1373" t="s">
        <v>20</v>
      </c>
      <c r="NF39" s="1373"/>
      <c r="NG39" s="1374"/>
      <c r="NH39" s="1373" t="s">
        <v>20</v>
      </c>
      <c r="NI39" s="1373"/>
      <c r="NJ39" s="1374"/>
      <c r="NK39" s="1372"/>
      <c r="NL39" s="1373"/>
      <c r="NM39" s="1374"/>
      <c r="NN39" s="1372"/>
      <c r="NO39" s="1373"/>
      <c r="NP39" s="1374"/>
      <c r="NQ39" s="1372"/>
      <c r="NR39" s="1373"/>
      <c r="NS39" s="1374"/>
      <c r="NT39" s="1372"/>
      <c r="NU39" s="1373"/>
      <c r="NV39" s="1374"/>
      <c r="NW39" s="1372"/>
      <c r="NX39" s="1373"/>
      <c r="NY39" s="1374"/>
      <c r="NZ39" s="1373" t="s">
        <v>20</v>
      </c>
      <c r="OA39" s="1373"/>
      <c r="OB39" s="1374"/>
      <c r="OC39" s="1372"/>
      <c r="OD39" s="1373"/>
      <c r="OE39" s="1374"/>
      <c r="OF39" s="1372"/>
      <c r="OG39" s="1373"/>
      <c r="OH39" s="1374"/>
      <c r="OI39" s="1372"/>
      <c r="OJ39" s="1373"/>
      <c r="OK39" s="1374"/>
      <c r="OL39" s="1372"/>
      <c r="OM39" s="1373"/>
      <c r="ON39" s="1374"/>
      <c r="OO39" s="1372"/>
      <c r="OP39" s="1373"/>
      <c r="OQ39" s="1374"/>
      <c r="OR39" s="1372"/>
      <c r="OS39" s="1373"/>
      <c r="OT39" s="1374"/>
      <c r="OU39" s="1372"/>
      <c r="OV39" s="1373"/>
      <c r="OW39" s="1374"/>
      <c r="OX39" s="1372"/>
      <c r="OY39" s="1373"/>
      <c r="OZ39" s="1374"/>
      <c r="PA39" s="1372"/>
      <c r="PB39" s="1373"/>
      <c r="PC39" s="1374"/>
      <c r="PD39" s="1372"/>
      <c r="PE39" s="1373"/>
      <c r="PF39" s="1374"/>
      <c r="PG39" s="1372"/>
      <c r="PH39" s="1373"/>
      <c r="PI39" s="1374"/>
      <c r="PJ39" s="1372"/>
      <c r="PK39" s="1373"/>
      <c r="PL39" s="1374"/>
      <c r="PM39" s="1372"/>
      <c r="PN39" s="1373"/>
      <c r="PO39" s="1374"/>
      <c r="PP39" s="1372"/>
      <c r="PQ39" s="1373"/>
      <c r="PR39" s="1374"/>
      <c r="PS39" s="1372"/>
      <c r="PT39" s="1373"/>
      <c r="PU39" s="1374"/>
      <c r="PV39" s="1372"/>
      <c r="PW39" s="1373"/>
      <c r="PX39" s="1374"/>
      <c r="PY39" s="1372"/>
      <c r="PZ39" s="1373"/>
      <c r="QA39" s="1374"/>
      <c r="QB39" s="1372"/>
      <c r="QC39" s="1373"/>
      <c r="QD39" s="1374"/>
      <c r="QE39" s="1372"/>
      <c r="QF39" s="1373"/>
      <c r="QG39" s="1374"/>
      <c r="QH39" s="1372"/>
      <c r="QI39" s="1373"/>
      <c r="QJ39" s="1374"/>
      <c r="QK39" s="1372"/>
      <c r="QL39" s="1373"/>
      <c r="QM39" s="1374"/>
      <c r="QN39" s="1372"/>
      <c r="QO39" s="1373"/>
      <c r="QP39" s="1374"/>
      <c r="QQ39" s="1372"/>
      <c r="QR39" s="1373"/>
      <c r="QS39" s="1374"/>
      <c r="QT39" s="1372"/>
      <c r="QU39" s="1373"/>
      <c r="QV39" s="1374"/>
      <c r="QW39" s="1372"/>
      <c r="QX39" s="1373"/>
      <c r="QY39" s="1374"/>
      <c r="QZ39" s="1372"/>
      <c r="RA39" s="1373"/>
      <c r="RB39" s="1374"/>
      <c r="RC39" s="1372"/>
      <c r="RD39" s="1373"/>
      <c r="RE39" s="1374"/>
      <c r="RF39" s="1372"/>
      <c r="RG39" s="1373"/>
      <c r="RH39" s="1374"/>
      <c r="RI39" s="1372"/>
      <c r="RJ39" s="1373"/>
      <c r="RK39" s="1374"/>
      <c r="RL39" s="1372"/>
      <c r="RM39" s="1373"/>
      <c r="RN39" s="1374"/>
      <c r="RO39" s="1372"/>
      <c r="RP39" s="1373"/>
      <c r="RQ39" s="1374"/>
      <c r="RR39" s="1372"/>
      <c r="RS39" s="1373"/>
      <c r="RT39" s="1374"/>
      <c r="RU39" s="1372"/>
      <c r="RV39" s="1373"/>
      <c r="RW39" s="1374"/>
      <c r="RX39" s="1372"/>
      <c r="RY39" s="1373"/>
      <c r="RZ39" s="1374"/>
      <c r="SA39" s="1372"/>
      <c r="SB39" s="1373"/>
      <c r="SC39" s="1374"/>
      <c r="SD39" s="1372"/>
      <c r="SE39" s="1373"/>
      <c r="SF39" s="1374"/>
      <c r="SG39" s="1372"/>
      <c r="SH39" s="1373"/>
      <c r="SI39" s="1374"/>
      <c r="SJ39" s="1372"/>
      <c r="SK39" s="1373"/>
      <c r="SL39" s="1374"/>
      <c r="SM39" s="1372"/>
      <c r="SN39" s="1373"/>
      <c r="SO39" s="1374"/>
      <c r="SP39" s="1372"/>
      <c r="SQ39" s="1373"/>
      <c r="SR39" s="1374"/>
      <c r="SS39" s="1372"/>
      <c r="ST39" s="1373"/>
      <c r="SU39" s="1374"/>
      <c r="SV39" s="1372"/>
      <c r="SW39" s="1373"/>
      <c r="SX39" s="1374"/>
      <c r="SY39" s="1372"/>
      <c r="SZ39" s="1373"/>
      <c r="TA39" s="1374"/>
      <c r="TB39" s="1372"/>
      <c r="TC39" s="1373"/>
      <c r="TD39" s="1374"/>
      <c r="TE39" s="1372"/>
      <c r="TF39" s="1373"/>
      <c r="TG39" s="1374"/>
      <c r="TH39" s="1372"/>
      <c r="TI39" s="1373"/>
      <c r="TJ39" s="1374"/>
      <c r="TK39" s="1372"/>
      <c r="TL39" s="1373"/>
      <c r="TM39" s="1374"/>
      <c r="TN39" s="1372"/>
      <c r="TO39" s="1373"/>
      <c r="TP39" s="1374"/>
      <c r="TQ39" s="1372"/>
      <c r="TR39" s="1373"/>
      <c r="TS39" s="1374"/>
      <c r="TT39" s="1372"/>
      <c r="TU39" s="1373"/>
      <c r="TV39" s="1374"/>
      <c r="TW39" s="1372"/>
      <c r="TX39" s="1373"/>
      <c r="TY39" s="1374"/>
      <c r="TZ39" s="1372"/>
      <c r="UA39" s="1373"/>
      <c r="UB39" s="1374"/>
      <c r="UC39" s="1372"/>
      <c r="UD39" s="1373"/>
      <c r="UE39" s="1374"/>
      <c r="UF39" s="1372"/>
      <c r="UG39" s="1373"/>
      <c r="UH39" s="1374"/>
      <c r="UI39" s="1372"/>
      <c r="UJ39" s="1373"/>
      <c r="UK39" s="1374"/>
      <c r="UL39" s="1372"/>
      <c r="UM39" s="1373"/>
      <c r="UN39" s="1374"/>
      <c r="UO39" s="1372"/>
      <c r="UP39" s="1373"/>
      <c r="UQ39" s="1374"/>
      <c r="UR39" s="1372"/>
      <c r="US39" s="1373"/>
      <c r="UT39" s="1374"/>
      <c r="UU39" s="1372"/>
      <c r="UV39" s="1373"/>
      <c r="UW39" s="1374"/>
      <c r="UX39" s="1372"/>
      <c r="UY39" s="1373"/>
      <c r="UZ39" s="1374"/>
      <c r="VA39" s="1372"/>
      <c r="VB39" s="1373"/>
      <c r="VC39" s="1374"/>
      <c r="VD39" s="1372"/>
      <c r="VE39" s="1373"/>
      <c r="VF39" s="1374"/>
      <c r="VG39" s="1372"/>
      <c r="VH39" s="1373"/>
      <c r="VI39" s="1374"/>
      <c r="VJ39" s="1372"/>
      <c r="VK39" s="1373"/>
      <c r="VL39" s="1374"/>
      <c r="VM39" s="1372"/>
      <c r="VN39" s="1373"/>
      <c r="VO39" s="1374"/>
      <c r="VP39" s="1372"/>
      <c r="VQ39" s="1373"/>
      <c r="VR39" s="1374"/>
      <c r="VS39" s="1372"/>
      <c r="VT39" s="1373"/>
      <c r="VU39" s="1374"/>
      <c r="VV39" s="1372"/>
      <c r="VW39" s="1373"/>
      <c r="VX39" s="1374"/>
      <c r="VY39" s="1372"/>
      <c r="VZ39" s="1373"/>
      <c r="WA39" s="1374"/>
      <c r="WB39" s="1372"/>
      <c r="WC39" s="1373"/>
      <c r="WD39" s="1374"/>
      <c r="WE39" s="1372"/>
      <c r="WF39" s="1373"/>
      <c r="WG39" s="1374"/>
      <c r="WH39" s="1372"/>
      <c r="WI39" s="1373"/>
      <c r="WJ39" s="1374"/>
      <c r="WK39" s="1372"/>
      <c r="WL39" s="1373"/>
      <c r="WM39" s="1374"/>
      <c r="WN39" s="1372"/>
      <c r="WO39" s="1373"/>
      <c r="WP39" s="1374"/>
      <c r="WQ39" s="1372"/>
      <c r="WR39" s="1373"/>
      <c r="WS39" s="1374"/>
      <c r="WT39" s="1372"/>
      <c r="WU39" s="1373"/>
      <c r="WV39" s="1374"/>
      <c r="WW39" s="1372"/>
      <c r="WX39" s="1373"/>
      <c r="WY39" s="1374"/>
      <c r="WZ39" s="1372"/>
      <c r="XA39" s="1373"/>
      <c r="XB39" s="1374"/>
      <c r="XC39" s="1372"/>
      <c r="XD39" s="1373"/>
      <c r="XE39" s="1374"/>
      <c r="XF39" s="1372"/>
      <c r="XG39" s="1373"/>
      <c r="XH39" s="1374"/>
      <c r="XI39" s="1372"/>
      <c r="XJ39" s="1373"/>
      <c r="XK39" s="1374"/>
      <c r="XL39" s="1372"/>
      <c r="XM39" s="1373"/>
      <c r="XN39" s="1374"/>
      <c r="XO39" s="1372"/>
      <c r="XP39" s="1373"/>
      <c r="XQ39" s="1374"/>
      <c r="XR39" s="1372"/>
      <c r="XS39" s="1373"/>
      <c r="XT39" s="1374"/>
      <c r="XU39" s="1372"/>
      <c r="XV39" s="1373"/>
      <c r="XW39" s="1374"/>
      <c r="XX39" s="1372"/>
      <c r="XY39" s="1373"/>
      <c r="XZ39" s="1374"/>
      <c r="YA39" s="1372"/>
      <c r="YB39" s="1373"/>
      <c r="YC39" s="1374"/>
      <c r="YD39" s="1372"/>
      <c r="YE39" s="1373"/>
      <c r="YF39" s="1374"/>
      <c r="YG39" s="1372"/>
      <c r="YH39" s="1373"/>
      <c r="YI39" s="1374"/>
      <c r="YJ39" s="1372"/>
      <c r="YK39" s="1373"/>
      <c r="YL39" s="1374"/>
      <c r="YM39" s="1372"/>
      <c r="YN39" s="1373"/>
      <c r="YO39" s="1374"/>
      <c r="YP39" s="1372"/>
      <c r="YQ39" s="1373"/>
      <c r="YR39" s="1374"/>
      <c r="YS39" s="1372"/>
      <c r="YT39" s="1373"/>
      <c r="YU39" s="1374"/>
      <c r="YV39" s="1372"/>
      <c r="YW39" s="1373"/>
      <c r="YX39" s="1374"/>
      <c r="YY39" s="1372"/>
      <c r="YZ39" s="1373"/>
      <c r="ZA39" s="1374"/>
      <c r="ZB39" s="1372"/>
      <c r="ZC39" s="1373"/>
      <c r="ZD39" s="1374"/>
      <c r="ZE39" s="1372"/>
      <c r="ZF39" s="1373"/>
      <c r="ZG39" s="1374"/>
      <c r="ZH39" s="1372"/>
      <c r="ZI39" s="1373"/>
      <c r="ZJ39" s="1374"/>
      <c r="ZK39" s="1372"/>
      <c r="ZL39" s="1373"/>
      <c r="ZM39" s="1374"/>
      <c r="ZN39" s="1372"/>
      <c r="ZO39" s="1373"/>
      <c r="ZP39" s="1374"/>
      <c r="ZQ39" s="1372"/>
      <c r="ZR39" s="1373"/>
      <c r="ZS39" s="1374"/>
      <c r="ZT39" s="1372"/>
      <c r="ZU39" s="1373"/>
      <c r="ZV39" s="1374"/>
      <c r="ZW39" s="1372"/>
      <c r="ZX39" s="1373"/>
      <c r="ZY39" s="1374"/>
      <c r="ZZ39" s="1372"/>
      <c r="AAA39" s="1373"/>
      <c r="AAB39" s="1374"/>
      <c r="AAC39" s="1372"/>
      <c r="AAD39" s="1373"/>
      <c r="AAE39" s="1374"/>
      <c r="AAF39" s="1372"/>
      <c r="AAG39" s="1373"/>
      <c r="AAH39" s="1374"/>
      <c r="AAI39" s="1372"/>
      <c r="AAJ39" s="1373"/>
      <c r="AAK39" s="1374"/>
      <c r="AAL39" s="1372"/>
      <c r="AAM39" s="1373"/>
      <c r="AAN39" s="1374"/>
      <c r="AAO39" s="1372"/>
      <c r="AAP39" s="1373"/>
      <c r="AAQ39" s="1374"/>
      <c r="AAR39" s="1372"/>
      <c r="AAS39" s="1373"/>
      <c r="AAT39" s="1374"/>
      <c r="AAU39" s="1372"/>
      <c r="AAV39" s="1373"/>
      <c r="AAW39" s="1374"/>
      <c r="AAX39" s="1372"/>
      <c r="AAY39" s="1373"/>
      <c r="AAZ39" s="1374"/>
      <c r="ABA39" s="1372"/>
      <c r="ABB39" s="1373"/>
      <c r="ABC39" s="1374"/>
      <c r="ABD39" s="1372"/>
      <c r="ABE39" s="1373"/>
      <c r="ABF39" s="1374"/>
      <c r="ABG39" s="1372"/>
      <c r="ABH39" s="1373"/>
      <c r="ABI39" s="1374"/>
      <c r="ABJ39" s="1372"/>
      <c r="ABK39" s="1373"/>
      <c r="ABL39" s="1374"/>
      <c r="ABM39" s="1372"/>
      <c r="ABN39" s="1373"/>
      <c r="ABO39" s="1374"/>
      <c r="ABP39" s="1372"/>
      <c r="ABQ39" s="1373"/>
      <c r="ABR39" s="1374"/>
      <c r="ABS39" s="1372"/>
      <c r="ABT39" s="1373"/>
      <c r="ABU39" s="1374"/>
      <c r="ABV39" s="1372"/>
      <c r="ABW39" s="1373"/>
      <c r="ABX39" s="1374"/>
      <c r="ABY39" s="1372"/>
      <c r="ABZ39" s="1373"/>
      <c r="ACA39" s="1374"/>
      <c r="ACB39" s="1372"/>
      <c r="ACC39" s="1373"/>
      <c r="ACD39" s="1374"/>
      <c r="ACE39" s="1372"/>
      <c r="ACF39" s="1373"/>
      <c r="ACG39" s="1374"/>
      <c r="ACH39" s="1372"/>
      <c r="ACI39" s="1373"/>
      <c r="ACJ39" s="1374"/>
      <c r="ACK39" s="1372"/>
      <c r="ACL39" s="1373"/>
      <c r="ACM39" s="1374"/>
      <c r="ACN39" s="1372"/>
      <c r="ACO39" s="1373"/>
      <c r="ACP39" s="1374"/>
      <c r="ACQ39" s="1372"/>
      <c r="ACR39" s="1373"/>
      <c r="ACS39" s="1374"/>
      <c r="ACT39" s="1372"/>
      <c r="ACU39" s="1373"/>
      <c r="ACV39" s="1374"/>
      <c r="ACW39" s="1372"/>
      <c r="ACX39" s="1373"/>
      <c r="ACY39" s="1374"/>
      <c r="ACZ39" s="1372"/>
      <c r="ADA39" s="1373"/>
      <c r="ADB39" s="1374"/>
      <c r="ADC39" s="1372"/>
      <c r="ADD39" s="1373"/>
      <c r="ADE39" s="1374"/>
      <c r="ADF39" s="1372"/>
      <c r="ADG39" s="1373"/>
      <c r="ADH39" s="1374"/>
      <c r="ADI39" s="1372"/>
      <c r="ADJ39" s="1373"/>
      <c r="ADK39" s="1374"/>
      <c r="ADL39" s="1372"/>
      <c r="ADM39" s="1373"/>
      <c r="ADN39" s="1374"/>
      <c r="ADO39" s="1372"/>
      <c r="ADP39" s="1373"/>
      <c r="ADQ39" s="1374"/>
      <c r="ADR39" s="1372"/>
      <c r="ADS39" s="1373"/>
      <c r="ADT39" s="1374"/>
      <c r="ADU39" s="1372"/>
      <c r="ADV39" s="1373"/>
      <c r="ADW39" s="1374"/>
      <c r="ADX39" s="1372"/>
      <c r="ADY39" s="1373"/>
      <c r="ADZ39" s="1374"/>
      <c r="AEA39" s="1372"/>
      <c r="AEB39" s="1373"/>
      <c r="AEC39" s="1374"/>
      <c r="AED39" s="1372"/>
      <c r="AEE39" s="1373"/>
      <c r="AEF39" s="1374"/>
      <c r="AEG39" s="1372"/>
      <c r="AEH39" s="1373"/>
      <c r="AEI39" s="1374"/>
      <c r="AEJ39" s="1372"/>
      <c r="AEK39" s="1373"/>
      <c r="AEL39" s="1374"/>
      <c r="AEM39" s="1372"/>
      <c r="AEN39" s="1373"/>
      <c r="AEO39" s="1374"/>
      <c r="AEP39" s="1372"/>
      <c r="AEQ39" s="1373"/>
      <c r="AER39" s="1374"/>
      <c r="AES39" s="1313"/>
      <c r="AET39" s="1314"/>
      <c r="AEU39" s="1357"/>
      <c r="AEV39" s="1313">
        <v>0.49099999999999999</v>
      </c>
      <c r="AEW39" s="1314"/>
      <c r="AEX39" s="1357"/>
      <c r="AEY39" s="1313"/>
      <c r="AEZ39" s="1314"/>
      <c r="AFA39" s="1357"/>
      <c r="AFB39" s="1313">
        <v>0.53700000000000003</v>
      </c>
      <c r="AFC39" s="1314"/>
      <c r="AFD39" s="1357"/>
      <c r="AFE39" s="1313">
        <v>0.52800000000000002</v>
      </c>
      <c r="AFF39" s="1314"/>
      <c r="AFG39" s="1357"/>
      <c r="AFH39" s="1313">
        <v>0.53700000000000003</v>
      </c>
      <c r="AFI39" s="1314"/>
      <c r="AFJ39" s="1357"/>
      <c r="AFK39" s="1313">
        <v>0.56000000000000005</v>
      </c>
      <c r="AFL39" s="1314"/>
      <c r="AFM39" s="1357"/>
      <c r="AFN39" s="1313">
        <v>0.497</v>
      </c>
      <c r="AFO39" s="1314"/>
      <c r="AFP39" s="1357"/>
      <c r="AFQ39" s="1313">
        <v>0.20599999999999999</v>
      </c>
      <c r="AFR39" s="1314"/>
      <c r="AFS39" s="1357"/>
      <c r="AFT39" s="1313"/>
      <c r="AFU39" s="1314"/>
      <c r="AFV39" s="1357"/>
      <c r="AFW39" s="1313">
        <v>0.42</v>
      </c>
      <c r="AFX39" s="1314"/>
      <c r="AFY39" s="1357"/>
      <c r="AFZ39" s="1436">
        <v>0.4725830028328612</v>
      </c>
      <c r="AGA39" s="1437"/>
      <c r="AGB39" s="1438"/>
      <c r="AGC39" s="1313"/>
      <c r="AGD39" s="1314"/>
      <c r="AGE39" s="1357"/>
      <c r="AGF39" s="1313"/>
      <c r="AGG39" s="1314"/>
      <c r="AGH39" s="1357"/>
      <c r="AGI39" s="1313"/>
      <c r="AGJ39" s="1314"/>
      <c r="AGK39" s="1357"/>
      <c r="AGL39" s="1313"/>
      <c r="AGM39" s="1314"/>
      <c r="AGN39" s="1357"/>
      <c r="AGO39" s="1313"/>
      <c r="AGP39" s="1314"/>
      <c r="AGQ39" s="1357"/>
      <c r="AGR39" s="1313"/>
      <c r="AGS39" s="1314"/>
      <c r="AGT39" s="1357"/>
      <c r="AGU39" s="1313"/>
      <c r="AGV39" s="1314"/>
      <c r="AGW39" s="1357"/>
      <c r="AGX39" s="1313"/>
      <c r="AGY39" s="1314"/>
      <c r="AGZ39" s="1357"/>
      <c r="AHA39" s="1313"/>
      <c r="AHB39" s="1314"/>
      <c r="AHC39" s="1357"/>
      <c r="AHD39" s="1313"/>
      <c r="AHE39" s="1314"/>
      <c r="AHF39" s="1357"/>
      <c r="AHG39" s="1313"/>
      <c r="AHH39" s="1314"/>
      <c r="AHI39" s="1357"/>
      <c r="AHJ39" s="1313"/>
      <c r="AHK39" s="1314"/>
      <c r="AHL39" s="1357"/>
      <c r="AHM39" s="1313"/>
      <c r="AHN39" s="1314"/>
      <c r="AHO39" s="1357"/>
      <c r="AHP39" s="1313"/>
      <c r="AHQ39" s="1314"/>
      <c r="AHR39" s="1357"/>
      <c r="AHS39" s="1313"/>
      <c r="AHT39" s="1314"/>
      <c r="AHU39" s="1357"/>
      <c r="AHV39" s="1313"/>
      <c r="AHW39" s="1314"/>
      <c r="AHX39" s="1357"/>
      <c r="AHY39" s="1313"/>
      <c r="AHZ39" s="1314"/>
      <c r="AIA39" s="1357"/>
      <c r="AIB39" s="1313"/>
      <c r="AIC39" s="1314"/>
      <c r="AID39" s="1357"/>
      <c r="AIE39" s="1313" t="s">
        <v>20</v>
      </c>
      <c r="AIF39" s="1314"/>
      <c r="AIG39" s="1357"/>
      <c r="AIH39" s="1313"/>
      <c r="AII39" s="1314"/>
      <c r="AIJ39" s="1357"/>
      <c r="AIK39" s="1313"/>
      <c r="AIL39" s="1314"/>
      <c r="AIM39" s="1357"/>
      <c r="AIN39" s="1313"/>
      <c r="AIO39" s="1314"/>
      <c r="AIP39" s="1357"/>
      <c r="AIQ39" s="1313"/>
      <c r="AIR39" s="1314"/>
      <c r="AIS39" s="1314"/>
      <c r="AIT39" s="1313"/>
      <c r="AIU39" s="1314"/>
      <c r="AIV39" s="1357"/>
      <c r="AIW39" s="1313"/>
      <c r="AIX39" s="1314"/>
      <c r="AIY39" s="1314"/>
      <c r="AIZ39" s="1313"/>
      <c r="AJA39" s="1314"/>
      <c r="AJB39" s="1357"/>
      <c r="AJC39" s="1313"/>
      <c r="AJD39" s="1314"/>
      <c r="AJE39" s="1357"/>
      <c r="AJF39" s="1313"/>
      <c r="AJG39" s="1314"/>
      <c r="AJH39" s="1357"/>
      <c r="AJI39" s="1313"/>
      <c r="AJJ39" s="1314"/>
      <c r="AJK39" s="1357"/>
      <c r="AJL39" s="1313"/>
      <c r="AJM39" s="1314"/>
      <c r="AJN39" s="1314"/>
      <c r="AJO39" s="1313"/>
      <c r="AJP39" s="1314"/>
      <c r="AJQ39" s="1357"/>
      <c r="AJR39" s="1313"/>
      <c r="AJS39" s="1314"/>
      <c r="AJT39" s="1314"/>
      <c r="AJU39" s="1313"/>
      <c r="AJV39" s="1314"/>
      <c r="AJW39" s="1357"/>
      <c r="AJX39" s="1313"/>
      <c r="AJY39" s="1314"/>
      <c r="AJZ39" s="1357"/>
      <c r="AKA39" s="1313"/>
      <c r="AKB39" s="1314"/>
      <c r="AKC39" s="1357"/>
      <c r="AKD39" s="1313"/>
      <c r="AKE39" s="1314"/>
      <c r="AKF39" s="1357"/>
      <c r="AKG39" s="1313"/>
      <c r="AKH39" s="1314"/>
      <c r="AKI39" s="1314"/>
      <c r="AKJ39" s="1313"/>
      <c r="AKK39" s="1314"/>
      <c r="AKL39" s="1357"/>
      <c r="AKM39" s="1313"/>
      <c r="AKN39" s="1314"/>
      <c r="AKO39" s="1314"/>
      <c r="AKP39" s="1313"/>
      <c r="AKQ39" s="1314"/>
      <c r="AKR39" s="1357"/>
      <c r="AKS39" s="1313"/>
      <c r="AKT39" s="1314"/>
      <c r="AKU39" s="1357"/>
      <c r="AKV39" s="1313"/>
      <c r="AKW39" s="1314"/>
      <c r="AKX39" s="1357"/>
      <c r="AKY39" s="1313"/>
      <c r="AKZ39" s="1314"/>
      <c r="ALA39" s="1357"/>
      <c r="ALB39" s="1313"/>
      <c r="ALC39" s="1314"/>
      <c r="ALD39" s="1314"/>
      <c r="ALE39" s="1313"/>
      <c r="ALF39" s="1314"/>
      <c r="ALG39" s="1357"/>
      <c r="ALH39" s="1313"/>
      <c r="ALI39" s="1314"/>
      <c r="ALJ39" s="1314"/>
      <c r="ALK39" s="1313"/>
      <c r="ALL39" s="1314"/>
      <c r="ALM39" s="1357"/>
      <c r="ALN39" s="1313"/>
      <c r="ALO39" s="1314"/>
      <c r="ALP39" s="1357"/>
      <c r="ALQ39" s="1313"/>
      <c r="ALR39" s="1314"/>
      <c r="ALS39" s="1357"/>
      <c r="ALT39" s="1313"/>
      <c r="ALU39" s="1314"/>
      <c r="ALV39" s="1357"/>
      <c r="ALW39" s="1313">
        <v>0.72</v>
      </c>
      <c r="ALX39" s="1314"/>
      <c r="ALY39" s="1314"/>
      <c r="ALZ39" s="1313"/>
      <c r="AMA39" s="1314"/>
      <c r="AMB39" s="1357"/>
      <c r="AMC39" s="1313">
        <v>0.72</v>
      </c>
      <c r="AMD39" s="1314"/>
      <c r="AME39" s="1314"/>
      <c r="AMF39" s="1313"/>
      <c r="AMG39" s="1314"/>
      <c r="AMH39" s="1357"/>
      <c r="AMI39" s="1313">
        <v>0.78</v>
      </c>
      <c r="AMJ39" s="1314"/>
      <c r="AMK39" s="1357"/>
      <c r="AML39" s="1313">
        <v>0.85</v>
      </c>
      <c r="AMM39" s="1314"/>
      <c r="AMN39" s="1357"/>
      <c r="AMO39" s="1313">
        <v>0.88</v>
      </c>
      <c r="AMP39" s="1314"/>
      <c r="AMQ39" s="1357"/>
      <c r="AMR39" s="1313">
        <v>0.81</v>
      </c>
      <c r="AMS39" s="1314"/>
      <c r="AMT39" s="1314"/>
      <c r="AMU39" s="1313">
        <v>0.78</v>
      </c>
      <c r="AMV39" s="1314"/>
      <c r="AMW39" s="1357"/>
      <c r="AMX39" s="1313">
        <v>0.79</v>
      </c>
      <c r="AMY39" s="1314"/>
      <c r="AMZ39" s="1314"/>
      <c r="ANA39" s="1313"/>
      <c r="ANB39" s="1314"/>
      <c r="ANC39" s="1357"/>
      <c r="AND39" s="1313">
        <v>0.78</v>
      </c>
      <c r="ANE39" s="1314"/>
      <c r="ANF39" s="1357"/>
      <c r="ANG39" s="1313">
        <v>0.79</v>
      </c>
      <c r="ANH39" s="1314"/>
      <c r="ANI39" s="1357"/>
      <c r="ANJ39" s="1313">
        <v>0.84</v>
      </c>
      <c r="ANK39" s="1314"/>
      <c r="ANL39" s="1357"/>
      <c r="ANM39" s="1313">
        <v>0.79</v>
      </c>
      <c r="ANN39" s="1314"/>
      <c r="ANO39" s="1314"/>
      <c r="ANP39" s="1313">
        <v>0.68</v>
      </c>
      <c r="ANQ39" s="1314"/>
      <c r="ANR39" s="1357"/>
      <c r="ANS39" s="1313">
        <v>0.75</v>
      </c>
      <c r="ANT39" s="1314"/>
      <c r="ANU39" s="1314"/>
      <c r="ANV39" s="1313"/>
      <c r="ANW39" s="1314"/>
      <c r="ANX39" s="1357"/>
      <c r="ANY39" s="1313">
        <v>0.8</v>
      </c>
      <c r="ANZ39" s="1314"/>
      <c r="AOA39" s="1357"/>
      <c r="AOB39" s="1313">
        <v>0.79</v>
      </c>
      <c r="AOC39" s="1314"/>
      <c r="AOD39" s="1357"/>
      <c r="AOE39" s="1313">
        <v>0.81</v>
      </c>
      <c r="AOF39" s="1314"/>
      <c r="AOG39" s="1357"/>
      <c r="AOH39" s="1313">
        <v>0.77</v>
      </c>
      <c r="AOI39" s="1314"/>
      <c r="AOJ39" s="1314"/>
      <c r="AOK39" s="1313">
        <v>0.7</v>
      </c>
      <c r="AOL39" s="1314"/>
      <c r="AOM39" s="1357"/>
      <c r="AON39" s="1313">
        <v>0.79</v>
      </c>
      <c r="AOO39" s="1314"/>
      <c r="AOP39" s="1314"/>
      <c r="AOQ39" s="1313"/>
      <c r="AOR39" s="1314"/>
      <c r="AOS39" s="1357"/>
      <c r="AOT39" s="1313">
        <v>0.77</v>
      </c>
      <c r="AOU39" s="1314"/>
      <c r="AOV39" s="1357"/>
      <c r="AOW39" s="1313">
        <v>0.79</v>
      </c>
      <c r="AOX39" s="1314"/>
      <c r="AOY39" s="1357"/>
      <c r="AOZ39" s="1313">
        <v>0.78</v>
      </c>
      <c r="APA39" s="1314"/>
      <c r="APB39" s="1357"/>
      <c r="APC39" s="1313">
        <v>0.87</v>
      </c>
      <c r="APD39" s="1314"/>
      <c r="APE39" s="1314"/>
      <c r="APF39" s="1313">
        <v>0.78</v>
      </c>
      <c r="APG39" s="1314"/>
      <c r="APH39" s="1357"/>
      <c r="API39" s="1313">
        <v>0.84</v>
      </c>
      <c r="APJ39" s="1314"/>
      <c r="APK39" s="1314"/>
      <c r="APL39" s="1313"/>
      <c r="APM39" s="1314"/>
      <c r="APN39" s="1357"/>
      <c r="APO39" s="1313">
        <v>0.85</v>
      </c>
      <c r="APP39" s="1314"/>
      <c r="APQ39" s="1357"/>
      <c r="APR39" s="1313">
        <v>0.81</v>
      </c>
      <c r="APS39" s="1314"/>
      <c r="APT39" s="1357"/>
      <c r="APU39" s="1313">
        <v>0.76</v>
      </c>
      <c r="APV39" s="1314"/>
      <c r="APW39" s="1357"/>
      <c r="APX39" s="1313"/>
      <c r="APY39" s="1314"/>
      <c r="APZ39" s="1314"/>
      <c r="AQA39" s="1313"/>
      <c r="AQB39" s="1314"/>
      <c r="AQC39" s="1357"/>
      <c r="AQD39" s="1313"/>
      <c r="AQE39" s="1314"/>
      <c r="AQF39" s="1357"/>
      <c r="AQG39" s="1313"/>
      <c r="AQH39" s="1314"/>
      <c r="AQI39" s="1357"/>
      <c r="AQJ39" s="1313"/>
      <c r="AQK39" s="1314"/>
      <c r="AQL39" s="1357"/>
      <c r="AQM39" s="1313"/>
      <c r="AQN39" s="1314"/>
      <c r="AQO39" s="1357"/>
      <c r="AQP39" s="1313"/>
      <c r="AQQ39" s="1314"/>
      <c r="AQR39" s="1314"/>
      <c r="AQS39" s="1313"/>
      <c r="AQT39" s="1314"/>
      <c r="AQU39" s="1357"/>
      <c r="AQV39" s="1314"/>
      <c r="AQW39" s="1314"/>
      <c r="AQX39" s="1357"/>
      <c r="AQY39" s="1313"/>
      <c r="AQZ39" s="1314"/>
      <c r="ARA39" s="1357"/>
      <c r="ARB39" s="1313"/>
      <c r="ARC39" s="1314"/>
      <c r="ARD39" s="1357"/>
      <c r="ARE39" s="1313"/>
      <c r="ARF39" s="1314"/>
      <c r="ARG39" s="1357"/>
      <c r="ARH39" s="1313"/>
      <c r="ARI39" s="1314"/>
      <c r="ARJ39" s="1357"/>
      <c r="ARK39" s="1314"/>
      <c r="ARL39" s="1314"/>
      <c r="ARM39" s="1357"/>
      <c r="ARN39" s="1313"/>
      <c r="ARO39" s="1314"/>
      <c r="ARP39" s="1357"/>
      <c r="ARQ39" s="1314"/>
      <c r="ARR39" s="1314"/>
      <c r="ARS39" s="1357"/>
      <c r="ART39" s="1314"/>
      <c r="ARU39" s="1314"/>
      <c r="ARV39" s="1357"/>
      <c r="ARW39" s="1314"/>
      <c r="ARX39" s="1314"/>
      <c r="ARY39" s="1357"/>
      <c r="ARZ39" s="1313"/>
      <c r="ASA39" s="1314"/>
      <c r="ASB39" s="1357"/>
      <c r="ASC39" s="1313"/>
      <c r="ASD39" s="1314"/>
      <c r="ASE39" s="1314"/>
      <c r="ASF39" s="1313"/>
      <c r="ASG39" s="1314"/>
      <c r="ASH39" s="1357"/>
      <c r="ASI39" s="1313"/>
      <c r="ASJ39" s="1314"/>
      <c r="ASK39" s="1314"/>
      <c r="ASL39" s="1313"/>
      <c r="ASM39" s="1314"/>
      <c r="ASN39" s="1357"/>
      <c r="ASO39" s="1313"/>
      <c r="ASP39" s="1314"/>
      <c r="ASQ39" s="1314"/>
      <c r="ASR39" s="1313"/>
      <c r="ASS39" s="1314"/>
      <c r="AST39" s="1357"/>
      <c r="ASU39" s="1313"/>
      <c r="ASV39" s="1314"/>
      <c r="ASW39" s="1357"/>
      <c r="ASX39" s="1313"/>
      <c r="ASY39" s="1314"/>
      <c r="ASZ39" s="1314"/>
      <c r="ATA39" s="1313"/>
      <c r="ATB39" s="1314"/>
      <c r="ATC39" s="1357"/>
      <c r="ATD39" s="1313"/>
      <c r="ATE39" s="1314"/>
      <c r="ATF39" s="1314"/>
      <c r="ATG39" s="1313"/>
      <c r="ATH39" s="1314"/>
      <c r="ATI39" s="1357"/>
      <c r="ATJ39" s="1313"/>
      <c r="ATK39" s="1314"/>
      <c r="ATL39" s="1357"/>
      <c r="ATM39" s="1313"/>
      <c r="ATN39" s="1314"/>
      <c r="ATO39" s="1357"/>
      <c r="ATP39" s="1313"/>
      <c r="ATQ39" s="1314"/>
      <c r="ATR39" s="1357"/>
      <c r="ATS39" s="1313"/>
      <c r="ATT39" s="1314"/>
      <c r="ATU39" s="1357"/>
      <c r="ATV39" s="1314"/>
      <c r="ATW39" s="1314"/>
      <c r="ATX39" s="1357"/>
      <c r="ATY39" s="1313"/>
      <c r="ATZ39" s="1314"/>
      <c r="AUA39" s="1314"/>
      <c r="AUB39" s="1313"/>
      <c r="AUC39" s="1314"/>
      <c r="AUD39" s="1357"/>
      <c r="AUE39" s="1313"/>
      <c r="AUF39" s="1314"/>
      <c r="AUG39" s="1357"/>
      <c r="AUH39" s="1313"/>
      <c r="AUI39" s="1314"/>
      <c r="AUJ39" s="1357"/>
      <c r="AUK39" s="1313"/>
      <c r="AUL39" s="1314"/>
      <c r="AUM39" s="1314"/>
      <c r="AUN39" s="1313"/>
      <c r="AUO39" s="1314"/>
      <c r="AUP39" s="1314"/>
      <c r="AUQ39" s="1313"/>
      <c r="AUR39" s="1314"/>
      <c r="AUS39" s="1314"/>
      <c r="AUT39" s="1313"/>
      <c r="AUU39" s="1314"/>
      <c r="AUV39" s="1314"/>
      <c r="AUW39" s="1313"/>
      <c r="AUX39" s="1314"/>
      <c r="AUY39" s="1314"/>
      <c r="AUZ39" s="1313"/>
      <c r="AVA39" s="1314"/>
      <c r="AVB39" s="1314"/>
      <c r="AVC39" s="1313"/>
      <c r="AVD39" s="1314"/>
      <c r="AVE39" s="1314"/>
      <c r="AVF39" s="1313"/>
      <c r="AVG39" s="1314"/>
      <c r="AVH39" s="1314"/>
      <c r="AVI39" s="1313"/>
      <c r="AVJ39" s="1314"/>
      <c r="AVK39" s="1314"/>
      <c r="AVL39" s="1313"/>
      <c r="AVM39" s="1314"/>
      <c r="AVN39" s="1314"/>
      <c r="AVO39" s="1313"/>
      <c r="AVP39" s="1314"/>
      <c r="AVQ39" s="1314"/>
      <c r="AVR39" s="1313"/>
      <c r="AVS39" s="1314"/>
      <c r="AVT39" s="1314"/>
      <c r="AVU39" s="1313"/>
      <c r="AVV39" s="1314"/>
      <c r="AVW39" s="1314"/>
      <c r="AVX39" s="1313"/>
      <c r="AVY39" s="1314"/>
      <c r="AVZ39" s="1314"/>
      <c r="AWA39" s="1313"/>
      <c r="AWB39" s="1314"/>
      <c r="AWC39" s="1314"/>
      <c r="AWD39" s="1313"/>
      <c r="AWE39" s="1314"/>
      <c r="AWF39" s="1314"/>
      <c r="AWG39" s="1313"/>
      <c r="AWH39" s="1314"/>
      <c r="AWI39" s="1314"/>
      <c r="AWJ39" s="1313"/>
      <c r="AWK39" s="1314"/>
      <c r="AWL39" s="1314"/>
      <c r="AWM39" s="1313"/>
      <c r="AWN39" s="1314"/>
      <c r="AWO39" s="1357"/>
      <c r="AWP39" s="1314"/>
      <c r="AWQ39" s="1314"/>
      <c r="AWR39" s="1357"/>
      <c r="AWS39" s="1313"/>
      <c r="AWT39" s="1314"/>
      <c r="AWU39" s="1357"/>
      <c r="AWV39" s="1313"/>
      <c r="AWW39" s="1314"/>
      <c r="AWX39" s="1357"/>
      <c r="AWY39" s="1313"/>
      <c r="AWZ39" s="1314"/>
      <c r="AXA39" s="1314"/>
      <c r="AXB39" s="1313"/>
      <c r="AXC39" s="1314"/>
      <c r="AXD39" s="1357"/>
      <c r="AXE39" s="1313"/>
      <c r="AXF39" s="1314"/>
      <c r="AXG39" s="1314"/>
      <c r="AXH39" s="1313"/>
      <c r="AXI39" s="1314"/>
      <c r="AXJ39" s="1357"/>
      <c r="AXK39" s="1313"/>
      <c r="AXL39" s="1314"/>
      <c r="AXM39" s="1357"/>
      <c r="AXN39" s="1313"/>
      <c r="AXO39" s="1314"/>
      <c r="AXP39" s="1357"/>
      <c r="AXQ39" s="1313"/>
      <c r="AXR39" s="1314"/>
      <c r="AXS39" s="1357"/>
      <c r="AXT39" s="1313"/>
      <c r="AXU39" s="1314"/>
      <c r="AXV39" s="1314"/>
      <c r="AXW39" s="1313"/>
      <c r="AXX39" s="1314"/>
      <c r="AXY39" s="1357"/>
      <c r="AXZ39" s="1313"/>
      <c r="AYA39" s="1314"/>
      <c r="AYB39" s="1314"/>
      <c r="AYC39" s="1313"/>
      <c r="AYD39" s="1314"/>
      <c r="AYE39" s="1357"/>
      <c r="AYF39" s="1313"/>
      <c r="AYG39" s="1314"/>
      <c r="AYH39" s="1357"/>
      <c r="AYI39" s="1313"/>
      <c r="AYJ39" s="1314"/>
      <c r="AYK39" s="1357"/>
      <c r="AYL39" s="1313"/>
      <c r="AYM39" s="1314"/>
      <c r="AYN39" s="1357"/>
      <c r="AYO39" s="1313"/>
      <c r="AYP39" s="1314"/>
      <c r="AYQ39" s="1314"/>
      <c r="AYR39" s="1313"/>
      <c r="AYS39" s="1314"/>
      <c r="AYT39" s="1357"/>
      <c r="AYU39" s="1313"/>
      <c r="AYV39" s="1314"/>
      <c r="AYW39" s="1314"/>
      <c r="AYX39" s="1313"/>
      <c r="AYY39" s="1314"/>
      <c r="AYZ39" s="1357"/>
      <c r="AZA39" s="1313"/>
      <c r="AZB39" s="1314"/>
      <c r="AZC39" s="1357"/>
      <c r="AZD39" s="1313"/>
      <c r="AZE39" s="1314"/>
      <c r="AZF39" s="1357"/>
      <c r="AZG39" s="1313"/>
      <c r="AZH39" s="1314"/>
      <c r="AZI39" s="1357"/>
      <c r="AZJ39" s="1313"/>
      <c r="AZK39" s="1314"/>
      <c r="AZL39" s="1314"/>
      <c r="AZM39" s="1313"/>
      <c r="AZN39" s="1314"/>
      <c r="AZO39" s="1357"/>
      <c r="AZP39" s="1313"/>
      <c r="AZQ39" s="1314"/>
      <c r="AZR39" s="1314"/>
      <c r="AZS39" s="1313"/>
      <c r="AZT39" s="1314"/>
      <c r="AZU39" s="1357"/>
      <c r="AZV39" s="1313"/>
      <c r="AZW39" s="1314"/>
      <c r="AZX39" s="1357"/>
      <c r="AZY39" s="1313"/>
      <c r="AZZ39" s="1314"/>
      <c r="BAA39" s="1357"/>
      <c r="BAB39" s="1313"/>
      <c r="BAC39" s="1314"/>
      <c r="BAD39" s="1357"/>
      <c r="BAE39" s="1313"/>
      <c r="BAF39" s="1314"/>
      <c r="BAG39" s="1314"/>
      <c r="BAH39" s="1313"/>
      <c r="BAI39" s="1314"/>
      <c r="BAJ39" s="1357"/>
      <c r="BAK39" s="382"/>
      <c r="BAL39" s="382"/>
      <c r="BAM39" s="382"/>
      <c r="BAN39" s="382"/>
      <c r="BAO39" s="382"/>
      <c r="BAP39" s="382"/>
      <c r="BAQ39" s="382"/>
      <c r="BAR39" s="382"/>
      <c r="BAS39" s="382"/>
      <c r="BAT39" s="382"/>
      <c r="BAU39" s="382"/>
    </row>
    <row r="40" spans="1:1399" s="17" customFormat="1" ht="15" customHeight="1">
      <c r="A40"/>
      <c r="B40" s="6" t="s">
        <v>365</v>
      </c>
      <c r="C40" s="1196"/>
      <c r="D40" s="1196"/>
      <c r="E40" s="12"/>
      <c r="F40" s="1288"/>
      <c r="G40" s="1288"/>
      <c r="H40" s="1289"/>
      <c r="I40" s="1288"/>
      <c r="J40" s="1288"/>
      <c r="K40" s="1289"/>
      <c r="L40" s="1288"/>
      <c r="M40" s="1288"/>
      <c r="N40" s="1289"/>
      <c r="O40" s="1288"/>
      <c r="P40" s="1288"/>
      <c r="Q40" s="1289"/>
      <c r="R40" s="1288"/>
      <c r="S40" s="1288"/>
      <c r="T40" s="1289"/>
      <c r="U40" s="1288"/>
      <c r="V40" s="1288"/>
      <c r="W40" s="1289"/>
      <c r="X40" s="1288"/>
      <c r="Y40" s="1288"/>
      <c r="Z40" s="1289"/>
      <c r="AA40" s="1288"/>
      <c r="AB40" s="1288"/>
      <c r="AC40" s="1289"/>
      <c r="AD40" s="1288"/>
      <c r="AE40" s="1288"/>
      <c r="AF40" s="1289"/>
      <c r="AG40" s="1288"/>
      <c r="AH40" s="1288"/>
      <c r="AI40" s="1289"/>
      <c r="AJ40" s="1288"/>
      <c r="AK40" s="1288"/>
      <c r="AL40" s="1289"/>
      <c r="AM40" s="1288"/>
      <c r="AN40" s="1288"/>
      <c r="AO40" s="1289"/>
      <c r="AP40" s="1288"/>
      <c r="AQ40" s="1288"/>
      <c r="AR40" s="1289"/>
      <c r="AS40" s="1288"/>
      <c r="AT40" s="1288"/>
      <c r="AU40" s="1289"/>
      <c r="AV40" s="1288"/>
      <c r="AW40" s="1288"/>
      <c r="AX40" s="1289"/>
      <c r="AY40" s="1288"/>
      <c r="AZ40" s="1288"/>
      <c r="BA40" s="1289"/>
      <c r="BB40" s="1288"/>
      <c r="BC40" s="1288"/>
      <c r="BD40" s="1289"/>
      <c r="BE40" s="1288"/>
      <c r="BF40" s="1288"/>
      <c r="BG40" s="1289"/>
      <c r="BH40" s="1288"/>
      <c r="BI40" s="1288"/>
      <c r="BJ40" s="1289"/>
      <c r="BK40" s="1288"/>
      <c r="BL40" s="1288"/>
      <c r="BM40" s="1289"/>
      <c r="BN40" s="1288"/>
      <c r="BO40" s="1288"/>
      <c r="BP40" s="1289"/>
      <c r="BQ40" s="1288"/>
      <c r="BR40" s="1288"/>
      <c r="BS40" s="1289"/>
      <c r="BT40" s="1288"/>
      <c r="BU40" s="1288"/>
      <c r="BV40" s="1289"/>
      <c r="BW40" s="1288"/>
      <c r="BX40" s="1288"/>
      <c r="BY40" s="1289"/>
      <c r="BZ40" s="1288"/>
      <c r="CA40" s="1288"/>
      <c r="CB40" s="1289"/>
      <c r="CC40" s="1288"/>
      <c r="CD40" s="1288"/>
      <c r="CE40" s="1289"/>
      <c r="CF40" s="1288"/>
      <c r="CG40" s="1288"/>
      <c r="CH40" s="1289"/>
      <c r="CI40" s="1288"/>
      <c r="CJ40" s="1288"/>
      <c r="CK40" s="1289"/>
      <c r="CL40" s="1288"/>
      <c r="CM40" s="1288"/>
      <c r="CN40" s="1289"/>
      <c r="CO40" s="1288"/>
      <c r="CP40" s="1288"/>
      <c r="CQ40" s="1289"/>
      <c r="CR40" s="1288"/>
      <c r="CS40" s="1288"/>
      <c r="CT40" s="1289"/>
      <c r="CU40" s="1288"/>
      <c r="CV40" s="1288"/>
      <c r="CW40" s="1289"/>
      <c r="CX40" s="1288"/>
      <c r="CY40" s="1288"/>
      <c r="CZ40" s="1289"/>
      <c r="DA40" s="1288"/>
      <c r="DB40" s="1288"/>
      <c r="DC40" s="1289"/>
      <c r="DD40" s="1288"/>
      <c r="DE40" s="1288"/>
      <c r="DF40" s="1289"/>
      <c r="DG40" s="1288"/>
      <c r="DH40" s="1288"/>
      <c r="DI40" s="1289"/>
      <c r="DJ40" s="1288"/>
      <c r="DK40" s="1288"/>
      <c r="DL40" s="1289"/>
      <c r="DM40" s="1288"/>
      <c r="DN40" s="1288"/>
      <c r="DO40" s="1289"/>
      <c r="DP40" s="1288"/>
      <c r="DQ40" s="1288"/>
      <c r="DR40" s="1289"/>
      <c r="DS40" s="1288"/>
      <c r="DT40" s="1288"/>
      <c r="DU40" s="1289"/>
      <c r="DV40" s="1288"/>
      <c r="DW40" s="1288"/>
      <c r="DX40" s="1289"/>
      <c r="DY40" s="1288"/>
      <c r="DZ40" s="1288"/>
      <c r="EA40" s="1289"/>
      <c r="EB40" s="1288"/>
      <c r="EC40" s="1288"/>
      <c r="ED40" s="1289"/>
      <c r="EE40" s="1288"/>
      <c r="EF40" s="1288"/>
      <c r="EG40" s="1289"/>
      <c r="EH40" s="1288"/>
      <c r="EI40" s="1288"/>
      <c r="EJ40" s="1289"/>
      <c r="EK40" s="1288"/>
      <c r="EL40" s="1288"/>
      <c r="EM40" s="1289"/>
      <c r="EN40" s="1288"/>
      <c r="EO40" s="1288"/>
      <c r="EP40" s="1289"/>
      <c r="EQ40" s="1288"/>
      <c r="ER40" s="1288"/>
      <c r="ES40" s="1289"/>
      <c r="ET40" s="1288"/>
      <c r="EU40" s="1288"/>
      <c r="EV40" s="1289"/>
      <c r="EW40" s="1288" t="s">
        <v>271</v>
      </c>
      <c r="EX40" s="1288"/>
      <c r="EY40" s="1289"/>
      <c r="EZ40" s="1288"/>
      <c r="FA40" s="1288"/>
      <c r="FB40" s="1289"/>
      <c r="FC40" s="1288"/>
      <c r="FD40" s="1288"/>
      <c r="FE40" s="1289"/>
      <c r="FF40" s="1288"/>
      <c r="FG40" s="1288"/>
      <c r="FH40" s="1289"/>
      <c r="FI40" s="1288"/>
      <c r="FJ40" s="1288"/>
      <c r="FK40" s="1289"/>
      <c r="FL40" s="1288"/>
      <c r="FM40" s="1288"/>
      <c r="FN40" s="1289"/>
      <c r="FO40" s="1288"/>
      <c r="FP40" s="1288"/>
      <c r="FQ40" s="1289"/>
      <c r="FR40" s="1288"/>
      <c r="FS40" s="1288"/>
      <c r="FT40" s="1289"/>
      <c r="FU40" s="1288"/>
      <c r="FV40" s="1288"/>
      <c r="FW40" s="1289"/>
      <c r="FX40" s="1288"/>
      <c r="FY40" s="1288"/>
      <c r="FZ40" s="1289"/>
      <c r="GA40" s="1288"/>
      <c r="GB40" s="1288"/>
      <c r="GC40" s="1289"/>
      <c r="GD40" s="1288"/>
      <c r="GE40" s="1288"/>
      <c r="GF40" s="1289"/>
      <c r="GG40" s="1288"/>
      <c r="GH40" s="1288"/>
      <c r="GI40" s="1289"/>
      <c r="GJ40" s="1288"/>
      <c r="GK40" s="1288"/>
      <c r="GL40" s="1289"/>
      <c r="GM40" s="1288"/>
      <c r="GN40" s="1288"/>
      <c r="GO40" s="1289"/>
      <c r="GP40" s="1288"/>
      <c r="GQ40" s="1288"/>
      <c r="GR40" s="1289"/>
      <c r="GS40" s="1288"/>
      <c r="GT40" s="1288"/>
      <c r="GU40" s="1289"/>
      <c r="GV40" s="1288"/>
      <c r="GW40" s="1288"/>
      <c r="GX40" s="1289"/>
      <c r="GY40" s="1288"/>
      <c r="GZ40" s="1288"/>
      <c r="HA40" s="1289"/>
      <c r="HB40" s="1288"/>
      <c r="HC40" s="1288"/>
      <c r="HD40" s="1289"/>
      <c r="HE40" s="1288"/>
      <c r="HF40" s="1288"/>
      <c r="HG40" s="1289"/>
      <c r="HH40" s="1288"/>
      <c r="HI40" s="1288"/>
      <c r="HJ40" s="1289"/>
      <c r="HK40" s="1288"/>
      <c r="HL40" s="1288"/>
      <c r="HM40" s="1289"/>
      <c r="HN40" s="1288"/>
      <c r="HO40" s="1288"/>
      <c r="HP40" s="1289"/>
      <c r="HQ40" s="1288"/>
      <c r="HR40" s="1288"/>
      <c r="HS40" s="1289"/>
      <c r="HT40" s="1288"/>
      <c r="HU40" s="1288"/>
      <c r="HV40" s="1289"/>
      <c r="HW40" s="1288"/>
      <c r="HX40" s="1288"/>
      <c r="HY40" s="1289"/>
      <c r="HZ40" s="1288"/>
      <c r="IA40" s="1288"/>
      <c r="IB40" s="1289"/>
      <c r="IC40" s="1288"/>
      <c r="ID40" s="1288"/>
      <c r="IE40" s="1289"/>
      <c r="IF40" s="1288"/>
      <c r="IG40" s="1288"/>
      <c r="IH40" s="1289"/>
      <c r="II40" s="1288"/>
      <c r="IJ40" s="1288"/>
      <c r="IK40" s="1289"/>
      <c r="IL40" s="1288"/>
      <c r="IM40" s="1288"/>
      <c r="IN40" s="1289"/>
      <c r="IO40" s="1288"/>
      <c r="IP40" s="1288"/>
      <c r="IQ40" s="1289"/>
      <c r="IR40" s="1288"/>
      <c r="IS40" s="1288"/>
      <c r="IT40" s="1289"/>
      <c r="IU40" s="1288"/>
      <c r="IV40" s="1288"/>
      <c r="IW40" s="1289"/>
      <c r="IX40" s="1288"/>
      <c r="IY40" s="1288"/>
      <c r="IZ40" s="1289"/>
      <c r="JA40" s="1288"/>
      <c r="JB40" s="1288"/>
      <c r="JC40" s="1289"/>
      <c r="JD40" s="1288"/>
      <c r="JE40" s="1288"/>
      <c r="JF40" s="1289"/>
      <c r="JG40" s="1288"/>
      <c r="JH40" s="1288"/>
      <c r="JI40" s="1289"/>
      <c r="JJ40" s="1288"/>
      <c r="JK40" s="1288"/>
      <c r="JL40" s="1289"/>
      <c r="JM40" s="1288"/>
      <c r="JN40" s="1288"/>
      <c r="JO40" s="1289"/>
      <c r="JP40" s="1288"/>
      <c r="JQ40" s="1288"/>
      <c r="JR40" s="1289"/>
      <c r="JS40" s="1288"/>
      <c r="JT40" s="1288"/>
      <c r="JU40" s="1289"/>
      <c r="JV40" s="1288"/>
      <c r="JW40" s="1288"/>
      <c r="JX40" s="1289"/>
      <c r="JY40" s="1288"/>
      <c r="JZ40" s="1288"/>
      <c r="KA40" s="1289"/>
      <c r="KB40" s="1288"/>
      <c r="KC40" s="1288"/>
      <c r="KD40" s="1289"/>
      <c r="KE40" s="1288"/>
      <c r="KF40" s="1288"/>
      <c r="KG40" s="1289"/>
      <c r="KH40" s="1288"/>
      <c r="KI40" s="1288"/>
      <c r="KJ40" s="1289"/>
      <c r="KK40" s="1288"/>
      <c r="KL40" s="1288"/>
      <c r="KM40" s="1289"/>
      <c r="KN40" s="1288"/>
      <c r="KO40" s="1288"/>
      <c r="KP40" s="1289"/>
      <c r="KQ40" s="1288"/>
      <c r="KR40" s="1288"/>
      <c r="KS40" s="1289"/>
      <c r="KT40" s="1288"/>
      <c r="KU40" s="1288"/>
      <c r="KV40" s="1289"/>
      <c r="KW40" s="1288"/>
      <c r="KX40" s="1288"/>
      <c r="KY40" s="1289"/>
      <c r="KZ40" s="1288"/>
      <c r="LA40" s="1288"/>
      <c r="LB40" s="1289"/>
      <c r="LC40" s="1288"/>
      <c r="LD40" s="1288"/>
      <c r="LE40" s="1289"/>
      <c r="LF40" s="1288"/>
      <c r="LG40" s="1288"/>
      <c r="LH40" s="1289"/>
      <c r="LI40" s="1288"/>
      <c r="LJ40" s="1288"/>
      <c r="LK40" s="1289"/>
      <c r="LL40" s="1288"/>
      <c r="LM40" s="1288"/>
      <c r="LN40" s="1289"/>
      <c r="LO40" s="1288"/>
      <c r="LP40" s="1288"/>
      <c r="LQ40" s="1289"/>
      <c r="LR40" s="1288"/>
      <c r="LS40" s="1288"/>
      <c r="LT40" s="1289"/>
      <c r="LU40" s="1288"/>
      <c r="LV40" s="1288"/>
      <c r="LW40" s="1289"/>
      <c r="LX40" s="1288"/>
      <c r="LY40" s="1288"/>
      <c r="LZ40" s="1289"/>
      <c r="MA40" s="1288"/>
      <c r="MB40" s="1288"/>
      <c r="MC40" s="1289"/>
      <c r="MD40" s="1288"/>
      <c r="ME40" s="1288"/>
      <c r="MF40" s="1289"/>
      <c r="MG40" s="1288"/>
      <c r="MH40" s="1288"/>
      <c r="MI40" s="1289"/>
      <c r="MJ40" s="1288"/>
      <c r="MK40" s="1288"/>
      <c r="ML40" s="1289"/>
      <c r="MM40" s="1288"/>
      <c r="MN40" s="1288"/>
      <c r="MO40" s="1289"/>
      <c r="MP40" s="1288"/>
      <c r="MQ40" s="1288"/>
      <c r="MR40" s="1289"/>
      <c r="MS40" s="1288"/>
      <c r="MT40" s="1288"/>
      <c r="MU40" s="1289"/>
      <c r="MV40" s="1288"/>
      <c r="MW40" s="1288"/>
      <c r="MX40" s="1289"/>
      <c r="MY40" s="1288"/>
      <c r="MZ40" s="1288"/>
      <c r="NA40" s="1289"/>
      <c r="NB40" s="1288"/>
      <c r="NC40" s="1288"/>
      <c r="ND40" s="1289"/>
      <c r="NE40" s="1288"/>
      <c r="NF40" s="1288"/>
      <c r="NG40" s="1289"/>
      <c r="NH40" s="1288"/>
      <c r="NI40" s="1288"/>
      <c r="NJ40" s="1289"/>
      <c r="NK40" s="1288"/>
      <c r="NL40" s="1288"/>
      <c r="NM40" s="1289"/>
      <c r="NN40" s="1288"/>
      <c r="NO40" s="1288"/>
      <c r="NP40" s="1289"/>
      <c r="NQ40" s="1288"/>
      <c r="NR40" s="1288"/>
      <c r="NS40" s="1289"/>
      <c r="NT40" s="1288"/>
      <c r="NU40" s="1288"/>
      <c r="NV40" s="1289"/>
      <c r="NW40" s="1288"/>
      <c r="NX40" s="1288"/>
      <c r="NY40" s="1289"/>
      <c r="NZ40" s="1288"/>
      <c r="OA40" s="1288"/>
      <c r="OB40" s="1289"/>
      <c r="OC40" s="1288"/>
      <c r="OD40" s="1288"/>
      <c r="OE40" s="1289"/>
      <c r="OF40" s="1288"/>
      <c r="OG40" s="1288"/>
      <c r="OH40" s="1289"/>
      <c r="OI40" s="1288"/>
      <c r="OJ40" s="1288"/>
      <c r="OK40" s="1289"/>
      <c r="OL40" s="1288"/>
      <c r="OM40" s="1288"/>
      <c r="ON40" s="1289"/>
      <c r="OO40" s="1288"/>
      <c r="OP40" s="1288"/>
      <c r="OQ40" s="1289"/>
      <c r="OR40" s="1288"/>
      <c r="OS40" s="1288"/>
      <c r="OT40" s="1289"/>
      <c r="OU40" s="1288"/>
      <c r="OV40" s="1288"/>
      <c r="OW40" s="1289"/>
      <c r="OX40" s="1288"/>
      <c r="OY40" s="1288"/>
      <c r="OZ40" s="1289"/>
      <c r="PA40" s="1288"/>
      <c r="PB40" s="1288"/>
      <c r="PC40" s="1289"/>
      <c r="PD40" s="1288"/>
      <c r="PE40" s="1288"/>
      <c r="PF40" s="1289"/>
      <c r="PG40" s="1288"/>
      <c r="PH40" s="1288"/>
      <c r="PI40" s="1289"/>
      <c r="PJ40" s="1288"/>
      <c r="PK40" s="1288"/>
      <c r="PL40" s="1289"/>
      <c r="PM40" s="1288"/>
      <c r="PN40" s="1288"/>
      <c r="PO40" s="1289"/>
      <c r="PP40" s="1288"/>
      <c r="PQ40" s="1288"/>
      <c r="PR40" s="1289"/>
      <c r="PS40" s="1288"/>
      <c r="PT40" s="1288"/>
      <c r="PU40" s="1289"/>
      <c r="PV40" s="1288"/>
      <c r="PW40" s="1288"/>
      <c r="PX40" s="1289"/>
      <c r="PY40" s="1288"/>
      <c r="PZ40" s="1288"/>
      <c r="QA40" s="1289"/>
      <c r="QB40" s="1288"/>
      <c r="QC40" s="1288"/>
      <c r="QD40" s="1289"/>
      <c r="QE40" s="1288"/>
      <c r="QF40" s="1288"/>
      <c r="QG40" s="1289"/>
      <c r="QH40" s="1288"/>
      <c r="QI40" s="1288"/>
      <c r="QJ40" s="1289"/>
      <c r="QK40" s="1288"/>
      <c r="QL40" s="1288"/>
      <c r="QM40" s="1289"/>
      <c r="QN40" s="1288"/>
      <c r="QO40" s="1288"/>
      <c r="QP40" s="1289"/>
      <c r="QQ40" s="1288"/>
      <c r="QR40" s="1288"/>
      <c r="QS40" s="1289"/>
      <c r="QT40" s="1288"/>
      <c r="QU40" s="1288"/>
      <c r="QV40" s="1289"/>
      <c r="QW40" s="1288"/>
      <c r="QX40" s="1288"/>
      <c r="QY40" s="1289"/>
      <c r="QZ40" s="1288"/>
      <c r="RA40" s="1288"/>
      <c r="RB40" s="1289"/>
      <c r="RC40" s="1288"/>
      <c r="RD40" s="1288"/>
      <c r="RE40" s="1289"/>
      <c r="RF40" s="1288"/>
      <c r="RG40" s="1288"/>
      <c r="RH40" s="1289"/>
      <c r="RI40" s="1288"/>
      <c r="RJ40" s="1288"/>
      <c r="RK40" s="1289"/>
      <c r="RL40" s="1288"/>
      <c r="RM40" s="1288"/>
      <c r="RN40" s="1289"/>
      <c r="RO40" s="1288"/>
      <c r="RP40" s="1288"/>
      <c r="RQ40" s="1289"/>
      <c r="RR40" s="1288"/>
      <c r="RS40" s="1288"/>
      <c r="RT40" s="1289"/>
      <c r="RU40" s="1288"/>
      <c r="RV40" s="1288"/>
      <c r="RW40" s="1289"/>
      <c r="RX40" s="1288"/>
      <c r="RY40" s="1288"/>
      <c r="RZ40" s="1289"/>
      <c r="SA40" s="1288"/>
      <c r="SB40" s="1288"/>
      <c r="SC40" s="1289"/>
      <c r="SD40" s="1288"/>
      <c r="SE40" s="1288"/>
      <c r="SF40" s="1289"/>
      <c r="SG40" s="1288"/>
      <c r="SH40" s="1288"/>
      <c r="SI40" s="1289"/>
      <c r="SJ40" s="1288"/>
      <c r="SK40" s="1288"/>
      <c r="SL40" s="1289"/>
      <c r="SM40" s="1288"/>
      <c r="SN40" s="1288"/>
      <c r="SO40" s="1289"/>
      <c r="SP40" s="1288"/>
      <c r="SQ40" s="1288"/>
      <c r="SR40" s="1289"/>
      <c r="SS40" s="1288"/>
      <c r="ST40" s="1288"/>
      <c r="SU40" s="1289"/>
      <c r="SV40" s="1288"/>
      <c r="SW40" s="1288"/>
      <c r="SX40" s="1289"/>
      <c r="SY40" s="1288"/>
      <c r="SZ40" s="1288"/>
      <c r="TA40" s="1289"/>
      <c r="TB40" s="1288"/>
      <c r="TC40" s="1288"/>
      <c r="TD40" s="1289"/>
      <c r="TE40" s="1288"/>
      <c r="TF40" s="1288"/>
      <c r="TG40" s="1289"/>
      <c r="TH40" s="1288"/>
      <c r="TI40" s="1288"/>
      <c r="TJ40" s="1289"/>
      <c r="TK40" s="1288"/>
      <c r="TL40" s="1288"/>
      <c r="TM40" s="1289"/>
      <c r="TN40" s="1288"/>
      <c r="TO40" s="1288"/>
      <c r="TP40" s="1289"/>
      <c r="TQ40" s="1288"/>
      <c r="TR40" s="1288"/>
      <c r="TS40" s="1289"/>
      <c r="TT40" s="1288"/>
      <c r="TU40" s="1288"/>
      <c r="TV40" s="1289"/>
      <c r="TW40" s="1288"/>
      <c r="TX40" s="1288"/>
      <c r="TY40" s="1289"/>
      <c r="TZ40" s="1288"/>
      <c r="UA40" s="1288"/>
      <c r="UB40" s="1289"/>
      <c r="UC40" s="1288"/>
      <c r="UD40" s="1288"/>
      <c r="UE40" s="1289"/>
      <c r="UF40" s="1290"/>
      <c r="UG40" s="1288"/>
      <c r="UH40" s="1289"/>
      <c r="UI40" s="1288"/>
      <c r="UJ40" s="1288"/>
      <c r="UK40" s="1289"/>
      <c r="UL40" s="1288"/>
      <c r="UM40" s="1288"/>
      <c r="UN40" s="1289"/>
      <c r="UO40" s="1288"/>
      <c r="UP40" s="1288"/>
      <c r="UQ40" s="1289"/>
      <c r="UR40" s="1288"/>
      <c r="US40" s="1288"/>
      <c r="UT40" s="1289"/>
      <c r="UU40" s="1288"/>
      <c r="UV40" s="1288"/>
      <c r="UW40" s="1289"/>
      <c r="UX40" s="1288"/>
      <c r="UY40" s="1288"/>
      <c r="UZ40" s="1289"/>
      <c r="VA40" s="1288"/>
      <c r="VB40" s="1288"/>
      <c r="VC40" s="1289"/>
      <c r="VD40" s="1288"/>
      <c r="VE40" s="1288"/>
      <c r="VF40" s="1289"/>
      <c r="VG40" s="1288"/>
      <c r="VH40" s="1288"/>
      <c r="VI40" s="1289"/>
      <c r="VJ40" s="1288"/>
      <c r="VK40" s="1288"/>
      <c r="VL40" s="1289"/>
      <c r="VM40" s="1288"/>
      <c r="VN40" s="1288"/>
      <c r="VO40" s="1289"/>
      <c r="VP40" s="1288"/>
      <c r="VQ40" s="1288"/>
      <c r="VR40" s="1289"/>
      <c r="VS40" s="1288"/>
      <c r="VT40" s="1288"/>
      <c r="VU40" s="1289"/>
      <c r="VV40" s="1288"/>
      <c r="VW40" s="1288"/>
      <c r="VX40" s="1289"/>
      <c r="VY40" s="1288"/>
      <c r="VZ40" s="1288"/>
      <c r="WA40" s="1289"/>
      <c r="WB40" s="1288"/>
      <c r="WC40" s="1288"/>
      <c r="WD40" s="1289"/>
      <c r="WE40" s="1288"/>
      <c r="WF40" s="1288"/>
      <c r="WG40" s="1289"/>
      <c r="WH40" s="1288"/>
      <c r="WI40" s="1288"/>
      <c r="WJ40" s="1289"/>
      <c r="WK40" s="1288"/>
      <c r="WL40" s="1288"/>
      <c r="WM40" s="1289"/>
      <c r="WN40" s="1288"/>
      <c r="WO40" s="1288"/>
      <c r="WP40" s="1289"/>
      <c r="WQ40" s="1288"/>
      <c r="WR40" s="1288"/>
      <c r="WS40" s="1289"/>
      <c r="WT40" s="1288"/>
      <c r="WU40" s="1288"/>
      <c r="WV40" s="1289"/>
      <c r="WW40" s="1288"/>
      <c r="WX40" s="1288"/>
      <c r="WY40" s="1289"/>
      <c r="WZ40" s="1288"/>
      <c r="XA40" s="1288"/>
      <c r="XB40" s="1289"/>
      <c r="XC40" s="1288"/>
      <c r="XD40" s="1288"/>
      <c r="XE40" s="1289"/>
      <c r="XF40" s="1288"/>
      <c r="XG40" s="1288"/>
      <c r="XH40" s="1289"/>
      <c r="XI40" s="1288"/>
      <c r="XJ40" s="1288"/>
      <c r="XK40" s="1289"/>
      <c r="XL40" s="1288"/>
      <c r="XM40" s="1288"/>
      <c r="XN40" s="1289"/>
      <c r="XO40" s="1288"/>
      <c r="XP40" s="1288"/>
      <c r="XQ40" s="1289"/>
      <c r="XR40" s="1288"/>
      <c r="XS40" s="1288"/>
      <c r="XT40" s="1289"/>
      <c r="XU40" s="1288"/>
      <c r="XV40" s="1288"/>
      <c r="XW40" s="1289"/>
      <c r="XX40" s="1288"/>
      <c r="XY40" s="1288"/>
      <c r="XZ40" s="1289"/>
      <c r="YA40" s="1288"/>
      <c r="YB40" s="1288"/>
      <c r="YC40" s="1289"/>
      <c r="YD40" s="1288"/>
      <c r="YE40" s="1288"/>
      <c r="YF40" s="1289"/>
      <c r="YG40" s="1288"/>
      <c r="YH40" s="1288"/>
      <c r="YI40" s="1289"/>
      <c r="YJ40" s="1288"/>
      <c r="YK40" s="1288"/>
      <c r="YL40" s="1289"/>
      <c r="YM40" s="1288"/>
      <c r="YN40" s="1288"/>
      <c r="YO40" s="1289"/>
      <c r="YP40" s="1288"/>
      <c r="YQ40" s="1288"/>
      <c r="YR40" s="1289"/>
      <c r="YS40" s="1288"/>
      <c r="YT40" s="1288"/>
      <c r="YU40" s="1289"/>
      <c r="YV40" s="1288"/>
      <c r="YW40" s="1288"/>
      <c r="YX40" s="1289"/>
      <c r="YY40" s="1288"/>
      <c r="YZ40" s="1288"/>
      <c r="ZA40" s="1289"/>
      <c r="ZB40" s="1288"/>
      <c r="ZC40" s="1288"/>
      <c r="ZD40" s="1289"/>
      <c r="ZE40" s="1288"/>
      <c r="ZF40" s="1288"/>
      <c r="ZG40" s="1289"/>
      <c r="ZH40" s="1288"/>
      <c r="ZI40" s="1288"/>
      <c r="ZJ40" s="1289"/>
      <c r="ZK40" s="1288"/>
      <c r="ZL40" s="1288"/>
      <c r="ZM40" s="1289"/>
      <c r="ZN40" s="1288"/>
      <c r="ZO40" s="1288"/>
      <c r="ZP40" s="1289"/>
      <c r="ZQ40" s="1288"/>
      <c r="ZR40" s="1288"/>
      <c r="ZS40" s="1289"/>
      <c r="ZT40" s="1288"/>
      <c r="ZU40" s="1288"/>
      <c r="ZV40" s="1289"/>
      <c r="ZW40" s="1288"/>
      <c r="ZX40" s="1288"/>
      <c r="ZY40" s="1289"/>
      <c r="ZZ40" s="1288"/>
      <c r="AAA40" s="1288"/>
      <c r="AAB40" s="1289"/>
      <c r="AAC40" s="1288"/>
      <c r="AAD40" s="1288"/>
      <c r="AAE40" s="1289"/>
      <c r="AAF40" s="1288"/>
      <c r="AAG40" s="1288"/>
      <c r="AAH40" s="1289"/>
      <c r="AAI40" s="1288"/>
      <c r="AAJ40" s="1288"/>
      <c r="AAK40" s="1289"/>
      <c r="AAL40" s="1288"/>
      <c r="AAM40" s="1288"/>
      <c r="AAN40" s="1289"/>
      <c r="AAO40" s="1288"/>
      <c r="AAP40" s="1288"/>
      <c r="AAQ40" s="1289"/>
      <c r="AAR40" s="1288"/>
      <c r="AAS40" s="1288"/>
      <c r="AAT40" s="1289"/>
      <c r="AAU40" s="1288"/>
      <c r="AAV40" s="1288"/>
      <c r="AAW40" s="1289"/>
      <c r="AAX40" s="1288"/>
      <c r="AAY40" s="1288"/>
      <c r="AAZ40" s="1289"/>
      <c r="ABA40" s="1288"/>
      <c r="ABB40" s="1288"/>
      <c r="ABC40" s="1289"/>
      <c r="ABD40" s="1288"/>
      <c r="ABE40" s="1288"/>
      <c r="ABF40" s="1289"/>
      <c r="ABG40" s="1288"/>
      <c r="ABH40" s="1288"/>
      <c r="ABI40" s="1289"/>
      <c r="ABJ40" s="1288"/>
      <c r="ABK40" s="1288"/>
      <c r="ABL40" s="1289"/>
      <c r="ABM40" s="1288"/>
      <c r="ABN40" s="1288"/>
      <c r="ABO40" s="1289"/>
      <c r="ABP40" s="1288"/>
      <c r="ABQ40" s="1288"/>
      <c r="ABR40" s="1289"/>
      <c r="ABS40" s="1288"/>
      <c r="ABT40" s="1288"/>
      <c r="ABU40" s="1289"/>
      <c r="ABV40" s="1288"/>
      <c r="ABW40" s="1288"/>
      <c r="ABX40" s="1289"/>
      <c r="ABY40" s="1288"/>
      <c r="ABZ40" s="1288"/>
      <c r="ACA40" s="1289"/>
      <c r="ACB40" s="1288"/>
      <c r="ACC40" s="1288"/>
      <c r="ACD40" s="1289"/>
      <c r="ACE40" s="1288"/>
      <c r="ACF40" s="1288"/>
      <c r="ACG40" s="1289"/>
      <c r="ACH40" s="1288"/>
      <c r="ACI40" s="1288"/>
      <c r="ACJ40" s="1289"/>
      <c r="ACK40" s="1288"/>
      <c r="ACL40" s="1288"/>
      <c r="ACM40" s="1289"/>
      <c r="ACN40" s="1288"/>
      <c r="ACO40" s="1288"/>
      <c r="ACP40" s="1289"/>
      <c r="ACQ40" s="1288"/>
      <c r="ACR40" s="1288"/>
      <c r="ACS40" s="1289"/>
      <c r="ACT40" s="1288"/>
      <c r="ACU40" s="1288"/>
      <c r="ACV40" s="1289"/>
      <c r="ACW40" s="1288"/>
      <c r="ACX40" s="1288"/>
      <c r="ACY40" s="1289"/>
      <c r="ACZ40" s="1288"/>
      <c r="ADA40" s="1288"/>
      <c r="ADB40" s="1289"/>
      <c r="ADC40" s="1288"/>
      <c r="ADD40" s="1288"/>
      <c r="ADE40" s="1289"/>
      <c r="ADF40" s="1288"/>
      <c r="ADG40" s="1288"/>
      <c r="ADH40" s="1289"/>
      <c r="ADI40" s="1288"/>
      <c r="ADJ40" s="1288"/>
      <c r="ADK40" s="1289"/>
      <c r="ADL40" s="1288"/>
      <c r="ADM40" s="1288"/>
      <c r="ADN40" s="1289"/>
      <c r="ADO40" s="1288"/>
      <c r="ADP40" s="1288"/>
      <c r="ADQ40" s="1289"/>
      <c r="ADR40" s="1288"/>
      <c r="ADS40" s="1288"/>
      <c r="ADT40" s="1289"/>
      <c r="ADU40" s="1288"/>
      <c r="ADV40" s="1288"/>
      <c r="ADW40" s="1289"/>
      <c r="ADX40" s="1288"/>
      <c r="ADY40" s="1288"/>
      <c r="ADZ40" s="1289"/>
      <c r="AEA40" s="1288"/>
      <c r="AEB40" s="1288"/>
      <c r="AEC40" s="1289"/>
      <c r="AED40" s="1288"/>
      <c r="AEE40" s="1288"/>
      <c r="AEF40" s="1289"/>
      <c r="AEG40" s="1288"/>
      <c r="AEH40" s="1288"/>
      <c r="AEI40" s="1289"/>
      <c r="AEJ40" s="1288"/>
      <c r="AEK40" s="1288"/>
      <c r="AEL40" s="1289"/>
      <c r="AEM40" s="1288"/>
      <c r="AEN40" s="1288"/>
      <c r="AEO40" s="1289"/>
      <c r="AEP40" s="1288"/>
      <c r="AEQ40" s="1288"/>
      <c r="AER40" s="1289"/>
      <c r="AES40" s="1288"/>
      <c r="AET40" s="1288"/>
      <c r="AEU40" s="1289"/>
      <c r="AEV40" s="1288"/>
      <c r="AEW40" s="1288"/>
      <c r="AEX40" s="1289"/>
      <c r="AEY40" s="1288"/>
      <c r="AEZ40" s="1288"/>
      <c r="AFA40" s="1289"/>
      <c r="AFB40" s="1288"/>
      <c r="AFC40" s="1288"/>
      <c r="AFD40" s="1289"/>
      <c r="AFE40" s="1288"/>
      <c r="AFF40" s="1288"/>
      <c r="AFG40" s="1289"/>
      <c r="AFH40" s="1288"/>
      <c r="AFI40" s="1288"/>
      <c r="AFJ40" s="1289"/>
      <c r="AFK40" s="1288"/>
      <c r="AFL40" s="1288"/>
      <c r="AFM40" s="1289"/>
      <c r="AFN40" s="1288"/>
      <c r="AFO40" s="1288"/>
      <c r="AFP40" s="1289"/>
      <c r="AFQ40" s="1288"/>
      <c r="AFR40" s="1288"/>
      <c r="AFS40" s="1289"/>
      <c r="AFT40" s="1288"/>
      <c r="AFU40" s="1288"/>
      <c r="AFV40" s="1289"/>
      <c r="AFW40" s="1288"/>
      <c r="AFX40" s="1288"/>
      <c r="AFY40" s="1289"/>
      <c r="AFZ40" s="1288"/>
      <c r="AGA40" s="1288"/>
      <c r="AGB40" s="1289"/>
      <c r="AGC40" s="1288"/>
      <c r="AGD40" s="1288"/>
      <c r="AGE40" s="1289"/>
      <c r="AGF40" s="1288"/>
      <c r="AGG40" s="1288"/>
      <c r="AGH40" s="1289"/>
      <c r="AGI40" s="1288"/>
      <c r="AGJ40" s="1288"/>
      <c r="AGK40" s="1289"/>
      <c r="AGL40" s="1288"/>
      <c r="AGM40" s="1288"/>
      <c r="AGN40" s="1289"/>
      <c r="AGO40" s="1288"/>
      <c r="AGP40" s="1288"/>
      <c r="AGQ40" s="1289"/>
      <c r="AGR40" s="1288"/>
      <c r="AGS40" s="1288"/>
      <c r="AGT40" s="1289"/>
      <c r="AGU40" s="1288"/>
      <c r="AGV40" s="1288"/>
      <c r="AGW40" s="1289"/>
      <c r="AGX40" s="1288"/>
      <c r="AGY40" s="1288"/>
      <c r="AGZ40" s="1289"/>
      <c r="AHA40" s="1288"/>
      <c r="AHB40" s="1288"/>
      <c r="AHC40" s="1289"/>
      <c r="AHD40" s="1288"/>
      <c r="AHE40" s="1288"/>
      <c r="AHF40" s="1289"/>
      <c r="AHG40" s="1288"/>
      <c r="AHH40" s="1288"/>
      <c r="AHI40" s="1289"/>
      <c r="AHJ40" s="1288"/>
      <c r="AHK40" s="1288"/>
      <c r="AHL40" s="1289"/>
      <c r="AHM40" s="1288"/>
      <c r="AHN40" s="1288"/>
      <c r="AHO40" s="1289"/>
      <c r="AHP40" s="1288"/>
      <c r="AHQ40" s="1288"/>
      <c r="AHR40" s="1289"/>
      <c r="AHS40" s="1288"/>
      <c r="AHT40" s="1288"/>
      <c r="AHU40" s="1289"/>
      <c r="AHV40" s="1288"/>
      <c r="AHW40" s="1288"/>
      <c r="AHX40" s="1289"/>
      <c r="AHY40" s="1288"/>
      <c r="AHZ40" s="1288"/>
      <c r="AIA40" s="1289"/>
      <c r="AIB40" s="1288"/>
      <c r="AIC40" s="1288"/>
      <c r="AID40" s="1288"/>
      <c r="AIE40" s="1290"/>
      <c r="AIF40" s="1288"/>
      <c r="AIG40" s="1289"/>
      <c r="AIH40" s="1288"/>
      <c r="AII40" s="1288"/>
      <c r="AIJ40" s="1289"/>
      <c r="AIK40" s="1288"/>
      <c r="AIL40" s="1288"/>
      <c r="AIM40" s="1289"/>
      <c r="AIN40" s="1288"/>
      <c r="AIO40" s="1288"/>
      <c r="AIP40" s="1289"/>
      <c r="AIQ40" s="1288"/>
      <c r="AIR40" s="1288"/>
      <c r="AIS40" s="1288"/>
      <c r="AIT40" s="1290"/>
      <c r="AIU40" s="1288"/>
      <c r="AIV40" s="1289"/>
      <c r="AIW40" s="1288"/>
      <c r="AIX40" s="1288"/>
      <c r="AIY40" s="1288"/>
      <c r="AIZ40" s="1290"/>
      <c r="AJA40" s="1288"/>
      <c r="AJB40" s="1289"/>
      <c r="AJC40" s="1288"/>
      <c r="AJD40" s="1288"/>
      <c r="AJE40" s="1289"/>
      <c r="AJF40" s="1288"/>
      <c r="AJG40" s="1288"/>
      <c r="AJH40" s="1289"/>
      <c r="AJI40" s="1288"/>
      <c r="AJJ40" s="1288"/>
      <c r="AJK40" s="1289"/>
      <c r="AJL40" s="1288"/>
      <c r="AJM40" s="1288"/>
      <c r="AJN40" s="1288"/>
      <c r="AJO40" s="1290"/>
      <c r="AJP40" s="1288"/>
      <c r="AJQ40" s="1289"/>
      <c r="AJR40" s="1288"/>
      <c r="AJS40" s="1288"/>
      <c r="AJT40" s="1288"/>
      <c r="AJU40" s="1290"/>
      <c r="AJV40" s="1288"/>
      <c r="AJW40" s="1289"/>
      <c r="AJX40" s="1288"/>
      <c r="AJY40" s="1288"/>
      <c r="AJZ40" s="1289"/>
      <c r="AKA40" s="1288"/>
      <c r="AKB40" s="1288"/>
      <c r="AKC40" s="1289"/>
      <c r="AKD40" s="1288"/>
      <c r="AKE40" s="1288"/>
      <c r="AKF40" s="1289"/>
      <c r="AKG40" s="1288"/>
      <c r="AKH40" s="1288"/>
      <c r="AKI40" s="1288"/>
      <c r="AKJ40" s="1290"/>
      <c r="AKK40" s="1288"/>
      <c r="AKL40" s="1289"/>
      <c r="AKM40" s="1288"/>
      <c r="AKN40" s="1288"/>
      <c r="AKO40" s="1288"/>
      <c r="AKP40" s="1290"/>
      <c r="AKQ40" s="1288"/>
      <c r="AKR40" s="1289"/>
      <c r="AKS40" s="1288"/>
      <c r="AKT40" s="1288"/>
      <c r="AKU40" s="1289"/>
      <c r="AKV40" s="1288"/>
      <c r="AKW40" s="1288"/>
      <c r="AKX40" s="1289"/>
      <c r="AKY40" s="1288"/>
      <c r="AKZ40" s="1288"/>
      <c r="ALA40" s="1289"/>
      <c r="ALB40" s="1288"/>
      <c r="ALC40" s="1288"/>
      <c r="ALD40" s="1288"/>
      <c r="ALE40" s="1290"/>
      <c r="ALF40" s="1288"/>
      <c r="ALG40" s="1289"/>
      <c r="ALH40" s="1288"/>
      <c r="ALI40" s="1288"/>
      <c r="ALJ40" s="1288"/>
      <c r="ALK40" s="1290"/>
      <c r="ALL40" s="1288"/>
      <c r="ALM40" s="1289"/>
      <c r="ALN40" s="1288"/>
      <c r="ALO40" s="1288"/>
      <c r="ALP40" s="1289"/>
      <c r="ALQ40" s="1288"/>
      <c r="ALR40" s="1288"/>
      <c r="ALS40" s="1289"/>
      <c r="ALT40" s="1288"/>
      <c r="ALU40" s="1288"/>
      <c r="ALV40" s="1289"/>
      <c r="ALW40" s="1288"/>
      <c r="ALX40" s="1288"/>
      <c r="ALY40" s="1288"/>
      <c r="ALZ40" s="1290"/>
      <c r="AMA40" s="1288"/>
      <c r="AMB40" s="1289"/>
      <c r="AMC40" s="1288"/>
      <c r="AMD40" s="1288"/>
      <c r="AME40" s="1288"/>
      <c r="AMF40" s="1290"/>
      <c r="AMG40" s="1288"/>
      <c r="AMH40" s="1289"/>
      <c r="AMI40" s="1288"/>
      <c r="AMJ40" s="1288"/>
      <c r="AMK40" s="1289"/>
      <c r="AML40" s="1288"/>
      <c r="AMM40" s="1288"/>
      <c r="AMN40" s="1289"/>
      <c r="AMO40" s="1288"/>
      <c r="AMP40" s="1288"/>
      <c r="AMQ40" s="1289"/>
      <c r="AMR40" s="1288"/>
      <c r="AMS40" s="1288"/>
      <c r="AMT40" s="1288"/>
      <c r="AMU40" s="1290"/>
      <c r="AMV40" s="1288"/>
      <c r="AMW40" s="1289"/>
      <c r="AMX40" s="1288"/>
      <c r="AMY40" s="1288"/>
      <c r="AMZ40" s="1288"/>
      <c r="ANA40" s="1290"/>
      <c r="ANB40" s="1288"/>
      <c r="ANC40" s="1289"/>
      <c r="AND40" s="1288"/>
      <c r="ANE40" s="1288"/>
      <c r="ANF40" s="1289"/>
      <c r="ANG40" s="1288"/>
      <c r="ANH40" s="1288"/>
      <c r="ANI40" s="1289"/>
      <c r="ANJ40" s="1288"/>
      <c r="ANK40" s="1288"/>
      <c r="ANL40" s="1289"/>
      <c r="ANM40" s="1288"/>
      <c r="ANN40" s="1288"/>
      <c r="ANO40" s="1288"/>
      <c r="ANP40" s="1290"/>
      <c r="ANQ40" s="1288"/>
      <c r="ANR40" s="1289"/>
      <c r="ANS40" s="1288"/>
      <c r="ANT40" s="1288"/>
      <c r="ANU40" s="1288"/>
      <c r="ANV40" s="1290"/>
      <c r="ANW40" s="1288"/>
      <c r="ANX40" s="1289"/>
      <c r="ANY40" s="1288"/>
      <c r="ANZ40" s="1288"/>
      <c r="AOA40" s="1289"/>
      <c r="AOB40" s="1288"/>
      <c r="AOC40" s="1288"/>
      <c r="AOD40" s="1289"/>
      <c r="AOE40" s="1288"/>
      <c r="AOF40" s="1288"/>
      <c r="AOG40" s="1289"/>
      <c r="AOH40" s="1288"/>
      <c r="AOI40" s="1288"/>
      <c r="AOJ40" s="1288"/>
      <c r="AOK40" s="1290"/>
      <c r="AOL40" s="1288"/>
      <c r="AOM40" s="1289"/>
      <c r="AON40" s="1288"/>
      <c r="AOO40" s="1288"/>
      <c r="AOP40" s="1288"/>
      <c r="AOQ40" s="1290"/>
      <c r="AOR40" s="1288"/>
      <c r="AOS40" s="1289"/>
      <c r="AOT40" s="1288"/>
      <c r="AOU40" s="1288"/>
      <c r="AOV40" s="1289"/>
      <c r="AOW40" s="1288"/>
      <c r="AOX40" s="1288"/>
      <c r="AOY40" s="1289"/>
      <c r="AOZ40" s="1288"/>
      <c r="APA40" s="1288"/>
      <c r="APB40" s="1289"/>
      <c r="APC40" s="1288"/>
      <c r="APD40" s="1288"/>
      <c r="APE40" s="1288"/>
      <c r="APF40" s="1290"/>
      <c r="APG40" s="1288"/>
      <c r="APH40" s="1289"/>
      <c r="API40" s="1288"/>
      <c r="APJ40" s="1288"/>
      <c r="APK40" s="1288"/>
      <c r="APL40" s="1290"/>
      <c r="APM40" s="1288"/>
      <c r="APN40" s="1289"/>
      <c r="APO40" s="1288"/>
      <c r="APP40" s="1288"/>
      <c r="APQ40" s="1289"/>
      <c r="APR40" s="1288"/>
      <c r="APS40" s="1288"/>
      <c r="APT40" s="1289"/>
      <c r="APU40" s="1288"/>
      <c r="APV40" s="1288"/>
      <c r="APW40" s="1289"/>
      <c r="APX40" s="1288"/>
      <c r="APY40" s="1288"/>
      <c r="APZ40" s="1288"/>
      <c r="AQA40" s="1290"/>
      <c r="AQB40" s="1288"/>
      <c r="AQC40" s="1289"/>
      <c r="AQD40" s="1288"/>
      <c r="AQE40" s="1288"/>
      <c r="AQF40" s="1289"/>
      <c r="AQG40" s="1288"/>
      <c r="AQH40" s="1288"/>
      <c r="AQI40" s="1289"/>
      <c r="AQJ40" s="1288"/>
      <c r="AQK40" s="1288"/>
      <c r="AQL40" s="1289"/>
      <c r="AQM40" s="1288"/>
      <c r="AQN40" s="1288"/>
      <c r="AQO40" s="1288"/>
      <c r="AQP40" s="1290"/>
      <c r="AQQ40" s="1288"/>
      <c r="AQR40" s="1288"/>
      <c r="AQS40" s="1290"/>
      <c r="AQT40" s="1288"/>
      <c r="AQU40" s="1289"/>
      <c r="AQV40" s="1288"/>
      <c r="AQW40" s="1288"/>
      <c r="AQX40" s="1289"/>
      <c r="AQY40" s="1288"/>
      <c r="AQZ40" s="1288"/>
      <c r="ARA40" s="1289"/>
      <c r="ARB40" s="1288"/>
      <c r="ARC40" s="1288"/>
      <c r="ARD40" s="1289"/>
      <c r="ARE40" s="1288"/>
      <c r="ARF40" s="1288"/>
      <c r="ARG40" s="1289"/>
      <c r="ARH40" s="1288"/>
      <c r="ARI40" s="1288"/>
      <c r="ARJ40" s="1288"/>
      <c r="ARK40" s="1290"/>
      <c r="ARL40" s="1288"/>
      <c r="ARM40" s="1289"/>
      <c r="ARN40" s="1288"/>
      <c r="ARO40" s="1288"/>
      <c r="ARP40" s="1289"/>
      <c r="ARQ40" s="1288"/>
      <c r="ARR40" s="1288"/>
      <c r="ARS40" s="1289"/>
      <c r="ART40" s="1288"/>
      <c r="ARU40" s="1288"/>
      <c r="ARV40" s="1289"/>
      <c r="ARW40" s="1288"/>
      <c r="ARX40" s="1288"/>
      <c r="ARY40" s="1289"/>
      <c r="ARZ40" s="1288"/>
      <c r="ASA40" s="1288"/>
      <c r="ASB40" s="1289"/>
      <c r="ASC40" s="1288"/>
      <c r="ASD40" s="1288"/>
      <c r="ASE40" s="1288"/>
      <c r="ASF40" s="1290"/>
      <c r="ASG40" s="1288"/>
      <c r="ASH40" s="1289"/>
      <c r="ASI40" s="1288"/>
      <c r="ASJ40" s="1288"/>
      <c r="ASK40" s="1288"/>
      <c r="ASL40" s="1290"/>
      <c r="ASM40" s="1288"/>
      <c r="ASN40" s="1289"/>
      <c r="ASO40" s="1288"/>
      <c r="ASP40" s="1288"/>
      <c r="ASQ40" s="1288"/>
      <c r="ASR40" s="1290"/>
      <c r="ASS40" s="1288"/>
      <c r="AST40" s="1289"/>
      <c r="ASU40" s="1288"/>
      <c r="ASV40" s="1288"/>
      <c r="ASW40" s="1289"/>
      <c r="ASX40" s="1288"/>
      <c r="ASY40" s="1288"/>
      <c r="ASZ40" s="1288"/>
      <c r="ATA40" s="1290"/>
      <c r="ATB40" s="1288"/>
      <c r="ATC40" s="1289"/>
      <c r="ATD40" s="1288"/>
      <c r="ATE40" s="1288"/>
      <c r="ATF40" s="1288"/>
      <c r="ATG40" s="1290"/>
      <c r="ATH40" s="1288"/>
      <c r="ATI40" s="1289"/>
      <c r="ATJ40" s="1288"/>
      <c r="ATK40" s="1288"/>
      <c r="ATL40" s="1289"/>
      <c r="ATM40" s="1288"/>
      <c r="ATN40" s="1288"/>
      <c r="ATO40" s="1289"/>
      <c r="ATP40" s="1288"/>
      <c r="ATQ40" s="1288"/>
      <c r="ATR40" s="1289"/>
      <c r="ATS40" s="1288"/>
      <c r="ATT40" s="1288"/>
      <c r="ATU40" s="1289"/>
      <c r="ATV40" s="1288"/>
      <c r="ATW40" s="1288"/>
      <c r="ATX40" s="1289"/>
      <c r="ATY40" s="1288"/>
      <c r="ATZ40" s="1288"/>
      <c r="AUA40" s="1288"/>
      <c r="AUB40" s="1290"/>
      <c r="AUC40" s="1288"/>
      <c r="AUD40" s="1289"/>
      <c r="AUE40" s="1288"/>
      <c r="AUF40" s="1288"/>
      <c r="AUG40" s="1289"/>
      <c r="AUH40" s="1288"/>
      <c r="AUI40" s="1288"/>
      <c r="AUJ40" s="1289"/>
      <c r="AUK40" s="1288"/>
      <c r="AUL40" s="1288"/>
      <c r="AUM40" s="1288"/>
      <c r="AUN40" s="1290"/>
      <c r="AUO40" s="1288"/>
      <c r="AUP40" s="1288"/>
      <c r="AUQ40" s="1290"/>
      <c r="AUR40" s="1288"/>
      <c r="AUS40" s="1288"/>
      <c r="AUT40" s="1290"/>
      <c r="AUU40" s="1288"/>
      <c r="AUV40" s="1288"/>
      <c r="AUW40" s="1290"/>
      <c r="AUX40" s="1288"/>
      <c r="AUY40" s="1288"/>
      <c r="AUZ40" s="1290"/>
      <c r="AVA40" s="1288"/>
      <c r="AVB40" s="1288"/>
      <c r="AVC40" s="1290"/>
      <c r="AVD40" s="1288"/>
      <c r="AVE40" s="1288"/>
      <c r="AVF40" s="1290"/>
      <c r="AVG40" s="1288"/>
      <c r="AVH40" s="1288"/>
      <c r="AVI40" s="1290"/>
      <c r="AVJ40" s="1288"/>
      <c r="AVK40" s="1288"/>
      <c r="AVL40" s="1290"/>
      <c r="AVM40" s="1288"/>
      <c r="AVN40" s="1288"/>
      <c r="AVO40" s="1290"/>
      <c r="AVP40" s="1288"/>
      <c r="AVQ40" s="1288"/>
      <c r="AVR40" s="1290"/>
      <c r="AVS40" s="1288"/>
      <c r="AVT40" s="1288"/>
      <c r="AVU40" s="1290"/>
      <c r="AVV40" s="1288"/>
      <c r="AVW40" s="1288"/>
      <c r="AVX40" s="1290"/>
      <c r="AVY40" s="1288"/>
      <c r="AVZ40" s="1288"/>
      <c r="AWA40" s="1290"/>
      <c r="AWB40" s="1288"/>
      <c r="AWC40" s="1288"/>
      <c r="AWD40" s="1290"/>
      <c r="AWE40" s="1288"/>
      <c r="AWF40" s="1288"/>
      <c r="AWG40" s="1290"/>
      <c r="AWH40" s="1288"/>
      <c r="AWI40" s="1288"/>
      <c r="AWJ40" s="1290"/>
      <c r="AWK40" s="1288"/>
      <c r="AWL40" s="1288"/>
      <c r="AWM40" s="1290"/>
      <c r="AWN40" s="1288"/>
      <c r="AWO40" s="1289"/>
      <c r="AWP40" s="1288"/>
      <c r="AWQ40" s="1288"/>
      <c r="AWR40" s="1289"/>
      <c r="AWS40" s="1288"/>
      <c r="AWT40" s="1288"/>
      <c r="AWU40" s="1289"/>
      <c r="AWV40" s="1288"/>
      <c r="AWW40" s="1288"/>
      <c r="AWX40" s="1289"/>
      <c r="AWY40" s="1288"/>
      <c r="AWZ40" s="1288"/>
      <c r="AXA40" s="1288"/>
      <c r="AXB40" s="1290"/>
      <c r="AXC40" s="1288"/>
      <c r="AXD40" s="1289"/>
      <c r="AXE40" s="1288"/>
      <c r="AXF40" s="1288"/>
      <c r="AXG40" s="1288"/>
      <c r="AXH40" s="1290"/>
      <c r="AXI40" s="1288"/>
      <c r="AXJ40" s="1289"/>
      <c r="AXK40" s="1288"/>
      <c r="AXL40" s="1288"/>
      <c r="AXM40" s="1289"/>
      <c r="AXN40" s="1288"/>
      <c r="AXO40" s="1288"/>
      <c r="AXP40" s="1289"/>
      <c r="AXQ40" s="1288"/>
      <c r="AXR40" s="1288"/>
      <c r="AXS40" s="1289"/>
      <c r="AXT40" s="1288"/>
      <c r="AXU40" s="1288"/>
      <c r="AXV40" s="1288"/>
      <c r="AXW40" s="1290"/>
      <c r="AXX40" s="1288"/>
      <c r="AXY40" s="1289"/>
      <c r="AXZ40" s="1288"/>
      <c r="AYA40" s="1288"/>
      <c r="AYB40" s="1288"/>
      <c r="AYC40" s="1290"/>
      <c r="AYD40" s="1288"/>
      <c r="AYE40" s="1289"/>
      <c r="AYF40" s="1288"/>
      <c r="AYG40" s="1288"/>
      <c r="AYH40" s="1289"/>
      <c r="AYI40" s="1288"/>
      <c r="AYJ40" s="1288"/>
      <c r="AYK40" s="1289"/>
      <c r="AYL40" s="1288"/>
      <c r="AYM40" s="1288"/>
      <c r="AYN40" s="1289"/>
      <c r="AYO40" s="1288"/>
      <c r="AYP40" s="1288"/>
      <c r="AYQ40" s="1288"/>
      <c r="AYR40" s="1290"/>
      <c r="AYS40" s="1288"/>
      <c r="AYT40" s="1289"/>
      <c r="AYU40" s="1288"/>
      <c r="AYV40" s="1288"/>
      <c r="AYW40" s="1288"/>
      <c r="AYX40" s="1290"/>
      <c r="AYY40" s="1288"/>
      <c r="AYZ40" s="1289"/>
      <c r="AZA40" s="1288"/>
      <c r="AZB40" s="1288"/>
      <c r="AZC40" s="1289"/>
      <c r="AZD40" s="1288"/>
      <c r="AZE40" s="1288"/>
      <c r="AZF40" s="1289"/>
      <c r="AZG40" s="1288"/>
      <c r="AZH40" s="1288"/>
      <c r="AZI40" s="1289"/>
      <c r="AZJ40" s="1288"/>
      <c r="AZK40" s="1288"/>
      <c r="AZL40" s="1288"/>
      <c r="AZM40" s="1290"/>
      <c r="AZN40" s="1288"/>
      <c r="AZO40" s="1289"/>
      <c r="AZP40" s="1288"/>
      <c r="AZQ40" s="1288"/>
      <c r="AZR40" s="1288"/>
      <c r="AZS40" s="1290"/>
      <c r="AZT40" s="1288"/>
      <c r="AZU40" s="1289"/>
      <c r="AZV40" s="1288"/>
      <c r="AZW40" s="1288"/>
      <c r="AZX40" s="1289"/>
      <c r="AZY40" s="1288"/>
      <c r="AZZ40" s="1288"/>
      <c r="BAA40" s="1289"/>
      <c r="BAB40" s="1288"/>
      <c r="BAC40" s="1288"/>
      <c r="BAD40" s="1289"/>
      <c r="BAE40" s="1288"/>
      <c r="BAF40" s="1288"/>
      <c r="BAG40" s="1288"/>
      <c r="BAH40" s="1290"/>
      <c r="BAI40" s="1288"/>
      <c r="BAJ40" s="1289"/>
    </row>
    <row r="41" spans="1:1399" s="354" customFormat="1" ht="15" customHeight="1">
      <c r="A41" s="17"/>
      <c r="B41" s="18" t="s">
        <v>366</v>
      </c>
      <c r="C41" s="1201"/>
      <c r="D41" s="1201"/>
      <c r="E41" s="13" t="s">
        <v>342</v>
      </c>
      <c r="F41" s="1266"/>
      <c r="G41" s="1266"/>
      <c r="H41" s="346"/>
      <c r="I41" s="1266"/>
      <c r="J41" s="1266"/>
      <c r="K41" s="346"/>
      <c r="L41" s="1266"/>
      <c r="M41" s="1266"/>
      <c r="N41" s="346"/>
      <c r="O41" s="1266"/>
      <c r="P41" s="1266"/>
      <c r="Q41" s="346"/>
      <c r="R41" s="1266"/>
      <c r="S41" s="1266"/>
      <c r="T41" s="346"/>
      <c r="U41" s="1266"/>
      <c r="V41" s="1266"/>
      <c r="W41" s="346"/>
      <c r="X41" s="1266"/>
      <c r="Y41" s="1266"/>
      <c r="Z41" s="346"/>
      <c r="AA41" s="1266"/>
      <c r="AB41" s="1266"/>
      <c r="AC41" s="346"/>
      <c r="AD41" s="1266"/>
      <c r="AE41" s="1266"/>
      <c r="AF41" s="346"/>
      <c r="AG41" s="1266"/>
      <c r="AH41" s="1266"/>
      <c r="AI41" s="346"/>
      <c r="AJ41" s="1266"/>
      <c r="AK41" s="1266"/>
      <c r="AL41" s="346"/>
      <c r="AM41" s="1266"/>
      <c r="AN41" s="1266"/>
      <c r="AO41" s="346"/>
      <c r="AP41" s="1266"/>
      <c r="AQ41" s="1266"/>
      <c r="AR41" s="346"/>
      <c r="AS41" s="1266"/>
      <c r="AT41" s="1266"/>
      <c r="AU41" s="346"/>
      <c r="AV41" s="1266"/>
      <c r="AW41" s="1266"/>
      <c r="AX41" s="346"/>
      <c r="AY41" s="1266"/>
      <c r="AZ41" s="1266"/>
      <c r="BA41" s="346"/>
      <c r="BB41" s="1266"/>
      <c r="BC41" s="1266"/>
      <c r="BD41" s="346"/>
      <c r="BE41" s="1266"/>
      <c r="BF41" s="1266"/>
      <c r="BG41" s="346"/>
      <c r="BH41" s="1266"/>
      <c r="BI41" s="1266"/>
      <c r="BJ41" s="346"/>
      <c r="BK41" s="1266"/>
      <c r="BL41" s="1266"/>
      <c r="BM41" s="346"/>
      <c r="BN41" s="1266"/>
      <c r="BO41" s="1266"/>
      <c r="BP41" s="346"/>
      <c r="BQ41" s="1266"/>
      <c r="BR41" s="1266"/>
      <c r="BS41" s="346"/>
      <c r="BT41" s="1266"/>
      <c r="BU41" s="1266"/>
      <c r="BV41" s="346"/>
      <c r="BW41" s="1266"/>
      <c r="BX41" s="1266"/>
      <c r="BY41" s="346"/>
      <c r="BZ41" s="1266"/>
      <c r="CA41" s="1266"/>
      <c r="CB41" s="346"/>
      <c r="CC41" s="1266"/>
      <c r="CD41" s="1266"/>
      <c r="CE41" s="346"/>
      <c r="CF41" s="1266"/>
      <c r="CG41" s="1266"/>
      <c r="CH41" s="346"/>
      <c r="CI41" s="1266"/>
      <c r="CJ41" s="1266"/>
      <c r="CK41" s="346"/>
      <c r="CL41" s="1266"/>
      <c r="CM41" s="1266"/>
      <c r="CN41" s="346"/>
      <c r="CO41" s="1266"/>
      <c r="CP41" s="1266"/>
      <c r="CQ41" s="346"/>
      <c r="CR41" s="1266"/>
      <c r="CS41" s="1266"/>
      <c r="CT41" s="346"/>
      <c r="CU41" s="1266"/>
      <c r="CV41" s="1266"/>
      <c r="CW41" s="346"/>
      <c r="CX41" s="1266"/>
      <c r="CY41" s="1266"/>
      <c r="CZ41" s="346"/>
      <c r="DA41" s="1266"/>
      <c r="DB41" s="1266"/>
      <c r="DC41" s="346"/>
      <c r="DD41" s="1266"/>
      <c r="DE41" s="1266"/>
      <c r="DF41" s="346"/>
      <c r="DG41" s="1266"/>
      <c r="DH41" s="1266"/>
      <c r="DI41" s="346"/>
      <c r="DJ41" s="1266"/>
      <c r="DK41" s="1266"/>
      <c r="DL41" s="346"/>
      <c r="DM41" s="1266"/>
      <c r="DN41" s="1266"/>
      <c r="DO41" s="346"/>
      <c r="DP41" s="1266"/>
      <c r="DQ41" s="1266"/>
      <c r="DR41" s="346"/>
      <c r="DS41" s="347"/>
      <c r="DT41" s="1266"/>
      <c r="DU41" s="346"/>
      <c r="DV41" s="347"/>
      <c r="DW41" s="1266"/>
      <c r="DX41" s="346"/>
      <c r="DY41" s="1266"/>
      <c r="DZ41" s="1266"/>
      <c r="EA41" s="346"/>
      <c r="EB41" s="1266"/>
      <c r="EC41" s="1266"/>
      <c r="ED41" s="346"/>
      <c r="EE41" s="1266"/>
      <c r="EF41" s="1266"/>
      <c r="EG41" s="346"/>
      <c r="EH41" s="1266"/>
      <c r="EI41" s="1266"/>
      <c r="EJ41" s="346"/>
      <c r="EK41" s="1266"/>
      <c r="EL41" s="1266"/>
      <c r="EM41" s="346"/>
      <c r="EN41" s="1266"/>
      <c r="EO41" s="1266"/>
      <c r="EP41" s="346"/>
      <c r="EQ41" s="1266"/>
      <c r="ER41" s="1266"/>
      <c r="ES41" s="346"/>
      <c r="ET41" s="1266"/>
      <c r="EU41" s="1266"/>
      <c r="EV41" s="346"/>
      <c r="EW41" s="1266"/>
      <c r="EX41" s="1266"/>
      <c r="EY41" s="346"/>
      <c r="EZ41" s="1266"/>
      <c r="FA41" s="1266"/>
      <c r="FB41" s="346"/>
      <c r="FC41" s="1266"/>
      <c r="FD41" s="1266"/>
      <c r="FE41" s="346"/>
      <c r="FF41" s="1266"/>
      <c r="FG41" s="1266"/>
      <c r="FH41" s="346"/>
      <c r="FI41" s="1266"/>
      <c r="FJ41" s="1266"/>
      <c r="FK41" s="346"/>
      <c r="FL41" s="1266"/>
      <c r="FM41" s="1266"/>
      <c r="FN41" s="346"/>
      <c r="FO41" s="1266"/>
      <c r="FP41" s="1266"/>
      <c r="FQ41" s="346"/>
      <c r="FR41" s="1266"/>
      <c r="FS41" s="1266"/>
      <c r="FT41" s="346"/>
      <c r="FU41" s="1266"/>
      <c r="FV41" s="1266"/>
      <c r="FW41" s="346"/>
      <c r="FX41" s="1266"/>
      <c r="FY41" s="1266"/>
      <c r="FZ41" s="346"/>
      <c r="GA41" s="1266"/>
      <c r="GB41" s="1266"/>
      <c r="GC41" s="346"/>
      <c r="GD41" s="1266"/>
      <c r="GE41" s="1266"/>
      <c r="GF41" s="346"/>
      <c r="GG41" s="1266"/>
      <c r="GH41" s="1266"/>
      <c r="GI41" s="346"/>
      <c r="GJ41" s="1266"/>
      <c r="GK41" s="1266"/>
      <c r="GL41" s="346"/>
      <c r="GM41" s="1266"/>
      <c r="GN41" s="1266"/>
      <c r="GO41" s="346"/>
      <c r="GP41" s="1266"/>
      <c r="GQ41" s="1266"/>
      <c r="GR41" s="346"/>
      <c r="GS41" s="1266"/>
      <c r="GT41" s="1266"/>
      <c r="GU41" s="346"/>
      <c r="GV41" s="1266"/>
      <c r="GW41" s="1266"/>
      <c r="GX41" s="346"/>
      <c r="GY41" s="1266"/>
      <c r="GZ41" s="1266"/>
      <c r="HA41" s="346"/>
      <c r="HB41" s="1266"/>
      <c r="HC41" s="1266"/>
      <c r="HD41" s="346"/>
      <c r="HE41" s="1266"/>
      <c r="HF41" s="1266"/>
      <c r="HG41" s="346"/>
      <c r="HH41" s="1266"/>
      <c r="HI41" s="1266"/>
      <c r="HJ41" s="346"/>
      <c r="HK41" s="1266"/>
      <c r="HL41" s="1266"/>
      <c r="HM41" s="346"/>
      <c r="HN41" s="1266"/>
      <c r="HO41" s="1266"/>
      <c r="HP41" s="346"/>
      <c r="HQ41" s="1266"/>
      <c r="HR41" s="1266"/>
      <c r="HS41" s="346"/>
      <c r="HT41" s="1266"/>
      <c r="HU41" s="1266"/>
      <c r="HV41" s="346"/>
      <c r="HW41" s="1266"/>
      <c r="HX41" s="1266"/>
      <c r="HY41" s="346"/>
      <c r="HZ41" s="1266"/>
      <c r="IA41" s="1266"/>
      <c r="IB41" s="346"/>
      <c r="IC41" s="1266"/>
      <c r="ID41" s="1266"/>
      <c r="IE41" s="346"/>
      <c r="IF41" s="1266"/>
      <c r="IG41" s="1266"/>
      <c r="IH41" s="346"/>
      <c r="II41" s="1266"/>
      <c r="IJ41" s="1266"/>
      <c r="IK41" s="346"/>
      <c r="IL41" s="1266"/>
      <c r="IM41" s="1266"/>
      <c r="IN41" s="346"/>
      <c r="IO41" s="1266"/>
      <c r="IP41" s="1266"/>
      <c r="IQ41" s="346"/>
      <c r="IR41" s="1266"/>
      <c r="IS41" s="1266"/>
      <c r="IT41" s="346"/>
      <c r="IU41" s="1266"/>
      <c r="IV41" s="1266"/>
      <c r="IW41" s="346"/>
      <c r="IX41" s="1266"/>
      <c r="IY41" s="1266"/>
      <c r="IZ41" s="346"/>
      <c r="JA41" s="1266"/>
      <c r="JB41" s="1266"/>
      <c r="JC41" s="346"/>
      <c r="JD41" s="1266"/>
      <c r="JE41" s="1266"/>
      <c r="JF41" s="346"/>
      <c r="JG41" s="1266"/>
      <c r="JH41" s="1266"/>
      <c r="JI41" s="346"/>
      <c r="JJ41" s="1266"/>
      <c r="JK41" s="1266"/>
      <c r="JL41" s="346"/>
      <c r="JM41" s="1266"/>
      <c r="JN41" s="1266"/>
      <c r="JO41" s="346"/>
      <c r="JP41" s="1266"/>
      <c r="JQ41" s="1266"/>
      <c r="JR41" s="346"/>
      <c r="JS41" s="1266"/>
      <c r="JT41" s="1266"/>
      <c r="JU41" s="346"/>
      <c r="JV41" s="1266"/>
      <c r="JW41" s="1266"/>
      <c r="JX41" s="346"/>
      <c r="JY41" s="1266"/>
      <c r="JZ41" s="1266"/>
      <c r="KA41" s="346"/>
      <c r="KB41" s="1266"/>
      <c r="KC41" s="1266"/>
      <c r="KD41" s="346"/>
      <c r="KE41" s="1266"/>
      <c r="KF41" s="1266"/>
      <c r="KG41" s="346"/>
      <c r="KH41" s="1266"/>
      <c r="KI41" s="1266"/>
      <c r="KJ41" s="346"/>
      <c r="KK41" s="1266"/>
      <c r="KL41" s="1266"/>
      <c r="KM41" s="346"/>
      <c r="KN41" s="1266"/>
      <c r="KO41" s="1266"/>
      <c r="KP41" s="346"/>
      <c r="KQ41" s="1266"/>
      <c r="KR41" s="1266"/>
      <c r="KS41" s="346"/>
      <c r="KT41" s="1266"/>
      <c r="KU41" s="1266"/>
      <c r="KV41" s="346"/>
      <c r="KW41" s="1266"/>
      <c r="KX41" s="1266"/>
      <c r="KY41" s="346"/>
      <c r="KZ41" s="1266"/>
      <c r="LA41" s="1266"/>
      <c r="LB41" s="346"/>
      <c r="LC41" s="1266"/>
      <c r="LD41" s="1266"/>
      <c r="LE41" s="346"/>
      <c r="LF41" s="1266"/>
      <c r="LG41" s="1266"/>
      <c r="LH41" s="346"/>
      <c r="LI41" s="1266"/>
      <c r="LJ41" s="1266"/>
      <c r="LK41" s="346"/>
      <c r="LL41" s="1266"/>
      <c r="LM41" s="1266"/>
      <c r="LN41" s="346"/>
      <c r="LO41" s="1266"/>
      <c r="LP41" s="1266"/>
      <c r="LQ41" s="346"/>
      <c r="LR41" s="1266"/>
      <c r="LS41" s="1266"/>
      <c r="LT41" s="346"/>
      <c r="LU41" s="1266"/>
      <c r="LV41" s="1266"/>
      <c r="LW41" s="346"/>
      <c r="LX41" s="1266"/>
      <c r="LY41" s="1266"/>
      <c r="LZ41" s="346"/>
      <c r="MA41" s="1266"/>
      <c r="MB41" s="1266"/>
      <c r="MC41" s="346"/>
      <c r="MD41" s="1266"/>
      <c r="ME41" s="1266"/>
      <c r="MF41" s="346"/>
      <c r="MG41" s="1266"/>
      <c r="MH41" s="1266"/>
      <c r="MI41" s="346"/>
      <c r="MJ41" s="1266"/>
      <c r="MK41" s="1266"/>
      <c r="ML41" s="346"/>
      <c r="MM41" s="1266"/>
      <c r="MN41" s="1266"/>
      <c r="MO41" s="346"/>
      <c r="MP41" s="1266"/>
      <c r="MQ41" s="1266"/>
      <c r="MR41" s="346"/>
      <c r="MS41" s="1266"/>
      <c r="MT41" s="1266"/>
      <c r="MU41" s="346"/>
      <c r="MV41" s="1266"/>
      <c r="MW41" s="1266"/>
      <c r="MX41" s="346"/>
      <c r="MY41" s="1266"/>
      <c r="MZ41" s="1266"/>
      <c r="NA41" s="346"/>
      <c r="NB41" s="1266"/>
      <c r="NC41" s="1266"/>
      <c r="ND41" s="346"/>
      <c r="NE41" s="1266"/>
      <c r="NF41" s="1266"/>
      <c r="NG41" s="346"/>
      <c r="NH41" s="1266"/>
      <c r="NI41" s="1266"/>
      <c r="NJ41" s="346"/>
      <c r="NK41" s="1266"/>
      <c r="NL41" s="1266"/>
      <c r="NM41" s="346"/>
      <c r="NN41" s="1266"/>
      <c r="NO41" s="1266"/>
      <c r="NP41" s="346"/>
      <c r="NQ41" s="1266"/>
      <c r="NR41" s="1266"/>
      <c r="NS41" s="346"/>
      <c r="NT41" s="1266"/>
      <c r="NU41" s="1266"/>
      <c r="NV41" s="346"/>
      <c r="NW41" s="1266"/>
      <c r="NX41" s="1266"/>
      <c r="NY41" s="346"/>
      <c r="NZ41" s="1266"/>
      <c r="OA41" s="1266"/>
      <c r="OB41" s="346"/>
      <c r="OC41" s="1266"/>
      <c r="OD41" s="1266"/>
      <c r="OE41" s="346"/>
      <c r="OF41" s="1266"/>
      <c r="OG41" s="1266"/>
      <c r="OH41" s="346"/>
      <c r="OI41" s="1266"/>
      <c r="OJ41" s="1266"/>
      <c r="OK41" s="346"/>
      <c r="OL41" s="1266"/>
      <c r="OM41" s="1266"/>
      <c r="ON41" s="346"/>
      <c r="OO41" s="1266"/>
      <c r="OP41" s="1266"/>
      <c r="OQ41" s="346"/>
      <c r="OR41" s="1266"/>
      <c r="OS41" s="1266"/>
      <c r="OT41" s="346"/>
      <c r="OU41" s="1266"/>
      <c r="OV41" s="1266"/>
      <c r="OW41" s="346"/>
      <c r="OX41" s="1266"/>
      <c r="OY41" s="1266"/>
      <c r="OZ41" s="346"/>
      <c r="PA41" s="1266"/>
      <c r="PB41" s="1266"/>
      <c r="PC41" s="346"/>
      <c r="PD41" s="1266"/>
      <c r="PE41" s="1266"/>
      <c r="PF41" s="346"/>
      <c r="PG41" s="1266"/>
      <c r="PH41" s="1266"/>
      <c r="PI41" s="346"/>
      <c r="PJ41" s="1266"/>
      <c r="PK41" s="1266"/>
      <c r="PL41" s="346"/>
      <c r="PM41" s="1266"/>
      <c r="PN41" s="1266"/>
      <c r="PO41" s="346"/>
      <c r="PP41" s="1266"/>
      <c r="PQ41" s="1266"/>
      <c r="PR41" s="346"/>
      <c r="PS41" s="1266"/>
      <c r="PT41" s="1266"/>
      <c r="PU41" s="346"/>
      <c r="PV41" s="1304"/>
      <c r="PW41" s="1305"/>
      <c r="PX41" s="1335"/>
      <c r="PY41" s="1304"/>
      <c r="PZ41" s="1305"/>
      <c r="QA41" s="1335"/>
      <c r="QB41" s="1304"/>
      <c r="QC41" s="1305"/>
      <c r="QD41" s="1335"/>
      <c r="QE41" s="1304"/>
      <c r="QF41" s="1305"/>
      <c r="QG41" s="1335"/>
      <c r="QH41" s="1304"/>
      <c r="QI41" s="1305"/>
      <c r="QJ41" s="1335"/>
      <c r="QK41" s="1304"/>
      <c r="QL41" s="1305"/>
      <c r="QM41" s="1335"/>
      <c r="QN41" s="1304"/>
      <c r="QO41" s="1305"/>
      <c r="QP41" s="1335"/>
      <c r="QQ41" s="1304"/>
      <c r="QR41" s="1305"/>
      <c r="QS41" s="1335"/>
      <c r="QT41" s="1304"/>
      <c r="QU41" s="1305"/>
      <c r="QV41" s="1335"/>
      <c r="QW41" s="1304"/>
      <c r="QX41" s="1305"/>
      <c r="QY41" s="1335"/>
      <c r="QZ41" s="1304"/>
      <c r="RA41" s="1305"/>
      <c r="RB41" s="1335"/>
      <c r="RC41" s="1304"/>
      <c r="RD41" s="1305"/>
      <c r="RE41" s="1335"/>
      <c r="RF41" s="1304"/>
      <c r="RG41" s="1305"/>
      <c r="RH41" s="1335"/>
      <c r="RI41" s="1303">
        <v>184705</v>
      </c>
      <c r="RJ41" s="1303"/>
      <c r="RK41" s="1351"/>
      <c r="RL41" s="1303">
        <v>250099</v>
      </c>
      <c r="RM41" s="1303"/>
      <c r="RN41" s="1351"/>
      <c r="RO41" s="1303">
        <v>206858</v>
      </c>
      <c r="RP41" s="1303"/>
      <c r="RQ41" s="1351"/>
      <c r="RR41" s="1303">
        <v>212441</v>
      </c>
      <c r="RS41" s="1303"/>
      <c r="RT41" s="1351"/>
      <c r="RU41" s="1303">
        <v>179902</v>
      </c>
      <c r="RV41" s="1303"/>
      <c r="RW41" s="1351"/>
      <c r="RX41" s="1304"/>
      <c r="RY41" s="1305"/>
      <c r="RZ41" s="1335"/>
      <c r="SA41" s="1304"/>
      <c r="SB41" s="1305"/>
      <c r="SC41" s="1335"/>
      <c r="SD41" s="1304">
        <v>177864</v>
      </c>
      <c r="SE41" s="1305"/>
      <c r="SF41" s="1335"/>
      <c r="SG41" s="1304">
        <v>148970</v>
      </c>
      <c r="SH41" s="1305"/>
      <c r="SI41" s="1335"/>
      <c r="SJ41" s="1304">
        <v>130474</v>
      </c>
      <c r="SK41" s="1305"/>
      <c r="SL41" s="1335"/>
      <c r="SM41" s="1304">
        <v>136939</v>
      </c>
      <c r="SN41" s="1305"/>
      <c r="SO41" s="1335"/>
      <c r="SP41" s="1304">
        <v>131225</v>
      </c>
      <c r="SQ41" s="1305"/>
      <c r="SR41" s="1335"/>
      <c r="SS41" s="1304"/>
      <c r="ST41" s="1305"/>
      <c r="SU41" s="1335"/>
      <c r="SV41" s="1304"/>
      <c r="SW41" s="1305"/>
      <c r="SX41" s="1335"/>
      <c r="SY41" s="1304"/>
      <c r="SZ41" s="1305"/>
      <c r="TA41" s="1335"/>
      <c r="TB41" s="1304"/>
      <c r="TC41" s="1305"/>
      <c r="TD41" s="1335"/>
      <c r="TE41" s="1304">
        <v>129965</v>
      </c>
      <c r="TF41" s="1305"/>
      <c r="TG41" s="1335"/>
      <c r="TH41" s="1304"/>
      <c r="TI41" s="1305"/>
      <c r="TJ41" s="1335"/>
      <c r="TK41" s="1304"/>
      <c r="TL41" s="1305"/>
      <c r="TM41" s="1335"/>
      <c r="TN41" s="1304"/>
      <c r="TO41" s="1305"/>
      <c r="TP41" s="1335"/>
      <c r="TQ41" s="1304"/>
      <c r="TR41" s="1305"/>
      <c r="TS41" s="1335"/>
      <c r="TT41" s="1304">
        <v>158045</v>
      </c>
      <c r="TU41" s="1305"/>
      <c r="TV41" s="1335"/>
      <c r="TW41" s="1304"/>
      <c r="TX41" s="1305"/>
      <c r="TY41" s="1335"/>
      <c r="TZ41" s="1304">
        <v>144195</v>
      </c>
      <c r="UA41" s="1305"/>
      <c r="UB41" s="1335"/>
      <c r="UC41" s="1304">
        <v>157290</v>
      </c>
      <c r="UD41" s="1308"/>
      <c r="UE41" s="1352"/>
      <c r="UF41" s="1304">
        <v>163886</v>
      </c>
      <c r="UG41" s="1308"/>
      <c r="UH41" s="1352"/>
      <c r="UI41" s="1304"/>
      <c r="UJ41" s="1308"/>
      <c r="UK41" s="1352"/>
      <c r="UL41" s="1304"/>
      <c r="UM41" s="1308"/>
      <c r="UN41" s="1352"/>
      <c r="UO41" s="1304">
        <v>148402</v>
      </c>
      <c r="UP41" s="1308"/>
      <c r="UQ41" s="1352"/>
      <c r="UR41" s="1304"/>
      <c r="US41" s="1308"/>
      <c r="UT41" s="1352"/>
      <c r="UU41" s="1304">
        <v>133172</v>
      </c>
      <c r="UV41" s="1308"/>
      <c r="UW41" s="1352"/>
      <c r="UX41" s="1304"/>
      <c r="UY41" s="1308"/>
      <c r="UZ41" s="1352"/>
      <c r="VA41" s="1304">
        <v>181984</v>
      </c>
      <c r="VB41" s="1308"/>
      <c r="VC41" s="1352"/>
      <c r="VD41" s="1304"/>
      <c r="VE41" s="1308"/>
      <c r="VF41" s="1352"/>
      <c r="VG41" s="1304"/>
      <c r="VH41" s="1308"/>
      <c r="VI41" s="1352"/>
      <c r="VJ41" s="1304">
        <v>134071</v>
      </c>
      <c r="VK41" s="1308"/>
      <c r="VL41" s="1352"/>
      <c r="VM41" s="1304"/>
      <c r="VN41" s="1308"/>
      <c r="VO41" s="1352"/>
      <c r="VP41" s="1304">
        <v>138359</v>
      </c>
      <c r="VQ41" s="1308"/>
      <c r="VR41" s="1352"/>
      <c r="VS41" s="1304"/>
      <c r="VT41" s="1308"/>
      <c r="VU41" s="1352"/>
      <c r="VV41" s="1304">
        <v>154684</v>
      </c>
      <c r="VW41" s="1308"/>
      <c r="VX41" s="1352"/>
      <c r="VY41" s="1304"/>
      <c r="VZ41" s="1308"/>
      <c r="WA41" s="1352"/>
      <c r="WB41" s="1304"/>
      <c r="WC41" s="1308"/>
      <c r="WD41" s="1352"/>
      <c r="WE41" s="1304">
        <v>118229</v>
      </c>
      <c r="WF41" s="1308"/>
      <c r="WG41" s="1352"/>
      <c r="WH41" s="1304"/>
      <c r="WI41" s="1308"/>
      <c r="WJ41" s="1352"/>
      <c r="WK41" s="1304">
        <v>149245</v>
      </c>
      <c r="WL41" s="1308"/>
      <c r="WM41" s="1352"/>
      <c r="WN41" s="1304"/>
      <c r="WO41" s="1308"/>
      <c r="WP41" s="1352"/>
      <c r="WQ41" s="1304">
        <v>170557</v>
      </c>
      <c r="WR41" s="1308"/>
      <c r="WS41" s="1352"/>
      <c r="WT41" s="1304"/>
      <c r="WU41" s="1308"/>
      <c r="WV41" s="1352"/>
      <c r="WW41" s="1304"/>
      <c r="WX41" s="1308"/>
      <c r="WY41" s="1352"/>
      <c r="WZ41" s="1304">
        <v>134364</v>
      </c>
      <c r="XA41" s="1308"/>
      <c r="XB41" s="1352"/>
      <c r="XC41" s="1304"/>
      <c r="XD41" s="1308"/>
      <c r="XE41" s="1352"/>
      <c r="XF41" s="1304">
        <v>176659</v>
      </c>
      <c r="XG41" s="1308"/>
      <c r="XH41" s="1352"/>
      <c r="XI41" s="1304"/>
      <c r="XJ41" s="1308"/>
      <c r="XK41" s="1352"/>
      <c r="XL41" s="1304">
        <v>203978</v>
      </c>
      <c r="XM41" s="1308"/>
      <c r="XN41" s="1352"/>
      <c r="XO41" s="1304"/>
      <c r="XP41" s="1308"/>
      <c r="XQ41" s="1352"/>
      <c r="XR41" s="1304"/>
      <c r="XS41" s="1308"/>
      <c r="XT41" s="1352"/>
      <c r="XU41" s="1304">
        <v>159448</v>
      </c>
      <c r="XV41" s="1308"/>
      <c r="XW41" s="1352"/>
      <c r="XX41" s="1304"/>
      <c r="XY41" s="1308"/>
      <c r="XZ41" s="1352"/>
      <c r="YA41" s="1304">
        <v>183649</v>
      </c>
      <c r="YB41" s="1308"/>
      <c r="YC41" s="1352"/>
      <c r="YD41" s="1304"/>
      <c r="YE41" s="1308"/>
      <c r="YF41" s="1352"/>
      <c r="YG41" s="1304">
        <v>212845</v>
      </c>
      <c r="YH41" s="1308"/>
      <c r="YI41" s="1352"/>
      <c r="YJ41" s="1304"/>
      <c r="YK41" s="1308"/>
      <c r="YL41" s="1352"/>
      <c r="YM41" s="1304"/>
      <c r="YN41" s="1308"/>
      <c r="YO41" s="1352"/>
      <c r="YP41" s="1304">
        <v>180922</v>
      </c>
      <c r="YQ41" s="1308"/>
      <c r="YR41" s="1352"/>
      <c r="YS41" s="1304"/>
      <c r="YT41" s="1308"/>
      <c r="YU41" s="1352"/>
      <c r="YV41" s="1304">
        <v>197727</v>
      </c>
      <c r="YW41" s="1308"/>
      <c r="YX41" s="1352"/>
      <c r="YY41" s="1304"/>
      <c r="YZ41" s="1308"/>
      <c r="ZA41" s="1352"/>
      <c r="ZB41" s="1304">
        <v>200625</v>
      </c>
      <c r="ZC41" s="1308"/>
      <c r="ZD41" s="1352"/>
      <c r="ZE41" s="1304"/>
      <c r="ZF41" s="1308"/>
      <c r="ZG41" s="1352"/>
      <c r="ZH41" s="1304"/>
      <c r="ZI41" s="1308"/>
      <c r="ZJ41" s="1352"/>
      <c r="ZK41" s="1304">
        <v>163947</v>
      </c>
      <c r="ZL41" s="1308"/>
      <c r="ZM41" s="1352"/>
      <c r="ZN41" s="1304"/>
      <c r="ZO41" s="1308"/>
      <c r="ZP41" s="1352"/>
      <c r="ZQ41" s="1304">
        <v>189847</v>
      </c>
      <c r="ZR41" s="1308"/>
      <c r="ZS41" s="1352"/>
      <c r="ZT41" s="1304"/>
      <c r="ZU41" s="1308"/>
      <c r="ZV41" s="1352"/>
      <c r="ZW41" s="1304">
        <v>176242</v>
      </c>
      <c r="ZX41" s="1308"/>
      <c r="ZY41" s="1352"/>
      <c r="ZZ41" s="1304"/>
      <c r="AAA41" s="1308"/>
      <c r="AAB41" s="1352"/>
      <c r="AAC41" s="1304"/>
      <c r="AAD41" s="1308"/>
      <c r="AAE41" s="1352"/>
      <c r="AAF41" s="1304">
        <v>163036</v>
      </c>
      <c r="AAG41" s="1308"/>
      <c r="AAH41" s="1352"/>
      <c r="AAI41" s="1304"/>
      <c r="AAJ41" s="1308"/>
      <c r="AAK41" s="1352"/>
      <c r="AAL41" s="1304">
        <v>154205</v>
      </c>
      <c r="AAM41" s="1308"/>
      <c r="AAN41" s="1352"/>
      <c r="AAO41" s="1304"/>
      <c r="AAP41" s="1308"/>
      <c r="AAQ41" s="1352"/>
      <c r="AAR41" s="1304">
        <v>147320</v>
      </c>
      <c r="AAS41" s="1308"/>
      <c r="AAT41" s="1352"/>
      <c r="AAU41" s="1304"/>
      <c r="AAV41" s="1308"/>
      <c r="AAW41" s="1352"/>
      <c r="AAX41" s="1304"/>
      <c r="AAY41" s="1308"/>
      <c r="AAZ41" s="1352"/>
      <c r="ABA41" s="1304">
        <v>148885</v>
      </c>
      <c r="ABB41" s="1308"/>
      <c r="ABC41" s="1352"/>
      <c r="ABD41" s="1304"/>
      <c r="ABE41" s="1308"/>
      <c r="ABF41" s="1352"/>
      <c r="ABG41" s="1304">
        <v>163019</v>
      </c>
      <c r="ABH41" s="1308"/>
      <c r="ABI41" s="1352"/>
      <c r="ABJ41" s="1304"/>
      <c r="ABK41" s="1308"/>
      <c r="ABL41" s="1352"/>
      <c r="ABM41" s="1304">
        <v>172866</v>
      </c>
      <c r="ABN41" s="1308"/>
      <c r="ABO41" s="1352"/>
      <c r="ABP41" s="1304"/>
      <c r="ABQ41" s="1308"/>
      <c r="ABR41" s="1352"/>
      <c r="ABS41" s="1304"/>
      <c r="ABT41" s="1308"/>
      <c r="ABU41" s="1352"/>
      <c r="ABV41" s="1304">
        <v>190990</v>
      </c>
      <c r="ABW41" s="1308"/>
      <c r="ABX41" s="1352"/>
      <c r="ABY41" s="1304"/>
      <c r="ABZ41" s="1308"/>
      <c r="ACA41" s="1352"/>
      <c r="ACB41" s="1304">
        <v>168322</v>
      </c>
      <c r="ACC41" s="1308"/>
      <c r="ACD41" s="1352"/>
      <c r="ACE41" s="1304"/>
      <c r="ACF41" s="1308"/>
      <c r="ACG41" s="1352"/>
      <c r="ACH41" s="1304"/>
      <c r="ACI41" s="1308"/>
      <c r="ACJ41" s="1352"/>
      <c r="ACK41" s="1304"/>
      <c r="ACL41" s="1308"/>
      <c r="ACM41" s="1352"/>
      <c r="ACN41" s="1304"/>
      <c r="ACO41" s="1308"/>
      <c r="ACP41" s="1352"/>
      <c r="ACQ41" s="1304">
        <v>139071</v>
      </c>
      <c r="ACR41" s="1308"/>
      <c r="ACS41" s="1352"/>
      <c r="ACT41" s="1304"/>
      <c r="ACU41" s="1308"/>
      <c r="ACV41" s="1352"/>
      <c r="ACW41" s="1304">
        <v>142319</v>
      </c>
      <c r="ACX41" s="1308"/>
      <c r="ACY41" s="1352"/>
      <c r="ACZ41" s="1304"/>
      <c r="ADA41" s="1308"/>
      <c r="ADB41" s="1352"/>
      <c r="ADC41" s="1304">
        <v>125564</v>
      </c>
      <c r="ADD41" s="1308"/>
      <c r="ADE41" s="1352"/>
      <c r="ADF41" s="1304"/>
      <c r="ADG41" s="1308"/>
      <c r="ADH41" s="1352"/>
      <c r="ADI41" s="1304"/>
      <c r="ADJ41" s="1308"/>
      <c r="ADK41" s="1352"/>
      <c r="ADL41" s="1304">
        <v>129807</v>
      </c>
      <c r="ADM41" s="1308"/>
      <c r="ADN41" s="1352"/>
      <c r="ADO41" s="1304"/>
      <c r="ADP41" s="1308"/>
      <c r="ADQ41" s="1352"/>
      <c r="ADR41" s="1304"/>
      <c r="ADS41" s="1308"/>
      <c r="ADT41" s="1352"/>
      <c r="ADU41" s="1304"/>
      <c r="ADV41" s="1308"/>
      <c r="ADW41" s="1352"/>
      <c r="ADX41" s="1304">
        <v>121773</v>
      </c>
      <c r="ADY41" s="1308"/>
      <c r="ADZ41" s="1352"/>
      <c r="AEA41" s="1304"/>
      <c r="AEB41" s="1308"/>
      <c r="AEC41" s="1352"/>
      <c r="AED41" s="1304"/>
      <c r="AEE41" s="1308"/>
      <c r="AEF41" s="1352"/>
      <c r="AEG41" s="1304">
        <v>134046</v>
      </c>
      <c r="AEH41" s="1308"/>
      <c r="AEI41" s="1352"/>
      <c r="AEJ41" s="1304"/>
      <c r="AEK41" s="1308"/>
      <c r="AEL41" s="1352"/>
      <c r="AEM41" s="1304">
        <v>160218</v>
      </c>
      <c r="AEN41" s="1308"/>
      <c r="AEO41" s="1352"/>
      <c r="AEP41" s="1304"/>
      <c r="AEQ41" s="1308"/>
      <c r="AER41" s="1352"/>
      <c r="AES41" s="1304">
        <v>189025</v>
      </c>
      <c r="AET41" s="1308"/>
      <c r="AEU41" s="1352"/>
      <c r="AEV41" s="1304"/>
      <c r="AEW41" s="1308"/>
      <c r="AEX41" s="1352"/>
      <c r="AEY41" s="1304"/>
      <c r="AEZ41" s="1308"/>
      <c r="AFA41" s="1352"/>
      <c r="AFB41" s="1304">
        <v>188134</v>
      </c>
      <c r="AFC41" s="1308"/>
      <c r="AFD41" s="1352"/>
      <c r="AFE41" s="1304"/>
      <c r="AFF41" s="1308"/>
      <c r="AFG41" s="1352"/>
      <c r="AFH41" s="1304">
        <v>188851</v>
      </c>
      <c r="AFI41" s="1308"/>
      <c r="AFJ41" s="1352"/>
      <c r="AFK41" s="1304"/>
      <c r="AFL41" s="1308"/>
      <c r="AFM41" s="1352"/>
      <c r="AFN41" s="1304">
        <v>205499</v>
      </c>
      <c r="AFO41" s="1308"/>
      <c r="AFP41" s="1352"/>
      <c r="AFQ41" s="1304"/>
      <c r="AFR41" s="1308"/>
      <c r="AFS41" s="1352"/>
      <c r="AFT41" s="1304"/>
      <c r="AFU41" s="1308"/>
      <c r="AFV41" s="1352"/>
      <c r="AFW41" s="1304">
        <v>173664</v>
      </c>
      <c r="AFX41" s="1308"/>
      <c r="AFY41" s="1352"/>
      <c r="AFZ41" s="1304"/>
      <c r="AGA41" s="1308"/>
      <c r="AGB41" s="1352"/>
      <c r="AGC41" s="1304">
        <v>185786</v>
      </c>
      <c r="AGD41" s="1308"/>
      <c r="AGE41" s="1352"/>
      <c r="AGF41" s="1304"/>
      <c r="AGG41" s="1308"/>
      <c r="AGH41" s="1352"/>
      <c r="AGI41" s="1304">
        <v>187954</v>
      </c>
      <c r="AGJ41" s="1308"/>
      <c r="AGK41" s="1352"/>
      <c r="AGL41" s="1304"/>
      <c r="AGM41" s="1308"/>
      <c r="AGN41" s="1352"/>
      <c r="AGO41" s="1304"/>
      <c r="AGP41" s="1308"/>
      <c r="AGQ41" s="1352"/>
      <c r="AGR41" s="1304">
        <v>158998</v>
      </c>
      <c r="AGS41" s="1308"/>
      <c r="AGT41" s="1352"/>
      <c r="AGU41" s="1304"/>
      <c r="AGV41" s="1308"/>
      <c r="AGW41" s="1352"/>
      <c r="AGX41" s="1304">
        <v>153662</v>
      </c>
      <c r="AGY41" s="1308"/>
      <c r="AGZ41" s="1352"/>
      <c r="AHA41" s="1304"/>
      <c r="AHB41" s="1308"/>
      <c r="AHC41" s="1352"/>
      <c r="AHD41" s="1304"/>
      <c r="AHE41" s="1308"/>
      <c r="AHF41" s="1352"/>
      <c r="AHG41" s="1304"/>
      <c r="AHH41" s="1308"/>
      <c r="AHI41" s="1352"/>
      <c r="AHJ41" s="1304"/>
      <c r="AHK41" s="1308"/>
      <c r="AHL41" s="1352"/>
      <c r="AHM41" s="1304"/>
      <c r="AHN41" s="1308"/>
      <c r="AHO41" s="1352"/>
      <c r="AHP41" s="1304">
        <v>151103</v>
      </c>
      <c r="AHQ41" s="1308"/>
      <c r="AHR41" s="1352"/>
      <c r="AHS41" s="1304"/>
      <c r="AHT41" s="1308"/>
      <c r="AHU41" s="1352"/>
      <c r="AHV41" s="1304"/>
      <c r="AHW41" s="1308"/>
      <c r="AHX41" s="1352"/>
      <c r="AHY41" s="1304">
        <v>145429</v>
      </c>
      <c r="AHZ41" s="1308"/>
      <c r="AIA41" s="1352"/>
      <c r="AIB41" s="1304"/>
      <c r="AIC41" s="1308"/>
      <c r="AID41" s="1308"/>
      <c r="AIE41" s="1304"/>
      <c r="AIF41" s="1308"/>
      <c r="AIG41" s="1352"/>
      <c r="AIH41" s="1304"/>
      <c r="AII41" s="1308"/>
      <c r="AIJ41" s="1352"/>
      <c r="AIK41" s="1304">
        <v>124473</v>
      </c>
      <c r="AIL41" s="1308"/>
      <c r="AIM41" s="1352"/>
      <c r="AIN41" s="1304"/>
      <c r="AIO41" s="1308"/>
      <c r="AIP41" s="1352"/>
      <c r="AIQ41" s="1304">
        <v>101424</v>
      </c>
      <c r="AIR41" s="1308"/>
      <c r="AIS41" s="1308"/>
      <c r="AIT41" s="1304"/>
      <c r="AIU41" s="1308"/>
      <c r="AIV41" s="1352"/>
      <c r="AIW41" s="1304"/>
      <c r="AIX41" s="1308"/>
      <c r="AIY41" s="1308"/>
      <c r="AIZ41" s="1304"/>
      <c r="AJA41" s="1308"/>
      <c r="AJB41" s="1352"/>
      <c r="AJC41" s="1304"/>
      <c r="AJD41" s="1308"/>
      <c r="AJE41" s="1352"/>
      <c r="AJF41" s="1304">
        <v>131936.24</v>
      </c>
      <c r="AJG41" s="1308"/>
      <c r="AJH41" s="1352"/>
      <c r="AJI41" s="1304"/>
      <c r="AJJ41" s="1308"/>
      <c r="AJK41" s="1352"/>
      <c r="AJL41" s="1304"/>
      <c r="AJM41" s="1308"/>
      <c r="AJN41" s="1308"/>
      <c r="AJO41" s="1304">
        <v>139091.12</v>
      </c>
      <c r="AJP41" s="1308"/>
      <c r="AJQ41" s="1352"/>
      <c r="AJR41" s="1304"/>
      <c r="AJS41" s="1308"/>
      <c r="AJT41" s="1308"/>
      <c r="AJU41" s="1304"/>
      <c r="AJV41" s="1308"/>
      <c r="AJW41" s="1352"/>
      <c r="AJX41" s="1304">
        <v>152761.47</v>
      </c>
      <c r="AJY41" s="1308"/>
      <c r="AJZ41" s="1352"/>
      <c r="AKA41" s="1304"/>
      <c r="AKB41" s="1308"/>
      <c r="AKC41" s="1352"/>
      <c r="AKD41" s="1304"/>
      <c r="AKE41" s="1308"/>
      <c r="AKF41" s="1352"/>
      <c r="AKG41" s="1304"/>
      <c r="AKH41" s="1308"/>
      <c r="AKI41" s="1308"/>
      <c r="AKJ41" s="1304"/>
      <c r="AKK41" s="1308"/>
      <c r="AKL41" s="1352"/>
      <c r="AKM41" s="1304"/>
      <c r="AKN41" s="1308"/>
      <c r="AKO41" s="1308"/>
      <c r="AKP41" s="1304"/>
      <c r="AKQ41" s="1308"/>
      <c r="AKR41" s="1352"/>
      <c r="AKS41" s="1304"/>
      <c r="AKT41" s="1308"/>
      <c r="AKU41" s="1352"/>
      <c r="AKV41" s="1304">
        <v>97461.801999999996</v>
      </c>
      <c r="AKW41" s="1308"/>
      <c r="AKX41" s="1352"/>
      <c r="AKY41" s="1304">
        <v>96271.998000000007</v>
      </c>
      <c r="AKZ41" s="1308"/>
      <c r="ALA41" s="1352"/>
      <c r="ALB41" s="1304"/>
      <c r="ALC41" s="1308"/>
      <c r="ALD41" s="1308"/>
      <c r="ALE41" s="1304">
        <v>72528.998000000007</v>
      </c>
      <c r="ALF41" s="1308"/>
      <c r="ALG41" s="1352"/>
      <c r="ALH41" s="1304"/>
      <c r="ALI41" s="1308"/>
      <c r="ALJ41" s="1308"/>
      <c r="ALK41" s="1304"/>
      <c r="ALL41" s="1308"/>
      <c r="ALM41" s="1352"/>
      <c r="ALN41" s="1304"/>
      <c r="ALO41" s="1308"/>
      <c r="ALP41" s="1352"/>
      <c r="ALQ41" s="1304">
        <v>91704.384000000005</v>
      </c>
      <c r="ALR41" s="1308"/>
      <c r="ALS41" s="1352"/>
      <c r="ALT41" s="1304">
        <v>96375.75</v>
      </c>
      <c r="ALU41" s="1308"/>
      <c r="ALV41" s="1352"/>
      <c r="ALW41" s="1304"/>
      <c r="ALX41" s="1308"/>
      <c r="ALY41" s="1308"/>
      <c r="ALZ41" s="1304">
        <v>76224.89</v>
      </c>
      <c r="AMA41" s="1308"/>
      <c r="AMB41" s="1352"/>
      <c r="AMC41" s="1304"/>
      <c r="AMD41" s="1308"/>
      <c r="AME41" s="1308"/>
      <c r="AMF41" s="1304"/>
      <c r="AMG41" s="1308"/>
      <c r="AMH41" s="1352"/>
      <c r="AMI41" s="1304">
        <v>82186.096000000005</v>
      </c>
      <c r="AMJ41" s="1308"/>
      <c r="AMK41" s="1352"/>
      <c r="AML41" s="1304"/>
      <c r="AMM41" s="1308"/>
      <c r="AMN41" s="1352"/>
      <c r="AMO41" s="1304">
        <v>81823.228000000003</v>
      </c>
      <c r="AMP41" s="1308"/>
      <c r="AMQ41" s="1352"/>
      <c r="AMR41" s="1304"/>
      <c r="AMS41" s="1308"/>
      <c r="AMT41" s="1308"/>
      <c r="AMU41" s="1304">
        <v>102915.302</v>
      </c>
      <c r="AMV41" s="1308"/>
      <c r="AMW41" s="1352"/>
      <c r="AMX41" s="1304"/>
      <c r="AMY41" s="1308"/>
      <c r="AMZ41" s="1308"/>
      <c r="ANA41" s="1304"/>
      <c r="ANB41" s="1308"/>
      <c r="ANC41" s="1352"/>
      <c r="AND41" s="1304">
        <v>133017.70000000001</v>
      </c>
      <c r="ANE41" s="1308"/>
      <c r="ANF41" s="1352"/>
      <c r="ANG41" s="1304"/>
      <c r="ANH41" s="1308"/>
      <c r="ANI41" s="1352"/>
      <c r="ANJ41" s="1304"/>
      <c r="ANK41" s="1308"/>
      <c r="ANL41" s="1352"/>
      <c r="ANM41" s="1304">
        <v>120013.818</v>
      </c>
      <c r="ANN41" s="1308"/>
      <c r="ANO41" s="1308"/>
      <c r="ANP41" s="1304"/>
      <c r="ANQ41" s="1308"/>
      <c r="ANR41" s="1352"/>
      <c r="ANS41" s="1304"/>
      <c r="ANT41" s="1308"/>
      <c r="ANU41" s="1308"/>
      <c r="ANV41" s="1304"/>
      <c r="ANW41" s="1308"/>
      <c r="ANX41" s="1352"/>
      <c r="ANY41" s="1304">
        <v>127886.166</v>
      </c>
      <c r="ANZ41" s="1308"/>
      <c r="AOA41" s="1352"/>
      <c r="AOB41" s="1304"/>
      <c r="AOC41" s="1308"/>
      <c r="AOD41" s="1352"/>
      <c r="AOE41" s="1304">
        <v>140783.20000000001</v>
      </c>
      <c r="AOF41" s="1308"/>
      <c r="AOG41" s="1352"/>
      <c r="AOH41" s="1304"/>
      <c r="AOI41" s="1308"/>
      <c r="AOJ41" s="1308"/>
      <c r="AOK41" s="1304"/>
      <c r="AOL41" s="1308"/>
      <c r="AOM41" s="1352"/>
      <c r="AON41" s="1304"/>
      <c r="AOO41" s="1308"/>
      <c r="AOP41" s="1308"/>
      <c r="AOQ41" s="1304"/>
      <c r="AOR41" s="1308"/>
      <c r="AOS41" s="1352"/>
      <c r="AOT41" s="1304">
        <v>176546.35</v>
      </c>
      <c r="AOU41" s="1308"/>
      <c r="AOV41" s="1352"/>
      <c r="AOW41" s="1304"/>
      <c r="AOX41" s="1308"/>
      <c r="AOY41" s="1352"/>
      <c r="AOZ41" s="1304"/>
      <c r="APA41" s="1308"/>
      <c r="APB41" s="1352"/>
      <c r="APC41" s="1304"/>
      <c r="APD41" s="1308"/>
      <c r="APE41" s="1308"/>
      <c r="APF41" s="1304"/>
      <c r="APG41" s="1308"/>
      <c r="APH41" s="1352"/>
      <c r="API41" s="1304"/>
      <c r="APJ41" s="1308"/>
      <c r="APK41" s="1308"/>
      <c r="APL41" s="1304"/>
      <c r="APM41" s="1308"/>
      <c r="APN41" s="1352"/>
      <c r="APO41" s="1304">
        <v>127287.526</v>
      </c>
      <c r="APP41" s="1308"/>
      <c r="APQ41" s="1352"/>
      <c r="APR41" s="1304"/>
      <c r="APS41" s="1308"/>
      <c r="APT41" s="1352"/>
      <c r="APU41" s="1304"/>
      <c r="APV41" s="1308"/>
      <c r="APW41" s="1352"/>
      <c r="APX41" s="1304"/>
      <c r="APY41" s="1308"/>
      <c r="APZ41" s="1308"/>
      <c r="AQA41" s="1304"/>
      <c r="AQB41" s="1308"/>
      <c r="AQC41" s="1352"/>
      <c r="AQD41" s="1304"/>
      <c r="AQE41" s="1308"/>
      <c r="AQF41" s="1352"/>
      <c r="AQG41" s="1304">
        <v>147904.39199999999</v>
      </c>
      <c r="AQH41" s="1308"/>
      <c r="AQI41" s="1352"/>
      <c r="AQJ41" s="1304"/>
      <c r="AQK41" s="1308"/>
      <c r="AQL41" s="1352"/>
      <c r="AQM41" s="1304"/>
      <c r="AQN41" s="1308"/>
      <c r="AQO41" s="1308"/>
      <c r="AQP41" s="1304"/>
      <c r="AQQ41" s="1308"/>
      <c r="AQR41" s="1308"/>
      <c r="AQS41" s="1304"/>
      <c r="AQT41" s="1308"/>
      <c r="AQU41" s="1352"/>
      <c r="AQV41" s="1305"/>
      <c r="AQW41" s="1308"/>
      <c r="AQX41" s="1352"/>
      <c r="AQY41" s="1304"/>
      <c r="AQZ41" s="1308"/>
      <c r="ARA41" s="1352"/>
      <c r="ARB41" s="1304"/>
      <c r="ARC41" s="1308"/>
      <c r="ARD41" s="1352"/>
      <c r="ARE41" s="1304"/>
      <c r="ARF41" s="1308"/>
      <c r="ARG41" s="1352"/>
      <c r="ARH41" s="1304"/>
      <c r="ARI41" s="1308"/>
      <c r="ARJ41" s="1308"/>
      <c r="ARK41" s="1304"/>
      <c r="ARL41" s="1308"/>
      <c r="ARM41" s="1352"/>
      <c r="ARN41" s="1304"/>
      <c r="ARO41" s="1308"/>
      <c r="ARP41" s="1352"/>
      <c r="ARQ41" s="1305"/>
      <c r="ARR41" s="1308"/>
      <c r="ARS41" s="1352"/>
      <c r="ART41" s="1305"/>
      <c r="ARU41" s="1308"/>
      <c r="ARV41" s="1352"/>
      <c r="ARW41" s="1305"/>
      <c r="ARX41" s="1308"/>
      <c r="ARY41" s="1352"/>
      <c r="ARZ41" s="1304"/>
      <c r="ASA41" s="1308"/>
      <c r="ASB41" s="1352"/>
      <c r="ASC41" s="1304"/>
      <c r="ASD41" s="1308"/>
      <c r="ASE41" s="1308"/>
      <c r="ASF41" s="1304"/>
      <c r="ASG41" s="1308"/>
      <c r="ASH41" s="1352"/>
      <c r="ASI41" s="1304"/>
      <c r="ASJ41" s="1308"/>
      <c r="ASK41" s="1308"/>
      <c r="ASL41" s="1304"/>
      <c r="ASM41" s="1308"/>
      <c r="ASN41" s="1352"/>
      <c r="ASO41" s="1304"/>
      <c r="ASP41" s="1308"/>
      <c r="ASQ41" s="1308"/>
      <c r="ASR41" s="1304"/>
      <c r="ASS41" s="1308"/>
      <c r="AST41" s="1352"/>
      <c r="ASU41" s="1304"/>
      <c r="ASV41" s="1308"/>
      <c r="ASW41" s="1352"/>
      <c r="ASX41" s="1304"/>
      <c r="ASY41" s="1308"/>
      <c r="ASZ41" s="1308"/>
      <c r="ATA41" s="1304"/>
      <c r="ATB41" s="1308"/>
      <c r="ATC41" s="1352"/>
      <c r="ATD41" s="1304"/>
      <c r="ATE41" s="1308"/>
      <c r="ATF41" s="1308"/>
      <c r="ATG41" s="1304"/>
      <c r="ATH41" s="1308"/>
      <c r="ATI41" s="1352"/>
      <c r="ATJ41" s="1304"/>
      <c r="ATK41" s="1308"/>
      <c r="ATL41" s="1352"/>
      <c r="ATM41" s="1304"/>
      <c r="ATN41" s="1308"/>
      <c r="ATO41" s="1352"/>
      <c r="ATP41" s="1304"/>
      <c r="ATQ41" s="1308"/>
      <c r="ATR41" s="1352"/>
      <c r="ATS41" s="1304"/>
      <c r="ATT41" s="1308"/>
      <c r="ATU41" s="1352"/>
      <c r="ATV41" s="1305"/>
      <c r="ATW41" s="1308"/>
      <c r="ATX41" s="1352"/>
      <c r="ATY41" s="1304"/>
      <c r="ATZ41" s="1308"/>
      <c r="AUA41" s="1308"/>
      <c r="AUB41" s="1304"/>
      <c r="AUC41" s="1308"/>
      <c r="AUD41" s="1352"/>
      <c r="AUE41" s="1304"/>
      <c r="AUF41" s="1308"/>
      <c r="AUG41" s="1352"/>
      <c r="AUH41" s="1304"/>
      <c r="AUI41" s="1308"/>
      <c r="AUJ41" s="1352"/>
      <c r="AUK41" s="1304"/>
      <c r="AUL41" s="1308"/>
      <c r="AUM41" s="1308"/>
      <c r="AUN41" s="1304"/>
      <c r="AUO41" s="1308"/>
      <c r="AUP41" s="1308"/>
      <c r="AUQ41" s="1304"/>
      <c r="AUR41" s="1308"/>
      <c r="AUS41" s="1308"/>
      <c r="AUT41" s="1304"/>
      <c r="AUU41" s="1308"/>
      <c r="AUV41" s="1308"/>
      <c r="AUW41" s="1304"/>
      <c r="AUX41" s="1308"/>
      <c r="AUY41" s="1308"/>
      <c r="AUZ41" s="1304"/>
      <c r="AVA41" s="1308"/>
      <c r="AVB41" s="1308"/>
      <c r="AVC41" s="1304"/>
      <c r="AVD41" s="1308"/>
      <c r="AVE41" s="1308"/>
      <c r="AVF41" s="1304"/>
      <c r="AVG41" s="1308"/>
      <c r="AVH41" s="1308"/>
      <c r="AVI41" s="1304"/>
      <c r="AVJ41" s="1308"/>
      <c r="AVK41" s="1308"/>
      <c r="AVL41" s="1304"/>
      <c r="AVM41" s="1308"/>
      <c r="AVN41" s="1308"/>
      <c r="AVO41" s="1304">
        <v>274000</v>
      </c>
      <c r="AVP41" s="1308"/>
      <c r="AVQ41" s="1308"/>
      <c r="AVR41" s="1304"/>
      <c r="AVS41" s="1308"/>
      <c r="AVT41" s="1308"/>
      <c r="AVU41" s="1304"/>
      <c r="AVV41" s="1308"/>
      <c r="AVW41" s="1308"/>
      <c r="AVX41" s="1304"/>
      <c r="AVY41" s="1308"/>
      <c r="AVZ41" s="1308"/>
      <c r="AWA41" s="1304"/>
      <c r="AWB41" s="1308"/>
      <c r="AWC41" s="1308"/>
      <c r="AWD41" s="1304"/>
      <c r="AWE41" s="1308"/>
      <c r="AWF41" s="1308"/>
      <c r="AWG41" s="1304"/>
      <c r="AWH41" s="1308"/>
      <c r="AWI41" s="1308"/>
      <c r="AWJ41" s="1304"/>
      <c r="AWK41" s="1308"/>
      <c r="AWL41" s="1308"/>
      <c r="AWM41" s="1304"/>
      <c r="AWN41" s="1308"/>
      <c r="AWO41" s="1352"/>
      <c r="AWP41" s="1305"/>
      <c r="AWQ41" s="1308"/>
      <c r="AWR41" s="1352"/>
      <c r="AWS41" s="1304"/>
      <c r="AWT41" s="1308"/>
      <c r="AWU41" s="1352"/>
      <c r="AWV41" s="1304"/>
      <c r="AWW41" s="1308"/>
      <c r="AWX41" s="1352"/>
      <c r="AWY41" s="1304"/>
      <c r="AWZ41" s="1308"/>
      <c r="AXA41" s="1308"/>
      <c r="AXB41" s="1304"/>
      <c r="AXC41" s="1308"/>
      <c r="AXD41" s="1352"/>
      <c r="AXE41" s="1304"/>
      <c r="AXF41" s="1308"/>
      <c r="AXG41" s="1308"/>
      <c r="AXH41" s="1304"/>
      <c r="AXI41" s="1308"/>
      <c r="AXJ41" s="1352"/>
      <c r="AXK41" s="1304"/>
      <c r="AXL41" s="1308"/>
      <c r="AXM41" s="1352"/>
      <c r="AXN41" s="1304"/>
      <c r="AXO41" s="1308"/>
      <c r="AXP41" s="1352"/>
      <c r="AXQ41" s="1304"/>
      <c r="AXR41" s="1308"/>
      <c r="AXS41" s="1352"/>
      <c r="AXT41" s="1304"/>
      <c r="AXU41" s="1308"/>
      <c r="AXV41" s="1308"/>
      <c r="AXW41" s="1304"/>
      <c r="AXX41" s="1308"/>
      <c r="AXY41" s="1352"/>
      <c r="AXZ41" s="1304"/>
      <c r="AYA41" s="1308"/>
      <c r="AYB41" s="1308"/>
      <c r="AYC41" s="1304"/>
      <c r="AYD41" s="1308"/>
      <c r="AYE41" s="1352"/>
      <c r="AYF41" s="1304"/>
      <c r="AYG41" s="1308"/>
      <c r="AYH41" s="1352"/>
      <c r="AYI41" s="1304"/>
      <c r="AYJ41" s="1308"/>
      <c r="AYK41" s="1352"/>
      <c r="AYL41" s="1304"/>
      <c r="AYM41" s="1308"/>
      <c r="AYN41" s="1352"/>
      <c r="AYO41" s="1304"/>
      <c r="AYP41" s="1308"/>
      <c r="AYQ41" s="1308"/>
      <c r="AYR41" s="1304"/>
      <c r="AYS41" s="1308"/>
      <c r="AYT41" s="1352"/>
      <c r="AYU41" s="1304"/>
      <c r="AYV41" s="1308"/>
      <c r="AYW41" s="1308"/>
      <c r="AYX41" s="1304"/>
      <c r="AYY41" s="1308"/>
      <c r="AYZ41" s="1352"/>
      <c r="AZA41" s="1304"/>
      <c r="AZB41" s="1308"/>
      <c r="AZC41" s="1352"/>
      <c r="AZD41" s="1304"/>
      <c r="AZE41" s="1308"/>
      <c r="AZF41" s="1352"/>
      <c r="AZG41" s="1304"/>
      <c r="AZH41" s="1308"/>
      <c r="AZI41" s="1352"/>
      <c r="AZJ41" s="1304"/>
      <c r="AZK41" s="1308"/>
      <c r="AZL41" s="1308"/>
      <c r="AZM41" s="1304"/>
      <c r="AZN41" s="1308"/>
      <c r="AZO41" s="1352"/>
      <c r="AZP41" s="1304"/>
      <c r="AZQ41" s="1308"/>
      <c r="AZR41" s="1308"/>
      <c r="AZS41" s="1304"/>
      <c r="AZT41" s="1308"/>
      <c r="AZU41" s="1352"/>
      <c r="AZV41" s="1304"/>
      <c r="AZW41" s="1308"/>
      <c r="AZX41" s="1352"/>
      <c r="AZY41" s="1304"/>
      <c r="AZZ41" s="1308"/>
      <c r="BAA41" s="1352"/>
      <c r="BAB41" s="1304"/>
      <c r="BAC41" s="1308"/>
      <c r="BAD41" s="1352"/>
      <c r="BAE41" s="1304"/>
      <c r="BAF41" s="1308"/>
      <c r="BAG41" s="1308"/>
      <c r="BAH41" s="1304"/>
      <c r="BAI41" s="1308"/>
      <c r="BAJ41" s="1352"/>
    </row>
    <row r="42" spans="1:1399" s="354" customFormat="1" ht="15" customHeight="1">
      <c r="A42" s="17"/>
      <c r="B42" s="18" t="s">
        <v>179</v>
      </c>
      <c r="C42" s="1201"/>
      <c r="D42" s="1201"/>
      <c r="E42" s="13" t="s">
        <v>342</v>
      </c>
      <c r="F42" s="1266"/>
      <c r="G42" s="1266"/>
      <c r="H42" s="346"/>
      <c r="I42" s="1266"/>
      <c r="J42" s="1266"/>
      <c r="K42" s="346"/>
      <c r="L42" s="1266"/>
      <c r="M42" s="1266"/>
      <c r="N42" s="346"/>
      <c r="O42" s="1266"/>
      <c r="P42" s="1266"/>
      <c r="Q42" s="346"/>
      <c r="R42" s="1266"/>
      <c r="S42" s="1266"/>
      <c r="T42" s="346"/>
      <c r="U42" s="1266"/>
      <c r="V42" s="1266"/>
      <c r="W42" s="346"/>
      <c r="X42" s="1266"/>
      <c r="Y42" s="1266"/>
      <c r="Z42" s="346"/>
      <c r="AA42" s="1266"/>
      <c r="AB42" s="1266"/>
      <c r="AC42" s="346"/>
      <c r="AD42" s="1266"/>
      <c r="AE42" s="1266"/>
      <c r="AF42" s="346"/>
      <c r="AG42" s="1266"/>
      <c r="AH42" s="1266"/>
      <c r="AI42" s="346"/>
      <c r="AJ42" s="1266"/>
      <c r="AK42" s="1266"/>
      <c r="AL42" s="346"/>
      <c r="AM42" s="1266"/>
      <c r="AN42" s="1266"/>
      <c r="AO42" s="346"/>
      <c r="AP42" s="1266"/>
      <c r="AQ42" s="1266"/>
      <c r="AR42" s="346"/>
      <c r="AS42" s="1266"/>
      <c r="AT42" s="1266"/>
      <c r="AU42" s="346"/>
      <c r="AV42" s="1266"/>
      <c r="AW42" s="1266"/>
      <c r="AX42" s="346"/>
      <c r="AY42" s="1266"/>
      <c r="AZ42" s="1266"/>
      <c r="BA42" s="346"/>
      <c r="BB42" s="1266"/>
      <c r="BC42" s="1266"/>
      <c r="BD42" s="346"/>
      <c r="BE42" s="1266"/>
      <c r="BF42" s="1266"/>
      <c r="BG42" s="346"/>
      <c r="BH42" s="1266"/>
      <c r="BI42" s="1266"/>
      <c r="BJ42" s="346"/>
      <c r="BK42" s="1266"/>
      <c r="BL42" s="1266"/>
      <c r="BM42" s="346"/>
      <c r="BN42" s="1266"/>
      <c r="BO42" s="1266"/>
      <c r="BP42" s="346"/>
      <c r="BQ42" s="1266"/>
      <c r="BR42" s="1266"/>
      <c r="BS42" s="346"/>
      <c r="BT42" s="1266"/>
      <c r="BU42" s="1266"/>
      <c r="BV42" s="346"/>
      <c r="BW42" s="1266"/>
      <c r="BX42" s="1266"/>
      <c r="BY42" s="346"/>
      <c r="BZ42" s="1266"/>
      <c r="CA42" s="1266"/>
      <c r="CB42" s="346"/>
      <c r="CC42" s="1266"/>
      <c r="CD42" s="1266"/>
      <c r="CE42" s="346"/>
      <c r="CF42" s="1266"/>
      <c r="CG42" s="1266"/>
      <c r="CH42" s="346"/>
      <c r="CI42" s="1266"/>
      <c r="CJ42" s="1266"/>
      <c r="CK42" s="346"/>
      <c r="CL42" s="1266"/>
      <c r="CM42" s="1266"/>
      <c r="CN42" s="346"/>
      <c r="CO42" s="1266"/>
      <c r="CP42" s="1266"/>
      <c r="CQ42" s="346"/>
      <c r="CR42" s="1266"/>
      <c r="CS42" s="1266"/>
      <c r="CT42" s="346"/>
      <c r="CU42" s="1266"/>
      <c r="CV42" s="1266"/>
      <c r="CW42" s="346"/>
      <c r="CX42" s="1266"/>
      <c r="CY42" s="1266"/>
      <c r="CZ42" s="346"/>
      <c r="DA42" s="1266"/>
      <c r="DB42" s="1266"/>
      <c r="DC42" s="346"/>
      <c r="DD42" s="1266"/>
      <c r="DE42" s="1266"/>
      <c r="DF42" s="346"/>
      <c r="DG42" s="1266"/>
      <c r="DH42" s="1266"/>
      <c r="DI42" s="346"/>
      <c r="DJ42" s="1266"/>
      <c r="DK42" s="1266"/>
      <c r="DL42" s="346"/>
      <c r="DM42" s="1266"/>
      <c r="DN42" s="1266"/>
      <c r="DO42" s="346"/>
      <c r="DP42" s="1266"/>
      <c r="DQ42" s="1266"/>
      <c r="DR42" s="346"/>
      <c r="DS42" s="347"/>
      <c r="DT42" s="1266"/>
      <c r="DU42" s="346"/>
      <c r="DV42" s="347"/>
      <c r="DW42" s="1266"/>
      <c r="DX42" s="346"/>
      <c r="DY42" s="1266"/>
      <c r="DZ42" s="1266"/>
      <c r="EA42" s="346"/>
      <c r="EB42" s="1266"/>
      <c r="EC42" s="1266"/>
      <c r="ED42" s="346"/>
      <c r="EE42" s="1266"/>
      <c r="EF42" s="1266"/>
      <c r="EG42" s="346"/>
      <c r="EH42" s="1266"/>
      <c r="EI42" s="1266"/>
      <c r="EJ42" s="346"/>
      <c r="EK42" s="1266"/>
      <c r="EL42" s="1266"/>
      <c r="EM42" s="346"/>
      <c r="EN42" s="1266"/>
      <c r="EO42" s="1266"/>
      <c r="EP42" s="346"/>
      <c r="EQ42" s="1266"/>
      <c r="ER42" s="1266"/>
      <c r="ES42" s="346"/>
      <c r="ET42" s="1266"/>
      <c r="EU42" s="1266"/>
      <c r="EV42" s="346"/>
      <c r="EW42" s="1266"/>
      <c r="EX42" s="1266"/>
      <c r="EY42" s="346"/>
      <c r="EZ42" s="1266"/>
      <c r="FA42" s="1266"/>
      <c r="FB42" s="346"/>
      <c r="FC42" s="1266"/>
      <c r="FD42" s="1266"/>
      <c r="FE42" s="346"/>
      <c r="FF42" s="1266"/>
      <c r="FG42" s="1266"/>
      <c r="FH42" s="346"/>
      <c r="FI42" s="1266"/>
      <c r="FJ42" s="1266"/>
      <c r="FK42" s="346"/>
      <c r="FL42" s="1266"/>
      <c r="FM42" s="1266"/>
      <c r="FN42" s="346"/>
      <c r="FO42" s="1266"/>
      <c r="FP42" s="1266"/>
      <c r="FQ42" s="346"/>
      <c r="FR42" s="1266"/>
      <c r="FS42" s="1266"/>
      <c r="FT42" s="346"/>
      <c r="FU42" s="1266"/>
      <c r="FV42" s="1266"/>
      <c r="FW42" s="346"/>
      <c r="FX42" s="1266"/>
      <c r="FY42" s="1266"/>
      <c r="FZ42" s="346"/>
      <c r="GA42" s="1266"/>
      <c r="GB42" s="1266"/>
      <c r="GC42" s="346"/>
      <c r="GD42" s="1266"/>
      <c r="GE42" s="1266"/>
      <c r="GF42" s="346"/>
      <c r="GG42" s="1266"/>
      <c r="GH42" s="1266"/>
      <c r="GI42" s="346"/>
      <c r="GJ42" s="1266"/>
      <c r="GK42" s="1266"/>
      <c r="GL42" s="346"/>
      <c r="GM42" s="1266"/>
      <c r="GN42" s="1266"/>
      <c r="GO42" s="346"/>
      <c r="GP42" s="1266"/>
      <c r="GQ42" s="1266"/>
      <c r="GR42" s="346"/>
      <c r="GS42" s="1266"/>
      <c r="GT42" s="1266"/>
      <c r="GU42" s="346"/>
      <c r="GV42" s="1266"/>
      <c r="GW42" s="1266"/>
      <c r="GX42" s="346"/>
      <c r="GY42" s="1266"/>
      <c r="GZ42" s="1266"/>
      <c r="HA42" s="346"/>
      <c r="HB42" s="1266"/>
      <c r="HC42" s="1266"/>
      <c r="HD42" s="346"/>
      <c r="HE42" s="1266"/>
      <c r="HF42" s="1266"/>
      <c r="HG42" s="346"/>
      <c r="HH42" s="1266"/>
      <c r="HI42" s="1266"/>
      <c r="HJ42" s="346"/>
      <c r="HK42" s="1266"/>
      <c r="HL42" s="1266"/>
      <c r="HM42" s="346"/>
      <c r="HN42" s="1266"/>
      <c r="HO42" s="1266"/>
      <c r="HP42" s="346"/>
      <c r="HQ42" s="1266"/>
      <c r="HR42" s="1266"/>
      <c r="HS42" s="346"/>
      <c r="HT42" s="1266"/>
      <c r="HU42" s="1266"/>
      <c r="HV42" s="346"/>
      <c r="HW42" s="1266"/>
      <c r="HX42" s="1266"/>
      <c r="HY42" s="346"/>
      <c r="HZ42" s="1266"/>
      <c r="IA42" s="1266"/>
      <c r="IB42" s="346"/>
      <c r="IC42" s="1266"/>
      <c r="ID42" s="1266"/>
      <c r="IE42" s="346"/>
      <c r="IF42" s="1266"/>
      <c r="IG42" s="1266"/>
      <c r="IH42" s="346"/>
      <c r="II42" s="1266"/>
      <c r="IJ42" s="1266"/>
      <c r="IK42" s="346"/>
      <c r="IL42" s="1266"/>
      <c r="IM42" s="1266"/>
      <c r="IN42" s="346"/>
      <c r="IO42" s="1266"/>
      <c r="IP42" s="1266"/>
      <c r="IQ42" s="346"/>
      <c r="IR42" s="1266"/>
      <c r="IS42" s="1266"/>
      <c r="IT42" s="346"/>
      <c r="IU42" s="1266"/>
      <c r="IV42" s="1266"/>
      <c r="IW42" s="346"/>
      <c r="IX42" s="1266"/>
      <c r="IY42" s="1266"/>
      <c r="IZ42" s="346"/>
      <c r="JA42" s="1266"/>
      <c r="JB42" s="1266"/>
      <c r="JC42" s="346"/>
      <c r="JD42" s="1266"/>
      <c r="JE42" s="1266"/>
      <c r="JF42" s="346"/>
      <c r="JG42" s="1266"/>
      <c r="JH42" s="1266"/>
      <c r="JI42" s="346"/>
      <c r="JJ42" s="1266"/>
      <c r="JK42" s="1266"/>
      <c r="JL42" s="346"/>
      <c r="JM42" s="1266"/>
      <c r="JN42" s="1266"/>
      <c r="JO42" s="346"/>
      <c r="JP42" s="1266"/>
      <c r="JQ42" s="1266"/>
      <c r="JR42" s="346"/>
      <c r="JS42" s="1266"/>
      <c r="JT42" s="1266"/>
      <c r="JU42" s="346"/>
      <c r="JV42" s="1266"/>
      <c r="JW42" s="1266"/>
      <c r="JX42" s="346"/>
      <c r="JY42" s="1266"/>
      <c r="JZ42" s="1266"/>
      <c r="KA42" s="346"/>
      <c r="KB42" s="1266"/>
      <c r="KC42" s="1266"/>
      <c r="KD42" s="346"/>
      <c r="KE42" s="1266"/>
      <c r="KF42" s="1266"/>
      <c r="KG42" s="346"/>
      <c r="KH42" s="1266"/>
      <c r="KI42" s="1266"/>
      <c r="KJ42" s="346"/>
      <c r="KK42" s="1266"/>
      <c r="KL42" s="1266"/>
      <c r="KM42" s="346"/>
      <c r="KN42" s="1266"/>
      <c r="KO42" s="1266"/>
      <c r="KP42" s="346"/>
      <c r="KQ42" s="1266"/>
      <c r="KR42" s="1266"/>
      <c r="KS42" s="346"/>
      <c r="KT42" s="1266"/>
      <c r="KU42" s="1266"/>
      <c r="KV42" s="346"/>
      <c r="KW42" s="1266"/>
      <c r="KX42" s="1266"/>
      <c r="KY42" s="346"/>
      <c r="KZ42" s="1266"/>
      <c r="LA42" s="1266"/>
      <c r="LB42" s="346"/>
      <c r="LC42" s="1266"/>
      <c r="LD42" s="1266"/>
      <c r="LE42" s="346"/>
      <c r="LF42" s="1266"/>
      <c r="LG42" s="1266"/>
      <c r="LH42" s="346"/>
      <c r="LI42" s="1266"/>
      <c r="LJ42" s="1266"/>
      <c r="LK42" s="346"/>
      <c r="LL42" s="1266"/>
      <c r="LM42" s="1266"/>
      <c r="LN42" s="346"/>
      <c r="LO42" s="1266"/>
      <c r="LP42" s="1266"/>
      <c r="LQ42" s="346"/>
      <c r="LR42" s="1266"/>
      <c r="LS42" s="1266"/>
      <c r="LT42" s="346"/>
      <c r="LU42" s="1266"/>
      <c r="LV42" s="1266"/>
      <c r="LW42" s="346"/>
      <c r="LX42" s="1266"/>
      <c r="LY42" s="1266"/>
      <c r="LZ42" s="346"/>
      <c r="MA42" s="1266"/>
      <c r="MB42" s="1266"/>
      <c r="MC42" s="346"/>
      <c r="MD42" s="1266"/>
      <c r="ME42" s="1266"/>
      <c r="MF42" s="346"/>
      <c r="MG42" s="1266"/>
      <c r="MH42" s="1266"/>
      <c r="MI42" s="346"/>
      <c r="MJ42" s="1266"/>
      <c r="MK42" s="1266"/>
      <c r="ML42" s="346"/>
      <c r="MM42" s="1266"/>
      <c r="MN42" s="1266"/>
      <c r="MO42" s="346"/>
      <c r="MP42" s="1266"/>
      <c r="MQ42" s="1266"/>
      <c r="MR42" s="346"/>
      <c r="MS42" s="1266"/>
      <c r="MT42" s="1266"/>
      <c r="MU42" s="346"/>
      <c r="MV42" s="1266"/>
      <c r="MW42" s="1266"/>
      <c r="MX42" s="346"/>
      <c r="MY42" s="1266"/>
      <c r="MZ42" s="1266"/>
      <c r="NA42" s="346"/>
      <c r="NB42" s="1266"/>
      <c r="NC42" s="1266"/>
      <c r="ND42" s="346"/>
      <c r="NE42" s="1266"/>
      <c r="NF42" s="1266"/>
      <c r="NG42" s="346"/>
      <c r="NH42" s="1266"/>
      <c r="NI42" s="1266"/>
      <c r="NJ42" s="346"/>
      <c r="NK42" s="1266"/>
      <c r="NL42" s="1266"/>
      <c r="NM42" s="346"/>
      <c r="NN42" s="1266"/>
      <c r="NO42" s="1266"/>
      <c r="NP42" s="346"/>
      <c r="NQ42" s="1266"/>
      <c r="NR42" s="1266"/>
      <c r="NS42" s="346"/>
      <c r="NT42" s="1266"/>
      <c r="NU42" s="1266"/>
      <c r="NV42" s="346"/>
      <c r="NW42" s="1266"/>
      <c r="NX42" s="1266"/>
      <c r="NY42" s="346"/>
      <c r="NZ42" s="1266"/>
      <c r="OA42" s="1266"/>
      <c r="OB42" s="346"/>
      <c r="OC42" s="1266"/>
      <c r="OD42" s="1266"/>
      <c r="OE42" s="346"/>
      <c r="OF42" s="1266"/>
      <c r="OG42" s="1266"/>
      <c r="OH42" s="346"/>
      <c r="OI42" s="1266"/>
      <c r="OJ42" s="1266"/>
      <c r="OK42" s="346"/>
      <c r="OL42" s="1266"/>
      <c r="OM42" s="1266"/>
      <c r="ON42" s="346"/>
      <c r="OO42" s="1266"/>
      <c r="OP42" s="1266"/>
      <c r="OQ42" s="346"/>
      <c r="OR42" s="1266"/>
      <c r="OS42" s="1266"/>
      <c r="OT42" s="346"/>
      <c r="OU42" s="1266"/>
      <c r="OV42" s="1266"/>
      <c r="OW42" s="346"/>
      <c r="OX42" s="1266"/>
      <c r="OY42" s="1266"/>
      <c r="OZ42" s="346"/>
      <c r="PA42" s="1266"/>
      <c r="PB42" s="1266"/>
      <c r="PC42" s="346"/>
      <c r="PD42" s="1266"/>
      <c r="PE42" s="1266"/>
      <c r="PF42" s="346"/>
      <c r="PG42" s="1266"/>
      <c r="PH42" s="1266"/>
      <c r="PI42" s="346"/>
      <c r="PJ42" s="1266"/>
      <c r="PK42" s="1266"/>
      <c r="PL42" s="346"/>
      <c r="PM42" s="1266"/>
      <c r="PN42" s="1266"/>
      <c r="PO42" s="346"/>
      <c r="PP42" s="1266"/>
      <c r="PQ42" s="1266"/>
      <c r="PR42" s="346"/>
      <c r="PS42" s="1266"/>
      <c r="PT42" s="1266"/>
      <c r="PU42" s="346"/>
      <c r="PV42" s="388"/>
      <c r="PW42" s="386"/>
      <c r="PX42" s="387"/>
      <c r="PY42" s="388"/>
      <c r="PZ42" s="386"/>
      <c r="QA42" s="387"/>
      <c r="QB42" s="388"/>
      <c r="QC42" s="386"/>
      <c r="QD42" s="387"/>
      <c r="QE42" s="388"/>
      <c r="QF42" s="386"/>
      <c r="QG42" s="387"/>
      <c r="QH42" s="388"/>
      <c r="QI42" s="386"/>
      <c r="QJ42" s="387"/>
      <c r="QK42" s="388"/>
      <c r="QL42" s="386"/>
      <c r="QM42" s="387"/>
      <c r="QN42" s="388"/>
      <c r="QO42" s="386"/>
      <c r="QP42" s="387"/>
      <c r="QQ42" s="388"/>
      <c r="QR42" s="386"/>
      <c r="QS42" s="387"/>
      <c r="QT42" s="388"/>
      <c r="QU42" s="386"/>
      <c r="QV42" s="387"/>
      <c r="QW42" s="388"/>
      <c r="QX42" s="386"/>
      <c r="QY42" s="387"/>
      <c r="QZ42" s="388"/>
      <c r="RA42" s="386"/>
      <c r="RB42" s="387"/>
      <c r="RC42" s="388"/>
      <c r="RD42" s="386"/>
      <c r="RE42" s="387"/>
      <c r="RF42" s="388"/>
      <c r="RG42" s="386"/>
      <c r="RH42" s="387"/>
      <c r="RI42" s="1266"/>
      <c r="RJ42" s="1266"/>
      <c r="RK42" s="346"/>
      <c r="RL42" s="1266"/>
      <c r="RM42" s="1266"/>
      <c r="RN42" s="346"/>
      <c r="RO42" s="1266"/>
      <c r="RP42" s="1266"/>
      <c r="RQ42" s="346"/>
      <c r="RR42" s="1266"/>
      <c r="RS42" s="1266"/>
      <c r="RT42" s="346"/>
      <c r="RU42" s="1266"/>
      <c r="RV42" s="1266"/>
      <c r="RW42" s="346"/>
      <c r="RX42" s="388"/>
      <c r="RY42" s="386"/>
      <c r="RZ42" s="387"/>
      <c r="SA42" s="388"/>
      <c r="SB42" s="386"/>
      <c r="SC42" s="387"/>
      <c r="SD42" s="388"/>
      <c r="SE42" s="386"/>
      <c r="SF42" s="387"/>
      <c r="SG42" s="388"/>
      <c r="SH42" s="386"/>
      <c r="SI42" s="387"/>
      <c r="SJ42" s="388"/>
      <c r="SK42" s="386"/>
      <c r="SL42" s="387"/>
      <c r="SM42" s="388"/>
      <c r="SN42" s="386"/>
      <c r="SO42" s="387"/>
      <c r="SP42" s="388"/>
      <c r="SQ42" s="386"/>
      <c r="SR42" s="387"/>
      <c r="SS42" s="388"/>
      <c r="ST42" s="386"/>
      <c r="SU42" s="387"/>
      <c r="SV42" s="388"/>
      <c r="SW42" s="386"/>
      <c r="SX42" s="387"/>
      <c r="SY42" s="388"/>
      <c r="SZ42" s="386"/>
      <c r="TA42" s="387"/>
      <c r="TB42" s="388"/>
      <c r="TC42" s="386"/>
      <c r="TD42" s="387"/>
      <c r="TE42" s="388"/>
      <c r="TF42" s="386"/>
      <c r="TG42" s="387"/>
      <c r="TH42" s="388"/>
      <c r="TI42" s="386"/>
      <c r="TJ42" s="387"/>
      <c r="TK42" s="388"/>
      <c r="TL42" s="386"/>
      <c r="TM42" s="387"/>
      <c r="TN42" s="388"/>
      <c r="TO42" s="386"/>
      <c r="TP42" s="387"/>
      <c r="TQ42" s="388"/>
      <c r="TR42" s="386"/>
      <c r="TS42" s="387"/>
      <c r="TT42" s="388"/>
      <c r="TU42" s="386"/>
      <c r="TV42" s="387"/>
      <c r="TW42" s="388"/>
      <c r="TX42" s="386"/>
      <c r="TY42" s="387"/>
      <c r="TZ42" s="388"/>
      <c r="UA42" s="386"/>
      <c r="UB42" s="387"/>
      <c r="UC42" s="388"/>
      <c r="UD42" s="19"/>
      <c r="UE42" s="389"/>
      <c r="UF42" s="1304">
        <v>127.81</v>
      </c>
      <c r="UG42" s="1308"/>
      <c r="UH42" s="1352"/>
      <c r="UI42" s="1304"/>
      <c r="UJ42" s="1308"/>
      <c r="UK42" s="1352"/>
      <c r="UL42" s="1304"/>
      <c r="UM42" s="1308"/>
      <c r="UN42" s="1352"/>
      <c r="UO42" s="1304">
        <v>37294</v>
      </c>
      <c r="UP42" s="1308"/>
      <c r="UQ42" s="1352"/>
      <c r="UR42" s="1304"/>
      <c r="US42" s="1308"/>
      <c r="UT42" s="1352"/>
      <c r="UU42" s="1304">
        <v>17065</v>
      </c>
      <c r="UV42" s="1308"/>
      <c r="UW42" s="1352"/>
      <c r="UX42" s="1304"/>
      <c r="UY42" s="1308"/>
      <c r="UZ42" s="1352"/>
      <c r="VA42" s="1304">
        <v>37511</v>
      </c>
      <c r="VB42" s="1308"/>
      <c r="VC42" s="1352"/>
      <c r="VD42" s="1304"/>
      <c r="VE42" s="1308"/>
      <c r="VF42" s="1352"/>
      <c r="VG42" s="1304"/>
      <c r="VH42" s="1308"/>
      <c r="VI42" s="1352"/>
      <c r="VJ42" s="1304">
        <v>34501</v>
      </c>
      <c r="VK42" s="1308"/>
      <c r="VL42" s="1352"/>
      <c r="VM42" s="1304"/>
      <c r="VN42" s="1308"/>
      <c r="VO42" s="1352"/>
      <c r="VP42" s="1304">
        <v>37047</v>
      </c>
      <c r="VQ42" s="1308"/>
      <c r="VR42" s="1352"/>
      <c r="VS42" s="1304"/>
      <c r="VT42" s="1308"/>
      <c r="VU42" s="1352"/>
      <c r="VV42" s="1304">
        <v>35867</v>
      </c>
      <c r="VW42" s="1308"/>
      <c r="VX42" s="1352"/>
      <c r="VY42" s="1304"/>
      <c r="VZ42" s="1308"/>
      <c r="WA42" s="1352"/>
      <c r="WB42" s="1304"/>
      <c r="WC42" s="1308"/>
      <c r="WD42" s="1352"/>
      <c r="WE42" s="1304">
        <v>20937</v>
      </c>
      <c r="WF42" s="1308"/>
      <c r="WG42" s="1352"/>
      <c r="WH42" s="1304"/>
      <c r="WI42" s="1308"/>
      <c r="WJ42" s="1352"/>
      <c r="WK42" s="1304">
        <v>26807</v>
      </c>
      <c r="WL42" s="1308"/>
      <c r="WM42" s="1352"/>
      <c r="WN42" s="1304"/>
      <c r="WO42" s="1308"/>
      <c r="WP42" s="1352"/>
      <c r="WQ42" s="1304">
        <v>36988</v>
      </c>
      <c r="WR42" s="1308"/>
      <c r="WS42" s="1352"/>
      <c r="WT42" s="1304"/>
      <c r="WU42" s="1308"/>
      <c r="WV42" s="1352"/>
      <c r="WW42" s="1304"/>
      <c r="WX42" s="1308"/>
      <c r="WY42" s="1352"/>
      <c r="WZ42" s="1304">
        <v>31439</v>
      </c>
      <c r="XA42" s="1308"/>
      <c r="XB42" s="1352"/>
      <c r="XC42" s="1304"/>
      <c r="XD42" s="1308"/>
      <c r="XE42" s="1352"/>
      <c r="XF42" s="1304">
        <v>36687</v>
      </c>
      <c r="XG42" s="1308"/>
      <c r="XH42" s="1352"/>
      <c r="XI42" s="1304"/>
      <c r="XJ42" s="1308"/>
      <c r="XK42" s="1352"/>
      <c r="XL42" s="1304">
        <v>36682</v>
      </c>
      <c r="XM42" s="1308"/>
      <c r="XN42" s="1352"/>
      <c r="XO42" s="1304"/>
      <c r="XP42" s="1308"/>
      <c r="XQ42" s="1352"/>
      <c r="XR42" s="1304"/>
      <c r="XS42" s="1308"/>
      <c r="XT42" s="1352"/>
      <c r="XU42" s="1304">
        <v>18347</v>
      </c>
      <c r="XV42" s="1308"/>
      <c r="XW42" s="1352"/>
      <c r="XX42" s="1304"/>
      <c r="XY42" s="1308"/>
      <c r="XZ42" s="1352"/>
      <c r="YA42" s="1304">
        <v>15898</v>
      </c>
      <c r="YB42" s="1308"/>
      <c r="YC42" s="1352"/>
      <c r="YD42" s="1304"/>
      <c r="YE42" s="1308"/>
      <c r="YF42" s="1352"/>
      <c r="YG42" s="1304">
        <v>36648</v>
      </c>
      <c r="YH42" s="1308"/>
      <c r="YI42" s="1352"/>
      <c r="YJ42" s="1304"/>
      <c r="YK42" s="1308"/>
      <c r="YL42" s="1352"/>
      <c r="YM42" s="1304"/>
      <c r="YN42" s="1308"/>
      <c r="YO42" s="1352"/>
      <c r="YP42" s="1304">
        <v>20226</v>
      </c>
      <c r="YQ42" s="1308"/>
      <c r="YR42" s="1352"/>
      <c r="YS42" s="1304"/>
      <c r="YT42" s="1308"/>
      <c r="YU42" s="1352"/>
      <c r="YV42" s="1304">
        <v>35220</v>
      </c>
      <c r="YW42" s="1308"/>
      <c r="YX42" s="1352"/>
      <c r="YY42" s="1304"/>
      <c r="YZ42" s="1308"/>
      <c r="ZA42" s="1352"/>
      <c r="ZB42" s="1304">
        <v>26406</v>
      </c>
      <c r="ZC42" s="1308"/>
      <c r="ZD42" s="1352"/>
      <c r="ZE42" s="1304"/>
      <c r="ZF42" s="1308"/>
      <c r="ZG42" s="1352"/>
      <c r="ZH42" s="1304"/>
      <c r="ZI42" s="1308"/>
      <c r="ZJ42" s="1352"/>
      <c r="ZK42" s="1304">
        <v>30834</v>
      </c>
      <c r="ZL42" s="1308"/>
      <c r="ZM42" s="1352"/>
      <c r="ZN42" s="1304"/>
      <c r="ZO42" s="1308"/>
      <c r="ZP42" s="1352"/>
      <c r="ZQ42" s="1304">
        <v>30378</v>
      </c>
      <c r="ZR42" s="1308"/>
      <c r="ZS42" s="1352"/>
      <c r="ZT42" s="1304"/>
      <c r="ZU42" s="1308"/>
      <c r="ZV42" s="1352"/>
      <c r="ZW42" s="1304">
        <v>16451</v>
      </c>
      <c r="ZX42" s="1308"/>
      <c r="ZY42" s="1352"/>
      <c r="ZZ42" s="1304"/>
      <c r="AAA42" s="1308"/>
      <c r="AAB42" s="1352"/>
      <c r="AAC42" s="1304"/>
      <c r="AAD42" s="1308"/>
      <c r="AAE42" s="1352"/>
      <c r="AAF42" s="1304">
        <v>35495</v>
      </c>
      <c r="AAG42" s="1308"/>
      <c r="AAH42" s="1352"/>
      <c r="AAI42" s="1304"/>
      <c r="AAJ42" s="1308"/>
      <c r="AAK42" s="1352"/>
      <c r="AAL42" s="1304">
        <v>18524</v>
      </c>
      <c r="AAM42" s="1308"/>
      <c r="AAN42" s="1352"/>
      <c r="AAO42" s="1304"/>
      <c r="AAP42" s="1308"/>
      <c r="AAQ42" s="1352"/>
      <c r="AAR42" s="1304">
        <v>37435</v>
      </c>
      <c r="AAS42" s="1308"/>
      <c r="AAT42" s="1352"/>
      <c r="AAU42" s="1304"/>
      <c r="AAV42" s="1308"/>
      <c r="AAW42" s="1352"/>
      <c r="AAX42" s="1304"/>
      <c r="AAY42" s="1308"/>
      <c r="AAZ42" s="1352"/>
      <c r="ABA42" s="1304">
        <v>37781</v>
      </c>
      <c r="ABB42" s="1308"/>
      <c r="ABC42" s="1352"/>
      <c r="ABD42" s="1304"/>
      <c r="ABE42" s="1308"/>
      <c r="ABF42" s="1352"/>
      <c r="ABG42" s="1304">
        <v>21435</v>
      </c>
      <c r="ABH42" s="1308"/>
      <c r="ABI42" s="1352"/>
      <c r="ABJ42" s="1304"/>
      <c r="ABK42" s="1308"/>
      <c r="ABL42" s="1352"/>
      <c r="ABM42" s="1304">
        <v>26800</v>
      </c>
      <c r="ABN42" s="1308"/>
      <c r="ABO42" s="1352"/>
      <c r="ABP42" s="1304"/>
      <c r="ABQ42" s="1308"/>
      <c r="ABR42" s="1352"/>
      <c r="ABS42" s="1304"/>
      <c r="ABT42" s="1308"/>
      <c r="ABU42" s="1352"/>
      <c r="ABV42" s="1304">
        <v>35353</v>
      </c>
      <c r="ABW42" s="1308"/>
      <c r="ABX42" s="1352"/>
      <c r="ABY42" s="1304"/>
      <c r="ABZ42" s="1308"/>
      <c r="ACA42" s="1352"/>
      <c r="ACB42" s="1304">
        <v>33924</v>
      </c>
      <c r="ACC42" s="1308"/>
      <c r="ACD42" s="1352"/>
      <c r="ACE42" s="1304"/>
      <c r="ACF42" s="1308"/>
      <c r="ACG42" s="1352"/>
      <c r="ACH42" s="1304"/>
      <c r="ACI42" s="1308"/>
      <c r="ACJ42" s="1352"/>
      <c r="ACK42" s="1304"/>
      <c r="ACL42" s="1308"/>
      <c r="ACM42" s="1352"/>
      <c r="ACN42" s="1304"/>
      <c r="ACO42" s="1308"/>
      <c r="ACP42" s="1352"/>
      <c r="ACQ42" s="1304">
        <v>6526</v>
      </c>
      <c r="ACR42" s="1308"/>
      <c r="ACS42" s="1352"/>
      <c r="ACT42" s="1304"/>
      <c r="ACU42" s="1308"/>
      <c r="ACV42" s="1352"/>
      <c r="ACW42" s="1304">
        <v>38361</v>
      </c>
      <c r="ACX42" s="1308"/>
      <c r="ACY42" s="1352"/>
      <c r="ACZ42" s="1304"/>
      <c r="ADA42" s="1308"/>
      <c r="ADB42" s="1352"/>
      <c r="ADC42" s="1304">
        <v>20963</v>
      </c>
      <c r="ADD42" s="1308"/>
      <c r="ADE42" s="1352"/>
      <c r="ADF42" s="1304"/>
      <c r="ADG42" s="1308"/>
      <c r="ADH42" s="1352"/>
      <c r="ADI42" s="1304"/>
      <c r="ADJ42" s="1308"/>
      <c r="ADK42" s="1352"/>
      <c r="ADL42" s="1304">
        <v>23808</v>
      </c>
      <c r="ADM42" s="1308"/>
      <c r="ADN42" s="1352"/>
      <c r="ADO42" s="1304"/>
      <c r="ADP42" s="1308"/>
      <c r="ADQ42" s="1352"/>
      <c r="ADR42" s="1304"/>
      <c r="ADS42" s="1308"/>
      <c r="ADT42" s="1352"/>
      <c r="ADU42" s="1304"/>
      <c r="ADV42" s="1308"/>
      <c r="ADW42" s="1352"/>
      <c r="ADX42" s="1304">
        <v>24608</v>
      </c>
      <c r="ADY42" s="1308"/>
      <c r="ADZ42" s="1352"/>
      <c r="AEA42" s="1304"/>
      <c r="AEB42" s="1308"/>
      <c r="AEC42" s="1352"/>
      <c r="AED42" s="1304"/>
      <c r="AEE42" s="1308"/>
      <c r="AEF42" s="1352"/>
      <c r="AEG42" s="1304">
        <v>11486</v>
      </c>
      <c r="AEH42" s="1308"/>
      <c r="AEI42" s="1352"/>
      <c r="AEJ42" s="1304"/>
      <c r="AEK42" s="1308"/>
      <c r="AEL42" s="1352"/>
      <c r="AEM42" s="1304">
        <v>26348</v>
      </c>
      <c r="AEN42" s="1308"/>
      <c r="AEO42" s="1352"/>
      <c r="AEP42" s="1304"/>
      <c r="AEQ42" s="1308"/>
      <c r="AER42" s="1352"/>
      <c r="AES42" s="1304">
        <v>36503</v>
      </c>
      <c r="AET42" s="1308"/>
      <c r="AEU42" s="1352"/>
      <c r="AEV42" s="1304"/>
      <c r="AEW42" s="1308"/>
      <c r="AEX42" s="1352"/>
      <c r="AEY42" s="1304"/>
      <c r="AEZ42" s="1308"/>
      <c r="AFA42" s="1352"/>
      <c r="AFB42" s="1304">
        <v>38794</v>
      </c>
      <c r="AFC42" s="1308"/>
      <c r="AFD42" s="1352"/>
      <c r="AFE42" s="1304"/>
      <c r="AFF42" s="1308"/>
      <c r="AFG42" s="1352"/>
      <c r="AFH42" s="1304">
        <v>27396</v>
      </c>
      <c r="AFI42" s="1308"/>
      <c r="AFJ42" s="1352"/>
      <c r="AFK42" s="1304"/>
      <c r="AFL42" s="1308"/>
      <c r="AFM42" s="1352"/>
      <c r="AFN42" s="1304">
        <v>28720</v>
      </c>
      <c r="AFO42" s="1308"/>
      <c r="AFP42" s="1352"/>
      <c r="AFQ42" s="1304"/>
      <c r="AFR42" s="1308"/>
      <c r="AFS42" s="1352"/>
      <c r="AFT42" s="1304"/>
      <c r="AFU42" s="1308"/>
      <c r="AFV42" s="1352"/>
      <c r="AFW42" s="1304">
        <v>40487</v>
      </c>
      <c r="AFX42" s="1308"/>
      <c r="AFY42" s="1352"/>
      <c r="AFZ42" s="1304"/>
      <c r="AGA42" s="1308"/>
      <c r="AGB42" s="1352"/>
      <c r="AGC42" s="1304">
        <v>37944</v>
      </c>
      <c r="AGD42" s="1308"/>
      <c r="AGE42" s="1352"/>
      <c r="AGF42" s="1304"/>
      <c r="AGG42" s="1308"/>
      <c r="AGH42" s="1352"/>
      <c r="AGI42" s="1304">
        <f>28637+11737.59</f>
        <v>40374.589999999997</v>
      </c>
      <c r="AGJ42" s="1308"/>
      <c r="AGK42" s="1352"/>
      <c r="AGL42" s="1304"/>
      <c r="AGM42" s="1308"/>
      <c r="AGN42" s="1352"/>
      <c r="AGO42" s="1304"/>
      <c r="AGP42" s="1308"/>
      <c r="AGQ42" s="1352"/>
      <c r="AGR42" s="1304">
        <v>24240</v>
      </c>
      <c r="AGS42" s="1308"/>
      <c r="AGT42" s="1352"/>
      <c r="AGU42" s="1304"/>
      <c r="AGV42" s="1308"/>
      <c r="AGW42" s="1352"/>
      <c r="AGX42" s="1304">
        <v>13277</v>
      </c>
      <c r="AGY42" s="1308"/>
      <c r="AGZ42" s="1352"/>
      <c r="AHA42" s="1304"/>
      <c r="AHB42" s="1308"/>
      <c r="AHC42" s="1352"/>
      <c r="AHD42" s="1304"/>
      <c r="AHE42" s="1308"/>
      <c r="AHF42" s="1352"/>
      <c r="AHG42" s="1304"/>
      <c r="AHH42" s="1308"/>
      <c r="AHI42" s="1352"/>
      <c r="AHJ42" s="1304"/>
      <c r="AHK42" s="1308"/>
      <c r="AHL42" s="1352"/>
      <c r="AHM42" s="1304"/>
      <c r="AHN42" s="1308"/>
      <c r="AHO42" s="1352"/>
      <c r="AHP42" s="1304">
        <v>11089</v>
      </c>
      <c r="AHQ42" s="1308"/>
      <c r="AHR42" s="1352"/>
      <c r="AHS42" s="1304"/>
      <c r="AHT42" s="1308"/>
      <c r="AHU42" s="1352"/>
      <c r="AHV42" s="1304"/>
      <c r="AHW42" s="1308"/>
      <c r="AHX42" s="1352"/>
      <c r="AHY42" s="1304">
        <v>38562</v>
      </c>
      <c r="AHZ42" s="1308"/>
      <c r="AIA42" s="1352"/>
      <c r="AIB42" s="1304"/>
      <c r="AIC42" s="1308"/>
      <c r="AID42" s="1308"/>
      <c r="AIE42" s="1304"/>
      <c r="AIF42" s="1308"/>
      <c r="AIG42" s="1352"/>
      <c r="AIH42" s="1304"/>
      <c r="AII42" s="1308"/>
      <c r="AIJ42" s="1352"/>
      <c r="AIK42" s="1304">
        <v>35540</v>
      </c>
      <c r="AIL42" s="1308"/>
      <c r="AIM42" s="1352"/>
      <c r="AIN42" s="1304"/>
      <c r="AIO42" s="1308"/>
      <c r="AIP42" s="1352"/>
      <c r="AIQ42" s="1304">
        <v>29667</v>
      </c>
      <c r="AIR42" s="1308"/>
      <c r="AIS42" s="1308"/>
      <c r="AIT42" s="1304"/>
      <c r="AIU42" s="1308"/>
      <c r="AIV42" s="1352"/>
      <c r="AIW42" s="1304"/>
      <c r="AIX42" s="1308"/>
      <c r="AIY42" s="1308"/>
      <c r="AIZ42" s="1304"/>
      <c r="AJA42" s="1308"/>
      <c r="AJB42" s="1352"/>
      <c r="AJC42" s="1304"/>
      <c r="AJD42" s="1308"/>
      <c r="AJE42" s="1352"/>
      <c r="AJF42" s="1304">
        <v>38762.21</v>
      </c>
      <c r="AJG42" s="1308"/>
      <c r="AJH42" s="1352"/>
      <c r="AJI42" s="1304"/>
      <c r="AJJ42" s="1308"/>
      <c r="AJK42" s="1352"/>
      <c r="AJL42" s="1304"/>
      <c r="AJM42" s="1308"/>
      <c r="AJN42" s="1308"/>
      <c r="AJO42" s="1304">
        <v>41655.42</v>
      </c>
      <c r="AJP42" s="1308"/>
      <c r="AJQ42" s="1352"/>
      <c r="AJR42" s="1304"/>
      <c r="AJS42" s="1308"/>
      <c r="AJT42" s="1308"/>
      <c r="AJU42" s="1304"/>
      <c r="AJV42" s="1308"/>
      <c r="AJW42" s="1352"/>
      <c r="AJX42" s="1304">
        <v>36374.06</v>
      </c>
      <c r="AJY42" s="1308"/>
      <c r="AJZ42" s="1352"/>
      <c r="AKA42" s="1304"/>
      <c r="AKB42" s="1308"/>
      <c r="AKC42" s="1352"/>
      <c r="AKG42" s="1304"/>
      <c r="AKH42" s="1308"/>
      <c r="AKI42" s="1308"/>
      <c r="AKJ42" s="1304"/>
      <c r="AKK42" s="1308"/>
      <c r="AKL42" s="1352"/>
      <c r="AKM42" s="1304"/>
      <c r="AKN42" s="1308"/>
      <c r="AKO42" s="1308"/>
      <c r="AKP42" s="1304"/>
      <c r="AKQ42" s="1308"/>
      <c r="AKR42" s="1352"/>
      <c r="AKS42" s="1304"/>
      <c r="AKT42" s="1308"/>
      <c r="AKU42" s="1352"/>
      <c r="AKV42" s="1304">
        <v>27443.297999999999</v>
      </c>
      <c r="AKW42" s="1308"/>
      <c r="AKX42" s="1352"/>
      <c r="AKY42" s="1304">
        <v>18970.03</v>
      </c>
      <c r="AKZ42" s="1308"/>
      <c r="ALA42" s="1352"/>
      <c r="ALB42" s="1304"/>
      <c r="ALC42" s="1308"/>
      <c r="ALD42" s="1308"/>
      <c r="ALE42" s="1304">
        <v>35646.368000000002</v>
      </c>
      <c r="ALF42" s="1308"/>
      <c r="ALG42" s="1352"/>
      <c r="ALH42" s="1304"/>
      <c r="ALI42" s="1308"/>
      <c r="ALJ42" s="1308"/>
      <c r="ALK42" s="1304"/>
      <c r="ALL42" s="1308"/>
      <c r="ALM42" s="1352"/>
      <c r="ALN42" s="1304"/>
      <c r="ALO42" s="1308"/>
      <c r="ALP42" s="1352"/>
      <c r="ALQ42" s="1304">
        <v>23244.606</v>
      </c>
      <c r="ALR42" s="1308"/>
      <c r="ALS42" s="1352"/>
      <c r="ALT42" s="1304">
        <v>24332.173999999999</v>
      </c>
      <c r="ALU42" s="1308"/>
      <c r="ALV42" s="1352"/>
      <c r="ALW42" s="1304"/>
      <c r="ALX42" s="1308"/>
      <c r="ALY42" s="1308"/>
      <c r="ALZ42" s="1304">
        <v>24021.581999999999</v>
      </c>
      <c r="AMA42" s="1308"/>
      <c r="AMB42" s="1352"/>
      <c r="AMC42" s="1304"/>
      <c r="AMD42" s="1308"/>
      <c r="AME42" s="1308"/>
      <c r="AMF42" s="1304"/>
      <c r="AMG42" s="1308"/>
      <c r="AMH42" s="1352"/>
      <c r="AMI42" s="1304">
        <v>30913.284</v>
      </c>
      <c r="AMJ42" s="1308"/>
      <c r="AMK42" s="1352"/>
      <c r="AML42" s="1304"/>
      <c r="AMM42" s="1308"/>
      <c r="AMN42" s="1352"/>
      <c r="AMO42" s="1304">
        <v>22688.698</v>
      </c>
      <c r="AMP42" s="1308"/>
      <c r="AMQ42" s="1352"/>
      <c r="AMR42" s="1304"/>
      <c r="AMS42" s="1308"/>
      <c r="AMT42" s="1308"/>
      <c r="AMU42" s="1304">
        <v>36401.588000000003</v>
      </c>
      <c r="AMV42" s="1308"/>
      <c r="AMW42" s="1352"/>
      <c r="AMX42" s="1304"/>
      <c r="AMY42" s="1308"/>
      <c r="AMZ42" s="1308"/>
      <c r="ANA42" s="1304"/>
      <c r="ANB42" s="1308"/>
      <c r="ANC42" s="1352"/>
      <c r="AND42" s="1304">
        <v>15000.041999999999</v>
      </c>
      <c r="ANE42" s="1308"/>
      <c r="ANF42" s="1352"/>
      <c r="ANG42" s="1304"/>
      <c r="ANH42" s="1308"/>
      <c r="ANI42" s="1352"/>
      <c r="ANJ42" s="1304"/>
      <c r="ANK42" s="1308"/>
      <c r="ANL42" s="1352"/>
      <c r="ANM42" s="1304">
        <v>14958.626</v>
      </c>
      <c r="ANN42" s="1308"/>
      <c r="ANO42" s="1308"/>
      <c r="ANP42" s="1304"/>
      <c r="ANQ42" s="1308"/>
      <c r="ANR42" s="1352"/>
      <c r="ANS42" s="1304"/>
      <c r="ANT42" s="1308"/>
      <c r="ANU42" s="1308"/>
      <c r="ANV42" s="1304"/>
      <c r="ANW42" s="1308"/>
      <c r="ANX42" s="1352"/>
      <c r="ANY42" s="1304">
        <v>41097.284</v>
      </c>
      <c r="ANZ42" s="1308"/>
      <c r="AOA42" s="1352"/>
      <c r="AOB42" s="1304"/>
      <c r="AOC42" s="1308"/>
      <c r="AOD42" s="1352"/>
      <c r="AOE42" s="1304">
        <v>36390.724000000002</v>
      </c>
      <c r="AOF42" s="1308"/>
      <c r="AOG42" s="1352"/>
      <c r="AOH42" s="1304"/>
      <c r="AOI42" s="1308"/>
      <c r="AOJ42" s="1308"/>
      <c r="AOK42" s="1304"/>
      <c r="AOL42" s="1308"/>
      <c r="AOM42" s="1352"/>
      <c r="AON42" s="1304"/>
      <c r="AOO42" s="1308"/>
      <c r="AOP42" s="1308"/>
      <c r="AOQ42" s="1304"/>
      <c r="AOR42" s="1308"/>
      <c r="AOS42" s="1352"/>
      <c r="AOT42" s="1304">
        <v>12300.606</v>
      </c>
      <c r="AOU42" s="1308"/>
      <c r="AOV42" s="1352"/>
      <c r="AOW42" s="1304"/>
      <c r="AOX42" s="1308"/>
      <c r="AOY42" s="1352"/>
      <c r="AOZ42" s="1304"/>
      <c r="APA42" s="1308"/>
      <c r="APB42" s="1352"/>
      <c r="APC42" s="1304"/>
      <c r="APD42" s="1308"/>
      <c r="APE42" s="1308"/>
      <c r="APF42" s="1304"/>
      <c r="APG42" s="1308"/>
      <c r="APH42" s="1352"/>
      <c r="API42" s="1304"/>
      <c r="APJ42" s="1308"/>
      <c r="APK42" s="1308"/>
      <c r="APL42" s="1304"/>
      <c r="APM42" s="1308"/>
      <c r="APN42" s="1352"/>
      <c r="APO42" s="1304">
        <v>37286.466</v>
      </c>
      <c r="APP42" s="1308"/>
      <c r="APQ42" s="1352"/>
      <c r="APR42" s="1304"/>
      <c r="APS42" s="1308"/>
      <c r="APT42" s="1352"/>
      <c r="APU42" s="1304"/>
      <c r="APV42" s="1308"/>
      <c r="APW42" s="1352"/>
      <c r="APX42" s="1304"/>
      <c r="APY42" s="1308"/>
      <c r="APZ42" s="1308"/>
      <c r="AQA42" s="1304"/>
      <c r="AQB42" s="1308"/>
      <c r="AQC42" s="1352"/>
      <c r="AQD42" s="1304"/>
      <c r="AQE42" s="1308"/>
      <c r="AQF42" s="1352"/>
      <c r="AQG42" s="1304">
        <v>31204.738000000001</v>
      </c>
      <c r="AQH42" s="1308"/>
      <c r="AQI42" s="1352"/>
      <c r="AQJ42" s="1304"/>
      <c r="AQK42" s="1308"/>
      <c r="AQL42" s="1352"/>
      <c r="AQM42" s="1304"/>
      <c r="AQN42" s="1308"/>
      <c r="AQO42" s="1308"/>
      <c r="AQP42" s="1304"/>
      <c r="AQQ42" s="1308"/>
      <c r="AQR42" s="1308"/>
      <c r="AQS42" s="1304"/>
      <c r="AQT42" s="1308"/>
      <c r="AQU42" s="1352"/>
      <c r="AQV42" s="1305"/>
      <c r="AQW42" s="1308"/>
      <c r="AQX42" s="1352"/>
      <c r="AQY42" s="1304"/>
      <c r="AQZ42" s="1308"/>
      <c r="ARA42" s="1352"/>
      <c r="ARB42" s="1304"/>
      <c r="ARC42" s="1308"/>
      <c r="ARD42" s="1352"/>
      <c r="ARE42" s="1304"/>
      <c r="ARF42" s="1308"/>
      <c r="ARG42" s="1352"/>
      <c r="ARH42" s="1304"/>
      <c r="ARI42" s="1308"/>
      <c r="ARJ42" s="1308"/>
      <c r="ARK42" s="1304"/>
      <c r="ARL42" s="1308"/>
      <c r="ARM42" s="1352"/>
      <c r="ARN42" s="1304"/>
      <c r="ARO42" s="1308"/>
      <c r="ARP42" s="1352"/>
      <c r="ARQ42" s="1305"/>
      <c r="ARR42" s="1308"/>
      <c r="ARS42" s="1352"/>
      <c r="ART42" s="1305"/>
      <c r="ARU42" s="1308"/>
      <c r="ARV42" s="1352"/>
      <c r="ARW42" s="1305"/>
      <c r="ARX42" s="1308"/>
      <c r="ARY42" s="1352"/>
      <c r="ARZ42" s="1304"/>
      <c r="ASA42" s="1308"/>
      <c r="ASB42" s="1352"/>
      <c r="ASC42" s="1304"/>
      <c r="ASD42" s="1308"/>
      <c r="ASE42" s="1308"/>
      <c r="ASF42" s="1304"/>
      <c r="ASG42" s="1308"/>
      <c r="ASH42" s="1352"/>
      <c r="ASI42" s="1304"/>
      <c r="ASJ42" s="1308"/>
      <c r="ASK42" s="1308"/>
      <c r="ASL42" s="1304"/>
      <c r="ASM42" s="1308"/>
      <c r="ASN42" s="1352"/>
      <c r="ASO42" s="1304"/>
      <c r="ASP42" s="1308"/>
      <c r="ASQ42" s="1308"/>
      <c r="ASR42" s="1304"/>
      <c r="ASS42" s="1308"/>
      <c r="AST42" s="1352"/>
      <c r="ASU42" s="1304"/>
      <c r="ASV42" s="1308"/>
      <c r="ASW42" s="1352"/>
      <c r="ASX42" s="1304"/>
      <c r="ASY42" s="1308"/>
      <c r="ASZ42" s="1308"/>
      <c r="ATA42" s="1304"/>
      <c r="ATB42" s="1308"/>
      <c r="ATC42" s="1352"/>
      <c r="ATD42" s="1304"/>
      <c r="ATE42" s="1308"/>
      <c r="ATF42" s="1308"/>
      <c r="ATG42" s="1304"/>
      <c r="ATH42" s="1308"/>
      <c r="ATI42" s="1352"/>
      <c r="ATJ42" s="1304"/>
      <c r="ATK42" s="1308"/>
      <c r="ATL42" s="1352"/>
      <c r="ATM42" s="1304"/>
      <c r="ATN42" s="1308"/>
      <c r="ATO42" s="1352"/>
      <c r="ATP42" s="1304"/>
      <c r="ATQ42" s="1308"/>
      <c r="ATR42" s="1352"/>
      <c r="ATS42" s="1304"/>
      <c r="ATT42" s="1308"/>
      <c r="ATU42" s="1352"/>
      <c r="ATV42" s="1305"/>
      <c r="ATW42" s="1308"/>
      <c r="ATX42" s="1352"/>
      <c r="ATY42" s="1304"/>
      <c r="ATZ42" s="1308"/>
      <c r="AUA42" s="1308"/>
      <c r="AUB42" s="1304"/>
      <c r="AUC42" s="1308"/>
      <c r="AUD42" s="1352"/>
      <c r="AUE42" s="1304"/>
      <c r="AUF42" s="1308"/>
      <c r="AUG42" s="1352"/>
      <c r="AUH42" s="1304"/>
      <c r="AUI42" s="1308"/>
      <c r="AUJ42" s="1352"/>
      <c r="AUK42" s="1304"/>
      <c r="AUL42" s="1308"/>
      <c r="AUM42" s="1308"/>
      <c r="AUN42" s="1304"/>
      <c r="AUO42" s="1308"/>
      <c r="AUP42" s="1308"/>
      <c r="AUQ42" s="1304"/>
      <c r="AUR42" s="1308"/>
      <c r="AUS42" s="1308"/>
      <c r="AUT42" s="1304"/>
      <c r="AUU42" s="1308"/>
      <c r="AUV42" s="1308"/>
      <c r="AUW42" s="1304"/>
      <c r="AUX42" s="1308"/>
      <c r="AUY42" s="1308"/>
      <c r="AUZ42" s="1304"/>
      <c r="AVA42" s="1308"/>
      <c r="AVB42" s="1308"/>
      <c r="AVC42" s="1304"/>
      <c r="AVD42" s="1308"/>
      <c r="AVE42" s="1308"/>
      <c r="AVF42" s="1304"/>
      <c r="AVG42" s="1308"/>
      <c r="AVH42" s="1308"/>
      <c r="AVI42" s="1304"/>
      <c r="AVJ42" s="1308"/>
      <c r="AVK42" s="1308"/>
      <c r="AVL42" s="1304"/>
      <c r="AVM42" s="1308"/>
      <c r="AVN42" s="1308"/>
      <c r="AVO42" s="1304">
        <v>34000</v>
      </c>
      <c r="AVP42" s="1308"/>
      <c r="AVQ42" s="1308"/>
      <c r="AVR42" s="1304"/>
      <c r="AVS42" s="1308"/>
      <c r="AVT42" s="1308"/>
      <c r="AVU42" s="1304"/>
      <c r="AVV42" s="1308"/>
      <c r="AVW42" s="1308"/>
      <c r="AVX42" s="1304"/>
      <c r="AVY42" s="1308"/>
      <c r="AVZ42" s="1308"/>
      <c r="AWA42" s="1304"/>
      <c r="AWB42" s="1308"/>
      <c r="AWC42" s="1308"/>
      <c r="AWD42" s="1304"/>
      <c r="AWE42" s="1308"/>
      <c r="AWF42" s="1308"/>
      <c r="AWG42" s="1304"/>
      <c r="AWH42" s="1308"/>
      <c r="AWI42" s="1308"/>
      <c r="AWJ42" s="1304"/>
      <c r="AWK42" s="1308"/>
      <c r="AWL42" s="1308"/>
      <c r="AWM42" s="1304"/>
      <c r="AWN42" s="1308"/>
      <c r="AWO42" s="1352"/>
      <c r="AWP42" s="1305"/>
      <c r="AWQ42" s="1308"/>
      <c r="AWR42" s="1352"/>
      <c r="AWS42" s="1304"/>
      <c r="AWT42" s="1308"/>
      <c r="AWU42" s="1352"/>
      <c r="AWV42" s="1304"/>
      <c r="AWW42" s="1308"/>
      <c r="AWX42" s="1352"/>
      <c r="AWY42" s="1304"/>
      <c r="AWZ42" s="1308"/>
      <c r="AXA42" s="1308"/>
      <c r="AXB42" s="1304"/>
      <c r="AXC42" s="1308"/>
      <c r="AXD42" s="1352"/>
      <c r="AXE42" s="1304"/>
      <c r="AXF42" s="1308"/>
      <c r="AXG42" s="1308"/>
      <c r="AXH42" s="1304"/>
      <c r="AXI42" s="1308"/>
      <c r="AXJ42" s="1352"/>
      <c r="AXK42" s="1304"/>
      <c r="AXL42" s="1308"/>
      <c r="AXM42" s="1352"/>
      <c r="AXN42" s="1304"/>
      <c r="AXO42" s="1308"/>
      <c r="AXP42" s="1352"/>
      <c r="AXQ42" s="1304"/>
      <c r="AXR42" s="1308"/>
      <c r="AXS42" s="1352"/>
      <c r="AXT42" s="1304"/>
      <c r="AXU42" s="1308"/>
      <c r="AXV42" s="1308"/>
      <c r="AXW42" s="1304"/>
      <c r="AXX42" s="1308"/>
      <c r="AXY42" s="1352"/>
      <c r="AXZ42" s="1304"/>
      <c r="AYA42" s="1308"/>
      <c r="AYB42" s="1308"/>
      <c r="AYC42" s="1304"/>
      <c r="AYD42" s="1308"/>
      <c r="AYE42" s="1352"/>
      <c r="AYF42" s="1304"/>
      <c r="AYG42" s="1308"/>
      <c r="AYH42" s="1352"/>
      <c r="AYI42" s="1304"/>
      <c r="AYJ42" s="1308"/>
      <c r="AYK42" s="1352"/>
      <c r="AYL42" s="1304"/>
      <c r="AYM42" s="1308"/>
      <c r="AYN42" s="1352"/>
      <c r="AYO42" s="1304"/>
      <c r="AYP42" s="1308"/>
      <c r="AYQ42" s="1308"/>
      <c r="AYR42" s="1304"/>
      <c r="AYS42" s="1308"/>
      <c r="AYT42" s="1352"/>
      <c r="AYU42" s="1304"/>
      <c r="AYV42" s="1308"/>
      <c r="AYW42" s="1308"/>
      <c r="AYX42" s="1304"/>
      <c r="AYY42" s="1308"/>
      <c r="AYZ42" s="1352"/>
      <c r="AZA42" s="1304"/>
      <c r="AZB42" s="1308"/>
      <c r="AZC42" s="1352"/>
      <c r="AZD42" s="1304"/>
      <c r="AZE42" s="1308"/>
      <c r="AZF42" s="1352"/>
      <c r="AZG42" s="1304"/>
      <c r="AZH42" s="1308"/>
      <c r="AZI42" s="1352"/>
      <c r="AZJ42" s="1304"/>
      <c r="AZK42" s="1308"/>
      <c r="AZL42" s="1308"/>
      <c r="AZM42" s="1304"/>
      <c r="AZN42" s="1308"/>
      <c r="AZO42" s="1352"/>
      <c r="AZP42" s="1304"/>
      <c r="AZQ42" s="1308"/>
      <c r="AZR42" s="1308"/>
      <c r="AZS42" s="1304"/>
      <c r="AZT42" s="1308"/>
      <c r="AZU42" s="1352"/>
      <c r="AZV42" s="1304"/>
      <c r="AZW42" s="1308"/>
      <c r="AZX42" s="1352"/>
      <c r="AZY42" s="1304"/>
      <c r="AZZ42" s="1308"/>
      <c r="BAA42" s="1352"/>
      <c r="BAB42" s="1304"/>
      <c r="BAC42" s="1308"/>
      <c r="BAD42" s="1352"/>
      <c r="BAE42" s="1304"/>
      <c r="BAF42" s="1308"/>
      <c r="BAG42" s="1308"/>
      <c r="BAH42" s="1304"/>
      <c r="BAI42" s="1308"/>
      <c r="BAJ42" s="1352"/>
    </row>
    <row r="43" spans="1:1399" s="354" customFormat="1" ht="15" customHeight="1">
      <c r="A43" s="17"/>
      <c r="B43" s="18" t="s">
        <v>367</v>
      </c>
      <c r="C43" s="1201"/>
      <c r="D43" s="1201"/>
      <c r="E43" s="13" t="s">
        <v>342</v>
      </c>
      <c r="F43" s="1266"/>
      <c r="G43" s="1266"/>
      <c r="H43" s="346"/>
      <c r="I43" s="1266"/>
      <c r="J43" s="1266"/>
      <c r="K43" s="346"/>
      <c r="L43" s="1266"/>
      <c r="M43" s="1266"/>
      <c r="N43" s="346"/>
      <c r="O43" s="1266"/>
      <c r="P43" s="1266"/>
      <c r="Q43" s="346"/>
      <c r="R43" s="1266"/>
      <c r="S43" s="1266"/>
      <c r="T43" s="346"/>
      <c r="U43" s="1266"/>
      <c r="V43" s="1266"/>
      <c r="W43" s="346"/>
      <c r="X43" s="1266"/>
      <c r="Y43" s="1266"/>
      <c r="Z43" s="346"/>
      <c r="AA43" s="1266"/>
      <c r="AB43" s="1266"/>
      <c r="AC43" s="346"/>
      <c r="AD43" s="1266"/>
      <c r="AE43" s="1266"/>
      <c r="AF43" s="346"/>
      <c r="AG43" s="1266"/>
      <c r="AH43" s="1266"/>
      <c r="AI43" s="346"/>
      <c r="AJ43" s="1266"/>
      <c r="AK43" s="1266"/>
      <c r="AL43" s="346"/>
      <c r="AM43" s="1266"/>
      <c r="AN43" s="1266"/>
      <c r="AO43" s="346"/>
      <c r="AP43" s="1266"/>
      <c r="AQ43" s="1266"/>
      <c r="AR43" s="346"/>
      <c r="AS43" s="1266"/>
      <c r="AT43" s="1266"/>
      <c r="AU43" s="346"/>
      <c r="AV43" s="1266"/>
      <c r="AW43" s="1266"/>
      <c r="AX43" s="346"/>
      <c r="AY43" s="1266"/>
      <c r="AZ43" s="1266"/>
      <c r="BA43" s="346"/>
      <c r="BB43" s="1266"/>
      <c r="BC43" s="1266"/>
      <c r="BD43" s="346"/>
      <c r="BE43" s="1266"/>
      <c r="BF43" s="1266"/>
      <c r="BG43" s="346"/>
      <c r="BH43" s="1266"/>
      <c r="BI43" s="1266"/>
      <c r="BJ43" s="346"/>
      <c r="BK43" s="1266"/>
      <c r="BL43" s="1266"/>
      <c r="BM43" s="346"/>
      <c r="BN43" s="1266"/>
      <c r="BO43" s="1266"/>
      <c r="BP43" s="346"/>
      <c r="BQ43" s="1266"/>
      <c r="BR43" s="1266"/>
      <c r="BS43" s="346"/>
      <c r="BT43" s="1266"/>
      <c r="BU43" s="1266"/>
      <c r="BV43" s="346"/>
      <c r="BW43" s="1266"/>
      <c r="BX43" s="1266"/>
      <c r="BY43" s="346"/>
      <c r="BZ43" s="1266"/>
      <c r="CA43" s="1266"/>
      <c r="CB43" s="346"/>
      <c r="CC43" s="1266"/>
      <c r="CD43" s="1266"/>
      <c r="CE43" s="346"/>
      <c r="CF43" s="1266"/>
      <c r="CG43" s="1266"/>
      <c r="CH43" s="346"/>
      <c r="CI43" s="1266"/>
      <c r="CJ43" s="1266"/>
      <c r="CK43" s="346"/>
      <c r="CL43" s="1266"/>
      <c r="CM43" s="1266"/>
      <c r="CN43" s="346"/>
      <c r="CO43" s="1266"/>
      <c r="CP43" s="1266"/>
      <c r="CQ43" s="346"/>
      <c r="CR43" s="1266"/>
      <c r="CS43" s="1266"/>
      <c r="CT43" s="346"/>
      <c r="CU43" s="1266"/>
      <c r="CV43" s="1266"/>
      <c r="CW43" s="346"/>
      <c r="CX43" s="1266"/>
      <c r="CY43" s="1266"/>
      <c r="CZ43" s="346"/>
      <c r="DA43" s="1266"/>
      <c r="DB43" s="1266"/>
      <c r="DC43" s="346"/>
      <c r="DD43" s="1266"/>
      <c r="DE43" s="1266"/>
      <c r="DF43" s="346"/>
      <c r="DG43" s="1266"/>
      <c r="DH43" s="1266"/>
      <c r="DI43" s="346"/>
      <c r="DJ43" s="1266"/>
      <c r="DK43" s="1266"/>
      <c r="DL43" s="346"/>
      <c r="DM43" s="1266"/>
      <c r="DN43" s="1266"/>
      <c r="DO43" s="346"/>
      <c r="DP43" s="1266"/>
      <c r="DQ43" s="1266"/>
      <c r="DR43" s="346"/>
      <c r="DS43" s="347"/>
      <c r="DT43" s="1266"/>
      <c r="DU43" s="346"/>
      <c r="DV43" s="347"/>
      <c r="DW43" s="1266"/>
      <c r="DX43" s="346"/>
      <c r="DY43" s="1266"/>
      <c r="DZ43" s="1266"/>
      <c r="EA43" s="346"/>
      <c r="EB43" s="1266"/>
      <c r="EC43" s="1266"/>
      <c r="ED43" s="346"/>
      <c r="EE43" s="1266"/>
      <c r="EF43" s="1266"/>
      <c r="EG43" s="346"/>
      <c r="EH43" s="1266"/>
      <c r="EI43" s="1266"/>
      <c r="EJ43" s="346"/>
      <c r="EK43" s="1266"/>
      <c r="EL43" s="1266"/>
      <c r="EM43" s="346"/>
      <c r="EN43" s="1266"/>
      <c r="EO43" s="1266"/>
      <c r="EP43" s="346"/>
      <c r="EQ43" s="1266"/>
      <c r="ER43" s="1266"/>
      <c r="ES43" s="346"/>
      <c r="ET43" s="1266"/>
      <c r="EU43" s="1266"/>
      <c r="EV43" s="346"/>
      <c r="EW43" s="1266"/>
      <c r="EX43" s="1266"/>
      <c r="EY43" s="346"/>
      <c r="EZ43" s="1266"/>
      <c r="FA43" s="1266"/>
      <c r="FB43" s="346"/>
      <c r="FC43" s="1266"/>
      <c r="FD43" s="1266"/>
      <c r="FE43" s="346"/>
      <c r="FF43" s="1266"/>
      <c r="FG43" s="1266"/>
      <c r="FH43" s="346"/>
      <c r="FI43" s="1266"/>
      <c r="FJ43" s="1266"/>
      <c r="FK43" s="346"/>
      <c r="FL43" s="1266"/>
      <c r="FM43" s="1266"/>
      <c r="FN43" s="346"/>
      <c r="FO43" s="1266"/>
      <c r="FP43" s="1266"/>
      <c r="FQ43" s="346"/>
      <c r="FR43" s="1266"/>
      <c r="FS43" s="1266"/>
      <c r="FT43" s="346"/>
      <c r="FU43" s="1266"/>
      <c r="FV43" s="1266"/>
      <c r="FW43" s="346"/>
      <c r="FX43" s="1266"/>
      <c r="FY43" s="1266"/>
      <c r="FZ43" s="346"/>
      <c r="GA43" s="1266"/>
      <c r="GB43" s="1266"/>
      <c r="GC43" s="346"/>
      <c r="GD43" s="1266"/>
      <c r="GE43" s="1266"/>
      <c r="GF43" s="346"/>
      <c r="GG43" s="1266"/>
      <c r="GH43" s="1266"/>
      <c r="GI43" s="346"/>
      <c r="GJ43" s="1266"/>
      <c r="GK43" s="1266"/>
      <c r="GL43" s="346"/>
      <c r="GM43" s="1266"/>
      <c r="GN43" s="1266"/>
      <c r="GO43" s="346"/>
      <c r="GP43" s="1266"/>
      <c r="GQ43" s="1266"/>
      <c r="GR43" s="346"/>
      <c r="GS43" s="1266"/>
      <c r="GT43" s="1266"/>
      <c r="GU43" s="346"/>
      <c r="GV43" s="1266"/>
      <c r="GW43" s="1266"/>
      <c r="GX43" s="346"/>
      <c r="GY43" s="1266"/>
      <c r="GZ43" s="1266"/>
      <c r="HA43" s="346"/>
      <c r="HB43" s="1266"/>
      <c r="HC43" s="1266"/>
      <c r="HD43" s="346"/>
      <c r="HE43" s="1266"/>
      <c r="HF43" s="1266"/>
      <c r="HG43" s="346"/>
      <c r="HH43" s="1266"/>
      <c r="HI43" s="1266"/>
      <c r="HJ43" s="346"/>
      <c r="HK43" s="1266"/>
      <c r="HL43" s="1266"/>
      <c r="HM43" s="346"/>
      <c r="HN43" s="1266"/>
      <c r="HO43" s="1266"/>
      <c r="HP43" s="346"/>
      <c r="HQ43" s="1266"/>
      <c r="HR43" s="1266"/>
      <c r="HS43" s="346"/>
      <c r="HT43" s="1266"/>
      <c r="HU43" s="1266"/>
      <c r="HV43" s="346"/>
      <c r="HW43" s="1266"/>
      <c r="HX43" s="1266"/>
      <c r="HY43" s="346"/>
      <c r="HZ43" s="1266"/>
      <c r="IA43" s="1266"/>
      <c r="IB43" s="346"/>
      <c r="IC43" s="1266"/>
      <c r="ID43" s="1266"/>
      <c r="IE43" s="346"/>
      <c r="IF43" s="1266"/>
      <c r="IG43" s="1266"/>
      <c r="IH43" s="346"/>
      <c r="II43" s="1266"/>
      <c r="IJ43" s="1266"/>
      <c r="IK43" s="346"/>
      <c r="IL43" s="1266"/>
      <c r="IM43" s="1266"/>
      <c r="IN43" s="346"/>
      <c r="IO43" s="1266"/>
      <c r="IP43" s="1266"/>
      <c r="IQ43" s="346"/>
      <c r="IR43" s="1266"/>
      <c r="IS43" s="1266"/>
      <c r="IT43" s="346"/>
      <c r="IU43" s="1266"/>
      <c r="IV43" s="1266"/>
      <c r="IW43" s="346"/>
      <c r="IX43" s="1266"/>
      <c r="IY43" s="1266"/>
      <c r="IZ43" s="346"/>
      <c r="JA43" s="1266"/>
      <c r="JB43" s="1266"/>
      <c r="JC43" s="346"/>
      <c r="JD43" s="1266"/>
      <c r="JE43" s="1266"/>
      <c r="JF43" s="346"/>
      <c r="JG43" s="1266"/>
      <c r="JH43" s="1266"/>
      <c r="JI43" s="346"/>
      <c r="JJ43" s="1266"/>
      <c r="JK43" s="1266"/>
      <c r="JL43" s="346"/>
      <c r="JM43" s="1266"/>
      <c r="JN43" s="1266"/>
      <c r="JO43" s="346"/>
      <c r="JP43" s="1266"/>
      <c r="JQ43" s="1266"/>
      <c r="JR43" s="346"/>
      <c r="JS43" s="1266"/>
      <c r="JT43" s="1266"/>
      <c r="JU43" s="346"/>
      <c r="JV43" s="1266"/>
      <c r="JW43" s="1266"/>
      <c r="JX43" s="346"/>
      <c r="JY43" s="1266"/>
      <c r="JZ43" s="1266"/>
      <c r="KA43" s="346"/>
      <c r="KB43" s="1266"/>
      <c r="KC43" s="1266"/>
      <c r="KD43" s="346"/>
      <c r="KE43" s="1266"/>
      <c r="KF43" s="1266"/>
      <c r="KG43" s="346"/>
      <c r="KH43" s="1266"/>
      <c r="KI43" s="1266"/>
      <c r="KJ43" s="346"/>
      <c r="KK43" s="1266"/>
      <c r="KL43" s="1266"/>
      <c r="KM43" s="346"/>
      <c r="KN43" s="1266"/>
      <c r="KO43" s="1266"/>
      <c r="KP43" s="346"/>
      <c r="KQ43" s="1266"/>
      <c r="KR43" s="1266"/>
      <c r="KS43" s="346"/>
      <c r="KT43" s="1266"/>
      <c r="KU43" s="1266"/>
      <c r="KV43" s="346"/>
      <c r="KW43" s="1266"/>
      <c r="KX43" s="1266"/>
      <c r="KY43" s="346"/>
      <c r="KZ43" s="1266"/>
      <c r="LA43" s="1266"/>
      <c r="LB43" s="346"/>
      <c r="LC43" s="1266"/>
      <c r="LD43" s="1266"/>
      <c r="LE43" s="346"/>
      <c r="LF43" s="1266"/>
      <c r="LG43" s="1266"/>
      <c r="LH43" s="346"/>
      <c r="LI43" s="1266"/>
      <c r="LJ43" s="1266"/>
      <c r="LK43" s="346"/>
      <c r="LL43" s="1266"/>
      <c r="LM43" s="1266"/>
      <c r="LN43" s="346"/>
      <c r="LO43" s="1266"/>
      <c r="LP43" s="1266"/>
      <c r="LQ43" s="346"/>
      <c r="LR43" s="1266"/>
      <c r="LS43" s="1266"/>
      <c r="LT43" s="346"/>
      <c r="LU43" s="1266"/>
      <c r="LV43" s="1266"/>
      <c r="LW43" s="346"/>
      <c r="LX43" s="1266"/>
      <c r="LY43" s="1266"/>
      <c r="LZ43" s="346"/>
      <c r="MA43" s="1266"/>
      <c r="MB43" s="1266"/>
      <c r="MC43" s="346"/>
      <c r="MD43" s="1266"/>
      <c r="ME43" s="1266"/>
      <c r="MF43" s="346"/>
      <c r="MG43" s="1266"/>
      <c r="MH43" s="1266"/>
      <c r="MI43" s="346"/>
      <c r="MJ43" s="1266"/>
      <c r="MK43" s="1266"/>
      <c r="ML43" s="346"/>
      <c r="MM43" s="1266"/>
      <c r="MN43" s="1266"/>
      <c r="MO43" s="346"/>
      <c r="MP43" s="1266"/>
      <c r="MQ43" s="1266"/>
      <c r="MR43" s="346"/>
      <c r="MS43" s="1266"/>
      <c r="MT43" s="1266"/>
      <c r="MU43" s="346"/>
      <c r="MV43" s="1266"/>
      <c r="MW43" s="1266"/>
      <c r="MX43" s="346"/>
      <c r="MY43" s="1266"/>
      <c r="MZ43" s="1266"/>
      <c r="NA43" s="346"/>
      <c r="NB43" s="1266"/>
      <c r="NC43" s="1266"/>
      <c r="ND43" s="346"/>
      <c r="NE43" s="1266"/>
      <c r="NF43" s="1266"/>
      <c r="NG43" s="346"/>
      <c r="NH43" s="1266"/>
      <c r="NI43" s="1266"/>
      <c r="NJ43" s="346"/>
      <c r="NK43" s="1266"/>
      <c r="NL43" s="1266"/>
      <c r="NM43" s="346"/>
      <c r="NN43" s="1266"/>
      <c r="NO43" s="1266"/>
      <c r="NP43" s="346"/>
      <c r="NQ43" s="1266"/>
      <c r="NR43" s="1266"/>
      <c r="NS43" s="346"/>
      <c r="NT43" s="1266"/>
      <c r="NU43" s="1266"/>
      <c r="NV43" s="346"/>
      <c r="NW43" s="1266"/>
      <c r="NX43" s="1266"/>
      <c r="NY43" s="346"/>
      <c r="NZ43" s="1266"/>
      <c r="OA43" s="1266"/>
      <c r="OB43" s="346"/>
      <c r="OC43" s="1266"/>
      <c r="OD43" s="1266"/>
      <c r="OE43" s="346"/>
      <c r="OF43" s="1266"/>
      <c r="OG43" s="1266"/>
      <c r="OH43" s="346"/>
      <c r="OI43" s="1266"/>
      <c r="OJ43" s="1266"/>
      <c r="OK43" s="346"/>
      <c r="OL43" s="1266"/>
      <c r="OM43" s="1266"/>
      <c r="ON43" s="346"/>
      <c r="OO43" s="1266"/>
      <c r="OP43" s="1266"/>
      <c r="OQ43" s="346"/>
      <c r="OR43" s="1266"/>
      <c r="OS43" s="1266"/>
      <c r="OT43" s="346"/>
      <c r="OU43" s="1266"/>
      <c r="OV43" s="1266"/>
      <c r="OW43" s="346"/>
      <c r="OX43" s="1266"/>
      <c r="OY43" s="1266"/>
      <c r="OZ43" s="346"/>
      <c r="PA43" s="1266"/>
      <c r="PB43" s="1266"/>
      <c r="PC43" s="346"/>
      <c r="PD43" s="1266"/>
      <c r="PE43" s="1266"/>
      <c r="PF43" s="346"/>
      <c r="PG43" s="1266"/>
      <c r="PH43" s="1266"/>
      <c r="PI43" s="346"/>
      <c r="PJ43" s="1266"/>
      <c r="PK43" s="1266"/>
      <c r="PL43" s="346"/>
      <c r="PM43" s="1266"/>
      <c r="PN43" s="1266"/>
      <c r="PO43" s="346"/>
      <c r="PP43" s="1266"/>
      <c r="PQ43" s="1266"/>
      <c r="PR43" s="346"/>
      <c r="PS43" s="1266"/>
      <c r="PT43" s="1266"/>
      <c r="PU43" s="346"/>
      <c r="PV43" s="388"/>
      <c r="PW43" s="386"/>
      <c r="PX43" s="387"/>
      <c r="PY43" s="388"/>
      <c r="PZ43" s="386"/>
      <c r="QA43" s="387"/>
      <c r="QB43" s="388"/>
      <c r="QC43" s="386"/>
      <c r="QD43" s="387"/>
      <c r="QE43" s="388"/>
      <c r="QF43" s="386"/>
      <c r="QG43" s="387"/>
      <c r="QH43" s="388"/>
      <c r="QI43" s="386"/>
      <c r="QJ43" s="387"/>
      <c r="QK43" s="388"/>
      <c r="QL43" s="386"/>
      <c r="QM43" s="387"/>
      <c r="QN43" s="388"/>
      <c r="QO43" s="386"/>
      <c r="QP43" s="387"/>
      <c r="QQ43" s="388"/>
      <c r="QR43" s="386"/>
      <c r="QS43" s="387"/>
      <c r="QT43" s="388"/>
      <c r="QU43" s="386"/>
      <c r="QV43" s="387"/>
      <c r="QW43" s="388"/>
      <c r="QX43" s="386"/>
      <c r="QY43" s="387"/>
      <c r="QZ43" s="388"/>
      <c r="RA43" s="386"/>
      <c r="RB43" s="387"/>
      <c r="RC43" s="388"/>
      <c r="RD43" s="386"/>
      <c r="RE43" s="387"/>
      <c r="RF43" s="388"/>
      <c r="RG43" s="386"/>
      <c r="RH43" s="387"/>
      <c r="RI43" s="1266"/>
      <c r="RJ43" s="1266"/>
      <c r="RK43" s="346"/>
      <c r="RL43" s="1266"/>
      <c r="RM43" s="1266"/>
      <c r="RN43" s="346"/>
      <c r="RO43" s="1266"/>
      <c r="RP43" s="1266"/>
      <c r="RQ43" s="346"/>
      <c r="RR43" s="1266"/>
      <c r="RS43" s="1266"/>
      <c r="RT43" s="346"/>
      <c r="RU43" s="1266"/>
      <c r="RV43" s="1266"/>
      <c r="RW43" s="346"/>
      <c r="RX43" s="388"/>
      <c r="RY43" s="386"/>
      <c r="RZ43" s="387"/>
      <c r="SA43" s="388"/>
      <c r="SB43" s="386"/>
      <c r="SC43" s="387"/>
      <c r="SD43" s="388"/>
      <c r="SE43" s="386"/>
      <c r="SF43" s="387"/>
      <c r="SG43" s="388"/>
      <c r="SH43" s="386"/>
      <c r="SI43" s="387"/>
      <c r="SJ43" s="388"/>
      <c r="SK43" s="386"/>
      <c r="SL43" s="387"/>
      <c r="SM43" s="388"/>
      <c r="SN43" s="386"/>
      <c r="SO43" s="387"/>
      <c r="SP43" s="388"/>
      <c r="SQ43" s="386"/>
      <c r="SR43" s="387"/>
      <c r="SS43" s="388"/>
      <c r="ST43" s="386"/>
      <c r="SU43" s="387"/>
      <c r="SV43" s="388"/>
      <c r="SW43" s="386"/>
      <c r="SX43" s="387"/>
      <c r="SY43" s="388"/>
      <c r="SZ43" s="386"/>
      <c r="TA43" s="387"/>
      <c r="TB43" s="388"/>
      <c r="TC43" s="386"/>
      <c r="TD43" s="387"/>
      <c r="TE43" s="388"/>
      <c r="TF43" s="386"/>
      <c r="TG43" s="387"/>
      <c r="TH43" s="388"/>
      <c r="TI43" s="386"/>
      <c r="TJ43" s="387"/>
      <c r="TK43" s="388"/>
      <c r="TL43" s="386"/>
      <c r="TM43" s="387"/>
      <c r="TN43" s="388"/>
      <c r="TO43" s="386"/>
      <c r="TP43" s="387"/>
      <c r="TQ43" s="388"/>
      <c r="TR43" s="386"/>
      <c r="TS43" s="387"/>
      <c r="TT43" s="388"/>
      <c r="TU43" s="386"/>
      <c r="TV43" s="387"/>
      <c r="TW43" s="388"/>
      <c r="TX43" s="386"/>
      <c r="TY43" s="387"/>
      <c r="TZ43" s="388"/>
      <c r="UA43" s="386"/>
      <c r="UB43" s="387"/>
      <c r="UC43" s="388"/>
      <c r="UD43" s="19"/>
      <c r="UE43" s="389"/>
      <c r="UF43" s="1304">
        <f>866+87520</f>
        <v>88386</v>
      </c>
      <c r="UG43" s="1308"/>
      <c r="UH43" s="1352"/>
      <c r="UI43" s="1304"/>
      <c r="UJ43" s="1308"/>
      <c r="UK43" s="1352"/>
      <c r="UL43" s="1304"/>
      <c r="UM43" s="1308"/>
      <c r="UN43" s="1352"/>
      <c r="UO43" s="1304">
        <v>87520</v>
      </c>
      <c r="UP43" s="1308"/>
      <c r="UQ43" s="1352"/>
      <c r="UR43" s="1304"/>
      <c r="US43" s="1308"/>
      <c r="UT43" s="1352"/>
      <c r="UU43" s="1304">
        <v>81952</v>
      </c>
      <c r="UV43" s="1308"/>
      <c r="UW43" s="1352"/>
      <c r="UX43" s="1304"/>
      <c r="UY43" s="1308"/>
      <c r="UZ43" s="1352"/>
      <c r="VA43" s="1304">
        <v>102069</v>
      </c>
      <c r="VB43" s="1308"/>
      <c r="VC43" s="1352"/>
      <c r="VD43" s="1304"/>
      <c r="VE43" s="1308"/>
      <c r="VF43" s="1352"/>
      <c r="VG43" s="1304"/>
      <c r="VH43" s="1308"/>
      <c r="VI43" s="1352"/>
      <c r="VJ43" s="1304">
        <v>121958</v>
      </c>
      <c r="VK43" s="1308"/>
      <c r="VL43" s="1352"/>
      <c r="VM43" s="1304"/>
      <c r="VN43" s="1308"/>
      <c r="VO43" s="1352"/>
      <c r="VP43" s="1304">
        <v>115664</v>
      </c>
      <c r="VQ43" s="1308"/>
      <c r="VR43" s="1352"/>
      <c r="VS43" s="1304"/>
      <c r="VT43" s="1308"/>
      <c r="VU43" s="1352"/>
      <c r="VV43" s="1304">
        <v>111416</v>
      </c>
      <c r="VW43" s="1308"/>
      <c r="VX43" s="1352"/>
      <c r="VY43" s="1304"/>
      <c r="VZ43" s="1308"/>
      <c r="WA43" s="1352"/>
      <c r="WB43" s="1304"/>
      <c r="WC43" s="1308"/>
      <c r="WD43" s="1352"/>
      <c r="WE43" s="1304">
        <v>111146</v>
      </c>
      <c r="WF43" s="1308"/>
      <c r="WG43" s="1352"/>
      <c r="WH43" s="1304"/>
      <c r="WI43" s="1308"/>
      <c r="WJ43" s="1352"/>
      <c r="WK43" s="1304">
        <v>108302</v>
      </c>
      <c r="WL43" s="1308"/>
      <c r="WM43" s="1352"/>
      <c r="WN43" s="1304"/>
      <c r="WO43" s="1308"/>
      <c r="WP43" s="1352"/>
      <c r="WQ43" s="1304">
        <v>103298</v>
      </c>
      <c r="WR43" s="1308"/>
      <c r="WS43" s="1352"/>
      <c r="WT43" s="1304"/>
      <c r="WU43" s="1308"/>
      <c r="WV43" s="1352"/>
      <c r="WW43" s="1304"/>
      <c r="WX43" s="1308"/>
      <c r="WY43" s="1352"/>
      <c r="WZ43" s="1304">
        <v>86138</v>
      </c>
      <c r="XA43" s="1308"/>
      <c r="XB43" s="1352"/>
      <c r="XC43" s="1304"/>
      <c r="XD43" s="1308"/>
      <c r="XE43" s="1352"/>
      <c r="XF43" s="1304">
        <v>81698</v>
      </c>
      <c r="XG43" s="1308"/>
      <c r="XH43" s="1352"/>
      <c r="XI43" s="1304"/>
      <c r="XJ43" s="1308"/>
      <c r="XK43" s="1352"/>
      <c r="XL43" s="1304">
        <v>78584</v>
      </c>
      <c r="XM43" s="1308"/>
      <c r="XN43" s="1352"/>
      <c r="XO43" s="1304"/>
      <c r="XP43" s="1308"/>
      <c r="XQ43" s="1352"/>
      <c r="XR43" s="1304"/>
      <c r="XS43" s="1308"/>
      <c r="XT43" s="1352"/>
      <c r="XU43" s="1304">
        <v>78584</v>
      </c>
      <c r="XV43" s="1308"/>
      <c r="XW43" s="1352"/>
      <c r="XX43" s="1304"/>
      <c r="XY43" s="1308"/>
      <c r="XZ43" s="1352"/>
      <c r="YA43" s="1304">
        <v>98666</v>
      </c>
      <c r="YB43" s="1308"/>
      <c r="YC43" s="1352"/>
      <c r="YD43" s="1304"/>
      <c r="YE43" s="1308"/>
      <c r="YF43" s="1352"/>
      <c r="YG43" s="1304">
        <v>94406</v>
      </c>
      <c r="YH43" s="1308"/>
      <c r="YI43" s="1352"/>
      <c r="YJ43" s="1304"/>
      <c r="YK43" s="1308"/>
      <c r="YL43" s="1352"/>
      <c r="YM43" s="1304"/>
      <c r="YN43" s="1308"/>
      <c r="YO43" s="1352"/>
      <c r="YP43" s="1304">
        <v>93368</v>
      </c>
      <c r="YQ43" s="1308"/>
      <c r="YR43" s="1352"/>
      <c r="YS43" s="1304"/>
      <c r="YT43" s="1308"/>
      <c r="YU43" s="1352"/>
      <c r="YV43" s="1304">
        <v>90632</v>
      </c>
      <c r="YW43" s="1308"/>
      <c r="YX43" s="1352"/>
      <c r="YY43" s="1304"/>
      <c r="YZ43" s="1308"/>
      <c r="ZA43" s="1352"/>
      <c r="ZB43" s="1304">
        <v>88190</v>
      </c>
      <c r="ZC43" s="1308"/>
      <c r="ZD43" s="1352"/>
      <c r="ZE43" s="1304"/>
      <c r="ZF43" s="1308"/>
      <c r="ZG43" s="1352"/>
      <c r="ZH43" s="1304"/>
      <c r="ZI43" s="1308"/>
      <c r="ZJ43" s="1352"/>
      <c r="ZK43" s="1304">
        <v>86210</v>
      </c>
      <c r="ZL43" s="1308"/>
      <c r="ZM43" s="1352"/>
      <c r="ZN43" s="1304"/>
      <c r="ZO43" s="1308"/>
      <c r="ZP43" s="1352"/>
      <c r="ZQ43" s="1304">
        <v>84134</v>
      </c>
      <c r="ZR43" s="1308"/>
      <c r="ZS43" s="1352"/>
      <c r="ZT43" s="1304"/>
      <c r="ZU43" s="1308"/>
      <c r="ZV43" s="1352"/>
      <c r="ZW43" s="1304">
        <v>68738</v>
      </c>
      <c r="ZX43" s="1308"/>
      <c r="ZY43" s="1352"/>
      <c r="ZZ43" s="1304"/>
      <c r="AAA43" s="1308"/>
      <c r="AAB43" s="1352"/>
      <c r="AAC43" s="1304"/>
      <c r="AAD43" s="1308"/>
      <c r="AAE43" s="1352"/>
      <c r="AAF43" s="1304">
        <v>66662</v>
      </c>
      <c r="AAG43" s="1308"/>
      <c r="AAH43" s="1352"/>
      <c r="AAI43" s="1304"/>
      <c r="AAJ43" s="1308"/>
      <c r="AAK43" s="1352"/>
      <c r="AAL43" s="1304">
        <v>62888</v>
      </c>
      <c r="AAM43" s="1308"/>
      <c r="AAN43" s="1352"/>
      <c r="AAO43" s="1304"/>
      <c r="AAP43" s="1308"/>
      <c r="AAQ43" s="1352"/>
      <c r="AAR43" s="1304">
        <v>60812</v>
      </c>
      <c r="AAS43" s="1308"/>
      <c r="AAT43" s="1352"/>
      <c r="AAU43" s="1304"/>
      <c r="AAV43" s="1308"/>
      <c r="AAW43" s="1352"/>
      <c r="AAX43" s="1304"/>
      <c r="AAY43" s="1308"/>
      <c r="AAZ43" s="1352"/>
      <c r="ABA43" s="1304">
        <v>50094</v>
      </c>
      <c r="ABB43" s="1308"/>
      <c r="ABC43" s="1352"/>
      <c r="ABD43" s="1304"/>
      <c r="ABE43" s="1308"/>
      <c r="ABF43" s="1352"/>
      <c r="ABG43" s="1304">
        <v>48018</v>
      </c>
      <c r="ABH43" s="1308"/>
      <c r="ABI43" s="1352"/>
      <c r="ABJ43" s="1304"/>
      <c r="ABK43" s="1308"/>
      <c r="ABL43" s="1352"/>
      <c r="ABM43" s="1304">
        <v>44808</v>
      </c>
      <c r="ABN43" s="1308"/>
      <c r="ABO43" s="1352"/>
      <c r="ABP43" s="1304"/>
      <c r="ABQ43" s="1308"/>
      <c r="ABR43" s="1352"/>
      <c r="ABS43" s="1304"/>
      <c r="ABT43" s="1308"/>
      <c r="ABU43" s="1352"/>
      <c r="ABV43" s="1304">
        <v>43110</v>
      </c>
      <c r="ABW43" s="1308"/>
      <c r="ABX43" s="1352"/>
      <c r="ABY43" s="1304"/>
      <c r="ABZ43" s="1308"/>
      <c r="ACA43" s="1352"/>
      <c r="ACB43" s="1304">
        <v>39498</v>
      </c>
      <c r="ACC43" s="1308"/>
      <c r="ACD43" s="1352"/>
      <c r="ACE43" s="1304"/>
      <c r="ACF43" s="1308"/>
      <c r="ACG43" s="1352"/>
      <c r="ACH43" s="1304"/>
      <c r="ACI43" s="1308"/>
      <c r="ACJ43" s="1352"/>
      <c r="ACK43" s="1304"/>
      <c r="ACL43" s="1308"/>
      <c r="ACM43" s="1352"/>
      <c r="ACN43" s="1304"/>
      <c r="ACO43" s="1308"/>
      <c r="ACP43" s="1352"/>
      <c r="ACQ43" s="1304">
        <v>36384</v>
      </c>
      <c r="ACR43" s="1308"/>
      <c r="ACS43" s="1352"/>
      <c r="ACT43" s="1304"/>
      <c r="ACU43" s="1308"/>
      <c r="ACV43" s="1352"/>
      <c r="ACW43" s="1304">
        <v>35346</v>
      </c>
      <c r="ACX43" s="1308"/>
      <c r="ACY43" s="1352"/>
      <c r="ACZ43" s="1304"/>
      <c r="ADA43" s="1308"/>
      <c r="ADB43" s="1352"/>
      <c r="ADC43" s="1304">
        <v>31290</v>
      </c>
      <c r="ADD43" s="1308"/>
      <c r="ADE43" s="1352"/>
      <c r="ADF43" s="1304"/>
      <c r="ADG43" s="1308"/>
      <c r="ADH43" s="1352"/>
      <c r="ADI43" s="1304"/>
      <c r="ADJ43" s="1308"/>
      <c r="ADK43" s="1352"/>
      <c r="ADL43" s="1304">
        <v>29592</v>
      </c>
      <c r="ADM43" s="1308"/>
      <c r="ADN43" s="1352"/>
      <c r="ADO43" s="1304"/>
      <c r="ADP43" s="1308"/>
      <c r="ADQ43" s="1352"/>
      <c r="ADR43" s="1304"/>
      <c r="ADS43" s="1308"/>
      <c r="ADT43" s="1352"/>
      <c r="ADU43" s="1304"/>
      <c r="ADV43" s="1308"/>
      <c r="ADW43" s="1352"/>
      <c r="ADX43" s="1304">
        <v>26262</v>
      </c>
      <c r="ADY43" s="1308"/>
      <c r="ADZ43" s="1352"/>
      <c r="AEA43" s="1304"/>
      <c r="AEB43" s="1308"/>
      <c r="AEC43" s="1352"/>
      <c r="AED43" s="1304"/>
      <c r="AEE43" s="1308"/>
      <c r="AEF43" s="1352"/>
      <c r="AEG43" s="1304">
        <v>26262</v>
      </c>
      <c r="AEH43" s="1308"/>
      <c r="AEI43" s="1352"/>
      <c r="AEJ43" s="1304"/>
      <c r="AEK43" s="1308"/>
      <c r="AEL43" s="1352"/>
      <c r="AEM43" s="1304">
        <v>26262</v>
      </c>
      <c r="AEN43" s="1308"/>
      <c r="AEO43" s="1352"/>
      <c r="AEP43" s="1304"/>
      <c r="AEQ43" s="1308"/>
      <c r="AER43" s="1352"/>
      <c r="AES43" s="1304">
        <v>22014</v>
      </c>
      <c r="AET43" s="1308"/>
      <c r="AEU43" s="1352"/>
      <c r="AEV43" s="1304"/>
      <c r="AEW43" s="1308"/>
      <c r="AEX43" s="1352"/>
      <c r="AEY43" s="1304"/>
      <c r="AEZ43" s="1308"/>
      <c r="AFA43" s="1352"/>
      <c r="AFB43" s="1304">
        <v>21354</v>
      </c>
      <c r="AFC43" s="1308"/>
      <c r="AFD43" s="1352"/>
      <c r="AFE43" s="1304"/>
      <c r="AFF43" s="1308"/>
      <c r="AFG43" s="1352"/>
      <c r="AFH43" s="1304">
        <v>15600</v>
      </c>
      <c r="AFI43" s="1308"/>
      <c r="AFJ43" s="1352"/>
      <c r="AFK43" s="1304"/>
      <c r="AFL43" s="1308"/>
      <c r="AFM43" s="1352"/>
      <c r="AFN43" s="1304">
        <v>13860</v>
      </c>
      <c r="AFO43" s="1308"/>
      <c r="AFP43" s="1352"/>
      <c r="AFQ43" s="1304"/>
      <c r="AFR43" s="1308"/>
      <c r="AFS43" s="1352"/>
      <c r="AFT43" s="1304"/>
      <c r="AFU43" s="1308"/>
      <c r="AFV43" s="1352"/>
      <c r="AFW43" s="1304">
        <v>10560</v>
      </c>
      <c r="AFX43" s="1308"/>
      <c r="AFY43" s="1352"/>
      <c r="AFZ43" s="1304"/>
      <c r="AGA43" s="1308"/>
      <c r="AGB43" s="1352"/>
      <c r="AGC43" s="1304">
        <v>51700</v>
      </c>
      <c r="AGD43" s="1308"/>
      <c r="AGE43" s="1352"/>
      <c r="AGF43" s="1304"/>
      <c r="AGG43" s="1308"/>
      <c r="AGH43" s="1352"/>
      <c r="AGI43" s="1304">
        <v>60594</v>
      </c>
      <c r="AGJ43" s="1308"/>
      <c r="AGK43" s="1352"/>
      <c r="AGL43" s="1304"/>
      <c r="AGM43" s="1308"/>
      <c r="AGN43" s="1352"/>
      <c r="AGO43" s="1304"/>
      <c r="AGP43" s="1308"/>
      <c r="AGQ43" s="1352"/>
      <c r="AGR43" s="1304">
        <v>58811</v>
      </c>
      <c r="AGS43" s="1308"/>
      <c r="AGT43" s="1352"/>
      <c r="AGU43" s="1304"/>
      <c r="AGV43" s="1308"/>
      <c r="AGW43" s="1352"/>
      <c r="AGX43" s="1304">
        <v>57931</v>
      </c>
      <c r="AGY43" s="1308"/>
      <c r="AGZ43" s="1352"/>
      <c r="AHA43" s="1304"/>
      <c r="AHB43" s="1308"/>
      <c r="AHC43" s="1352"/>
      <c r="AHD43" s="1304"/>
      <c r="AHE43" s="1308"/>
      <c r="AHF43" s="1352"/>
      <c r="AHG43" s="1304"/>
      <c r="AHH43" s="1308"/>
      <c r="AHI43" s="1352"/>
      <c r="AHJ43" s="1304"/>
      <c r="AHK43" s="1308"/>
      <c r="AHL43" s="1352"/>
      <c r="AHM43" s="1304"/>
      <c r="AHN43" s="1308"/>
      <c r="AHO43" s="1352"/>
      <c r="AHP43" s="1304">
        <v>52918</v>
      </c>
      <c r="AHQ43" s="1308"/>
      <c r="AHR43" s="1352"/>
      <c r="AHS43" s="1304"/>
      <c r="AHT43" s="1308"/>
      <c r="AHU43" s="1352"/>
      <c r="AHV43" s="1304"/>
      <c r="AHW43" s="1308"/>
      <c r="AHX43" s="1352"/>
      <c r="AHY43" s="1304">
        <v>51818</v>
      </c>
      <c r="AHZ43" s="1308"/>
      <c r="AIA43" s="1352"/>
      <c r="AIB43" s="1304"/>
      <c r="AIC43" s="1308"/>
      <c r="AID43" s="1308"/>
      <c r="AIE43" s="1304"/>
      <c r="AIF43" s="1308"/>
      <c r="AIG43" s="1352"/>
      <c r="AIH43" s="1304"/>
      <c r="AII43" s="1308"/>
      <c r="AIJ43" s="1352"/>
      <c r="AIK43" s="1304">
        <v>47022</v>
      </c>
      <c r="AIL43" s="1308"/>
      <c r="AIM43" s="1352"/>
      <c r="AIN43" s="1304"/>
      <c r="AIO43" s="1308"/>
      <c r="AIP43" s="1352"/>
      <c r="AIQ43" s="1304">
        <v>44551</v>
      </c>
      <c r="AIR43" s="1308"/>
      <c r="AIS43" s="1308"/>
      <c r="AIT43" s="1304"/>
      <c r="AIU43" s="1308"/>
      <c r="AIV43" s="1352"/>
      <c r="AIW43" s="1304"/>
      <c r="AIX43" s="1308"/>
      <c r="AIY43" s="1308"/>
      <c r="AIZ43" s="1304"/>
      <c r="AJA43" s="1308"/>
      <c r="AJB43" s="1352"/>
      <c r="AJC43" s="1304"/>
      <c r="AJD43" s="1308"/>
      <c r="AJE43" s="1352"/>
      <c r="AJF43" s="1304">
        <v>916.8</v>
      </c>
      <c r="AJG43" s="1308"/>
      <c r="AJH43" s="1352"/>
      <c r="AJI43" s="1304"/>
      <c r="AJJ43" s="1308"/>
      <c r="AJK43" s="1352"/>
      <c r="AJL43" s="1304"/>
      <c r="AJM43" s="1308"/>
      <c r="AJN43" s="1308"/>
      <c r="AJO43" s="1304">
        <v>4033.8</v>
      </c>
      <c r="AJP43" s="1308"/>
      <c r="AJQ43" s="1352"/>
      <c r="AJR43" s="1304"/>
      <c r="AJS43" s="1308"/>
      <c r="AJT43" s="1308"/>
      <c r="AJU43" s="1304"/>
      <c r="AJV43" s="1308"/>
      <c r="AJW43" s="1352"/>
      <c r="AJX43" s="1304">
        <v>4117.8</v>
      </c>
      <c r="AJY43" s="1308"/>
      <c r="AJZ43" s="1352"/>
      <c r="AKA43" s="1304"/>
      <c r="AKB43" s="1308"/>
      <c r="AKC43" s="1352"/>
      <c r="AKD43" s="1304"/>
      <c r="AKE43" s="1308"/>
      <c r="AKF43" s="1352"/>
      <c r="AKG43" s="1304"/>
      <c r="AKH43" s="1308"/>
      <c r="AKI43" s="1308"/>
      <c r="AKJ43" s="1304"/>
      <c r="AKK43" s="1308"/>
      <c r="AKL43" s="1352"/>
      <c r="AKM43" s="1304"/>
      <c r="AKN43" s="1308"/>
      <c r="AKO43" s="1308"/>
      <c r="AKP43" s="1304"/>
      <c r="AKQ43" s="1308"/>
      <c r="AKR43" s="1352"/>
      <c r="AKS43" s="1304"/>
      <c r="AKT43" s="1308"/>
      <c r="AKU43" s="1352"/>
      <c r="AKV43" s="1304">
        <v>1176</v>
      </c>
      <c r="AKW43" s="1308"/>
      <c r="AKX43" s="1352"/>
      <c r="AKY43" s="1304">
        <v>2293</v>
      </c>
      <c r="AKZ43" s="1308"/>
      <c r="ALA43" s="1352"/>
      <c r="ALB43" s="1304"/>
      <c r="ALC43" s="1308"/>
      <c r="ALD43" s="1308"/>
      <c r="ALE43" s="1304">
        <v>789</v>
      </c>
      <c r="ALF43" s="1308"/>
      <c r="ALG43" s="1352"/>
      <c r="ALH43" s="1304"/>
      <c r="ALI43" s="1308"/>
      <c r="ALJ43" s="1308"/>
      <c r="ALK43" s="1304"/>
      <c r="ALL43" s="1308"/>
      <c r="ALM43" s="1352"/>
      <c r="ALN43" s="1304"/>
      <c r="ALO43" s="1308"/>
      <c r="ALP43" s="1352"/>
      <c r="ALQ43" s="1304">
        <v>1981.6</v>
      </c>
      <c r="ALR43" s="1308"/>
      <c r="ALS43" s="1352"/>
      <c r="ALT43" s="1304">
        <v>2483.8000000000002</v>
      </c>
      <c r="ALU43" s="1308"/>
      <c r="ALV43" s="1352"/>
      <c r="ALW43" s="1304"/>
      <c r="ALX43" s="1308"/>
      <c r="ALY43" s="1308"/>
      <c r="ALZ43" s="1304">
        <v>1682.2</v>
      </c>
      <c r="AMA43" s="1308"/>
      <c r="AMB43" s="1352"/>
      <c r="AMC43" s="1304"/>
      <c r="AMD43" s="1308"/>
      <c r="AME43" s="1308"/>
      <c r="AMF43" s="1304"/>
      <c r="AMG43" s="1308"/>
      <c r="AMH43" s="1352"/>
      <c r="AMI43" s="1304">
        <v>2290.6</v>
      </c>
      <c r="AMJ43" s="1308"/>
      <c r="AMK43" s="1352"/>
      <c r="AML43" s="1304"/>
      <c r="AMM43" s="1308"/>
      <c r="AMN43" s="1352"/>
      <c r="AMO43" s="1304">
        <v>2741.2</v>
      </c>
      <c r="AMP43" s="1308"/>
      <c r="AMQ43" s="1352"/>
      <c r="AMR43" s="1304"/>
      <c r="AMS43" s="1308"/>
      <c r="AMT43" s="1308"/>
      <c r="AMU43" s="1304">
        <v>10896.4</v>
      </c>
      <c r="AMV43" s="1308"/>
      <c r="AMW43" s="1352"/>
      <c r="AMX43" s="1304"/>
      <c r="AMY43" s="1308"/>
      <c r="AMZ43" s="1308"/>
      <c r="ANA43" s="1304"/>
      <c r="ANB43" s="1308"/>
      <c r="ANC43" s="1352"/>
      <c r="AND43" s="1304">
        <v>10922.2</v>
      </c>
      <c r="ANE43" s="1308"/>
      <c r="ANF43" s="1352"/>
      <c r="ANG43" s="1304"/>
      <c r="ANH43" s="1308"/>
      <c r="ANI43" s="1352"/>
      <c r="ANJ43" s="1304"/>
      <c r="ANK43" s="1308"/>
      <c r="ANL43" s="1352"/>
      <c r="ANM43" s="1304">
        <v>9814</v>
      </c>
      <c r="ANN43" s="1308"/>
      <c r="ANO43" s="1308"/>
      <c r="ANP43" s="1304"/>
      <c r="ANQ43" s="1308"/>
      <c r="ANR43" s="1352"/>
      <c r="ANS43" s="1304"/>
      <c r="ANT43" s="1308"/>
      <c r="ANU43" s="1308"/>
      <c r="ANV43" s="1304"/>
      <c r="ANW43" s="1308"/>
      <c r="ANX43" s="1352"/>
      <c r="ANY43" s="1304">
        <v>8665.6</v>
      </c>
      <c r="ANZ43" s="1308"/>
      <c r="AOA43" s="1352"/>
      <c r="AOB43" s="1304"/>
      <c r="AOC43" s="1308"/>
      <c r="AOD43" s="1352"/>
      <c r="AOE43" s="1304">
        <v>10086.799999999999</v>
      </c>
      <c r="AOF43" s="1308"/>
      <c r="AOG43" s="1352"/>
      <c r="AOH43" s="1304"/>
      <c r="AOI43" s="1308"/>
      <c r="AOJ43" s="1308"/>
      <c r="AOK43" s="1304"/>
      <c r="AOL43" s="1308"/>
      <c r="AOM43" s="1352"/>
      <c r="AON43" s="1304"/>
      <c r="AOO43" s="1308"/>
      <c r="AOP43" s="1308"/>
      <c r="AOQ43" s="1304"/>
      <c r="AOR43" s="1308"/>
      <c r="AOS43" s="1352"/>
      <c r="AOT43" s="1304">
        <v>6536.4</v>
      </c>
      <c r="AOU43" s="1308"/>
      <c r="AOV43" s="1352"/>
      <c r="AOW43" s="1304"/>
      <c r="AOX43" s="1308"/>
      <c r="AOY43" s="1352"/>
      <c r="AOZ43" s="1304"/>
      <c r="APA43" s="1308"/>
      <c r="APB43" s="1352"/>
      <c r="APC43" s="1304"/>
      <c r="APD43" s="1308"/>
      <c r="APE43" s="1308"/>
      <c r="APF43" s="1304"/>
      <c r="APG43" s="1308"/>
      <c r="APH43" s="1352"/>
      <c r="API43" s="1304"/>
      <c r="APJ43" s="1308"/>
      <c r="APK43" s="1308"/>
      <c r="APL43" s="1304"/>
      <c r="APM43" s="1308"/>
      <c r="APN43" s="1352"/>
      <c r="APO43" s="1304">
        <v>5298.6</v>
      </c>
      <c r="APP43" s="1308"/>
      <c r="APQ43" s="1352"/>
      <c r="APR43" s="1304"/>
      <c r="APS43" s="1308"/>
      <c r="APT43" s="1352"/>
      <c r="APU43" s="1304"/>
      <c r="APV43" s="1308"/>
      <c r="APW43" s="1352"/>
      <c r="APX43" s="1304"/>
      <c r="APY43" s="1308"/>
      <c r="APZ43" s="1308"/>
      <c r="AQA43" s="1304"/>
      <c r="AQB43" s="1308"/>
      <c r="AQC43" s="1352"/>
      <c r="AQD43" s="1304"/>
      <c r="AQE43" s="1308"/>
      <c r="AQF43" s="1352"/>
      <c r="AQG43" s="1304">
        <v>20264.599999999999</v>
      </c>
      <c r="AQH43" s="1308"/>
      <c r="AQI43" s="1352"/>
      <c r="AQJ43" s="1304"/>
      <c r="AQK43" s="1308"/>
      <c r="AQL43" s="1352"/>
      <c r="AQM43" s="1304"/>
      <c r="AQN43" s="1308"/>
      <c r="AQO43" s="1308"/>
      <c r="AQP43" s="1304"/>
      <c r="AQQ43" s="1308"/>
      <c r="AQR43" s="1308"/>
      <c r="AQS43" s="1304"/>
      <c r="AQT43" s="1308"/>
      <c r="AQU43" s="1352"/>
      <c r="AQV43" s="1305"/>
      <c r="AQW43" s="1308"/>
      <c r="AQX43" s="1352"/>
      <c r="AQY43" s="1304"/>
      <c r="AQZ43" s="1308"/>
      <c r="ARA43" s="1352"/>
      <c r="ARB43" s="1304"/>
      <c r="ARC43" s="1308"/>
      <c r="ARD43" s="1352"/>
      <c r="ARE43" s="1304"/>
      <c r="ARF43" s="1308"/>
      <c r="ARG43" s="1352"/>
      <c r="ARH43" s="1304"/>
      <c r="ARI43" s="1308"/>
      <c r="ARJ43" s="1308"/>
      <c r="ARK43" s="1304"/>
      <c r="ARL43" s="1308"/>
      <c r="ARM43" s="1352"/>
      <c r="ARN43" s="1304"/>
      <c r="ARO43" s="1308"/>
      <c r="ARP43" s="1352"/>
      <c r="ARQ43" s="1305"/>
      <c r="ARR43" s="1308"/>
      <c r="ARS43" s="1352"/>
      <c r="ART43" s="1305"/>
      <c r="ARU43" s="1308"/>
      <c r="ARV43" s="1352"/>
      <c r="ARW43" s="1305"/>
      <c r="ARX43" s="1308"/>
      <c r="ARY43" s="1352"/>
      <c r="ARZ43" s="1304"/>
      <c r="ASA43" s="1308"/>
      <c r="ASB43" s="1352"/>
      <c r="ASC43" s="1304"/>
      <c r="ASD43" s="1308"/>
      <c r="ASE43" s="1308"/>
      <c r="ASF43" s="1304"/>
      <c r="ASG43" s="1308"/>
      <c r="ASH43" s="1352"/>
      <c r="ASI43" s="1304"/>
      <c r="ASJ43" s="1308"/>
      <c r="ASK43" s="1308"/>
      <c r="ASL43" s="1304"/>
      <c r="ASM43" s="1308"/>
      <c r="ASN43" s="1352"/>
      <c r="ASO43" s="1304"/>
      <c r="ASP43" s="1308"/>
      <c r="ASQ43" s="1308"/>
      <c r="ASR43" s="1304"/>
      <c r="ASS43" s="1308"/>
      <c r="AST43" s="1352"/>
      <c r="ASU43" s="1304"/>
      <c r="ASV43" s="1308"/>
      <c r="ASW43" s="1352"/>
      <c r="ASX43" s="1304"/>
      <c r="ASY43" s="1308"/>
      <c r="ASZ43" s="1308"/>
      <c r="ATA43" s="1304"/>
      <c r="ATB43" s="1308"/>
      <c r="ATC43" s="1352"/>
      <c r="ATD43" s="1304"/>
      <c r="ATE43" s="1308"/>
      <c r="ATF43" s="1308"/>
      <c r="ATG43" s="1304"/>
      <c r="ATH43" s="1308"/>
      <c r="ATI43" s="1352"/>
      <c r="ATJ43" s="1304"/>
      <c r="ATK43" s="1308"/>
      <c r="ATL43" s="1352"/>
      <c r="ATM43" s="1304"/>
      <c r="ATN43" s="1308"/>
      <c r="ATO43" s="1352"/>
      <c r="ATP43" s="1304"/>
      <c r="ATQ43" s="1308"/>
      <c r="ATR43" s="1352"/>
      <c r="ATS43" s="1304"/>
      <c r="ATT43" s="1308"/>
      <c r="ATU43" s="1352"/>
      <c r="ATV43" s="1305"/>
      <c r="ATW43" s="1308"/>
      <c r="ATX43" s="1352"/>
      <c r="ATY43" s="1304"/>
      <c r="ATZ43" s="1308"/>
      <c r="AUA43" s="1308"/>
      <c r="AUB43" s="1304"/>
      <c r="AUC43" s="1308"/>
      <c r="AUD43" s="1352"/>
      <c r="AUE43" s="1304"/>
      <c r="AUF43" s="1308"/>
      <c r="AUG43" s="1352"/>
      <c r="AUH43" s="1304"/>
      <c r="AUI43" s="1308"/>
      <c r="AUJ43" s="1352"/>
      <c r="AUK43" s="1304"/>
      <c r="AUL43" s="1308"/>
      <c r="AUM43" s="1308"/>
      <c r="AUN43" s="1304"/>
      <c r="AUO43" s="1308"/>
      <c r="AUP43" s="1308"/>
      <c r="AUQ43" s="1304"/>
      <c r="AUR43" s="1308"/>
      <c r="AUS43" s="1308"/>
      <c r="AUT43" s="1304"/>
      <c r="AUU43" s="1308"/>
      <c r="AUV43" s="1308"/>
      <c r="AUW43" s="1304"/>
      <c r="AUX43" s="1308"/>
      <c r="AUY43" s="1308"/>
      <c r="AUZ43" s="1304"/>
      <c r="AVA43" s="1308"/>
      <c r="AVB43" s="1308"/>
      <c r="AVC43" s="1304"/>
      <c r="AVD43" s="1308"/>
      <c r="AVE43" s="1308"/>
      <c r="AVF43" s="1304"/>
      <c r="AVG43" s="1308"/>
      <c r="AVH43" s="1308"/>
      <c r="AVI43" s="1304"/>
      <c r="AVJ43" s="1308"/>
      <c r="AVK43" s="1308"/>
      <c r="AVL43" s="1304"/>
      <c r="AVM43" s="1308"/>
      <c r="AVN43" s="1308"/>
      <c r="AVO43" s="1304">
        <v>45000</v>
      </c>
      <c r="AVP43" s="1308"/>
      <c r="AVQ43" s="1308"/>
      <c r="AVR43" s="1304"/>
      <c r="AVS43" s="1308"/>
      <c r="AVT43" s="1308"/>
      <c r="AVU43" s="1304"/>
      <c r="AVV43" s="1308"/>
      <c r="AVW43" s="1308"/>
      <c r="AVX43" s="1304"/>
      <c r="AVY43" s="1308"/>
      <c r="AVZ43" s="1308"/>
      <c r="AWA43" s="1304"/>
      <c r="AWB43" s="1308"/>
      <c r="AWC43" s="1308"/>
      <c r="AWD43" s="1304"/>
      <c r="AWE43" s="1308"/>
      <c r="AWF43" s="1308"/>
      <c r="AWG43" s="1304"/>
      <c r="AWH43" s="1308"/>
      <c r="AWI43" s="1308"/>
      <c r="AWJ43" s="1304"/>
      <c r="AWK43" s="1308"/>
      <c r="AWL43" s="1308"/>
      <c r="AWM43" s="1304"/>
      <c r="AWN43" s="1308"/>
      <c r="AWO43" s="1352"/>
      <c r="AWP43" s="1305"/>
      <c r="AWQ43" s="1308"/>
      <c r="AWR43" s="1352"/>
      <c r="AWS43" s="1304"/>
      <c r="AWT43" s="1308"/>
      <c r="AWU43" s="1352"/>
      <c r="AWV43" s="1304"/>
      <c r="AWW43" s="1308"/>
      <c r="AWX43" s="1352"/>
      <c r="AWY43" s="1304"/>
      <c r="AWZ43" s="1308"/>
      <c r="AXA43" s="1308"/>
      <c r="AXB43" s="1304"/>
      <c r="AXC43" s="1308"/>
      <c r="AXD43" s="1352"/>
      <c r="AXE43" s="1304"/>
      <c r="AXF43" s="1308"/>
      <c r="AXG43" s="1308"/>
      <c r="AXH43" s="1304"/>
      <c r="AXI43" s="1308"/>
      <c r="AXJ43" s="1352"/>
      <c r="AXK43" s="1304"/>
      <c r="AXL43" s="1308"/>
      <c r="AXM43" s="1352"/>
      <c r="AXN43" s="1304"/>
      <c r="AXO43" s="1308"/>
      <c r="AXP43" s="1352"/>
      <c r="AXQ43" s="1304"/>
      <c r="AXR43" s="1308"/>
      <c r="AXS43" s="1352"/>
      <c r="AXT43" s="1304"/>
      <c r="AXU43" s="1308"/>
      <c r="AXV43" s="1308"/>
      <c r="AXW43" s="1304"/>
      <c r="AXX43" s="1308"/>
      <c r="AXY43" s="1352"/>
      <c r="AXZ43" s="1304"/>
      <c r="AYA43" s="1308"/>
      <c r="AYB43" s="1308"/>
      <c r="AYC43" s="1304"/>
      <c r="AYD43" s="1308"/>
      <c r="AYE43" s="1352"/>
      <c r="AYF43" s="1304"/>
      <c r="AYG43" s="1308"/>
      <c r="AYH43" s="1352"/>
      <c r="AYI43" s="1304"/>
      <c r="AYJ43" s="1308"/>
      <c r="AYK43" s="1352"/>
      <c r="AYL43" s="1304"/>
      <c r="AYM43" s="1308"/>
      <c r="AYN43" s="1352"/>
      <c r="AYO43" s="1304"/>
      <c r="AYP43" s="1308"/>
      <c r="AYQ43" s="1308"/>
      <c r="AYR43" s="1304"/>
      <c r="AYS43" s="1308"/>
      <c r="AYT43" s="1352"/>
      <c r="AYU43" s="1304"/>
      <c r="AYV43" s="1308"/>
      <c r="AYW43" s="1308"/>
      <c r="AYX43" s="1304"/>
      <c r="AYY43" s="1308"/>
      <c r="AYZ43" s="1352"/>
      <c r="AZA43" s="1304"/>
      <c r="AZB43" s="1308"/>
      <c r="AZC43" s="1352"/>
      <c r="AZD43" s="1304"/>
      <c r="AZE43" s="1308"/>
      <c r="AZF43" s="1352"/>
      <c r="AZG43" s="1304"/>
      <c r="AZH43" s="1308"/>
      <c r="AZI43" s="1352"/>
      <c r="AZJ43" s="1304"/>
      <c r="AZK43" s="1308"/>
      <c r="AZL43" s="1308"/>
      <c r="AZM43" s="1304"/>
      <c r="AZN43" s="1308"/>
      <c r="AZO43" s="1352"/>
      <c r="AZP43" s="1304"/>
      <c r="AZQ43" s="1308"/>
      <c r="AZR43" s="1308"/>
      <c r="AZS43" s="1304"/>
      <c r="AZT43" s="1308"/>
      <c r="AZU43" s="1352"/>
      <c r="AZV43" s="1304"/>
      <c r="AZW43" s="1308"/>
      <c r="AZX43" s="1352"/>
      <c r="AZY43" s="1304"/>
      <c r="AZZ43" s="1308"/>
      <c r="BAA43" s="1352"/>
      <c r="BAB43" s="1304"/>
      <c r="BAC43" s="1308"/>
      <c r="BAD43" s="1352"/>
      <c r="BAE43" s="1304"/>
      <c r="BAF43" s="1308"/>
      <c r="BAG43" s="1308"/>
      <c r="BAH43" s="1304"/>
      <c r="BAI43" s="1308"/>
      <c r="BAJ43" s="1352"/>
    </row>
    <row r="44" spans="1:1399" s="354" customFormat="1" ht="15" customHeight="1">
      <c r="A44" s="17"/>
      <c r="B44" s="757" t="s">
        <v>368</v>
      </c>
      <c r="C44" s="758"/>
      <c r="D44" s="758"/>
      <c r="E44" s="759" t="s">
        <v>342</v>
      </c>
      <c r="F44" s="760"/>
      <c r="G44" s="760"/>
      <c r="H44" s="761"/>
      <c r="I44" s="760"/>
      <c r="J44" s="760"/>
      <c r="K44" s="761"/>
      <c r="L44" s="760"/>
      <c r="M44" s="760"/>
      <c r="N44" s="761"/>
      <c r="O44" s="760"/>
      <c r="P44" s="760"/>
      <c r="Q44" s="761"/>
      <c r="R44" s="760"/>
      <c r="S44" s="760"/>
      <c r="T44" s="761"/>
      <c r="U44" s="760"/>
      <c r="V44" s="760"/>
      <c r="W44" s="761"/>
      <c r="X44" s="760"/>
      <c r="Y44" s="760"/>
      <c r="Z44" s="761"/>
      <c r="AA44" s="760"/>
      <c r="AB44" s="760"/>
      <c r="AC44" s="761"/>
      <c r="AD44" s="760"/>
      <c r="AE44" s="760"/>
      <c r="AF44" s="761"/>
      <c r="AG44" s="760"/>
      <c r="AH44" s="760"/>
      <c r="AI44" s="761"/>
      <c r="AJ44" s="760"/>
      <c r="AK44" s="760"/>
      <c r="AL44" s="761"/>
      <c r="AM44" s="760"/>
      <c r="AN44" s="760"/>
      <c r="AO44" s="761"/>
      <c r="AP44" s="760"/>
      <c r="AQ44" s="760"/>
      <c r="AR44" s="761"/>
      <c r="AS44" s="760"/>
      <c r="AT44" s="760"/>
      <c r="AU44" s="761"/>
      <c r="AV44" s="760"/>
      <c r="AW44" s="760"/>
      <c r="AX44" s="761"/>
      <c r="AY44" s="760"/>
      <c r="AZ44" s="760"/>
      <c r="BA44" s="761"/>
      <c r="BB44" s="760"/>
      <c r="BC44" s="760"/>
      <c r="BD44" s="761"/>
      <c r="BE44" s="760"/>
      <c r="BF44" s="760"/>
      <c r="BG44" s="761"/>
      <c r="BH44" s="760"/>
      <c r="BI44" s="760"/>
      <c r="BJ44" s="761"/>
      <c r="BK44" s="760"/>
      <c r="BL44" s="760"/>
      <c r="BM44" s="761"/>
      <c r="BN44" s="760"/>
      <c r="BO44" s="760"/>
      <c r="BP44" s="761"/>
      <c r="BQ44" s="760"/>
      <c r="BR44" s="760"/>
      <c r="BS44" s="761"/>
      <c r="BT44" s="760"/>
      <c r="BU44" s="760"/>
      <c r="BV44" s="761"/>
      <c r="BW44" s="760"/>
      <c r="BX44" s="760"/>
      <c r="BY44" s="761"/>
      <c r="BZ44" s="760"/>
      <c r="CA44" s="760"/>
      <c r="CB44" s="761"/>
      <c r="CC44" s="760"/>
      <c r="CD44" s="760"/>
      <c r="CE44" s="761"/>
      <c r="CF44" s="760"/>
      <c r="CG44" s="760"/>
      <c r="CH44" s="761"/>
      <c r="CI44" s="760"/>
      <c r="CJ44" s="760"/>
      <c r="CK44" s="761"/>
      <c r="CL44" s="760"/>
      <c r="CM44" s="760"/>
      <c r="CN44" s="761"/>
      <c r="CO44" s="760"/>
      <c r="CP44" s="760"/>
      <c r="CQ44" s="761"/>
      <c r="CR44" s="760"/>
      <c r="CS44" s="760"/>
      <c r="CT44" s="761"/>
      <c r="CU44" s="760"/>
      <c r="CV44" s="760"/>
      <c r="CW44" s="761"/>
      <c r="CX44" s="760"/>
      <c r="CY44" s="760"/>
      <c r="CZ44" s="761"/>
      <c r="DA44" s="760"/>
      <c r="DB44" s="760"/>
      <c r="DC44" s="761"/>
      <c r="DD44" s="760"/>
      <c r="DE44" s="760"/>
      <c r="DF44" s="761"/>
      <c r="DG44" s="760"/>
      <c r="DH44" s="760"/>
      <c r="DI44" s="761"/>
      <c r="DJ44" s="760"/>
      <c r="DK44" s="760"/>
      <c r="DL44" s="761"/>
      <c r="DM44" s="760"/>
      <c r="DN44" s="760"/>
      <c r="DO44" s="761"/>
      <c r="DP44" s="760"/>
      <c r="DQ44" s="760"/>
      <c r="DR44" s="761"/>
      <c r="DS44" s="762"/>
      <c r="DT44" s="760"/>
      <c r="DU44" s="761"/>
      <c r="DV44" s="762"/>
      <c r="DW44" s="760"/>
      <c r="DX44" s="761"/>
      <c r="DY44" s="760"/>
      <c r="DZ44" s="760"/>
      <c r="EA44" s="761"/>
      <c r="EB44" s="760"/>
      <c r="EC44" s="760"/>
      <c r="ED44" s="761"/>
      <c r="EE44" s="760"/>
      <c r="EF44" s="760"/>
      <c r="EG44" s="761"/>
      <c r="EH44" s="760"/>
      <c r="EI44" s="760"/>
      <c r="EJ44" s="761"/>
      <c r="EK44" s="760"/>
      <c r="EL44" s="760"/>
      <c r="EM44" s="761"/>
      <c r="EN44" s="760"/>
      <c r="EO44" s="760"/>
      <c r="EP44" s="761"/>
      <c r="EQ44" s="760"/>
      <c r="ER44" s="760"/>
      <c r="ES44" s="761"/>
      <c r="ET44" s="760"/>
      <c r="EU44" s="760"/>
      <c r="EV44" s="761"/>
      <c r="EW44" s="760"/>
      <c r="EX44" s="760"/>
      <c r="EY44" s="761"/>
      <c r="EZ44" s="760"/>
      <c r="FA44" s="760"/>
      <c r="FB44" s="761"/>
      <c r="FC44" s="760"/>
      <c r="FD44" s="760"/>
      <c r="FE44" s="761"/>
      <c r="FF44" s="760"/>
      <c r="FG44" s="760"/>
      <c r="FH44" s="761"/>
      <c r="FI44" s="760"/>
      <c r="FJ44" s="760"/>
      <c r="FK44" s="761"/>
      <c r="FL44" s="760"/>
      <c r="FM44" s="760"/>
      <c r="FN44" s="761"/>
      <c r="FO44" s="760"/>
      <c r="FP44" s="760"/>
      <c r="FQ44" s="761"/>
      <c r="FR44" s="760"/>
      <c r="FS44" s="760"/>
      <c r="FT44" s="761"/>
      <c r="FU44" s="760"/>
      <c r="FV44" s="760"/>
      <c r="FW44" s="761"/>
      <c r="FX44" s="760"/>
      <c r="FY44" s="760"/>
      <c r="FZ44" s="761"/>
      <c r="GA44" s="760"/>
      <c r="GB44" s="760"/>
      <c r="GC44" s="761"/>
      <c r="GD44" s="760"/>
      <c r="GE44" s="760"/>
      <c r="GF44" s="761"/>
      <c r="GG44" s="760"/>
      <c r="GH44" s="760"/>
      <c r="GI44" s="761"/>
      <c r="GJ44" s="760"/>
      <c r="GK44" s="760"/>
      <c r="GL44" s="761"/>
      <c r="GM44" s="760"/>
      <c r="GN44" s="760"/>
      <c r="GO44" s="761"/>
      <c r="GP44" s="760"/>
      <c r="GQ44" s="760"/>
      <c r="GR44" s="761"/>
      <c r="GS44" s="760"/>
      <c r="GT44" s="760"/>
      <c r="GU44" s="761"/>
      <c r="GV44" s="760"/>
      <c r="GW44" s="760"/>
      <c r="GX44" s="761"/>
      <c r="GY44" s="760"/>
      <c r="GZ44" s="760"/>
      <c r="HA44" s="761"/>
      <c r="HB44" s="760"/>
      <c r="HC44" s="760"/>
      <c r="HD44" s="761"/>
      <c r="HE44" s="760"/>
      <c r="HF44" s="760"/>
      <c r="HG44" s="761"/>
      <c r="HH44" s="760"/>
      <c r="HI44" s="760"/>
      <c r="HJ44" s="761"/>
      <c r="HK44" s="760"/>
      <c r="HL44" s="760"/>
      <c r="HM44" s="761"/>
      <c r="HN44" s="760"/>
      <c r="HO44" s="760"/>
      <c r="HP44" s="761"/>
      <c r="HQ44" s="760"/>
      <c r="HR44" s="760"/>
      <c r="HS44" s="761"/>
      <c r="HT44" s="760"/>
      <c r="HU44" s="760"/>
      <c r="HV44" s="761"/>
      <c r="HW44" s="760"/>
      <c r="HX44" s="760"/>
      <c r="HY44" s="761"/>
      <c r="HZ44" s="760"/>
      <c r="IA44" s="760"/>
      <c r="IB44" s="761"/>
      <c r="IC44" s="760"/>
      <c r="ID44" s="760"/>
      <c r="IE44" s="761"/>
      <c r="IF44" s="760"/>
      <c r="IG44" s="760"/>
      <c r="IH44" s="761"/>
      <c r="II44" s="760"/>
      <c r="IJ44" s="760"/>
      <c r="IK44" s="761"/>
      <c r="IL44" s="760"/>
      <c r="IM44" s="760"/>
      <c r="IN44" s="761"/>
      <c r="IO44" s="760"/>
      <c r="IP44" s="760"/>
      <c r="IQ44" s="761"/>
      <c r="IR44" s="760"/>
      <c r="IS44" s="760"/>
      <c r="IT44" s="761"/>
      <c r="IU44" s="760"/>
      <c r="IV44" s="760"/>
      <c r="IW44" s="761"/>
      <c r="IX44" s="760"/>
      <c r="IY44" s="760"/>
      <c r="IZ44" s="761"/>
      <c r="JA44" s="760"/>
      <c r="JB44" s="760"/>
      <c r="JC44" s="761"/>
      <c r="JD44" s="760"/>
      <c r="JE44" s="760"/>
      <c r="JF44" s="761"/>
      <c r="JG44" s="760"/>
      <c r="JH44" s="760"/>
      <c r="JI44" s="761"/>
      <c r="JJ44" s="760"/>
      <c r="JK44" s="760"/>
      <c r="JL44" s="761"/>
      <c r="JM44" s="760"/>
      <c r="JN44" s="760"/>
      <c r="JO44" s="761"/>
      <c r="JP44" s="760"/>
      <c r="JQ44" s="760"/>
      <c r="JR44" s="761"/>
      <c r="JS44" s="760"/>
      <c r="JT44" s="760"/>
      <c r="JU44" s="761"/>
      <c r="JV44" s="760"/>
      <c r="JW44" s="760"/>
      <c r="JX44" s="761"/>
      <c r="JY44" s="760"/>
      <c r="JZ44" s="760"/>
      <c r="KA44" s="761"/>
      <c r="KB44" s="760"/>
      <c r="KC44" s="760"/>
      <c r="KD44" s="761"/>
      <c r="KE44" s="760"/>
      <c r="KF44" s="760"/>
      <c r="KG44" s="761"/>
      <c r="KH44" s="760"/>
      <c r="KI44" s="760"/>
      <c r="KJ44" s="761"/>
      <c r="KK44" s="760"/>
      <c r="KL44" s="760"/>
      <c r="KM44" s="761"/>
      <c r="KN44" s="760"/>
      <c r="KO44" s="760"/>
      <c r="KP44" s="761"/>
      <c r="KQ44" s="760"/>
      <c r="KR44" s="760"/>
      <c r="KS44" s="761"/>
      <c r="KT44" s="760"/>
      <c r="KU44" s="760"/>
      <c r="KV44" s="761"/>
      <c r="KW44" s="760"/>
      <c r="KX44" s="760"/>
      <c r="KY44" s="761"/>
      <c r="KZ44" s="760"/>
      <c r="LA44" s="760"/>
      <c r="LB44" s="761"/>
      <c r="LC44" s="760"/>
      <c r="LD44" s="760"/>
      <c r="LE44" s="761"/>
      <c r="LF44" s="760"/>
      <c r="LG44" s="760"/>
      <c r="LH44" s="761"/>
      <c r="LI44" s="760"/>
      <c r="LJ44" s="760"/>
      <c r="LK44" s="761"/>
      <c r="LL44" s="760"/>
      <c r="LM44" s="760"/>
      <c r="LN44" s="761"/>
      <c r="LO44" s="760"/>
      <c r="LP44" s="760"/>
      <c r="LQ44" s="761"/>
      <c r="LR44" s="760"/>
      <c r="LS44" s="760"/>
      <c r="LT44" s="761"/>
      <c r="LU44" s="760"/>
      <c r="LV44" s="760"/>
      <c r="LW44" s="761"/>
      <c r="LX44" s="760"/>
      <c r="LY44" s="760"/>
      <c r="LZ44" s="761"/>
      <c r="MA44" s="760"/>
      <c r="MB44" s="760"/>
      <c r="MC44" s="761"/>
      <c r="MD44" s="760"/>
      <c r="ME44" s="760"/>
      <c r="MF44" s="761"/>
      <c r="MG44" s="760"/>
      <c r="MH44" s="760"/>
      <c r="MI44" s="761"/>
      <c r="MJ44" s="760"/>
      <c r="MK44" s="760"/>
      <c r="ML44" s="761"/>
      <c r="MM44" s="760"/>
      <c r="MN44" s="760"/>
      <c r="MO44" s="761"/>
      <c r="MP44" s="760"/>
      <c r="MQ44" s="760"/>
      <c r="MR44" s="761"/>
      <c r="MS44" s="760"/>
      <c r="MT44" s="760"/>
      <c r="MU44" s="761"/>
      <c r="MV44" s="760"/>
      <c r="MW44" s="760"/>
      <c r="MX44" s="761"/>
      <c r="MY44" s="760"/>
      <c r="MZ44" s="760"/>
      <c r="NA44" s="761"/>
      <c r="NB44" s="760"/>
      <c r="NC44" s="760"/>
      <c r="ND44" s="761"/>
      <c r="NE44" s="760"/>
      <c r="NF44" s="760"/>
      <c r="NG44" s="761"/>
      <c r="NH44" s="760"/>
      <c r="NI44" s="760"/>
      <c r="NJ44" s="761"/>
      <c r="NK44" s="760"/>
      <c r="NL44" s="760"/>
      <c r="NM44" s="761"/>
      <c r="NN44" s="760"/>
      <c r="NO44" s="760"/>
      <c r="NP44" s="761"/>
      <c r="NQ44" s="760"/>
      <c r="NR44" s="760"/>
      <c r="NS44" s="761"/>
      <c r="NT44" s="760"/>
      <c r="NU44" s="760"/>
      <c r="NV44" s="761"/>
      <c r="NW44" s="760"/>
      <c r="NX44" s="760"/>
      <c r="NY44" s="761"/>
      <c r="NZ44" s="760"/>
      <c r="OA44" s="760"/>
      <c r="OB44" s="761"/>
      <c r="OC44" s="760"/>
      <c r="OD44" s="760"/>
      <c r="OE44" s="761"/>
      <c r="OF44" s="760"/>
      <c r="OG44" s="760"/>
      <c r="OH44" s="761"/>
      <c r="OI44" s="760"/>
      <c r="OJ44" s="760"/>
      <c r="OK44" s="761"/>
      <c r="OL44" s="760"/>
      <c r="OM44" s="760"/>
      <c r="ON44" s="761"/>
      <c r="OO44" s="760"/>
      <c r="OP44" s="760"/>
      <c r="OQ44" s="761"/>
      <c r="OR44" s="760"/>
      <c r="OS44" s="760"/>
      <c r="OT44" s="761"/>
      <c r="OU44" s="760"/>
      <c r="OV44" s="760"/>
      <c r="OW44" s="761"/>
      <c r="OX44" s="760"/>
      <c r="OY44" s="760"/>
      <c r="OZ44" s="761"/>
      <c r="PA44" s="760"/>
      <c r="PB44" s="760"/>
      <c r="PC44" s="761"/>
      <c r="PD44" s="760"/>
      <c r="PE44" s="760"/>
      <c r="PF44" s="761"/>
      <c r="PG44" s="760"/>
      <c r="PH44" s="760"/>
      <c r="PI44" s="761"/>
      <c r="PJ44" s="760"/>
      <c r="PK44" s="760"/>
      <c r="PL44" s="761"/>
      <c r="PM44" s="760"/>
      <c r="PN44" s="760"/>
      <c r="PO44" s="761"/>
      <c r="PP44" s="760"/>
      <c r="PQ44" s="760"/>
      <c r="PR44" s="761"/>
      <c r="PS44" s="760"/>
      <c r="PT44" s="760"/>
      <c r="PU44" s="761"/>
      <c r="PV44" s="763"/>
      <c r="PW44" s="764"/>
      <c r="PX44" s="765"/>
      <c r="PY44" s="763"/>
      <c r="PZ44" s="764"/>
      <c r="QA44" s="765"/>
      <c r="QB44" s="763"/>
      <c r="QC44" s="764"/>
      <c r="QD44" s="765"/>
      <c r="QE44" s="763"/>
      <c r="QF44" s="764"/>
      <c r="QG44" s="765"/>
      <c r="QH44" s="763"/>
      <c r="QI44" s="764"/>
      <c r="QJ44" s="765"/>
      <c r="QK44" s="763"/>
      <c r="QL44" s="764"/>
      <c r="QM44" s="765"/>
      <c r="QN44" s="763"/>
      <c r="QO44" s="764"/>
      <c r="QP44" s="765"/>
      <c r="QQ44" s="763"/>
      <c r="QR44" s="764"/>
      <c r="QS44" s="765"/>
      <c r="QT44" s="763"/>
      <c r="QU44" s="764"/>
      <c r="QV44" s="765"/>
      <c r="QW44" s="763"/>
      <c r="QX44" s="764"/>
      <c r="QY44" s="765"/>
      <c r="QZ44" s="763"/>
      <c r="RA44" s="764"/>
      <c r="RB44" s="765"/>
      <c r="RC44" s="763"/>
      <c r="RD44" s="764"/>
      <c r="RE44" s="765"/>
      <c r="RF44" s="763"/>
      <c r="RG44" s="764"/>
      <c r="RH44" s="765"/>
      <c r="RI44" s="760"/>
      <c r="RJ44" s="760"/>
      <c r="RK44" s="761"/>
      <c r="RL44" s="760"/>
      <c r="RM44" s="760"/>
      <c r="RN44" s="761"/>
      <c r="RO44" s="760"/>
      <c r="RP44" s="760"/>
      <c r="RQ44" s="761"/>
      <c r="RR44" s="760"/>
      <c r="RS44" s="760"/>
      <c r="RT44" s="761"/>
      <c r="RU44" s="760"/>
      <c r="RV44" s="760"/>
      <c r="RW44" s="761"/>
      <c r="RX44" s="763"/>
      <c r="RY44" s="764"/>
      <c r="RZ44" s="765"/>
      <c r="SA44" s="763"/>
      <c r="SB44" s="764"/>
      <c r="SC44" s="765"/>
      <c r="SD44" s="763"/>
      <c r="SE44" s="764"/>
      <c r="SF44" s="765"/>
      <c r="SG44" s="763"/>
      <c r="SH44" s="764"/>
      <c r="SI44" s="765"/>
      <c r="SJ44" s="763"/>
      <c r="SK44" s="764"/>
      <c r="SL44" s="765"/>
      <c r="SM44" s="763"/>
      <c r="SN44" s="764"/>
      <c r="SO44" s="765"/>
      <c r="SP44" s="763"/>
      <c r="SQ44" s="764"/>
      <c r="SR44" s="765"/>
      <c r="SS44" s="763"/>
      <c r="ST44" s="764"/>
      <c r="SU44" s="765"/>
      <c r="SV44" s="763"/>
      <c r="SW44" s="764"/>
      <c r="SX44" s="765"/>
      <c r="SY44" s="763"/>
      <c r="SZ44" s="764"/>
      <c r="TA44" s="765"/>
      <c r="TB44" s="763"/>
      <c r="TC44" s="764"/>
      <c r="TD44" s="765"/>
      <c r="TE44" s="763"/>
      <c r="TF44" s="764"/>
      <c r="TG44" s="765"/>
      <c r="TH44" s="763"/>
      <c r="TI44" s="764"/>
      <c r="TJ44" s="765"/>
      <c r="TK44" s="763"/>
      <c r="TL44" s="764"/>
      <c r="TM44" s="765"/>
      <c r="TN44" s="763"/>
      <c r="TO44" s="764"/>
      <c r="TP44" s="765"/>
      <c r="TQ44" s="763"/>
      <c r="TR44" s="764"/>
      <c r="TS44" s="765"/>
      <c r="TT44" s="763"/>
      <c r="TU44" s="764"/>
      <c r="TV44" s="765"/>
      <c r="TW44" s="763"/>
      <c r="TX44" s="764"/>
      <c r="TY44" s="765"/>
      <c r="TZ44" s="763"/>
      <c r="UA44" s="764"/>
      <c r="UB44" s="765"/>
      <c r="UC44" s="763"/>
      <c r="UD44" s="766"/>
      <c r="UE44" s="767"/>
      <c r="UF44" s="1309">
        <v>126</v>
      </c>
      <c r="UG44" s="1310"/>
      <c r="UH44" s="1353"/>
      <c r="UI44" s="1309"/>
      <c r="UJ44" s="1310"/>
      <c r="UK44" s="1353"/>
      <c r="UL44" s="1309"/>
      <c r="UM44" s="1310"/>
      <c r="UN44" s="1353"/>
      <c r="UO44" s="1309">
        <v>2798</v>
      </c>
      <c r="UP44" s="1310"/>
      <c r="UQ44" s="1353"/>
      <c r="UR44" s="1309"/>
      <c r="US44" s="1310"/>
      <c r="UT44" s="1353"/>
      <c r="UU44" s="1309">
        <v>3115</v>
      </c>
      <c r="UV44" s="1310"/>
      <c r="UW44" s="1353"/>
      <c r="UX44" s="1309"/>
      <c r="UY44" s="1310"/>
      <c r="UZ44" s="1353"/>
      <c r="VA44" s="1309">
        <v>3217</v>
      </c>
      <c r="VB44" s="1310"/>
      <c r="VC44" s="1353"/>
      <c r="VD44" s="1309"/>
      <c r="VE44" s="1310"/>
      <c r="VF44" s="1353"/>
      <c r="VG44" s="1309"/>
      <c r="VH44" s="1310"/>
      <c r="VI44" s="1353"/>
      <c r="VJ44" s="1309">
        <v>3073</v>
      </c>
      <c r="VK44" s="1310"/>
      <c r="VL44" s="1353"/>
      <c r="VM44" s="1309"/>
      <c r="VN44" s="1310"/>
      <c r="VO44" s="1353"/>
      <c r="VP44" s="1309">
        <v>2198</v>
      </c>
      <c r="VQ44" s="1310"/>
      <c r="VR44" s="1353"/>
      <c r="VS44" s="1309"/>
      <c r="VT44" s="1310"/>
      <c r="VU44" s="1353"/>
      <c r="VV44" s="1309">
        <v>2917</v>
      </c>
      <c r="VW44" s="1310"/>
      <c r="VX44" s="1353"/>
      <c r="VY44" s="1309"/>
      <c r="VZ44" s="1310"/>
      <c r="WA44" s="1353"/>
      <c r="WB44" s="1309"/>
      <c r="WC44" s="1310"/>
      <c r="WD44" s="1353"/>
      <c r="WE44" s="1309">
        <v>2580</v>
      </c>
      <c r="WF44" s="1310"/>
      <c r="WG44" s="1353"/>
      <c r="WH44" s="1309"/>
      <c r="WI44" s="1310"/>
      <c r="WJ44" s="1353"/>
      <c r="WK44" s="1309">
        <v>3952</v>
      </c>
      <c r="WL44" s="1310"/>
      <c r="WM44" s="1353"/>
      <c r="WN44" s="1309"/>
      <c r="WO44" s="1310"/>
      <c r="WP44" s="1353"/>
      <c r="WQ44" s="1309">
        <v>2974</v>
      </c>
      <c r="WR44" s="1310"/>
      <c r="WS44" s="1353"/>
      <c r="WT44" s="1309"/>
      <c r="WU44" s="1310"/>
      <c r="WV44" s="1353"/>
      <c r="WW44" s="1309"/>
      <c r="WX44" s="1310"/>
      <c r="WY44" s="1353"/>
      <c r="WZ44" s="1309">
        <v>5063</v>
      </c>
      <c r="XA44" s="1310"/>
      <c r="XB44" s="1353"/>
      <c r="XC44" s="1309"/>
      <c r="XD44" s="1310"/>
      <c r="XE44" s="1353"/>
      <c r="XF44" s="1309">
        <v>4498</v>
      </c>
      <c r="XG44" s="1310"/>
      <c r="XH44" s="1353"/>
      <c r="XI44" s="1309"/>
      <c r="XJ44" s="1310"/>
      <c r="XK44" s="1353"/>
      <c r="XL44" s="1309">
        <v>3985</v>
      </c>
      <c r="XM44" s="1310"/>
      <c r="XN44" s="1353"/>
      <c r="XO44" s="1309"/>
      <c r="XP44" s="1310"/>
      <c r="XQ44" s="1353"/>
      <c r="XR44" s="1309"/>
      <c r="XS44" s="1310"/>
      <c r="XT44" s="1353"/>
      <c r="XU44" s="1309">
        <v>3182</v>
      </c>
      <c r="XV44" s="1310"/>
      <c r="XW44" s="1353"/>
      <c r="XX44" s="1309"/>
      <c r="XY44" s="1310"/>
      <c r="XZ44" s="1353"/>
      <c r="YA44" s="1309">
        <v>2390</v>
      </c>
      <c r="YB44" s="1310"/>
      <c r="YC44" s="1353"/>
      <c r="YD44" s="1309"/>
      <c r="YE44" s="1310"/>
      <c r="YF44" s="1353"/>
      <c r="YG44" s="1309">
        <v>2902</v>
      </c>
      <c r="YH44" s="1310"/>
      <c r="YI44" s="1353"/>
      <c r="YJ44" s="1309"/>
      <c r="YK44" s="1310"/>
      <c r="YL44" s="1353"/>
      <c r="YM44" s="1309"/>
      <c r="YN44" s="1310"/>
      <c r="YO44" s="1353"/>
      <c r="YP44" s="1309">
        <v>2342</v>
      </c>
      <c r="YQ44" s="1310"/>
      <c r="YR44" s="1353"/>
      <c r="YS44" s="1309"/>
      <c r="YT44" s="1310"/>
      <c r="YU44" s="1353"/>
      <c r="YV44" s="1309">
        <v>3794</v>
      </c>
      <c r="YW44" s="1310"/>
      <c r="YX44" s="1353"/>
      <c r="YY44" s="1309"/>
      <c r="YZ44" s="1310"/>
      <c r="ZA44" s="1353"/>
      <c r="ZB44" s="1309">
        <v>2252</v>
      </c>
      <c r="ZC44" s="1310"/>
      <c r="ZD44" s="1353"/>
      <c r="ZE44" s="1309"/>
      <c r="ZF44" s="1310"/>
      <c r="ZG44" s="1353"/>
      <c r="ZH44" s="1309"/>
      <c r="ZI44" s="1310"/>
      <c r="ZJ44" s="1353"/>
      <c r="ZK44" s="1309">
        <v>2752</v>
      </c>
      <c r="ZL44" s="1310"/>
      <c r="ZM44" s="1353"/>
      <c r="ZN44" s="1309"/>
      <c r="ZO44" s="1310"/>
      <c r="ZP44" s="1353"/>
      <c r="ZQ44" s="1309">
        <v>2913</v>
      </c>
      <c r="ZR44" s="1310"/>
      <c r="ZS44" s="1353"/>
      <c r="ZT44" s="1309"/>
      <c r="ZU44" s="1310"/>
      <c r="ZV44" s="1353"/>
      <c r="ZW44" s="1309">
        <v>2172</v>
      </c>
      <c r="ZX44" s="1310"/>
      <c r="ZY44" s="1353"/>
      <c r="ZZ44" s="1309"/>
      <c r="AAA44" s="1310"/>
      <c r="AAB44" s="1353"/>
      <c r="AAC44" s="1309"/>
      <c r="AAD44" s="1310"/>
      <c r="AAE44" s="1353"/>
      <c r="AAF44" s="1309">
        <v>2998</v>
      </c>
      <c r="AAG44" s="1310"/>
      <c r="AAH44" s="1353"/>
      <c r="AAI44" s="1309"/>
      <c r="AAJ44" s="1310"/>
      <c r="AAK44" s="1353"/>
      <c r="AAL44" s="1309">
        <v>2942</v>
      </c>
      <c r="AAM44" s="1310"/>
      <c r="AAN44" s="1353"/>
      <c r="AAO44" s="1309"/>
      <c r="AAP44" s="1310"/>
      <c r="AAQ44" s="1353"/>
      <c r="AAR44" s="1309">
        <v>2714</v>
      </c>
      <c r="AAS44" s="1310"/>
      <c r="AAT44" s="1353"/>
      <c r="AAU44" s="1309"/>
      <c r="AAV44" s="1310"/>
      <c r="AAW44" s="1353"/>
      <c r="AAX44" s="1309"/>
      <c r="AAY44" s="1310"/>
      <c r="AAZ44" s="1353"/>
      <c r="ABA44" s="1309">
        <v>3613</v>
      </c>
      <c r="ABB44" s="1310"/>
      <c r="ABC44" s="1353"/>
      <c r="ABD44" s="1309"/>
      <c r="ABE44" s="1310"/>
      <c r="ABF44" s="1353"/>
      <c r="ABG44" s="1309">
        <v>2970</v>
      </c>
      <c r="ABH44" s="1310"/>
      <c r="ABI44" s="1353"/>
      <c r="ABJ44" s="1309"/>
      <c r="ABK44" s="1310"/>
      <c r="ABL44" s="1353"/>
      <c r="ABM44" s="1309">
        <v>2793</v>
      </c>
      <c r="ABN44" s="1310"/>
      <c r="ABO44" s="1353"/>
      <c r="ABP44" s="1309"/>
      <c r="ABQ44" s="1310"/>
      <c r="ABR44" s="1353"/>
      <c r="ABS44" s="1309"/>
      <c r="ABT44" s="1310"/>
      <c r="ABU44" s="1353"/>
      <c r="ABV44" s="1309">
        <v>2937</v>
      </c>
      <c r="ABW44" s="1310"/>
      <c r="ABX44" s="1353"/>
      <c r="ABY44" s="1309"/>
      <c r="ABZ44" s="1310"/>
      <c r="ACA44" s="1353"/>
      <c r="ACB44" s="1309">
        <v>3018</v>
      </c>
      <c r="ACC44" s="1310"/>
      <c r="ACD44" s="1353"/>
      <c r="ACE44" s="1309"/>
      <c r="ACF44" s="1310"/>
      <c r="ACG44" s="1353"/>
      <c r="ACH44" s="1309"/>
      <c r="ACI44" s="1310"/>
      <c r="ACJ44" s="1353"/>
      <c r="ACK44" s="1309"/>
      <c r="ACL44" s="1310"/>
      <c r="ACM44" s="1353"/>
      <c r="ACN44" s="1309"/>
      <c r="ACO44" s="1310"/>
      <c r="ACP44" s="1353"/>
      <c r="ACQ44" s="1309">
        <v>2105</v>
      </c>
      <c r="ACR44" s="1310"/>
      <c r="ACS44" s="1353"/>
      <c r="ACT44" s="1309"/>
      <c r="ACU44" s="1310"/>
      <c r="ACV44" s="1353"/>
      <c r="ACW44" s="1309">
        <v>2624</v>
      </c>
      <c r="ACX44" s="1310"/>
      <c r="ACY44" s="1353"/>
      <c r="ACZ44" s="1309"/>
      <c r="ADA44" s="1310"/>
      <c r="ADB44" s="1353"/>
      <c r="ADC44" s="1309">
        <v>3726</v>
      </c>
      <c r="ADD44" s="1310"/>
      <c r="ADE44" s="1353"/>
      <c r="ADF44" s="1309"/>
      <c r="ADG44" s="1310"/>
      <c r="ADH44" s="1353"/>
      <c r="ADI44" s="1309"/>
      <c r="ADJ44" s="1310"/>
      <c r="ADK44" s="1353"/>
      <c r="ADL44" s="1309">
        <v>3196</v>
      </c>
      <c r="ADM44" s="1310"/>
      <c r="ADN44" s="1353"/>
      <c r="ADO44" s="1309"/>
      <c r="ADP44" s="1310"/>
      <c r="ADQ44" s="1353"/>
      <c r="ADR44" s="1309"/>
      <c r="ADS44" s="1310"/>
      <c r="ADT44" s="1353"/>
      <c r="ADU44" s="1309"/>
      <c r="ADV44" s="1310"/>
      <c r="ADW44" s="1353"/>
      <c r="ADX44" s="1309">
        <v>3596</v>
      </c>
      <c r="ADY44" s="1310"/>
      <c r="ADZ44" s="1353"/>
      <c r="AEA44" s="1309"/>
      <c r="AEB44" s="1310"/>
      <c r="AEC44" s="1353"/>
      <c r="AED44" s="1309"/>
      <c r="AEE44" s="1310"/>
      <c r="AEF44" s="1353"/>
      <c r="AEG44" s="1309">
        <v>3019</v>
      </c>
      <c r="AEH44" s="1310"/>
      <c r="AEI44" s="1353"/>
      <c r="AEJ44" s="1309"/>
      <c r="AEK44" s="1310"/>
      <c r="AEL44" s="1353"/>
      <c r="AEM44" s="1309">
        <v>3263</v>
      </c>
      <c r="AEN44" s="1310"/>
      <c r="AEO44" s="1353"/>
      <c r="AEP44" s="1309"/>
      <c r="AEQ44" s="1310"/>
      <c r="AER44" s="1353"/>
      <c r="AES44" s="1309">
        <v>3502</v>
      </c>
      <c r="AET44" s="1310"/>
      <c r="AEU44" s="1353"/>
      <c r="AEV44" s="1309"/>
      <c r="AEW44" s="1310"/>
      <c r="AEX44" s="1353"/>
      <c r="AEY44" s="1309"/>
      <c r="AEZ44" s="1310"/>
      <c r="AFA44" s="1353"/>
      <c r="AFB44" s="1309">
        <v>3722</v>
      </c>
      <c r="AFC44" s="1310"/>
      <c r="AFD44" s="1353"/>
      <c r="AFE44" s="1309"/>
      <c r="AFF44" s="1310"/>
      <c r="AFG44" s="1353"/>
      <c r="AFH44" s="1309">
        <v>2711</v>
      </c>
      <c r="AFI44" s="1310"/>
      <c r="AFJ44" s="1353"/>
      <c r="AFK44" s="1309"/>
      <c r="AFL44" s="1310"/>
      <c r="AFM44" s="1353"/>
      <c r="AFN44" s="1309">
        <v>2805</v>
      </c>
      <c r="AFO44" s="1310"/>
      <c r="AFP44" s="1353"/>
      <c r="AFQ44" s="1309"/>
      <c r="AFR44" s="1310"/>
      <c r="AFS44" s="1353"/>
      <c r="AFT44" s="1309"/>
      <c r="AFU44" s="1310"/>
      <c r="AFV44" s="1353"/>
      <c r="AFW44" s="1309">
        <v>2476</v>
      </c>
      <c r="AFX44" s="1310"/>
      <c r="AFY44" s="1353"/>
      <c r="AFZ44" s="1309"/>
      <c r="AGA44" s="1310"/>
      <c r="AGB44" s="1353"/>
      <c r="AGC44" s="1309">
        <v>3046</v>
      </c>
      <c r="AGD44" s="1310"/>
      <c r="AGE44" s="1353"/>
      <c r="AGF44" s="1309"/>
      <c r="AGG44" s="1310"/>
      <c r="AGH44" s="1353"/>
      <c r="AGI44" s="1309">
        <f>3439+1120.4</f>
        <v>4559.3999999999996</v>
      </c>
      <c r="AGJ44" s="1310"/>
      <c r="AGK44" s="1353"/>
      <c r="AGL44" s="1309"/>
      <c r="AGM44" s="1310"/>
      <c r="AGN44" s="1353"/>
      <c r="AGO44" s="1309"/>
      <c r="AGP44" s="1310"/>
      <c r="AGQ44" s="1353"/>
      <c r="AGR44" s="1309">
        <v>3660</v>
      </c>
      <c r="AGS44" s="1310"/>
      <c r="AGT44" s="1353"/>
      <c r="AGU44" s="1309"/>
      <c r="AGV44" s="1310"/>
      <c r="AGW44" s="1353"/>
      <c r="AGX44" s="1309">
        <v>3558</v>
      </c>
      <c r="AGY44" s="1310"/>
      <c r="AGZ44" s="1353"/>
      <c r="AHA44" s="1309"/>
      <c r="AHB44" s="1310"/>
      <c r="AHC44" s="1353"/>
      <c r="AHD44" s="1309"/>
      <c r="AHE44" s="1310"/>
      <c r="AHF44" s="1353"/>
      <c r="AHG44" s="1309"/>
      <c r="AHH44" s="1310"/>
      <c r="AHI44" s="1353"/>
      <c r="AHJ44" s="1309"/>
      <c r="AHK44" s="1310"/>
      <c r="AHL44" s="1353"/>
      <c r="AHM44" s="1309"/>
      <c r="AHN44" s="1310"/>
      <c r="AHO44" s="1353"/>
      <c r="AHP44" s="1309">
        <v>2880</v>
      </c>
      <c r="AHQ44" s="1310"/>
      <c r="AHR44" s="1353"/>
      <c r="AHS44" s="1309"/>
      <c r="AHT44" s="1310"/>
      <c r="AHU44" s="1353"/>
      <c r="AHV44" s="1309"/>
      <c r="AHW44" s="1310"/>
      <c r="AHX44" s="1353"/>
      <c r="AHY44" s="1309">
        <v>3522</v>
      </c>
      <c r="AHZ44" s="1310"/>
      <c r="AIA44" s="1353"/>
      <c r="AIB44" s="1309"/>
      <c r="AIC44" s="1310"/>
      <c r="AID44" s="1310"/>
      <c r="AIE44" s="1309"/>
      <c r="AIF44" s="1310"/>
      <c r="AIG44" s="1353"/>
      <c r="AIH44" s="1309"/>
      <c r="AII44" s="1310"/>
      <c r="AIJ44" s="1353"/>
      <c r="AIK44" s="1309">
        <v>3268</v>
      </c>
      <c r="AIL44" s="1310"/>
      <c r="AIM44" s="1353"/>
      <c r="AIN44" s="1309"/>
      <c r="AIO44" s="1310"/>
      <c r="AIP44" s="1353"/>
      <c r="AIQ44" s="1309">
        <v>3412</v>
      </c>
      <c r="AIR44" s="1310"/>
      <c r="AIS44" s="1310"/>
      <c r="AIT44" s="1309"/>
      <c r="AIU44" s="1310"/>
      <c r="AIV44" s="1353"/>
      <c r="AIW44" s="1309"/>
      <c r="AIX44" s="1310"/>
      <c r="AIY44" s="1310"/>
      <c r="AIZ44" s="1309"/>
      <c r="AJA44" s="1310"/>
      <c r="AJB44" s="1353"/>
      <c r="AJC44" s="1309"/>
      <c r="AJD44" s="1310"/>
      <c r="AJE44" s="1353"/>
      <c r="AJF44" s="1309">
        <v>2553.5</v>
      </c>
      <c r="AJG44" s="1310"/>
      <c r="AJH44" s="1353"/>
      <c r="AJI44" s="1309"/>
      <c r="AJJ44" s="1310"/>
      <c r="AJK44" s="1353"/>
      <c r="AJL44" s="1309"/>
      <c r="AJM44" s="1310"/>
      <c r="AJN44" s="1310"/>
      <c r="AJO44" s="1309">
        <v>3202</v>
      </c>
      <c r="AJP44" s="1310"/>
      <c r="AJQ44" s="1353"/>
      <c r="AJR44" s="1309"/>
      <c r="AJS44" s="1310"/>
      <c r="AJT44" s="1310"/>
      <c r="AJU44" s="1309"/>
      <c r="AJV44" s="1310"/>
      <c r="AJW44" s="1353"/>
      <c r="AJX44" s="1309">
        <v>2794.5</v>
      </c>
      <c r="AJY44" s="1310"/>
      <c r="AJZ44" s="1353"/>
      <c r="AKA44" s="1309"/>
      <c r="AKB44" s="1310"/>
      <c r="AKC44" s="1353"/>
      <c r="AKD44" s="1309"/>
      <c r="AKE44" s="1310"/>
      <c r="AKF44" s="1353"/>
      <c r="AKG44" s="1309"/>
      <c r="AKH44" s="1310"/>
      <c r="AKI44" s="1310"/>
      <c r="AKJ44" s="1309"/>
      <c r="AKK44" s="1310"/>
      <c r="AKL44" s="1353"/>
      <c r="AKM44" s="1309"/>
      <c r="AKN44" s="1310"/>
      <c r="AKO44" s="1310"/>
      <c r="AKP44" s="1309"/>
      <c r="AKQ44" s="1310"/>
      <c r="AKR44" s="1353"/>
      <c r="AKS44" s="1309"/>
      <c r="AKT44" s="1310"/>
      <c r="AKU44" s="1353"/>
      <c r="AKV44" s="1309">
        <v>2788</v>
      </c>
      <c r="AKW44" s="1310"/>
      <c r="AKX44" s="1353"/>
      <c r="AKY44" s="1309">
        <v>3007.5</v>
      </c>
      <c r="AKZ44" s="1310"/>
      <c r="ALA44" s="1353"/>
      <c r="ALB44" s="1309"/>
      <c r="ALC44" s="1310"/>
      <c r="ALD44" s="1310"/>
      <c r="ALE44" s="1309">
        <v>4361.5</v>
      </c>
      <c r="ALF44" s="1310"/>
      <c r="ALG44" s="1353"/>
      <c r="ALH44" s="1309"/>
      <c r="ALI44" s="1310"/>
      <c r="ALJ44" s="1310"/>
      <c r="ALK44" s="1309"/>
      <c r="ALL44" s="1310"/>
      <c r="ALM44" s="1353"/>
      <c r="ALN44" s="1309"/>
      <c r="ALO44" s="1310"/>
      <c r="ALP44" s="1353"/>
      <c r="ALQ44" s="1309">
        <v>3898.5</v>
      </c>
      <c r="ALR44" s="1310"/>
      <c r="ALS44" s="1353"/>
      <c r="ALT44" s="1309">
        <v>3244.5</v>
      </c>
      <c r="ALU44" s="1310"/>
      <c r="ALV44" s="1353"/>
      <c r="ALW44" s="1309"/>
      <c r="ALX44" s="1310"/>
      <c r="ALY44" s="1310"/>
      <c r="ALZ44" s="1309">
        <v>3961</v>
      </c>
      <c r="AMA44" s="1310"/>
      <c r="AMB44" s="1353"/>
      <c r="AMC44" s="1309"/>
      <c r="AMD44" s="1310"/>
      <c r="AME44" s="1310"/>
      <c r="AMF44" s="1309"/>
      <c r="AMG44" s="1310"/>
      <c r="AMH44" s="1353"/>
      <c r="AMI44" s="1309">
        <v>3725.5</v>
      </c>
      <c r="AMJ44" s="1310"/>
      <c r="AMK44" s="1353"/>
      <c r="AML44" s="1309"/>
      <c r="AMM44" s="1310"/>
      <c r="AMN44" s="1353"/>
      <c r="AMO44" s="1309">
        <v>3311.5</v>
      </c>
      <c r="AMP44" s="1310"/>
      <c r="AMQ44" s="1353"/>
      <c r="AMR44" s="1309"/>
      <c r="AMS44" s="1310"/>
      <c r="AMT44" s="1310"/>
      <c r="AMU44" s="1309">
        <v>4817</v>
      </c>
      <c r="AMV44" s="1310"/>
      <c r="AMW44" s="1353"/>
      <c r="AMX44" s="1309"/>
      <c r="AMY44" s="1310"/>
      <c r="AMZ44" s="1310"/>
      <c r="ANA44" s="1309"/>
      <c r="ANB44" s="1310"/>
      <c r="ANC44" s="1353"/>
      <c r="AND44" s="1309">
        <v>3980.5</v>
      </c>
      <c r="ANE44" s="1310"/>
      <c r="ANF44" s="1353"/>
      <c r="ANG44" s="1309"/>
      <c r="ANH44" s="1310"/>
      <c r="ANI44" s="1353"/>
      <c r="ANJ44" s="1309"/>
      <c r="ANK44" s="1310"/>
      <c r="ANL44" s="1353"/>
      <c r="ANM44" s="1309">
        <v>4082.5</v>
      </c>
      <c r="ANN44" s="1310"/>
      <c r="ANO44" s="1310"/>
      <c r="ANP44" s="1309"/>
      <c r="ANQ44" s="1310"/>
      <c r="ANR44" s="1353"/>
      <c r="ANS44" s="1309"/>
      <c r="ANT44" s="1310"/>
      <c r="ANU44" s="1310"/>
      <c r="ANV44" s="1309"/>
      <c r="ANW44" s="1310"/>
      <c r="ANX44" s="1353"/>
      <c r="ANY44" s="1309">
        <v>3844.5</v>
      </c>
      <c r="ANZ44" s="1310"/>
      <c r="AOA44" s="1353"/>
      <c r="AOB44" s="1309"/>
      <c r="AOC44" s="1310"/>
      <c r="AOD44" s="1353"/>
      <c r="AOE44" s="1309">
        <v>4257</v>
      </c>
      <c r="AOF44" s="1310"/>
      <c r="AOG44" s="1353"/>
      <c r="AOH44" s="1309"/>
      <c r="AOI44" s="1310"/>
      <c r="AOJ44" s="1310"/>
      <c r="AOK44" s="1309"/>
      <c r="AOL44" s="1310"/>
      <c r="AOM44" s="1353"/>
      <c r="AON44" s="1309"/>
      <c r="AOO44" s="1310"/>
      <c r="AOP44" s="1310"/>
      <c r="AOQ44" s="1309"/>
      <c r="AOR44" s="1310"/>
      <c r="AOS44" s="1353"/>
      <c r="AOT44" s="1309">
        <v>4110.5</v>
      </c>
      <c r="AOU44" s="1310"/>
      <c r="AOV44" s="1353"/>
      <c r="AOW44" s="1309"/>
      <c r="AOX44" s="1310"/>
      <c r="AOY44" s="1353"/>
      <c r="AOZ44" s="1309"/>
      <c r="APA44" s="1310"/>
      <c r="APB44" s="1353"/>
      <c r="APC44" s="1309"/>
      <c r="APD44" s="1310"/>
      <c r="APE44" s="1310"/>
      <c r="APF44" s="1309"/>
      <c r="APG44" s="1310"/>
      <c r="APH44" s="1353"/>
      <c r="API44" s="1309"/>
      <c r="APJ44" s="1310"/>
      <c r="APK44" s="1310"/>
      <c r="APL44" s="1309"/>
      <c r="APM44" s="1310"/>
      <c r="APN44" s="1353"/>
      <c r="APO44" s="1309">
        <v>5467.5</v>
      </c>
      <c r="APP44" s="1310"/>
      <c r="APQ44" s="1353"/>
      <c r="APR44" s="1309"/>
      <c r="APS44" s="1310"/>
      <c r="APT44" s="1353"/>
      <c r="APU44" s="1309"/>
      <c r="APV44" s="1310"/>
      <c r="APW44" s="1353"/>
      <c r="APX44" s="1309"/>
      <c r="APY44" s="1310"/>
      <c r="APZ44" s="1310"/>
      <c r="AQA44" s="1309"/>
      <c r="AQB44" s="1310"/>
      <c r="AQC44" s="1353"/>
      <c r="AQD44" s="1309"/>
      <c r="AQE44" s="1310"/>
      <c r="AQF44" s="1353"/>
      <c r="AQG44" s="1309">
        <v>4683</v>
      </c>
      <c r="AQH44" s="1310"/>
      <c r="AQI44" s="1353"/>
      <c r="AQJ44" s="1309"/>
      <c r="AQK44" s="1310"/>
      <c r="AQL44" s="1353"/>
      <c r="AQM44" s="1309"/>
      <c r="AQN44" s="1310"/>
      <c r="AQO44" s="1310"/>
      <c r="AQP44" s="1309"/>
      <c r="AQQ44" s="1310"/>
      <c r="AQR44" s="1310"/>
      <c r="AQS44" s="1309"/>
      <c r="AQT44" s="1310"/>
      <c r="AQU44" s="1353"/>
      <c r="AQV44" s="1364"/>
      <c r="AQW44" s="1310"/>
      <c r="AQX44" s="1353"/>
      <c r="AQY44" s="1309"/>
      <c r="AQZ44" s="1310"/>
      <c r="ARA44" s="1353"/>
      <c r="ARB44" s="1309"/>
      <c r="ARC44" s="1310"/>
      <c r="ARD44" s="1353"/>
      <c r="ARE44" s="1309"/>
      <c r="ARF44" s="1310"/>
      <c r="ARG44" s="1353"/>
      <c r="ARH44" s="1309"/>
      <c r="ARI44" s="1310"/>
      <c r="ARJ44" s="1310"/>
      <c r="ARK44" s="1309"/>
      <c r="ARL44" s="1310"/>
      <c r="ARM44" s="1353"/>
      <c r="ARN44" s="1309"/>
      <c r="ARO44" s="1310"/>
      <c r="ARP44" s="1353"/>
      <c r="ARQ44" s="1364"/>
      <c r="ARR44" s="1310"/>
      <c r="ARS44" s="1353"/>
      <c r="ART44" s="1364"/>
      <c r="ARU44" s="1310"/>
      <c r="ARV44" s="1353"/>
      <c r="ARW44" s="1364"/>
      <c r="ARX44" s="1310"/>
      <c r="ARY44" s="1353"/>
      <c r="ARZ44" s="1309"/>
      <c r="ASA44" s="1310"/>
      <c r="ASB44" s="1353"/>
      <c r="ASC44" s="1309"/>
      <c r="ASD44" s="1310"/>
      <c r="ASE44" s="1310"/>
      <c r="ASF44" s="1309"/>
      <c r="ASG44" s="1310"/>
      <c r="ASH44" s="1353"/>
      <c r="ASI44" s="1309"/>
      <c r="ASJ44" s="1310"/>
      <c r="ASK44" s="1310"/>
      <c r="ASL44" s="1309"/>
      <c r="ASM44" s="1310"/>
      <c r="ASN44" s="1353"/>
      <c r="ASO44" s="1309"/>
      <c r="ASP44" s="1310"/>
      <c r="ASQ44" s="1310"/>
      <c r="ASR44" s="1309"/>
      <c r="ASS44" s="1310"/>
      <c r="AST44" s="1353"/>
      <c r="ASU44" s="1309"/>
      <c r="ASV44" s="1310"/>
      <c r="ASW44" s="1353"/>
      <c r="ASX44" s="1309"/>
      <c r="ASY44" s="1310"/>
      <c r="ASZ44" s="1310"/>
      <c r="ATA44" s="1309"/>
      <c r="ATB44" s="1310"/>
      <c r="ATC44" s="1353"/>
      <c r="ATD44" s="1309"/>
      <c r="ATE44" s="1310"/>
      <c r="ATF44" s="1310"/>
      <c r="ATG44" s="1309"/>
      <c r="ATH44" s="1310"/>
      <c r="ATI44" s="1353"/>
      <c r="ATJ44" s="1309"/>
      <c r="ATK44" s="1310"/>
      <c r="ATL44" s="1353"/>
      <c r="ATM44" s="1309"/>
      <c r="ATN44" s="1310"/>
      <c r="ATO44" s="1353"/>
      <c r="ATP44" s="1309"/>
      <c r="ATQ44" s="1310"/>
      <c r="ATR44" s="1353"/>
      <c r="ATS44" s="1309"/>
      <c r="ATT44" s="1310"/>
      <c r="ATU44" s="1353"/>
      <c r="ATV44" s="1364"/>
      <c r="ATW44" s="1310"/>
      <c r="ATX44" s="1353"/>
      <c r="ATY44" s="1309"/>
      <c r="ATZ44" s="1310"/>
      <c r="AUA44" s="1310"/>
      <c r="AUB44" s="1309"/>
      <c r="AUC44" s="1310"/>
      <c r="AUD44" s="1353"/>
      <c r="AUE44" s="1309"/>
      <c r="AUF44" s="1310"/>
      <c r="AUG44" s="1353"/>
      <c r="AUH44" s="1309"/>
      <c r="AUI44" s="1310"/>
      <c r="AUJ44" s="1353"/>
      <c r="AUK44" s="1309"/>
      <c r="AUL44" s="1310"/>
      <c r="AUM44" s="1310"/>
      <c r="AUN44" s="1309"/>
      <c r="AUO44" s="1310"/>
      <c r="AUP44" s="1310"/>
      <c r="AUQ44" s="1309"/>
      <c r="AUR44" s="1310"/>
      <c r="AUS44" s="1310"/>
      <c r="AUT44" s="1309"/>
      <c r="AUU44" s="1310"/>
      <c r="AUV44" s="1310"/>
      <c r="AUW44" s="1309"/>
      <c r="AUX44" s="1310"/>
      <c r="AUY44" s="1310"/>
      <c r="AUZ44" s="1309"/>
      <c r="AVA44" s="1310"/>
      <c r="AVB44" s="1310"/>
      <c r="AVC44" s="1309"/>
      <c r="AVD44" s="1310"/>
      <c r="AVE44" s="1310"/>
      <c r="AVF44" s="1309"/>
      <c r="AVG44" s="1310"/>
      <c r="AVH44" s="1310"/>
      <c r="AVI44" s="1309"/>
      <c r="AVJ44" s="1310"/>
      <c r="AVK44" s="1310"/>
      <c r="AVL44" s="1309"/>
      <c r="AVM44" s="1310"/>
      <c r="AVN44" s="1310"/>
      <c r="AVO44" s="1309">
        <v>30000</v>
      </c>
      <c r="AVP44" s="1310"/>
      <c r="AVQ44" s="1310"/>
      <c r="AVR44" s="1309"/>
      <c r="AVS44" s="1310"/>
      <c r="AVT44" s="1310"/>
      <c r="AVU44" s="1309"/>
      <c r="AVV44" s="1310"/>
      <c r="AVW44" s="1310"/>
      <c r="AVX44" s="1309"/>
      <c r="AVY44" s="1310"/>
      <c r="AVZ44" s="1310"/>
      <c r="AWA44" s="1309"/>
      <c r="AWB44" s="1310"/>
      <c r="AWC44" s="1310"/>
      <c r="AWD44" s="1309"/>
      <c r="AWE44" s="1310"/>
      <c r="AWF44" s="1310"/>
      <c r="AWG44" s="1309"/>
      <c r="AWH44" s="1310"/>
      <c r="AWI44" s="1310"/>
      <c r="AWJ44" s="1309"/>
      <c r="AWK44" s="1310"/>
      <c r="AWL44" s="1310"/>
      <c r="AWM44" s="1309"/>
      <c r="AWN44" s="1310"/>
      <c r="AWO44" s="1353"/>
      <c r="AWP44" s="1364"/>
      <c r="AWQ44" s="1310"/>
      <c r="AWR44" s="1353"/>
      <c r="AWS44" s="1309"/>
      <c r="AWT44" s="1310"/>
      <c r="AWU44" s="1353"/>
      <c r="AWV44" s="1309"/>
      <c r="AWW44" s="1310"/>
      <c r="AWX44" s="1353"/>
      <c r="AWY44" s="1309"/>
      <c r="AWZ44" s="1310"/>
      <c r="AXA44" s="1310"/>
      <c r="AXB44" s="1309"/>
      <c r="AXC44" s="1310"/>
      <c r="AXD44" s="1353"/>
      <c r="AXE44" s="1309"/>
      <c r="AXF44" s="1310"/>
      <c r="AXG44" s="1310"/>
      <c r="AXH44" s="1309"/>
      <c r="AXI44" s="1310"/>
      <c r="AXJ44" s="1353"/>
      <c r="AXK44" s="1309"/>
      <c r="AXL44" s="1310"/>
      <c r="AXM44" s="1353"/>
      <c r="AXN44" s="1309"/>
      <c r="AXO44" s="1310"/>
      <c r="AXP44" s="1353"/>
      <c r="AXQ44" s="1309"/>
      <c r="AXR44" s="1310"/>
      <c r="AXS44" s="1353"/>
      <c r="AXT44" s="1309"/>
      <c r="AXU44" s="1310"/>
      <c r="AXV44" s="1310"/>
      <c r="AXW44" s="1309"/>
      <c r="AXX44" s="1310"/>
      <c r="AXY44" s="1353"/>
      <c r="AXZ44" s="1309"/>
      <c r="AYA44" s="1310"/>
      <c r="AYB44" s="1310"/>
      <c r="AYC44" s="1309"/>
      <c r="AYD44" s="1310"/>
      <c r="AYE44" s="1353"/>
      <c r="AYF44" s="1309"/>
      <c r="AYG44" s="1310"/>
      <c r="AYH44" s="1353"/>
      <c r="AYI44" s="1309"/>
      <c r="AYJ44" s="1310"/>
      <c r="AYK44" s="1353"/>
      <c r="AYL44" s="1309"/>
      <c r="AYM44" s="1310"/>
      <c r="AYN44" s="1353"/>
      <c r="AYO44" s="1309"/>
      <c r="AYP44" s="1310"/>
      <c r="AYQ44" s="1310"/>
      <c r="AYR44" s="1309"/>
      <c r="AYS44" s="1310"/>
      <c r="AYT44" s="1353"/>
      <c r="AYU44" s="1309"/>
      <c r="AYV44" s="1310"/>
      <c r="AYW44" s="1310"/>
      <c r="AYX44" s="1309"/>
      <c r="AYY44" s="1310"/>
      <c r="AYZ44" s="1353"/>
      <c r="AZA44" s="1309"/>
      <c r="AZB44" s="1310"/>
      <c r="AZC44" s="1353"/>
      <c r="AZD44" s="1309"/>
      <c r="AZE44" s="1310"/>
      <c r="AZF44" s="1353"/>
      <c r="AZG44" s="1309"/>
      <c r="AZH44" s="1310"/>
      <c r="AZI44" s="1353"/>
      <c r="AZJ44" s="1309"/>
      <c r="AZK44" s="1310"/>
      <c r="AZL44" s="1310"/>
      <c r="AZM44" s="1309"/>
      <c r="AZN44" s="1310"/>
      <c r="AZO44" s="1353"/>
      <c r="AZP44" s="1309"/>
      <c r="AZQ44" s="1310"/>
      <c r="AZR44" s="1310"/>
      <c r="AZS44" s="1309"/>
      <c r="AZT44" s="1310"/>
      <c r="AZU44" s="1353"/>
      <c r="AZV44" s="1309"/>
      <c r="AZW44" s="1310"/>
      <c r="AZX44" s="1353"/>
      <c r="AZY44" s="1309"/>
      <c r="AZZ44" s="1310"/>
      <c r="BAA44" s="1353"/>
      <c r="BAB44" s="1309"/>
      <c r="BAC44" s="1310"/>
      <c r="BAD44" s="1353"/>
      <c r="BAE44" s="1309"/>
      <c r="BAF44" s="1310"/>
      <c r="BAG44" s="1310"/>
      <c r="BAH44" s="1309"/>
      <c r="BAI44" s="1310"/>
      <c r="BAJ44" s="1353"/>
    </row>
    <row r="45" spans="1:1399" s="354" customFormat="1" ht="14.5" customHeight="1">
      <c r="A45" s="17"/>
      <c r="B45" s="18" t="s">
        <v>369</v>
      </c>
      <c r="C45" s="1201"/>
      <c r="D45" s="1201"/>
      <c r="E45" s="13" t="s">
        <v>342</v>
      </c>
      <c r="F45" s="1266"/>
      <c r="G45" s="1266"/>
      <c r="H45" s="346"/>
      <c r="I45" s="1266"/>
      <c r="J45" s="1266"/>
      <c r="K45" s="346"/>
      <c r="L45" s="1266"/>
      <c r="M45" s="1266"/>
      <c r="N45" s="346"/>
      <c r="O45" s="1266"/>
      <c r="P45" s="1266"/>
      <c r="Q45" s="346"/>
      <c r="R45" s="1266"/>
      <c r="S45" s="1266"/>
      <c r="T45" s="346"/>
      <c r="U45" s="1266"/>
      <c r="V45" s="1266"/>
      <c r="W45" s="346"/>
      <c r="X45" s="1266"/>
      <c r="Y45" s="1266"/>
      <c r="Z45" s="346"/>
      <c r="AA45" s="1266"/>
      <c r="AB45" s="1266"/>
      <c r="AC45" s="346"/>
      <c r="AD45" s="1266"/>
      <c r="AE45" s="1266"/>
      <c r="AF45" s="346"/>
      <c r="AG45" s="1266"/>
      <c r="AH45" s="1266"/>
      <c r="AI45" s="346"/>
      <c r="AJ45" s="1266"/>
      <c r="AK45" s="1266"/>
      <c r="AL45" s="346"/>
      <c r="AM45" s="1266"/>
      <c r="AN45" s="1266"/>
      <c r="AO45" s="346"/>
      <c r="AP45" s="1266"/>
      <c r="AQ45" s="1266"/>
      <c r="AR45" s="346"/>
      <c r="AS45" s="1266"/>
      <c r="AT45" s="1266"/>
      <c r="AU45" s="346"/>
      <c r="AV45" s="1266"/>
      <c r="AW45" s="1266"/>
      <c r="AX45" s="346"/>
      <c r="AY45" s="1266"/>
      <c r="AZ45" s="1266"/>
      <c r="BA45" s="346"/>
      <c r="BB45" s="1266"/>
      <c r="BC45" s="1266"/>
      <c r="BD45" s="346"/>
      <c r="BE45" s="1266"/>
      <c r="BF45" s="1266"/>
      <c r="BG45" s="346"/>
      <c r="BH45" s="1266"/>
      <c r="BI45" s="1266"/>
      <c r="BJ45" s="346"/>
      <c r="BK45" s="1266"/>
      <c r="BL45" s="1266"/>
      <c r="BM45" s="346"/>
      <c r="BN45" s="1266"/>
      <c r="BO45" s="1266"/>
      <c r="BP45" s="346"/>
      <c r="BQ45" s="1266"/>
      <c r="BR45" s="1266"/>
      <c r="BS45" s="346"/>
      <c r="BT45" s="1266"/>
      <c r="BU45" s="1266"/>
      <c r="BV45" s="346"/>
      <c r="BW45" s="1266"/>
      <c r="BX45" s="1266"/>
      <c r="BY45" s="346"/>
      <c r="BZ45" s="1266"/>
      <c r="CA45" s="1266"/>
      <c r="CB45" s="346"/>
      <c r="CC45" s="1266"/>
      <c r="CD45" s="1266"/>
      <c r="CE45" s="346"/>
      <c r="CF45" s="1266"/>
      <c r="CG45" s="1266"/>
      <c r="CH45" s="346"/>
      <c r="CI45" s="1266"/>
      <c r="CJ45" s="1266"/>
      <c r="CK45" s="346"/>
      <c r="CL45" s="1266"/>
      <c r="CM45" s="1266"/>
      <c r="CN45" s="346"/>
      <c r="CO45" s="1266"/>
      <c r="CP45" s="1266"/>
      <c r="CQ45" s="346"/>
      <c r="CR45" s="1266"/>
      <c r="CS45" s="1266"/>
      <c r="CT45" s="346"/>
      <c r="CU45" s="1266"/>
      <c r="CV45" s="1266"/>
      <c r="CW45" s="346"/>
      <c r="CX45" s="1266"/>
      <c r="CY45" s="1266"/>
      <c r="CZ45" s="346"/>
      <c r="DA45" s="1266"/>
      <c r="DB45" s="1266"/>
      <c r="DC45" s="346"/>
      <c r="DD45" s="1266"/>
      <c r="DE45" s="1266"/>
      <c r="DF45" s="346"/>
      <c r="DG45" s="1266"/>
      <c r="DH45" s="1266"/>
      <c r="DI45" s="346"/>
      <c r="DJ45" s="1266"/>
      <c r="DK45" s="1266"/>
      <c r="DL45" s="346"/>
      <c r="DM45" s="1266"/>
      <c r="DN45" s="1266"/>
      <c r="DO45" s="346"/>
      <c r="DP45" s="1266"/>
      <c r="DQ45" s="1266"/>
      <c r="DR45" s="346"/>
      <c r="DS45" s="1266"/>
      <c r="DT45" s="1266"/>
      <c r="DU45" s="346"/>
      <c r="DV45" s="1266"/>
      <c r="DW45" s="1266"/>
      <c r="DX45" s="346"/>
      <c r="DY45" s="1266"/>
      <c r="DZ45" s="1266"/>
      <c r="EA45" s="346"/>
      <c r="EB45" s="1266"/>
      <c r="EC45" s="1266"/>
      <c r="ED45" s="346"/>
      <c r="EE45" s="1266"/>
      <c r="EF45" s="1266"/>
      <c r="EG45" s="346"/>
      <c r="EH45" s="1266"/>
      <c r="EI45" s="1266"/>
      <c r="EJ45" s="346"/>
      <c r="EK45" s="1266"/>
      <c r="EL45" s="1266"/>
      <c r="EM45" s="346"/>
      <c r="EN45" s="1266"/>
      <c r="EO45" s="1266"/>
      <c r="EP45" s="346"/>
      <c r="EQ45" s="1266"/>
      <c r="ER45" s="1266"/>
      <c r="ES45" s="346"/>
      <c r="ET45" s="1266"/>
      <c r="EU45" s="1266"/>
      <c r="EV45" s="346"/>
      <c r="EW45" s="1266"/>
      <c r="EX45" s="1266"/>
      <c r="EY45" s="346"/>
      <c r="EZ45" s="1266"/>
      <c r="FA45" s="1266"/>
      <c r="FB45" s="346"/>
      <c r="FC45" s="1266"/>
      <c r="FD45" s="1266"/>
      <c r="FE45" s="346"/>
      <c r="FF45" s="1266"/>
      <c r="FG45" s="1266"/>
      <c r="FH45" s="346"/>
      <c r="FI45" s="1266"/>
      <c r="FJ45" s="1266"/>
      <c r="FK45" s="346"/>
      <c r="FL45" s="1266"/>
      <c r="FM45" s="1266"/>
      <c r="FN45" s="346"/>
      <c r="FO45" s="1266"/>
      <c r="FP45" s="1266"/>
      <c r="FQ45" s="346"/>
      <c r="FR45" s="1266"/>
      <c r="FS45" s="1266"/>
      <c r="FT45" s="346"/>
      <c r="FU45" s="1266"/>
      <c r="FV45" s="1266"/>
      <c r="FW45" s="346"/>
      <c r="FX45" s="1266"/>
      <c r="FY45" s="1266"/>
      <c r="FZ45" s="346"/>
      <c r="GA45" s="1266"/>
      <c r="GB45" s="1266"/>
      <c r="GC45" s="346"/>
      <c r="GD45" s="1266"/>
      <c r="GE45" s="1266"/>
      <c r="GF45" s="346"/>
      <c r="GG45" s="1266"/>
      <c r="GH45" s="1266"/>
      <c r="GI45" s="346"/>
      <c r="GJ45" s="1266"/>
      <c r="GK45" s="1266"/>
      <c r="GL45" s="346"/>
      <c r="GM45" s="1266"/>
      <c r="GN45" s="1266"/>
      <c r="GO45" s="346"/>
      <c r="GP45" s="1266"/>
      <c r="GQ45" s="1266"/>
      <c r="GR45" s="346"/>
      <c r="GS45" s="1266"/>
      <c r="GT45" s="1266"/>
      <c r="GU45" s="346"/>
      <c r="GV45" s="1266"/>
      <c r="GW45" s="1266"/>
      <c r="GX45" s="346"/>
      <c r="GY45" s="1266"/>
      <c r="GZ45" s="1266"/>
      <c r="HA45" s="346"/>
      <c r="HB45" s="1266"/>
      <c r="HC45" s="1266"/>
      <c r="HD45" s="346"/>
      <c r="HE45" s="1266"/>
      <c r="HF45" s="1266"/>
      <c r="HG45" s="346"/>
      <c r="HH45" s="1266"/>
      <c r="HI45" s="1266"/>
      <c r="HJ45" s="346"/>
      <c r="HK45" s="1266"/>
      <c r="HL45" s="1266"/>
      <c r="HM45" s="346"/>
      <c r="HN45" s="1266"/>
      <c r="HO45" s="1266"/>
      <c r="HP45" s="346"/>
      <c r="HQ45" s="1266"/>
      <c r="HR45" s="1266"/>
      <c r="HS45" s="346"/>
      <c r="HT45" s="1266"/>
      <c r="HU45" s="1266"/>
      <c r="HV45" s="346"/>
      <c r="HW45" s="1266"/>
      <c r="HX45" s="1266"/>
      <c r="HY45" s="346"/>
      <c r="HZ45" s="1266"/>
      <c r="IA45" s="1266"/>
      <c r="IB45" s="346"/>
      <c r="IC45" s="1266"/>
      <c r="ID45" s="1266"/>
      <c r="IE45" s="346"/>
      <c r="IF45" s="1266"/>
      <c r="IG45" s="1266"/>
      <c r="IH45" s="346"/>
      <c r="II45" s="1266"/>
      <c r="IJ45" s="1266"/>
      <c r="IK45" s="346"/>
      <c r="IL45" s="1266"/>
      <c r="IM45" s="1266"/>
      <c r="IN45" s="346"/>
      <c r="IO45" s="1266"/>
      <c r="IP45" s="1266"/>
      <c r="IQ45" s="346"/>
      <c r="IR45" s="1266"/>
      <c r="IS45" s="1266"/>
      <c r="IT45" s="346"/>
      <c r="IU45" s="1266"/>
      <c r="IV45" s="1266"/>
      <c r="IW45" s="346"/>
      <c r="IX45" s="1266"/>
      <c r="IY45" s="1266"/>
      <c r="IZ45" s="346"/>
      <c r="JA45" s="1266"/>
      <c r="JB45" s="1266"/>
      <c r="JC45" s="346"/>
      <c r="JD45" s="1266"/>
      <c r="JE45" s="1266"/>
      <c r="JF45" s="346"/>
      <c r="JG45" s="1266"/>
      <c r="JH45" s="1266"/>
      <c r="JI45" s="346"/>
      <c r="JJ45" s="1266"/>
      <c r="JK45" s="1266"/>
      <c r="JL45" s="346"/>
      <c r="JM45" s="1266"/>
      <c r="JN45" s="1266"/>
      <c r="JO45" s="346"/>
      <c r="JP45" s="1266"/>
      <c r="JQ45" s="1266"/>
      <c r="JR45" s="346"/>
      <c r="JS45" s="1266"/>
      <c r="JT45" s="1266"/>
      <c r="JU45" s="346"/>
      <c r="JV45" s="1266"/>
      <c r="JW45" s="1266"/>
      <c r="JX45" s="346"/>
      <c r="JY45" s="1266"/>
      <c r="JZ45" s="1266"/>
      <c r="KA45" s="346"/>
      <c r="KB45" s="1266"/>
      <c r="KC45" s="1266"/>
      <c r="KD45" s="346"/>
      <c r="KE45" s="1266"/>
      <c r="KF45" s="1266"/>
      <c r="KG45" s="346"/>
      <c r="KH45" s="1266"/>
      <c r="KI45" s="1266"/>
      <c r="KJ45" s="346"/>
      <c r="KK45" s="1266"/>
      <c r="KL45" s="1266"/>
      <c r="KM45" s="346"/>
      <c r="KN45" s="1266"/>
      <c r="KO45" s="1266"/>
      <c r="KP45" s="346"/>
      <c r="KQ45" s="1266"/>
      <c r="KR45" s="1266"/>
      <c r="KS45" s="346"/>
      <c r="KT45" s="1266"/>
      <c r="KU45" s="1266"/>
      <c r="KV45" s="346"/>
      <c r="KW45" s="1266"/>
      <c r="KX45" s="1266"/>
      <c r="KY45" s="346"/>
      <c r="KZ45" s="1266"/>
      <c r="LA45" s="1266"/>
      <c r="LB45" s="346"/>
      <c r="LC45" s="1266"/>
      <c r="LD45" s="1266"/>
      <c r="LE45" s="346"/>
      <c r="LF45" s="1266"/>
      <c r="LG45" s="1266"/>
      <c r="LH45" s="346"/>
      <c r="LI45" s="1266"/>
      <c r="LJ45" s="1266"/>
      <c r="LK45" s="346"/>
      <c r="LL45" s="1266"/>
      <c r="LM45" s="1266"/>
      <c r="LN45" s="346"/>
      <c r="LO45" s="1266"/>
      <c r="LP45" s="1266"/>
      <c r="LQ45" s="346"/>
      <c r="LR45" s="1266"/>
      <c r="LS45" s="1266"/>
      <c r="LT45" s="346"/>
      <c r="LU45" s="1266"/>
      <c r="LV45" s="1266"/>
      <c r="LW45" s="346"/>
      <c r="LX45" s="1266"/>
      <c r="LY45" s="1266"/>
      <c r="LZ45" s="346"/>
      <c r="MA45" s="1266"/>
      <c r="MB45" s="1266"/>
      <c r="MC45" s="346"/>
      <c r="MD45" s="1266"/>
      <c r="ME45" s="1266"/>
      <c r="MF45" s="346"/>
      <c r="MG45" s="1266"/>
      <c r="MH45" s="1266"/>
      <c r="MI45" s="346"/>
      <c r="MJ45" s="1266"/>
      <c r="MK45" s="1266"/>
      <c r="ML45" s="346"/>
      <c r="MM45" s="1266"/>
      <c r="MN45" s="1266"/>
      <c r="MO45" s="346"/>
      <c r="MP45" s="1266"/>
      <c r="MQ45" s="1266"/>
      <c r="MR45" s="346"/>
      <c r="MS45" s="1266"/>
      <c r="MT45" s="1266"/>
      <c r="MU45" s="346"/>
      <c r="MV45" s="1266"/>
      <c r="MW45" s="1266"/>
      <c r="MX45" s="346"/>
      <c r="MY45" s="1266"/>
      <c r="MZ45" s="1266"/>
      <c r="NA45" s="346"/>
      <c r="NB45" s="1266"/>
      <c r="NC45" s="1266"/>
      <c r="ND45" s="346"/>
      <c r="NE45" s="1266"/>
      <c r="NF45" s="1266"/>
      <c r="NG45" s="346"/>
      <c r="NH45" s="1266"/>
      <c r="NI45" s="1266"/>
      <c r="NJ45" s="346"/>
      <c r="NK45" s="1266"/>
      <c r="NL45" s="1266"/>
      <c r="NM45" s="346"/>
      <c r="NN45" s="1266"/>
      <c r="NO45" s="1266"/>
      <c r="NP45" s="346"/>
      <c r="NQ45" s="1266"/>
      <c r="NR45" s="1266"/>
      <c r="NS45" s="346"/>
      <c r="NT45" s="1266"/>
      <c r="NU45" s="1266"/>
      <c r="NV45" s="346"/>
      <c r="NW45" s="1266"/>
      <c r="NX45" s="1266"/>
      <c r="NY45" s="346"/>
      <c r="NZ45" s="1266"/>
      <c r="OA45" s="1266"/>
      <c r="OB45" s="346"/>
      <c r="OC45" s="1266"/>
      <c r="OD45" s="1266"/>
      <c r="OE45" s="346"/>
      <c r="OF45" s="1266"/>
      <c r="OG45" s="1266"/>
      <c r="OH45" s="346"/>
      <c r="OI45" s="1266"/>
      <c r="OJ45" s="1266"/>
      <c r="OK45" s="346"/>
      <c r="OL45" s="1266"/>
      <c r="OM45" s="1266"/>
      <c r="ON45" s="346"/>
      <c r="OO45" s="1266"/>
      <c r="OP45" s="1266"/>
      <c r="OQ45" s="346"/>
      <c r="OR45" s="1266"/>
      <c r="OS45" s="1266"/>
      <c r="OT45" s="346"/>
      <c r="OU45" s="1266"/>
      <c r="OV45" s="1266"/>
      <c r="OW45" s="346"/>
      <c r="OX45" s="1266"/>
      <c r="OY45" s="1266"/>
      <c r="OZ45" s="346"/>
      <c r="PA45" s="1266"/>
      <c r="PB45" s="1266"/>
      <c r="PC45" s="346"/>
      <c r="PD45" s="1266"/>
      <c r="PE45" s="1266"/>
      <c r="PF45" s="346"/>
      <c r="PG45" s="1266"/>
      <c r="PH45" s="1266"/>
      <c r="PI45" s="346"/>
      <c r="PJ45" s="1266"/>
      <c r="PK45" s="1266"/>
      <c r="PL45" s="346"/>
      <c r="PM45" s="1266"/>
      <c r="PN45" s="1266"/>
      <c r="PO45" s="346"/>
      <c r="PP45" s="1266"/>
      <c r="PQ45" s="1266"/>
      <c r="PR45" s="346"/>
      <c r="PS45" s="1266"/>
      <c r="PT45" s="1266"/>
      <c r="PU45" s="346"/>
      <c r="PV45" s="386"/>
      <c r="PW45" s="386"/>
      <c r="PX45" s="387"/>
      <c r="PY45" s="386"/>
      <c r="PZ45" s="386"/>
      <c r="QA45" s="387"/>
      <c r="QB45" s="386"/>
      <c r="QC45" s="386"/>
      <c r="QD45" s="387"/>
      <c r="QE45" s="386"/>
      <c r="QF45" s="386"/>
      <c r="QG45" s="387"/>
      <c r="QH45" s="386"/>
      <c r="QI45" s="386"/>
      <c r="QJ45" s="387"/>
      <c r="QK45" s="386"/>
      <c r="QL45" s="386"/>
      <c r="QM45" s="387"/>
      <c r="QN45" s="386"/>
      <c r="QO45" s="386"/>
      <c r="QP45" s="387"/>
      <c r="QQ45" s="386"/>
      <c r="QR45" s="386"/>
      <c r="QS45" s="387"/>
      <c r="QT45" s="386"/>
      <c r="QU45" s="386"/>
      <c r="QV45" s="387"/>
      <c r="QW45" s="386"/>
      <c r="QX45" s="386"/>
      <c r="QY45" s="387"/>
      <c r="QZ45" s="386"/>
      <c r="RA45" s="386"/>
      <c r="RB45" s="387"/>
      <c r="RC45" s="386"/>
      <c r="RD45" s="386"/>
      <c r="RE45" s="387"/>
      <c r="RF45" s="386"/>
      <c r="RG45" s="386"/>
      <c r="RH45" s="387"/>
      <c r="RI45" s="1266"/>
      <c r="RJ45" s="1266"/>
      <c r="RK45" s="346"/>
      <c r="RL45" s="1266"/>
      <c r="RM45" s="1266"/>
      <c r="RN45" s="346"/>
      <c r="RO45" s="1266"/>
      <c r="RP45" s="1266"/>
      <c r="RQ45" s="346"/>
      <c r="RR45" s="1266"/>
      <c r="RS45" s="1266"/>
      <c r="RT45" s="346"/>
      <c r="RU45" s="1266"/>
      <c r="RV45" s="1266"/>
      <c r="RW45" s="346"/>
      <c r="RX45" s="386"/>
      <c r="RY45" s="386"/>
      <c r="RZ45" s="387"/>
      <c r="SA45" s="386"/>
      <c r="SB45" s="386"/>
      <c r="SC45" s="387"/>
      <c r="SD45" s="386"/>
      <c r="SE45" s="386"/>
      <c r="SF45" s="387"/>
      <c r="SG45" s="386"/>
      <c r="SH45" s="386"/>
      <c r="SI45" s="387"/>
      <c r="SJ45" s="386"/>
      <c r="SK45" s="386"/>
      <c r="SL45" s="387"/>
      <c r="SM45" s="386"/>
      <c r="SN45" s="386"/>
      <c r="SO45" s="387"/>
      <c r="SP45" s="386"/>
      <c r="SQ45" s="386"/>
      <c r="SR45" s="387"/>
      <c r="SS45" s="386"/>
      <c r="ST45" s="386"/>
      <c r="SU45" s="387"/>
      <c r="SV45" s="386"/>
      <c r="SW45" s="386"/>
      <c r="SX45" s="387"/>
      <c r="SY45" s="386"/>
      <c r="SZ45" s="386"/>
      <c r="TA45" s="387"/>
      <c r="TB45" s="386"/>
      <c r="TC45" s="386"/>
      <c r="TD45" s="387"/>
      <c r="TE45" s="386"/>
      <c r="TF45" s="386"/>
      <c r="TG45" s="387"/>
      <c r="TH45" s="386"/>
      <c r="TI45" s="386"/>
      <c r="TJ45" s="387"/>
      <c r="TK45" s="386"/>
      <c r="TL45" s="386"/>
      <c r="TM45" s="387"/>
      <c r="TN45" s="386"/>
      <c r="TO45" s="386"/>
      <c r="TP45" s="387"/>
      <c r="TQ45" s="386"/>
      <c r="TR45" s="386"/>
      <c r="TS45" s="387"/>
      <c r="TT45" s="386"/>
      <c r="TU45" s="386"/>
      <c r="TV45" s="387"/>
      <c r="TW45" s="386"/>
      <c r="TX45" s="386"/>
      <c r="TY45" s="387"/>
      <c r="TZ45" s="386"/>
      <c r="UA45" s="386"/>
      <c r="UB45" s="387"/>
      <c r="UC45" s="386"/>
      <c r="UD45" s="19"/>
      <c r="UE45" s="389"/>
      <c r="UF45" s="388"/>
      <c r="UG45" s="19"/>
      <c r="UH45" s="389"/>
      <c r="UI45" s="386"/>
      <c r="UJ45" s="19"/>
      <c r="UK45" s="389"/>
      <c r="UL45" s="386"/>
      <c r="UM45" s="19"/>
      <c r="UN45" s="389"/>
      <c r="UO45" s="386"/>
      <c r="UP45" s="19"/>
      <c r="UQ45" s="389"/>
      <c r="UR45" s="386"/>
      <c r="US45" s="19"/>
      <c r="UT45" s="389"/>
      <c r="UU45" s="386"/>
      <c r="UV45" s="19"/>
      <c r="UW45" s="389"/>
      <c r="UX45" s="386"/>
      <c r="UY45" s="19"/>
      <c r="UZ45" s="389"/>
      <c r="VA45" s="386"/>
      <c r="VB45" s="19"/>
      <c r="VC45" s="389"/>
      <c r="VD45" s="386"/>
      <c r="VE45" s="19"/>
      <c r="VF45" s="389"/>
      <c r="VG45" s="386"/>
      <c r="VH45" s="19"/>
      <c r="VI45" s="389"/>
      <c r="VJ45" s="386"/>
      <c r="VK45" s="19"/>
      <c r="VL45" s="389"/>
      <c r="VM45" s="386"/>
      <c r="VN45" s="19"/>
      <c r="VO45" s="389"/>
      <c r="VP45" s="386"/>
      <c r="VQ45" s="19"/>
      <c r="VR45" s="389"/>
      <c r="VS45" s="386"/>
      <c r="VT45" s="19"/>
      <c r="VU45" s="389"/>
      <c r="VV45" s="386"/>
      <c r="VW45" s="19"/>
      <c r="VX45" s="389"/>
      <c r="VY45" s="386"/>
      <c r="VZ45" s="19"/>
      <c r="WA45" s="389"/>
      <c r="WB45" s="386"/>
      <c r="WC45" s="19"/>
      <c r="WD45" s="389"/>
      <c r="WE45" s="386"/>
      <c r="WF45" s="19"/>
      <c r="WG45" s="389"/>
      <c r="WH45" s="386"/>
      <c r="WI45" s="19"/>
      <c r="WJ45" s="389"/>
      <c r="WK45" s="386"/>
      <c r="WL45" s="19"/>
      <c r="WM45" s="389"/>
      <c r="WN45" s="386"/>
      <c r="WO45" s="19"/>
      <c r="WP45" s="389"/>
      <c r="WQ45" s="386"/>
      <c r="WR45" s="19"/>
      <c r="WS45" s="389"/>
      <c r="WT45" s="386"/>
      <c r="WU45" s="19"/>
      <c r="WV45" s="389"/>
      <c r="WW45" s="386"/>
      <c r="WX45" s="19"/>
      <c r="WY45" s="389"/>
      <c r="WZ45" s="386"/>
      <c r="XA45" s="19"/>
      <c r="XB45" s="389"/>
      <c r="XC45" s="386"/>
      <c r="XD45" s="19"/>
      <c r="XE45" s="389"/>
      <c r="XF45" s="386"/>
      <c r="XG45" s="19"/>
      <c r="XH45" s="389"/>
      <c r="XI45" s="386"/>
      <c r="XJ45" s="19"/>
      <c r="XK45" s="389"/>
      <c r="XL45" s="386"/>
      <c r="XM45" s="19"/>
      <c r="XN45" s="389"/>
      <c r="XO45" s="386"/>
      <c r="XP45" s="19"/>
      <c r="XQ45" s="389"/>
      <c r="XR45" s="386"/>
      <c r="XS45" s="19"/>
      <c r="XT45" s="389"/>
      <c r="XU45" s="386"/>
      <c r="XV45" s="19"/>
      <c r="XW45" s="389"/>
      <c r="XX45" s="386"/>
      <c r="XY45" s="19"/>
      <c r="XZ45" s="389"/>
      <c r="YA45" s="386"/>
      <c r="YB45" s="19"/>
      <c r="YC45" s="389"/>
      <c r="YD45" s="386"/>
      <c r="YE45" s="19"/>
      <c r="YF45" s="389"/>
      <c r="YG45" s="386"/>
      <c r="YH45" s="19"/>
      <c r="YI45" s="389"/>
      <c r="YJ45" s="386"/>
      <c r="YK45" s="19"/>
      <c r="YL45" s="389"/>
      <c r="YM45" s="386"/>
      <c r="YN45" s="19"/>
      <c r="YO45" s="389"/>
      <c r="YP45" s="386"/>
      <c r="YQ45" s="19"/>
      <c r="YR45" s="389"/>
      <c r="YS45" s="386"/>
      <c r="YT45" s="19"/>
      <c r="YU45" s="389"/>
      <c r="YV45" s="386"/>
      <c r="YW45" s="19"/>
      <c r="YX45" s="389"/>
      <c r="YY45" s="386"/>
      <c r="YZ45" s="19"/>
      <c r="ZA45" s="389"/>
      <c r="ZB45" s="386"/>
      <c r="ZC45" s="19"/>
      <c r="ZD45" s="389"/>
      <c r="ZE45" s="386"/>
      <c r="ZF45" s="19"/>
      <c r="ZG45" s="389"/>
      <c r="ZH45" s="386"/>
      <c r="ZI45" s="19"/>
      <c r="ZJ45" s="389"/>
      <c r="ZK45" s="386"/>
      <c r="ZL45" s="19"/>
      <c r="ZM45" s="389"/>
      <c r="ZN45" s="386"/>
      <c r="ZO45" s="19"/>
      <c r="ZP45" s="389"/>
      <c r="ZQ45" s="386"/>
      <c r="ZR45" s="19"/>
      <c r="ZS45" s="389"/>
      <c r="ZT45" s="386"/>
      <c r="ZU45" s="19"/>
      <c r="ZV45" s="389"/>
      <c r="ZW45" s="386"/>
      <c r="ZX45" s="19"/>
      <c r="ZY45" s="389"/>
      <c r="ZZ45" s="386"/>
      <c r="AAA45" s="19"/>
      <c r="AAB45" s="389"/>
      <c r="AAC45" s="386"/>
      <c r="AAD45" s="19"/>
      <c r="AAE45" s="389"/>
      <c r="AAF45" s="386"/>
      <c r="AAG45" s="19"/>
      <c r="AAH45" s="389"/>
      <c r="AAI45" s="386"/>
      <c r="AAJ45" s="19"/>
      <c r="AAK45" s="389"/>
      <c r="AAL45" s="386"/>
      <c r="AAM45" s="19"/>
      <c r="AAN45" s="389"/>
      <c r="AAO45" s="386"/>
      <c r="AAP45" s="19"/>
      <c r="AAQ45" s="389"/>
      <c r="AAR45" s="386"/>
      <c r="AAS45" s="19"/>
      <c r="AAT45" s="389"/>
      <c r="AAU45" s="386"/>
      <c r="AAV45" s="19"/>
      <c r="AAW45" s="389"/>
      <c r="AAX45" s="386"/>
      <c r="AAY45" s="19"/>
      <c r="AAZ45" s="389"/>
      <c r="ABA45" s="386"/>
      <c r="ABB45" s="19"/>
      <c r="ABC45" s="389"/>
      <c r="ABD45" s="386"/>
      <c r="ABE45" s="19"/>
      <c r="ABF45" s="389"/>
      <c r="ABG45" s="386"/>
      <c r="ABH45" s="19"/>
      <c r="ABI45" s="389"/>
      <c r="ABJ45" s="386"/>
      <c r="ABK45" s="19"/>
      <c r="ABL45" s="389"/>
      <c r="ABM45" s="386"/>
      <c r="ABN45" s="19"/>
      <c r="ABO45" s="389"/>
      <c r="ABP45" s="386"/>
      <c r="ABQ45" s="19"/>
      <c r="ABR45" s="389"/>
      <c r="ABS45" s="386"/>
      <c r="ABT45" s="19"/>
      <c r="ABU45" s="389"/>
      <c r="ABV45" s="386"/>
      <c r="ABW45" s="19"/>
      <c r="ABX45" s="389"/>
      <c r="ABY45" s="386"/>
      <c r="ABZ45" s="19"/>
      <c r="ACA45" s="389"/>
      <c r="ACB45" s="386"/>
      <c r="ACC45" s="19"/>
      <c r="ACD45" s="389"/>
      <c r="ACE45" s="386"/>
      <c r="ACF45" s="19"/>
      <c r="ACG45" s="389"/>
      <c r="ACH45" s="386"/>
      <c r="ACI45" s="19"/>
      <c r="ACJ45" s="389"/>
      <c r="ACK45" s="386"/>
      <c r="ACL45" s="19"/>
      <c r="ACM45" s="389"/>
      <c r="ACN45" s="386"/>
      <c r="ACO45" s="19"/>
      <c r="ACP45" s="389"/>
      <c r="ACQ45" s="386"/>
      <c r="ACR45" s="19"/>
      <c r="ACS45" s="389"/>
      <c r="ACT45" s="386"/>
      <c r="ACU45" s="19"/>
      <c r="ACV45" s="389"/>
      <c r="ACW45" s="386"/>
      <c r="ACX45" s="19"/>
      <c r="ACY45" s="389"/>
      <c r="ACZ45" s="386"/>
      <c r="ADA45" s="19"/>
      <c r="ADB45" s="389"/>
      <c r="ADC45" s="386"/>
      <c r="ADD45" s="19"/>
      <c r="ADE45" s="389"/>
      <c r="ADF45" s="386"/>
      <c r="ADG45" s="19"/>
      <c r="ADH45" s="389"/>
      <c r="ADI45" s="386"/>
      <c r="ADJ45" s="19"/>
      <c r="ADK45" s="389"/>
      <c r="ADL45" s="386"/>
      <c r="ADM45" s="19"/>
      <c r="ADN45" s="389"/>
      <c r="ADO45" s="386"/>
      <c r="ADP45" s="19"/>
      <c r="ADQ45" s="389"/>
      <c r="ADR45" s="386"/>
      <c r="ADS45" s="19"/>
      <c r="ADT45" s="389"/>
      <c r="ADU45" s="386"/>
      <c r="ADV45" s="19"/>
      <c r="ADW45" s="389"/>
      <c r="ADX45" s="386"/>
      <c r="ADY45" s="19"/>
      <c r="ADZ45" s="389"/>
      <c r="AEA45" s="386"/>
      <c r="AEB45" s="19"/>
      <c r="AEC45" s="389"/>
      <c r="AED45" s="386"/>
      <c r="AEE45" s="19"/>
      <c r="AEF45" s="389"/>
      <c r="AEG45" s="386"/>
      <c r="AEH45" s="19"/>
      <c r="AEI45" s="389"/>
      <c r="AEJ45" s="386"/>
      <c r="AEK45" s="19"/>
      <c r="AEL45" s="389"/>
      <c r="AEM45" s="1304">
        <f>113445+341.06+12+2286</f>
        <v>116084.06</v>
      </c>
      <c r="AEN45" s="1308"/>
      <c r="AEO45" s="1352"/>
      <c r="AEP45" s="386"/>
      <c r="AEQ45" s="19"/>
      <c r="AER45" s="389"/>
      <c r="AES45" s="386"/>
      <c r="AET45" s="19"/>
      <c r="AEU45" s="389"/>
      <c r="AEV45" s="386"/>
      <c r="AEW45" s="19"/>
      <c r="AEX45" s="389"/>
      <c r="AEY45" s="1311"/>
      <c r="AEZ45" s="1312"/>
      <c r="AFA45" s="1354"/>
      <c r="AFB45" s="1311"/>
      <c r="AFC45" s="1312"/>
      <c r="AFD45" s="1354"/>
      <c r="AFE45" s="1311"/>
      <c r="AFF45" s="1312"/>
      <c r="AFG45" s="1354"/>
      <c r="AFH45" s="1311"/>
      <c r="AFI45" s="1312"/>
      <c r="AFJ45" s="1354"/>
      <c r="AFK45" s="1311"/>
      <c r="AFL45" s="1312"/>
      <c r="AFM45" s="1354"/>
      <c r="AFN45" s="1311">
        <f>106406+297+13+2934</f>
        <v>109650</v>
      </c>
      <c r="AFO45" s="1312"/>
      <c r="AFP45" s="1354"/>
      <c r="AFQ45" s="1311"/>
      <c r="AFR45" s="1312"/>
      <c r="AFS45" s="1354"/>
      <c r="AFT45" s="1311"/>
      <c r="AFU45" s="1312"/>
      <c r="AFV45" s="1354"/>
      <c r="AFW45" s="1311"/>
      <c r="AFX45" s="1312"/>
      <c r="AFY45" s="1354"/>
      <c r="AFZ45" s="1311"/>
      <c r="AGA45" s="1312"/>
      <c r="AGB45" s="1354"/>
      <c r="AGC45" s="1311">
        <f>85746.644+24.03+81+2066</f>
        <v>87917.673999999999</v>
      </c>
      <c r="AGD45" s="1312"/>
      <c r="AGE45" s="1354"/>
      <c r="AGF45" s="1311"/>
      <c r="AGG45" s="1312"/>
      <c r="AGH45" s="1354"/>
      <c r="AGI45" s="1311"/>
      <c r="AGJ45" s="1312"/>
      <c r="AGK45" s="1354"/>
      <c r="AGL45" s="1311"/>
      <c r="AGM45" s="1312"/>
      <c r="AGN45" s="1354"/>
      <c r="AGO45" s="1311"/>
      <c r="AGP45" s="1312"/>
      <c r="AGQ45" s="1354"/>
      <c r="AGR45" s="1311">
        <v>108331.34</v>
      </c>
      <c r="AGS45" s="1312"/>
      <c r="AGT45" s="1354"/>
      <c r="AGU45" s="1311"/>
      <c r="AGV45" s="1312"/>
      <c r="AGW45" s="1354"/>
      <c r="AGX45" s="1311">
        <v>101713.3</v>
      </c>
      <c r="AGY45" s="1312"/>
      <c r="AGZ45" s="1354"/>
      <c r="AHA45" s="1311"/>
      <c r="AHB45" s="1312"/>
      <c r="AHC45" s="1354"/>
      <c r="AHD45" s="1311"/>
      <c r="AHE45" s="1312"/>
      <c r="AHF45" s="1354"/>
      <c r="AHG45" s="1311"/>
      <c r="AHH45" s="1312"/>
      <c r="AHI45" s="1354"/>
      <c r="AHJ45" s="1311"/>
      <c r="AHK45" s="1312"/>
      <c r="AHL45" s="1354"/>
      <c r="AHM45" s="1311"/>
      <c r="AHN45" s="1312"/>
      <c r="AHO45" s="1354"/>
      <c r="AHP45" s="1311">
        <v>101372.83</v>
      </c>
      <c r="AHQ45" s="1312"/>
      <c r="AHR45" s="1354"/>
      <c r="AHS45" s="1311"/>
      <c r="AHT45" s="1312"/>
      <c r="AHU45" s="1354"/>
      <c r="AHV45" s="1311"/>
      <c r="AHW45" s="1312"/>
      <c r="AHX45" s="1354"/>
      <c r="AHY45" s="1311">
        <v>177763.91999999998</v>
      </c>
      <c r="AHZ45" s="1312"/>
      <c r="AIA45" s="1354"/>
      <c r="AIB45" s="1311"/>
      <c r="AIC45" s="1312"/>
      <c r="AID45" s="1312"/>
      <c r="AIE45" s="1311"/>
      <c r="AIF45" s="1312"/>
      <c r="AIG45" s="1354"/>
      <c r="AIH45" s="1311"/>
      <c r="AII45" s="1312"/>
      <c r="AIJ45" s="1354"/>
      <c r="AIK45" s="1311">
        <v>106319.96</v>
      </c>
      <c r="AIL45" s="1312"/>
      <c r="AIM45" s="1354"/>
      <c r="AIN45" s="1311"/>
      <c r="AIO45" s="1312"/>
      <c r="AIP45" s="1354"/>
      <c r="AIQ45" s="1439">
        <v>75864.160000000003</v>
      </c>
      <c r="AIR45" s="1440"/>
      <c r="AIS45" s="1440"/>
      <c r="AIT45" s="1311"/>
      <c r="AIU45" s="1312"/>
      <c r="AIV45" s="1354"/>
      <c r="AIW45" s="1311"/>
      <c r="AIX45" s="1312"/>
      <c r="AIY45" s="1312"/>
      <c r="AIZ45" s="1311"/>
      <c r="AJA45" s="1312"/>
      <c r="AJB45" s="1354"/>
      <c r="AJC45" s="1311"/>
      <c r="AJD45" s="1312"/>
      <c r="AJE45" s="1354"/>
      <c r="AJF45" s="1311">
        <v>70793.55</v>
      </c>
      <c r="AJG45" s="1312"/>
      <c r="AJH45" s="1354"/>
      <c r="AJI45" s="1311"/>
      <c r="AJJ45" s="1312"/>
      <c r="AJK45" s="1354"/>
      <c r="AJL45" s="1311"/>
      <c r="AJM45" s="1312"/>
      <c r="AJN45" s="1312"/>
      <c r="AJO45" s="1311">
        <v>94982.15</v>
      </c>
      <c r="AJP45" s="1312"/>
      <c r="AJQ45" s="1354"/>
      <c r="AJR45" s="1311"/>
      <c r="AJS45" s="1312"/>
      <c r="AJT45" s="1312"/>
      <c r="AJU45" s="1311"/>
      <c r="AJV45" s="1312"/>
      <c r="AJW45" s="1354"/>
      <c r="AJX45" s="1311">
        <v>85208.54</v>
      </c>
      <c r="AJY45" s="1312"/>
      <c r="AJZ45" s="1354"/>
      <c r="AKA45" s="1311"/>
      <c r="AKB45" s="1312"/>
      <c r="AKC45" s="1354"/>
      <c r="AKD45" s="1311"/>
      <c r="AKE45" s="1312"/>
      <c r="AKF45" s="1354"/>
      <c r="AKG45" s="1311"/>
      <c r="AKH45" s="1312"/>
      <c r="AKI45" s="1312"/>
      <c r="AKJ45" s="1311"/>
      <c r="AKK45" s="1312"/>
      <c r="AKL45" s="1354"/>
      <c r="AKM45" s="1311"/>
      <c r="AKN45" s="1312"/>
      <c r="AKO45" s="1312"/>
      <c r="AKP45" s="1311"/>
      <c r="AKQ45" s="1312"/>
      <c r="AKR45" s="1354"/>
      <c r="AKS45" s="1311"/>
      <c r="AKT45" s="1312"/>
      <c r="AKU45" s="1354"/>
      <c r="AKV45" s="1311">
        <v>71359.245999999999</v>
      </c>
      <c r="AKW45" s="1312"/>
      <c r="AKX45" s="1354"/>
      <c r="AKY45" s="1311">
        <v>74729.94</v>
      </c>
      <c r="AKZ45" s="1312"/>
      <c r="ALA45" s="1354"/>
      <c r="ALB45" s="1311"/>
      <c r="ALC45" s="1312"/>
      <c r="ALD45" s="1354"/>
      <c r="ALE45" s="1311">
        <v>42937.417999999998</v>
      </c>
      <c r="ALF45" s="1312"/>
      <c r="ALG45" s="1354"/>
      <c r="ALH45" s="1311"/>
      <c r="ALI45" s="1312"/>
      <c r="ALJ45" s="1354"/>
      <c r="ALK45" s="1311"/>
      <c r="ALL45" s="1312"/>
      <c r="ALM45" s="1354"/>
      <c r="ALN45" s="1311"/>
      <c r="ALO45" s="1312"/>
      <c r="ALP45" s="1354"/>
      <c r="ALQ45" s="1311">
        <v>70054.365999999995</v>
      </c>
      <c r="ALR45" s="1312"/>
      <c r="ALS45" s="1354"/>
      <c r="ALT45" s="1311">
        <v>77263.34</v>
      </c>
      <c r="ALU45" s="1312"/>
      <c r="ALV45" s="1354"/>
      <c r="ALW45" s="1311"/>
      <c r="ALX45" s="1312"/>
      <c r="ALY45" s="1354"/>
      <c r="ALZ45" s="1311">
        <v>52195.784</v>
      </c>
      <c r="AMA45" s="1312"/>
      <c r="AMB45" s="1354"/>
      <c r="AMC45" s="1311"/>
      <c r="AMD45" s="1312"/>
      <c r="AME45" s="1354"/>
      <c r="AMF45" s="1311"/>
      <c r="AMG45" s="1312"/>
      <c r="AMH45" s="1354"/>
      <c r="AMI45" s="1311">
        <v>67836.762000000002</v>
      </c>
      <c r="AMJ45" s="1312"/>
      <c r="AMK45" s="1354"/>
      <c r="AML45" s="1311"/>
      <c r="AMM45" s="1312"/>
      <c r="AMN45" s="1354"/>
      <c r="AMO45" s="1311">
        <v>62926.101999999999</v>
      </c>
      <c r="AMP45" s="1312"/>
      <c r="AMQ45" s="1354"/>
      <c r="AMR45" s="1311"/>
      <c r="AMS45" s="1312"/>
      <c r="AMT45" s="1354"/>
      <c r="AMU45" s="1311">
        <v>93801.206000000006</v>
      </c>
      <c r="AMV45" s="1312"/>
      <c r="AMW45" s="1354"/>
      <c r="AMX45" s="1311"/>
      <c r="AMY45" s="1312"/>
      <c r="AMZ45" s="1354"/>
      <c r="ANA45" s="1311"/>
      <c r="ANB45" s="1312"/>
      <c r="ANC45" s="1354"/>
      <c r="AND45" s="1311">
        <v>118527.19</v>
      </c>
      <c r="ANE45" s="1312"/>
      <c r="ANF45" s="1354"/>
      <c r="ANG45" s="1311"/>
      <c r="ANH45" s="1312"/>
      <c r="ANI45" s="1354"/>
      <c r="ANJ45" s="1311"/>
      <c r="ANK45" s="1312"/>
      <c r="ANL45" s="1354"/>
      <c r="ANM45" s="1311">
        <v>90779.801999999996</v>
      </c>
      <c r="ANN45" s="1312"/>
      <c r="ANO45" s="1354"/>
      <c r="ANP45" s="1311"/>
      <c r="ANQ45" s="1312"/>
      <c r="ANR45" s="1354"/>
      <c r="ANS45" s="1311"/>
      <c r="ANT45" s="1312"/>
      <c r="ANU45" s="1354"/>
      <c r="ANV45" s="1311"/>
      <c r="ANW45" s="1312"/>
      <c r="ANX45" s="1354"/>
      <c r="ANY45" s="1311">
        <v>99347.096000000005</v>
      </c>
      <c r="ANZ45" s="1312"/>
      <c r="AOA45" s="1354"/>
      <c r="AOB45" s="1311"/>
      <c r="AOC45" s="1312"/>
      <c r="AOD45" s="1354"/>
      <c r="AOE45" s="1311">
        <v>114738.08199999999</v>
      </c>
      <c r="AOF45" s="1312"/>
      <c r="AOG45" s="1354"/>
      <c r="AOH45" s="1311"/>
      <c r="AOI45" s="1312"/>
      <c r="AOJ45" s="1354"/>
      <c r="AOK45" s="1311"/>
      <c r="AOL45" s="1312"/>
      <c r="AOM45" s="1354"/>
      <c r="AON45" s="1311"/>
      <c r="AOO45" s="1312"/>
      <c r="AOP45" s="1354"/>
      <c r="AOQ45" s="1311"/>
      <c r="AOR45" s="1312"/>
      <c r="AOS45" s="1354"/>
      <c r="AOT45" s="1311">
        <v>110796.194</v>
      </c>
      <c r="AOU45" s="1312"/>
      <c r="AOV45" s="1354"/>
      <c r="AOW45" s="1311"/>
      <c r="AOX45" s="1312"/>
      <c r="AOY45" s="1354"/>
      <c r="AOZ45" s="1311"/>
      <c r="APA45" s="1312"/>
      <c r="APB45" s="1354"/>
      <c r="APC45" s="1311"/>
      <c r="APD45" s="1312"/>
      <c r="APE45" s="1354"/>
      <c r="APF45" s="1311"/>
      <c r="APG45" s="1312"/>
      <c r="APH45" s="1354"/>
      <c r="API45" s="1311"/>
      <c r="APJ45" s="1312"/>
      <c r="APK45" s="1354"/>
      <c r="APL45" s="1311"/>
      <c r="APM45" s="1312"/>
      <c r="APN45" s="1354"/>
      <c r="APO45" s="1311">
        <v>90401.785999999993</v>
      </c>
      <c r="APP45" s="1312"/>
      <c r="APQ45" s="1354"/>
      <c r="APR45" s="1311"/>
      <c r="APS45" s="1312"/>
      <c r="APT45" s="1354"/>
      <c r="APU45" s="1311"/>
      <c r="APV45" s="1312"/>
      <c r="APW45" s="1354"/>
      <c r="APX45" s="1311"/>
      <c r="APY45" s="1312"/>
      <c r="APZ45" s="1354"/>
      <c r="AQA45" s="1311"/>
      <c r="AQB45" s="1312"/>
      <c r="AQC45" s="1354"/>
      <c r="AQD45" s="1311"/>
      <c r="AQE45" s="1312"/>
      <c r="AQF45" s="1354"/>
      <c r="AQG45" s="1311">
        <v>125852.64200000001</v>
      </c>
      <c r="AQH45" s="1312"/>
      <c r="AQI45" s="1354"/>
      <c r="AQJ45" s="1311"/>
      <c r="AQK45" s="1312"/>
      <c r="AQL45" s="1354"/>
      <c r="AQM45" s="1311"/>
      <c r="AQN45" s="1312"/>
      <c r="AQO45" s="1354"/>
      <c r="AQP45" s="1311"/>
      <c r="AQQ45" s="1312"/>
      <c r="AQR45" s="1312"/>
      <c r="AQS45" s="1311"/>
      <c r="AQT45" s="1312"/>
      <c r="AQU45" s="1354"/>
      <c r="AQV45" s="1312"/>
      <c r="AQW45" s="1312"/>
      <c r="AQX45" s="1354"/>
      <c r="AQY45" s="1311"/>
      <c r="AQZ45" s="1312"/>
      <c r="ARA45" s="1354"/>
      <c r="ARB45" s="1311"/>
      <c r="ARC45" s="1312"/>
      <c r="ARD45" s="1354"/>
      <c r="ARE45" s="1311"/>
      <c r="ARF45" s="1312"/>
      <c r="ARG45" s="1354"/>
      <c r="ARH45" s="1311"/>
      <c r="ARI45" s="1312"/>
      <c r="ARJ45" s="1354"/>
      <c r="ARK45" s="1311"/>
      <c r="ARL45" s="1312"/>
      <c r="ARM45" s="1354"/>
      <c r="ARN45" s="1311"/>
      <c r="ARO45" s="1312"/>
      <c r="ARP45" s="1354"/>
      <c r="ARQ45" s="1311"/>
      <c r="ARR45" s="1312"/>
      <c r="ARS45" s="1354"/>
      <c r="ART45" s="1311"/>
      <c r="ARU45" s="1312"/>
      <c r="ARV45" s="1354"/>
      <c r="ARW45" s="1311"/>
      <c r="ARX45" s="1312"/>
      <c r="ARY45" s="1354"/>
      <c r="ARZ45" s="1311"/>
      <c r="ASA45" s="1312"/>
      <c r="ASB45" s="1354"/>
      <c r="ASC45" s="1311"/>
      <c r="ASD45" s="1312"/>
      <c r="ASE45" s="1354"/>
      <c r="ASF45" s="1311"/>
      <c r="ASG45" s="1312"/>
      <c r="ASH45" s="1354"/>
      <c r="ASI45" s="1311"/>
      <c r="ASJ45" s="1312"/>
      <c r="ASK45" s="1354"/>
      <c r="ASL45" s="1311"/>
      <c r="ASM45" s="1312"/>
      <c r="ASN45" s="1354"/>
      <c r="ASO45" s="1311"/>
      <c r="ASP45" s="1312"/>
      <c r="ASQ45" s="1312"/>
      <c r="ASR45" s="1311"/>
      <c r="ASS45" s="1312"/>
      <c r="AST45" s="1354"/>
      <c r="ASU45" s="1311"/>
      <c r="ASV45" s="1312"/>
      <c r="ASW45" s="1354"/>
      <c r="ASX45" s="1311"/>
      <c r="ASY45" s="1312"/>
      <c r="ASZ45" s="1354"/>
      <c r="ATA45" s="1311"/>
      <c r="ATB45" s="1312"/>
      <c r="ATC45" s="1354"/>
      <c r="ATD45" s="1311"/>
      <c r="ATE45" s="1312"/>
      <c r="ATF45" s="1354"/>
      <c r="ATG45" s="1311"/>
      <c r="ATH45" s="1312"/>
      <c r="ATI45" s="1354"/>
      <c r="ATJ45" s="1311"/>
      <c r="ATK45" s="1312"/>
      <c r="ATL45" s="1354"/>
      <c r="ATM45" s="1311"/>
      <c r="ATN45" s="1312"/>
      <c r="ATO45" s="1354"/>
      <c r="ATP45" s="1311"/>
      <c r="ATQ45" s="1312"/>
      <c r="ATR45" s="1354"/>
      <c r="ATS45" s="1311"/>
      <c r="ATT45" s="1312"/>
      <c r="ATU45" s="1354"/>
      <c r="ATV45" s="1312"/>
      <c r="ATW45" s="1312"/>
      <c r="ATX45" s="1354"/>
      <c r="ATY45" s="1311"/>
      <c r="ATZ45" s="1312"/>
      <c r="AUA45" s="1354"/>
      <c r="AUB45" s="1311"/>
      <c r="AUC45" s="1312"/>
      <c r="AUD45" s="1354"/>
      <c r="AUE45" s="1311"/>
      <c r="AUF45" s="1312"/>
      <c r="AUG45" s="1354"/>
      <c r="AUH45" s="1311"/>
      <c r="AUI45" s="1312"/>
      <c r="AUJ45" s="1354"/>
      <c r="AUK45" s="1311"/>
      <c r="AUL45" s="1312"/>
      <c r="AUM45" s="1312"/>
      <c r="AUN45" s="1311"/>
      <c r="AUO45" s="1312"/>
      <c r="AUP45" s="1312"/>
      <c r="AUQ45" s="1311"/>
      <c r="AUR45" s="1312"/>
      <c r="AUS45" s="1312"/>
      <c r="AUT45" s="1311"/>
      <c r="AUU45" s="1312"/>
      <c r="AUV45" s="1312"/>
      <c r="AUW45" s="1311"/>
      <c r="AUX45" s="1312"/>
      <c r="AUY45" s="1312"/>
      <c r="AUZ45" s="1311"/>
      <c r="AVA45" s="1312"/>
      <c r="AVB45" s="1312"/>
      <c r="AVC45" s="1311"/>
      <c r="AVD45" s="1312"/>
      <c r="AVE45" s="1312"/>
      <c r="AVF45" s="1311"/>
      <c r="AVG45" s="1312"/>
      <c r="AVH45" s="1312"/>
      <c r="AVI45" s="1311"/>
      <c r="AVJ45" s="1312"/>
      <c r="AVK45" s="1312"/>
      <c r="AVL45" s="1311"/>
      <c r="AVM45" s="1312"/>
      <c r="AVN45" s="1312"/>
      <c r="AVO45" s="1311"/>
      <c r="AVP45" s="1312"/>
      <c r="AVQ45" s="1312"/>
      <c r="AVR45" s="1311"/>
      <c r="AVS45" s="1312"/>
      <c r="AVT45" s="1312"/>
      <c r="AVU45" s="1311"/>
      <c r="AVV45" s="1312"/>
      <c r="AVW45" s="1312"/>
      <c r="AVX45" s="1311"/>
      <c r="AVY45" s="1312"/>
      <c r="AVZ45" s="1312"/>
      <c r="AWA45" s="1311"/>
      <c r="AWB45" s="1312"/>
      <c r="AWC45" s="1312"/>
      <c r="AWD45" s="1311"/>
      <c r="AWE45" s="1312"/>
      <c r="AWF45" s="1312"/>
      <c r="AWG45" s="1311"/>
      <c r="AWH45" s="1312"/>
      <c r="AWI45" s="1312"/>
      <c r="AWJ45" s="1311"/>
      <c r="AWK45" s="1312"/>
      <c r="AWL45" s="1312"/>
      <c r="AWM45" s="1311"/>
      <c r="AWN45" s="1312"/>
      <c r="AWO45" s="1354"/>
      <c r="AWP45" s="1312"/>
      <c r="AWQ45" s="1312"/>
      <c r="AWR45" s="1354"/>
      <c r="AWS45" s="1311"/>
      <c r="AWT45" s="1312"/>
      <c r="AWU45" s="1354"/>
      <c r="AWV45" s="1311"/>
      <c r="AWW45" s="1312"/>
      <c r="AWX45" s="1354"/>
      <c r="AWY45" s="1311"/>
      <c r="AWZ45" s="1312"/>
      <c r="AXA45" s="1354"/>
      <c r="AXB45" s="1311"/>
      <c r="AXC45" s="1312"/>
      <c r="AXD45" s="1354"/>
      <c r="AXE45" s="1311"/>
      <c r="AXF45" s="1312"/>
      <c r="AXG45" s="1354"/>
      <c r="AXH45" s="1311"/>
      <c r="AXI45" s="1312"/>
      <c r="AXJ45" s="1354"/>
      <c r="AXK45" s="1311"/>
      <c r="AXL45" s="1312"/>
      <c r="AXM45" s="1354"/>
      <c r="AXN45" s="1311"/>
      <c r="AXO45" s="1312"/>
      <c r="AXP45" s="1354"/>
      <c r="AXQ45" s="1311"/>
      <c r="AXR45" s="1312"/>
      <c r="AXS45" s="1354"/>
      <c r="AXT45" s="1311"/>
      <c r="AXU45" s="1312"/>
      <c r="AXV45" s="1354"/>
      <c r="AXW45" s="1311"/>
      <c r="AXX45" s="1312"/>
      <c r="AXY45" s="1354"/>
      <c r="AXZ45" s="1311"/>
      <c r="AYA45" s="1312"/>
      <c r="AYB45" s="1354"/>
      <c r="AYC45" s="1311"/>
      <c r="AYD45" s="1312"/>
      <c r="AYE45" s="1354"/>
      <c r="AYF45" s="1311"/>
      <c r="AYG45" s="1312"/>
      <c r="AYH45" s="1354"/>
      <c r="AYI45" s="1311"/>
      <c r="AYJ45" s="1312"/>
      <c r="AYK45" s="1354"/>
      <c r="AYL45" s="1311"/>
      <c r="AYM45" s="1312"/>
      <c r="AYN45" s="1354"/>
      <c r="AYO45" s="1311"/>
      <c r="AYP45" s="1312"/>
      <c r="AYQ45" s="1354"/>
      <c r="AYR45" s="1311"/>
      <c r="AYS45" s="1312"/>
      <c r="AYT45" s="1354"/>
      <c r="AYU45" s="1311"/>
      <c r="AYV45" s="1312"/>
      <c r="AYW45" s="1354"/>
      <c r="AYX45" s="1311"/>
      <c r="AYY45" s="1312"/>
      <c r="AYZ45" s="1354"/>
      <c r="AZA45" s="1311"/>
      <c r="AZB45" s="1312"/>
      <c r="AZC45" s="1354"/>
      <c r="AZD45" s="1311"/>
      <c r="AZE45" s="1312"/>
      <c r="AZF45" s="1354"/>
      <c r="AZG45" s="1311"/>
      <c r="AZH45" s="1312"/>
      <c r="AZI45" s="1354"/>
      <c r="AZJ45" s="1311"/>
      <c r="AZK45" s="1312"/>
      <c r="AZL45" s="1354"/>
      <c r="AZM45" s="1311"/>
      <c r="AZN45" s="1312"/>
      <c r="AZO45" s="1354"/>
      <c r="AZP45" s="1311"/>
      <c r="AZQ45" s="1312"/>
      <c r="AZR45" s="1354"/>
      <c r="AZS45" s="1311"/>
      <c r="AZT45" s="1312"/>
      <c r="AZU45" s="1354"/>
      <c r="AZV45" s="1311"/>
      <c r="AZW45" s="1312"/>
      <c r="AZX45" s="1354"/>
      <c r="AZY45" s="1311"/>
      <c r="AZZ45" s="1312"/>
      <c r="BAA45" s="1354"/>
      <c r="BAB45" s="1311"/>
      <c r="BAC45" s="1312"/>
      <c r="BAD45" s="1354"/>
      <c r="BAE45" s="1311"/>
      <c r="BAF45" s="1312"/>
      <c r="BAG45" s="1354"/>
      <c r="BAH45" s="1311"/>
      <c r="BAI45" s="1312"/>
      <c r="BAJ45" s="1354"/>
    </row>
    <row r="46" spans="1:1399" s="354" customFormat="1" ht="15" customHeight="1">
      <c r="A46" s="17"/>
      <c r="B46" s="18" t="s">
        <v>370</v>
      </c>
      <c r="C46" s="1201"/>
      <c r="D46" s="1201"/>
      <c r="E46" s="13" t="s">
        <v>342</v>
      </c>
      <c r="F46" s="1266"/>
      <c r="G46" s="1266"/>
      <c r="H46" s="346"/>
      <c r="I46" s="1266"/>
      <c r="J46" s="1266"/>
      <c r="K46" s="346"/>
      <c r="L46" s="1266"/>
      <c r="M46" s="1266"/>
      <c r="N46" s="346"/>
      <c r="O46" s="1266"/>
      <c r="P46" s="1266"/>
      <c r="Q46" s="346"/>
      <c r="R46" s="1266"/>
      <c r="S46" s="1266"/>
      <c r="T46" s="346"/>
      <c r="U46" s="1266"/>
      <c r="V46" s="1266"/>
      <c r="W46" s="346"/>
      <c r="X46" s="1266"/>
      <c r="Y46" s="1266"/>
      <c r="Z46" s="346"/>
      <c r="AA46" s="1266"/>
      <c r="AB46" s="1266"/>
      <c r="AC46" s="346"/>
      <c r="AD46" s="1266"/>
      <c r="AE46" s="1266"/>
      <c r="AF46" s="346"/>
      <c r="AG46" s="1266"/>
      <c r="AH46" s="1266"/>
      <c r="AI46" s="346"/>
      <c r="AJ46" s="1266"/>
      <c r="AK46" s="1266"/>
      <c r="AL46" s="346"/>
      <c r="AM46" s="1266"/>
      <c r="AN46" s="1266"/>
      <c r="AO46" s="346"/>
      <c r="AP46" s="1266"/>
      <c r="AQ46" s="1266"/>
      <c r="AR46" s="346"/>
      <c r="AS46" s="1266"/>
      <c r="AT46" s="1266"/>
      <c r="AU46" s="346"/>
      <c r="AV46" s="1266"/>
      <c r="AW46" s="1266"/>
      <c r="AX46" s="346"/>
      <c r="AY46" s="1266"/>
      <c r="AZ46" s="1266"/>
      <c r="BA46" s="346"/>
      <c r="BB46" s="1266"/>
      <c r="BC46" s="1266"/>
      <c r="BD46" s="346"/>
      <c r="BE46" s="1266"/>
      <c r="BF46" s="1266"/>
      <c r="BG46" s="346"/>
      <c r="BH46" s="1266"/>
      <c r="BI46" s="1266"/>
      <c r="BJ46" s="346"/>
      <c r="BK46" s="1266"/>
      <c r="BL46" s="1266"/>
      <c r="BM46" s="346"/>
      <c r="BN46" s="1266"/>
      <c r="BO46" s="1266"/>
      <c r="BP46" s="346"/>
      <c r="BQ46" s="1266"/>
      <c r="BR46" s="1266"/>
      <c r="BS46" s="346"/>
      <c r="BT46" s="1266"/>
      <c r="BU46" s="1266"/>
      <c r="BV46" s="346"/>
      <c r="BW46" s="1266"/>
      <c r="BX46" s="1266"/>
      <c r="BY46" s="346"/>
      <c r="BZ46" s="1266"/>
      <c r="CA46" s="1266"/>
      <c r="CB46" s="346"/>
      <c r="CC46" s="1266"/>
      <c r="CD46" s="1266"/>
      <c r="CE46" s="346"/>
      <c r="CF46" s="1266"/>
      <c r="CG46" s="1266"/>
      <c r="CH46" s="346"/>
      <c r="CI46" s="1266"/>
      <c r="CJ46" s="1266"/>
      <c r="CK46" s="346"/>
      <c r="CL46" s="1266"/>
      <c r="CM46" s="1266"/>
      <c r="CN46" s="346"/>
      <c r="CO46" s="1266"/>
      <c r="CP46" s="1266"/>
      <c r="CQ46" s="346"/>
      <c r="CR46" s="1266"/>
      <c r="CS46" s="1266"/>
      <c r="CT46" s="346"/>
      <c r="CU46" s="1266"/>
      <c r="CV46" s="1266"/>
      <c r="CW46" s="346"/>
      <c r="CX46" s="1266"/>
      <c r="CY46" s="1266"/>
      <c r="CZ46" s="346"/>
      <c r="DA46" s="1266"/>
      <c r="DB46" s="1266"/>
      <c r="DC46" s="346"/>
      <c r="DD46" s="1266"/>
      <c r="DE46" s="1266"/>
      <c r="DF46" s="346"/>
      <c r="DG46" s="1266"/>
      <c r="DH46" s="1266"/>
      <c r="DI46" s="346"/>
      <c r="DJ46" s="1266"/>
      <c r="DK46" s="1266"/>
      <c r="DL46" s="346"/>
      <c r="DM46" s="1266"/>
      <c r="DN46" s="1266"/>
      <c r="DO46" s="346"/>
      <c r="DP46" s="1266"/>
      <c r="DQ46" s="1266"/>
      <c r="DR46" s="346"/>
      <c r="DS46" s="1266"/>
      <c r="DT46" s="1266"/>
      <c r="DU46" s="346"/>
      <c r="DV46" s="1266"/>
      <c r="DW46" s="1266"/>
      <c r="DX46" s="346"/>
      <c r="DY46" s="1266"/>
      <c r="DZ46" s="1266"/>
      <c r="EA46" s="346"/>
      <c r="EB46" s="1266"/>
      <c r="EC46" s="1266"/>
      <c r="ED46" s="346"/>
      <c r="EE46" s="1266"/>
      <c r="EF46" s="1266"/>
      <c r="EG46" s="346"/>
      <c r="EH46" s="1266"/>
      <c r="EI46" s="1266"/>
      <c r="EJ46" s="346"/>
      <c r="EK46" s="1266"/>
      <c r="EL46" s="1266"/>
      <c r="EM46" s="346"/>
      <c r="EN46" s="1266"/>
      <c r="EO46" s="1266"/>
      <c r="EP46" s="346"/>
      <c r="EQ46" s="1266"/>
      <c r="ER46" s="1266"/>
      <c r="ES46" s="346"/>
      <c r="ET46" s="1266"/>
      <c r="EU46" s="1266"/>
      <c r="EV46" s="346"/>
      <c r="EW46" s="1266"/>
      <c r="EX46" s="1266"/>
      <c r="EY46" s="346"/>
      <c r="EZ46" s="1266"/>
      <c r="FA46" s="1266"/>
      <c r="FB46" s="346"/>
      <c r="FC46" s="1266"/>
      <c r="FD46" s="1266"/>
      <c r="FE46" s="346"/>
      <c r="FF46" s="1266"/>
      <c r="FG46" s="1266"/>
      <c r="FH46" s="346"/>
      <c r="FI46" s="1266"/>
      <c r="FJ46" s="1266"/>
      <c r="FK46" s="346"/>
      <c r="FL46" s="1266"/>
      <c r="FM46" s="1266"/>
      <c r="FN46" s="346"/>
      <c r="FO46" s="1266"/>
      <c r="FP46" s="1266"/>
      <c r="FQ46" s="346"/>
      <c r="FR46" s="1266"/>
      <c r="FS46" s="1266"/>
      <c r="FT46" s="346"/>
      <c r="FU46" s="1266"/>
      <c r="FV46" s="1266"/>
      <c r="FW46" s="346"/>
      <c r="FX46" s="1266"/>
      <c r="FY46" s="1266"/>
      <c r="FZ46" s="346"/>
      <c r="GA46" s="1266"/>
      <c r="GB46" s="1266"/>
      <c r="GC46" s="346"/>
      <c r="GD46" s="1266"/>
      <c r="GE46" s="1266"/>
      <c r="GF46" s="346"/>
      <c r="GG46" s="1266"/>
      <c r="GH46" s="1266"/>
      <c r="GI46" s="346"/>
      <c r="GJ46" s="1266"/>
      <c r="GK46" s="1266"/>
      <c r="GL46" s="346"/>
      <c r="GM46" s="1266"/>
      <c r="GN46" s="1266"/>
      <c r="GO46" s="346"/>
      <c r="GP46" s="1266"/>
      <c r="GQ46" s="1266"/>
      <c r="GR46" s="346"/>
      <c r="GS46" s="1266"/>
      <c r="GT46" s="1266"/>
      <c r="GU46" s="346"/>
      <c r="GV46" s="1266"/>
      <c r="GW46" s="1266"/>
      <c r="GX46" s="346"/>
      <c r="GY46" s="1266"/>
      <c r="GZ46" s="1266"/>
      <c r="HA46" s="346"/>
      <c r="HB46" s="1266"/>
      <c r="HC46" s="1266"/>
      <c r="HD46" s="346"/>
      <c r="HE46" s="1266"/>
      <c r="HF46" s="1266"/>
      <c r="HG46" s="346"/>
      <c r="HH46" s="1266"/>
      <c r="HI46" s="1266"/>
      <c r="HJ46" s="346"/>
      <c r="HK46" s="1266"/>
      <c r="HL46" s="1266"/>
      <c r="HM46" s="346"/>
      <c r="HN46" s="1266"/>
      <c r="HO46" s="1266"/>
      <c r="HP46" s="346"/>
      <c r="HQ46" s="1266"/>
      <c r="HR46" s="1266"/>
      <c r="HS46" s="346"/>
      <c r="HT46" s="1266"/>
      <c r="HU46" s="1266"/>
      <c r="HV46" s="346"/>
      <c r="HW46" s="1266"/>
      <c r="HX46" s="1266"/>
      <c r="HY46" s="346"/>
      <c r="HZ46" s="1266"/>
      <c r="IA46" s="1266"/>
      <c r="IB46" s="346"/>
      <c r="IC46" s="1266"/>
      <c r="ID46" s="1266"/>
      <c r="IE46" s="346"/>
      <c r="IF46" s="1266"/>
      <c r="IG46" s="1266"/>
      <c r="IH46" s="346"/>
      <c r="II46" s="1266"/>
      <c r="IJ46" s="1266"/>
      <c r="IK46" s="346"/>
      <c r="IL46" s="1266"/>
      <c r="IM46" s="1266"/>
      <c r="IN46" s="346"/>
      <c r="IO46" s="1266"/>
      <c r="IP46" s="1266"/>
      <c r="IQ46" s="346"/>
      <c r="IR46" s="1266"/>
      <c r="IS46" s="1266"/>
      <c r="IT46" s="346"/>
      <c r="IU46" s="1266"/>
      <c r="IV46" s="1266"/>
      <c r="IW46" s="346"/>
      <c r="IX46" s="1266"/>
      <c r="IY46" s="1266"/>
      <c r="IZ46" s="346"/>
      <c r="JA46" s="1266"/>
      <c r="JB46" s="1266"/>
      <c r="JC46" s="346"/>
      <c r="JD46" s="1266"/>
      <c r="JE46" s="1266"/>
      <c r="JF46" s="346"/>
      <c r="JG46" s="1266"/>
      <c r="JH46" s="1266"/>
      <c r="JI46" s="346"/>
      <c r="JJ46" s="1266"/>
      <c r="JK46" s="1266"/>
      <c r="JL46" s="346"/>
      <c r="JM46" s="1266"/>
      <c r="JN46" s="1266"/>
      <c r="JO46" s="346"/>
      <c r="JP46" s="1266"/>
      <c r="JQ46" s="1266"/>
      <c r="JR46" s="346"/>
      <c r="JS46" s="1266"/>
      <c r="JT46" s="1266"/>
      <c r="JU46" s="346"/>
      <c r="JV46" s="1266"/>
      <c r="JW46" s="1266"/>
      <c r="JX46" s="346"/>
      <c r="JY46" s="1266"/>
      <c r="JZ46" s="1266"/>
      <c r="KA46" s="346"/>
      <c r="KB46" s="1266"/>
      <c r="KC46" s="1266"/>
      <c r="KD46" s="346"/>
      <c r="KE46" s="1266"/>
      <c r="KF46" s="1266"/>
      <c r="KG46" s="346"/>
      <c r="KH46" s="1266"/>
      <c r="KI46" s="1266"/>
      <c r="KJ46" s="346"/>
      <c r="KK46" s="1266"/>
      <c r="KL46" s="1266"/>
      <c r="KM46" s="346"/>
      <c r="KN46" s="1266"/>
      <c r="KO46" s="1266"/>
      <c r="KP46" s="346"/>
      <c r="KQ46" s="1266"/>
      <c r="KR46" s="1266"/>
      <c r="KS46" s="346"/>
      <c r="KT46" s="1266"/>
      <c r="KU46" s="1266"/>
      <c r="KV46" s="346"/>
      <c r="KW46" s="1266"/>
      <c r="KX46" s="1266"/>
      <c r="KY46" s="346"/>
      <c r="KZ46" s="1266"/>
      <c r="LA46" s="1266"/>
      <c r="LB46" s="346"/>
      <c r="LC46" s="1266"/>
      <c r="LD46" s="1266"/>
      <c r="LE46" s="346"/>
      <c r="LF46" s="1266"/>
      <c r="LG46" s="1266"/>
      <c r="LH46" s="346"/>
      <c r="LI46" s="1266"/>
      <c r="LJ46" s="1266"/>
      <c r="LK46" s="346"/>
      <c r="LL46" s="1266"/>
      <c r="LM46" s="1266"/>
      <c r="LN46" s="346"/>
      <c r="LO46" s="1266"/>
      <c r="LP46" s="1266"/>
      <c r="LQ46" s="346"/>
      <c r="LR46" s="1266"/>
      <c r="LS46" s="1266"/>
      <c r="LT46" s="346"/>
      <c r="LU46" s="1266"/>
      <c r="LV46" s="1266"/>
      <c r="LW46" s="346"/>
      <c r="LX46" s="1266"/>
      <c r="LY46" s="1266"/>
      <c r="LZ46" s="346"/>
      <c r="MA46" s="1266"/>
      <c r="MB46" s="1266"/>
      <c r="MC46" s="346"/>
      <c r="MD46" s="1266"/>
      <c r="ME46" s="1266"/>
      <c r="MF46" s="346"/>
      <c r="MG46" s="1266"/>
      <c r="MH46" s="1266"/>
      <c r="MI46" s="346"/>
      <c r="MJ46" s="1266"/>
      <c r="MK46" s="1266"/>
      <c r="ML46" s="346"/>
      <c r="MM46" s="1266"/>
      <c r="MN46" s="1266"/>
      <c r="MO46" s="346"/>
      <c r="MP46" s="1266"/>
      <c r="MQ46" s="1266"/>
      <c r="MR46" s="346"/>
      <c r="MS46" s="1266"/>
      <c r="MT46" s="1266"/>
      <c r="MU46" s="346"/>
      <c r="MV46" s="1266"/>
      <c r="MW46" s="1266"/>
      <c r="MX46" s="346"/>
      <c r="MY46" s="1266"/>
      <c r="MZ46" s="1266"/>
      <c r="NA46" s="346"/>
      <c r="NB46" s="1266"/>
      <c r="NC46" s="1266"/>
      <c r="ND46" s="346"/>
      <c r="NE46" s="1266"/>
      <c r="NF46" s="1266"/>
      <c r="NG46" s="346"/>
      <c r="NH46" s="1266"/>
      <c r="NI46" s="1266"/>
      <c r="NJ46" s="346"/>
      <c r="NK46" s="1266"/>
      <c r="NL46" s="1266"/>
      <c r="NM46" s="346"/>
      <c r="NN46" s="1266"/>
      <c r="NO46" s="1266"/>
      <c r="NP46" s="346"/>
      <c r="NQ46" s="1266"/>
      <c r="NR46" s="1266"/>
      <c r="NS46" s="346"/>
      <c r="NT46" s="1266"/>
      <c r="NU46" s="1266"/>
      <c r="NV46" s="346"/>
      <c r="NW46" s="1266"/>
      <c r="NX46" s="1266"/>
      <c r="NY46" s="346"/>
      <c r="NZ46" s="1266"/>
      <c r="OA46" s="1266"/>
      <c r="OB46" s="346"/>
      <c r="OC46" s="1266"/>
      <c r="OD46" s="1266"/>
      <c r="OE46" s="346"/>
      <c r="OF46" s="1266"/>
      <c r="OG46" s="1266"/>
      <c r="OH46" s="346"/>
      <c r="OI46" s="1266"/>
      <c r="OJ46" s="1266"/>
      <c r="OK46" s="346"/>
      <c r="OL46" s="1266"/>
      <c r="OM46" s="1266"/>
      <c r="ON46" s="346"/>
      <c r="OO46" s="1266"/>
      <c r="OP46" s="1266"/>
      <c r="OQ46" s="346"/>
      <c r="OR46" s="1266"/>
      <c r="OS46" s="1266"/>
      <c r="OT46" s="346"/>
      <c r="OU46" s="1266"/>
      <c r="OV46" s="1266"/>
      <c r="OW46" s="346"/>
      <c r="OX46" s="1266"/>
      <c r="OY46" s="1266"/>
      <c r="OZ46" s="346"/>
      <c r="PA46" s="1266"/>
      <c r="PB46" s="1266"/>
      <c r="PC46" s="346"/>
      <c r="PD46" s="1266"/>
      <c r="PE46" s="1266"/>
      <c r="PF46" s="346"/>
      <c r="PG46" s="1266"/>
      <c r="PH46" s="1266"/>
      <c r="PI46" s="346"/>
      <c r="PJ46" s="1266"/>
      <c r="PK46" s="1266"/>
      <c r="PL46" s="346"/>
      <c r="PM46" s="1266"/>
      <c r="PN46" s="1266"/>
      <c r="PO46" s="346"/>
      <c r="PP46" s="1266"/>
      <c r="PQ46" s="1266"/>
      <c r="PR46" s="346"/>
      <c r="PS46" s="1266"/>
      <c r="PT46" s="1266"/>
      <c r="PU46" s="346"/>
      <c r="PV46" s="386"/>
      <c r="PW46" s="386"/>
      <c r="PX46" s="387"/>
      <c r="PY46" s="386"/>
      <c r="PZ46" s="386"/>
      <c r="QA46" s="387"/>
      <c r="QB46" s="386"/>
      <c r="QC46" s="386"/>
      <c r="QD46" s="387"/>
      <c r="QE46" s="386"/>
      <c r="QF46" s="386"/>
      <c r="QG46" s="387"/>
      <c r="QH46" s="386"/>
      <c r="QI46" s="386"/>
      <c r="QJ46" s="387"/>
      <c r="QK46" s="386"/>
      <c r="QL46" s="386"/>
      <c r="QM46" s="387"/>
      <c r="QN46" s="386"/>
      <c r="QO46" s="386"/>
      <c r="QP46" s="387"/>
      <c r="QQ46" s="386"/>
      <c r="QR46" s="386"/>
      <c r="QS46" s="387"/>
      <c r="QT46" s="386"/>
      <c r="QU46" s="386"/>
      <c r="QV46" s="387"/>
      <c r="QW46" s="386"/>
      <c r="QX46" s="386"/>
      <c r="QY46" s="387"/>
      <c r="QZ46" s="386"/>
      <c r="RA46" s="386"/>
      <c r="RB46" s="387"/>
      <c r="RC46" s="386"/>
      <c r="RD46" s="386"/>
      <c r="RE46" s="387"/>
      <c r="RF46" s="386"/>
      <c r="RG46" s="386"/>
      <c r="RH46" s="387"/>
      <c r="RI46" s="1266"/>
      <c r="RJ46" s="1266"/>
      <c r="RK46" s="346"/>
      <c r="RL46" s="1266"/>
      <c r="RM46" s="1266"/>
      <c r="RN46" s="346"/>
      <c r="RO46" s="1266"/>
      <c r="RP46" s="1266"/>
      <c r="RQ46" s="346"/>
      <c r="RR46" s="1266"/>
      <c r="RS46" s="1266"/>
      <c r="RT46" s="346"/>
      <c r="RU46" s="1266"/>
      <c r="RV46" s="1266"/>
      <c r="RW46" s="346"/>
      <c r="RX46" s="386"/>
      <c r="RY46" s="386"/>
      <c r="RZ46" s="387"/>
      <c r="SA46" s="386"/>
      <c r="SB46" s="386"/>
      <c r="SC46" s="387"/>
      <c r="SD46" s="386"/>
      <c r="SE46" s="386"/>
      <c r="SF46" s="387"/>
      <c r="SG46" s="386"/>
      <c r="SH46" s="386"/>
      <c r="SI46" s="387"/>
      <c r="SJ46" s="386"/>
      <c r="SK46" s="386"/>
      <c r="SL46" s="387"/>
      <c r="SM46" s="386"/>
      <c r="SN46" s="386"/>
      <c r="SO46" s="387"/>
      <c r="SP46" s="386"/>
      <c r="SQ46" s="386"/>
      <c r="SR46" s="387"/>
      <c r="SS46" s="386"/>
      <c r="ST46" s="386"/>
      <c r="SU46" s="387"/>
      <c r="SV46" s="386"/>
      <c r="SW46" s="386"/>
      <c r="SX46" s="387"/>
      <c r="SY46" s="386"/>
      <c r="SZ46" s="386"/>
      <c r="TA46" s="387"/>
      <c r="TB46" s="386"/>
      <c r="TC46" s="386"/>
      <c r="TD46" s="387"/>
      <c r="TE46" s="386"/>
      <c r="TF46" s="386"/>
      <c r="TG46" s="387"/>
      <c r="TH46" s="386"/>
      <c r="TI46" s="386"/>
      <c r="TJ46" s="387"/>
      <c r="TK46" s="386"/>
      <c r="TL46" s="386"/>
      <c r="TM46" s="387"/>
      <c r="TN46" s="386"/>
      <c r="TO46" s="386"/>
      <c r="TP46" s="387"/>
      <c r="TQ46" s="386"/>
      <c r="TR46" s="386"/>
      <c r="TS46" s="387"/>
      <c r="TT46" s="386"/>
      <c r="TU46" s="386"/>
      <c r="TV46" s="387"/>
      <c r="TW46" s="386"/>
      <c r="TX46" s="386"/>
      <c r="TY46" s="387"/>
      <c r="TZ46" s="386"/>
      <c r="UA46" s="386"/>
      <c r="UB46" s="387"/>
      <c r="UC46" s="386"/>
      <c r="UD46" s="19"/>
      <c r="UE46" s="389"/>
      <c r="UF46" s="388"/>
      <c r="UG46" s="19"/>
      <c r="UH46" s="389"/>
      <c r="UI46" s="386"/>
      <c r="UJ46" s="19"/>
      <c r="UK46" s="389"/>
      <c r="UL46" s="386"/>
      <c r="UM46" s="19"/>
      <c r="UN46" s="389"/>
      <c r="UO46" s="386"/>
      <c r="UP46" s="19"/>
      <c r="UQ46" s="389"/>
      <c r="UR46" s="386"/>
      <c r="US46" s="19"/>
      <c r="UT46" s="389"/>
      <c r="UU46" s="386"/>
      <c r="UV46" s="19"/>
      <c r="UW46" s="389"/>
      <c r="UX46" s="386"/>
      <c r="UY46" s="19"/>
      <c r="UZ46" s="389"/>
      <c r="VA46" s="386"/>
      <c r="VB46" s="19"/>
      <c r="VC46" s="389"/>
      <c r="VD46" s="386"/>
      <c r="VE46" s="19"/>
      <c r="VF46" s="389"/>
      <c r="VG46" s="386"/>
      <c r="VH46" s="19"/>
      <c r="VI46" s="389"/>
      <c r="VJ46" s="386"/>
      <c r="VK46" s="19"/>
      <c r="VL46" s="389"/>
      <c r="VM46" s="386"/>
      <c r="VN46" s="19"/>
      <c r="VO46" s="389"/>
      <c r="VP46" s="386"/>
      <c r="VQ46" s="19"/>
      <c r="VR46" s="389"/>
      <c r="VS46" s="386"/>
      <c r="VT46" s="19"/>
      <c r="VU46" s="389"/>
      <c r="VV46" s="386"/>
      <c r="VW46" s="19"/>
      <c r="VX46" s="389"/>
      <c r="VY46" s="386"/>
      <c r="VZ46" s="19"/>
      <c r="WA46" s="389"/>
      <c r="WB46" s="386"/>
      <c r="WC46" s="19"/>
      <c r="WD46" s="389"/>
      <c r="WE46" s="386"/>
      <c r="WF46" s="19"/>
      <c r="WG46" s="389"/>
      <c r="WH46" s="386"/>
      <c r="WI46" s="19"/>
      <c r="WJ46" s="389"/>
      <c r="WK46" s="386"/>
      <c r="WL46" s="19"/>
      <c r="WM46" s="389"/>
      <c r="WN46" s="386"/>
      <c r="WO46" s="19"/>
      <c r="WP46" s="389"/>
      <c r="WQ46" s="386"/>
      <c r="WR46" s="19"/>
      <c r="WS46" s="389"/>
      <c r="WT46" s="386"/>
      <c r="WU46" s="19"/>
      <c r="WV46" s="389"/>
      <c r="WW46" s="386"/>
      <c r="WX46" s="19"/>
      <c r="WY46" s="389"/>
      <c r="WZ46" s="386"/>
      <c r="XA46" s="19"/>
      <c r="XB46" s="389"/>
      <c r="XC46" s="386"/>
      <c r="XD46" s="19"/>
      <c r="XE46" s="389"/>
      <c r="XF46" s="386"/>
      <c r="XG46" s="19"/>
      <c r="XH46" s="389"/>
      <c r="XI46" s="386"/>
      <c r="XJ46" s="19"/>
      <c r="XK46" s="389"/>
      <c r="XL46" s="386"/>
      <c r="XM46" s="19"/>
      <c r="XN46" s="389"/>
      <c r="XO46" s="386"/>
      <c r="XP46" s="19"/>
      <c r="XQ46" s="389"/>
      <c r="XR46" s="386"/>
      <c r="XS46" s="19"/>
      <c r="XT46" s="389"/>
      <c r="XU46" s="386"/>
      <c r="XV46" s="19"/>
      <c r="XW46" s="389"/>
      <c r="XX46" s="386"/>
      <c r="XY46" s="19"/>
      <c r="XZ46" s="389"/>
      <c r="YA46" s="386"/>
      <c r="YB46" s="19"/>
      <c r="YC46" s="389"/>
      <c r="YD46" s="386"/>
      <c r="YE46" s="19"/>
      <c r="YF46" s="389"/>
      <c r="YG46" s="386"/>
      <c r="YH46" s="19"/>
      <c r="YI46" s="389"/>
      <c r="YJ46" s="386"/>
      <c r="YK46" s="19"/>
      <c r="YL46" s="389"/>
      <c r="YM46" s="386"/>
      <c r="YN46" s="19"/>
      <c r="YO46" s="389"/>
      <c r="YP46" s="386"/>
      <c r="YQ46" s="19"/>
      <c r="YR46" s="389"/>
      <c r="YS46" s="386"/>
      <c r="YT46" s="19"/>
      <c r="YU46" s="389"/>
      <c r="YV46" s="386"/>
      <c r="YW46" s="19"/>
      <c r="YX46" s="389"/>
      <c r="YY46" s="386"/>
      <c r="YZ46" s="19"/>
      <c r="ZA46" s="389"/>
      <c r="ZB46" s="386"/>
      <c r="ZC46" s="19"/>
      <c r="ZD46" s="389"/>
      <c r="ZE46" s="386"/>
      <c r="ZF46" s="19"/>
      <c r="ZG46" s="389"/>
      <c r="ZH46" s="386"/>
      <c r="ZI46" s="19"/>
      <c r="ZJ46" s="389"/>
      <c r="ZK46" s="386"/>
      <c r="ZL46" s="19"/>
      <c r="ZM46" s="389"/>
      <c r="ZN46" s="386"/>
      <c r="ZO46" s="19"/>
      <c r="ZP46" s="389"/>
      <c r="ZQ46" s="386"/>
      <c r="ZR46" s="19"/>
      <c r="ZS46" s="389"/>
      <c r="ZT46" s="386"/>
      <c r="ZU46" s="19"/>
      <c r="ZV46" s="389"/>
      <c r="ZW46" s="386"/>
      <c r="ZX46" s="19"/>
      <c r="ZY46" s="389"/>
      <c r="ZZ46" s="386"/>
      <c r="AAA46" s="19"/>
      <c r="AAB46" s="389"/>
      <c r="AAC46" s="386"/>
      <c r="AAD46" s="19"/>
      <c r="AAE46" s="389"/>
      <c r="AAF46" s="386"/>
      <c r="AAG46" s="19"/>
      <c r="AAH46" s="389"/>
      <c r="AAI46" s="386"/>
      <c r="AAJ46" s="19"/>
      <c r="AAK46" s="389"/>
      <c r="AAL46" s="386"/>
      <c r="AAM46" s="19"/>
      <c r="AAN46" s="389"/>
      <c r="AAO46" s="386"/>
      <c r="AAP46" s="19"/>
      <c r="AAQ46" s="389"/>
      <c r="AAR46" s="386"/>
      <c r="AAS46" s="19"/>
      <c r="AAT46" s="389"/>
      <c r="AAU46" s="386"/>
      <c r="AAV46" s="19"/>
      <c r="AAW46" s="389"/>
      <c r="AAX46" s="386"/>
      <c r="AAY46" s="19"/>
      <c r="AAZ46" s="389"/>
      <c r="ABA46" s="386"/>
      <c r="ABB46" s="19"/>
      <c r="ABC46" s="389"/>
      <c r="ABD46" s="386"/>
      <c r="ABE46" s="19"/>
      <c r="ABF46" s="389"/>
      <c r="ABG46" s="386"/>
      <c r="ABH46" s="19"/>
      <c r="ABI46" s="389"/>
      <c r="ABJ46" s="386"/>
      <c r="ABK46" s="19"/>
      <c r="ABL46" s="389"/>
      <c r="ABM46" s="386"/>
      <c r="ABN46" s="19"/>
      <c r="ABO46" s="389"/>
      <c r="ABP46" s="386"/>
      <c r="ABQ46" s="19"/>
      <c r="ABR46" s="389"/>
      <c r="ABS46" s="386"/>
      <c r="ABT46" s="19"/>
      <c r="ABU46" s="389"/>
      <c r="ABV46" s="386"/>
      <c r="ABW46" s="19"/>
      <c r="ABX46" s="389"/>
      <c r="ABY46" s="386"/>
      <c r="ABZ46" s="19"/>
      <c r="ACA46" s="389"/>
      <c r="ACB46" s="386"/>
      <c r="ACC46" s="19"/>
      <c r="ACD46" s="389"/>
      <c r="ACE46" s="386"/>
      <c r="ACF46" s="19"/>
      <c r="ACG46" s="389"/>
      <c r="ACH46" s="386"/>
      <c r="ACI46" s="19"/>
      <c r="ACJ46" s="389"/>
      <c r="ACK46" s="386"/>
      <c r="ACL46" s="19"/>
      <c r="ACM46" s="389"/>
      <c r="ACN46" s="386"/>
      <c r="ACO46" s="19"/>
      <c r="ACP46" s="389"/>
      <c r="ACQ46" s="386"/>
      <c r="ACR46" s="19"/>
      <c r="ACS46" s="389"/>
      <c r="ACT46" s="386"/>
      <c r="ACU46" s="19"/>
      <c r="ACV46" s="389"/>
      <c r="ACW46" s="386"/>
      <c r="ACX46" s="19"/>
      <c r="ACY46" s="389"/>
      <c r="ACZ46" s="386"/>
      <c r="ADA46" s="19"/>
      <c r="ADB46" s="389"/>
      <c r="ADC46" s="386"/>
      <c r="ADD46" s="19"/>
      <c r="ADE46" s="389"/>
      <c r="ADF46" s="386"/>
      <c r="ADG46" s="19"/>
      <c r="ADH46" s="389"/>
      <c r="ADI46" s="386"/>
      <c r="ADJ46" s="19"/>
      <c r="ADK46" s="389"/>
      <c r="ADL46" s="386"/>
      <c r="ADM46" s="19"/>
      <c r="ADN46" s="389"/>
      <c r="ADO46" s="386"/>
      <c r="ADP46" s="19"/>
      <c r="ADQ46" s="389"/>
      <c r="ADR46" s="386"/>
      <c r="ADS46" s="19"/>
      <c r="ADT46" s="389"/>
      <c r="ADU46" s="386"/>
      <c r="ADV46" s="19"/>
      <c r="ADW46" s="389"/>
      <c r="ADX46" s="386"/>
      <c r="ADY46" s="19"/>
      <c r="ADZ46" s="389"/>
      <c r="AEA46" s="386"/>
      <c r="AEB46" s="19"/>
      <c r="AEC46" s="389"/>
      <c r="AED46" s="386"/>
      <c r="AEE46" s="19"/>
      <c r="AEF46" s="389"/>
      <c r="AEG46" s="386"/>
      <c r="AEH46" s="19"/>
      <c r="AEI46" s="389"/>
      <c r="AEJ46" s="386"/>
      <c r="AEK46" s="19"/>
      <c r="AEL46" s="389"/>
      <c r="AEM46" s="1304">
        <f>6671+9+18</f>
        <v>6698</v>
      </c>
      <c r="AEN46" s="1308"/>
      <c r="AEO46" s="1352"/>
      <c r="AEP46" s="386"/>
      <c r="AEQ46" s="19"/>
      <c r="AER46" s="389"/>
      <c r="AES46" s="386"/>
      <c r="AET46" s="19"/>
      <c r="AEU46" s="389"/>
      <c r="AEV46" s="386"/>
      <c r="AEW46" s="19"/>
      <c r="AEX46" s="389"/>
      <c r="AEY46" s="1304"/>
      <c r="AEZ46" s="1305"/>
      <c r="AFA46" s="1335"/>
      <c r="AFB46" s="1304"/>
      <c r="AFC46" s="1305"/>
      <c r="AFD46" s="1335"/>
      <c r="AFE46" s="1304"/>
      <c r="AFF46" s="1305"/>
      <c r="AFG46" s="1335"/>
      <c r="AFH46" s="1304"/>
      <c r="AFI46" s="1305"/>
      <c r="AFJ46" s="1335"/>
      <c r="AFK46" s="1304"/>
      <c r="AFL46" s="1305"/>
      <c r="AFM46" s="1335"/>
      <c r="AFN46" s="1304">
        <f>7079+15+18</f>
        <v>7112</v>
      </c>
      <c r="AFO46" s="1305"/>
      <c r="AFP46" s="1335"/>
      <c r="AFQ46" s="1304"/>
      <c r="AFR46" s="1305"/>
      <c r="AFS46" s="1335"/>
      <c r="AFT46" s="1304"/>
      <c r="AFU46" s="1305"/>
      <c r="AFV46" s="1335"/>
      <c r="AFW46" s="1304"/>
      <c r="AFX46" s="1305"/>
      <c r="AFY46" s="1335"/>
      <c r="AFZ46" s="1304"/>
      <c r="AGA46" s="1305"/>
      <c r="AGB46" s="1335"/>
      <c r="AGC46" s="1304">
        <f>8150.414+707.12+15+18</f>
        <v>8890.5339999999997</v>
      </c>
      <c r="AGD46" s="1305"/>
      <c r="AGE46" s="1335"/>
      <c r="AGF46" s="1304"/>
      <c r="AGG46" s="1305"/>
      <c r="AGH46" s="1335"/>
      <c r="AGI46" s="1304"/>
      <c r="AGJ46" s="1305"/>
      <c r="AGK46" s="1335"/>
      <c r="AGL46" s="1304"/>
      <c r="AGM46" s="1305"/>
      <c r="AGN46" s="1335"/>
      <c r="AGO46" s="1304"/>
      <c r="AGP46" s="1305"/>
      <c r="AGQ46" s="1335"/>
      <c r="AGR46" s="1304">
        <v>8884.34</v>
      </c>
      <c r="AGS46" s="1305"/>
      <c r="AGT46" s="1335"/>
      <c r="AGU46" s="1304"/>
      <c r="AGV46" s="1305"/>
      <c r="AGW46" s="1335"/>
      <c r="AGX46" s="1304">
        <v>8884.77</v>
      </c>
      <c r="AGY46" s="1305"/>
      <c r="AGZ46" s="1335"/>
      <c r="AHA46" s="1304"/>
      <c r="AHB46" s="1305"/>
      <c r="AHC46" s="1335"/>
      <c r="AHD46" s="1304"/>
      <c r="AHE46" s="1305"/>
      <c r="AHF46" s="1335"/>
      <c r="AHG46" s="1304"/>
      <c r="AHH46" s="1305"/>
      <c r="AHI46" s="1335"/>
      <c r="AHJ46" s="1304"/>
      <c r="AHK46" s="1305"/>
      <c r="AHL46" s="1335"/>
      <c r="AHM46" s="1304"/>
      <c r="AHN46" s="1305"/>
      <c r="AHO46" s="1335"/>
      <c r="AHP46" s="1304">
        <v>8763.41</v>
      </c>
      <c r="AHQ46" s="1305"/>
      <c r="AHR46" s="1335"/>
      <c r="AHS46" s="1304"/>
      <c r="AHT46" s="1305"/>
      <c r="AHU46" s="1335"/>
      <c r="AHV46" s="1304"/>
      <c r="AHW46" s="1305"/>
      <c r="AHX46" s="1335"/>
      <c r="AHY46" s="1304">
        <v>8763.41</v>
      </c>
      <c r="AHZ46" s="1305"/>
      <c r="AIA46" s="1335"/>
      <c r="AIB46" s="1304"/>
      <c r="AIC46" s="1305"/>
      <c r="AID46" s="1305"/>
      <c r="AIE46" s="1304"/>
      <c r="AIF46" s="1305"/>
      <c r="AIG46" s="1335"/>
      <c r="AIH46" s="1304"/>
      <c r="AII46" s="1305"/>
      <c r="AIJ46" s="1335"/>
      <c r="AIK46" s="1304">
        <v>9050.69</v>
      </c>
      <c r="AIL46" s="1305"/>
      <c r="AIM46" s="1335"/>
      <c r="AIN46" s="1304"/>
      <c r="AIO46" s="1305"/>
      <c r="AIP46" s="1335"/>
      <c r="AIQ46" s="1441">
        <f>9450.89+1183.89</f>
        <v>10634.779999999999</v>
      </c>
      <c r="AIR46" s="1442"/>
      <c r="AIS46" s="1442"/>
      <c r="AIT46" s="1304"/>
      <c r="AIU46" s="1305"/>
      <c r="AIV46" s="1335"/>
      <c r="AIW46" s="1304"/>
      <c r="AIX46" s="1305"/>
      <c r="AIY46" s="1305"/>
      <c r="AIZ46" s="1304"/>
      <c r="AJA46" s="1305"/>
      <c r="AJB46" s="1335"/>
      <c r="AJC46" s="1304"/>
      <c r="AJD46" s="1305"/>
      <c r="AJE46" s="1335"/>
      <c r="AJF46" s="1304"/>
      <c r="AJG46" s="1305"/>
      <c r="AJH46" s="1335"/>
      <c r="AJI46" s="1304"/>
      <c r="AJJ46" s="1305"/>
      <c r="AJK46" s="1335"/>
      <c r="AJL46" s="1304"/>
      <c r="AJM46" s="1305"/>
      <c r="AJN46" s="1305"/>
      <c r="AJO46" s="1304"/>
      <c r="AJP46" s="1305"/>
      <c r="AJQ46" s="1335"/>
      <c r="AJR46" s="1304"/>
      <c r="AJS46" s="1305"/>
      <c r="AJT46" s="1305"/>
      <c r="AJU46" s="1304"/>
      <c r="AJV46" s="1305"/>
      <c r="AJW46" s="1335"/>
      <c r="AJX46" s="1304"/>
      <c r="AJY46" s="1305"/>
      <c r="AJZ46" s="1335"/>
      <c r="AKA46" s="1304"/>
      <c r="AKB46" s="1305"/>
      <c r="AKC46" s="1335"/>
      <c r="AKD46" s="1304"/>
      <c r="AKE46" s="1305"/>
      <c r="AKF46" s="1335"/>
      <c r="AKG46" s="1304"/>
      <c r="AKH46" s="1305"/>
      <c r="AKI46" s="1305"/>
      <c r="AKJ46" s="1304"/>
      <c r="AKK46" s="1305"/>
      <c r="AKL46" s="1335"/>
      <c r="AKM46" s="1304"/>
      <c r="AKN46" s="1305"/>
      <c r="AKO46" s="1305"/>
      <c r="AKP46" s="1304"/>
      <c r="AKQ46" s="1305"/>
      <c r="AKR46" s="1335"/>
      <c r="AKS46" s="1304"/>
      <c r="AKT46" s="1305"/>
      <c r="AKU46" s="1335"/>
      <c r="AKV46" s="1304"/>
      <c r="AKW46" s="1305"/>
      <c r="AKX46" s="1335"/>
      <c r="AKY46" s="1304"/>
      <c r="AKZ46" s="1305"/>
      <c r="ALA46" s="1335"/>
      <c r="ALB46" s="1304"/>
      <c r="ALC46" s="1305"/>
      <c r="ALD46" s="1335"/>
      <c r="ALE46" s="1304"/>
      <c r="ALF46" s="1305"/>
      <c r="ALG46" s="1335"/>
      <c r="ALH46" s="1304"/>
      <c r="ALI46" s="1305"/>
      <c r="ALJ46" s="1335"/>
      <c r="ALK46" s="1304"/>
      <c r="ALL46" s="1305"/>
      <c r="ALM46" s="1335"/>
      <c r="ALN46" s="1304"/>
      <c r="ALO46" s="1305"/>
      <c r="ALP46" s="1335"/>
      <c r="ALQ46" s="1304"/>
      <c r="ALR46" s="1305"/>
      <c r="ALS46" s="1335"/>
      <c r="ALT46" s="1304"/>
      <c r="ALU46" s="1305"/>
      <c r="ALV46" s="1335"/>
      <c r="ALW46" s="1304"/>
      <c r="ALX46" s="1305"/>
      <c r="ALY46" s="1335"/>
      <c r="ALZ46" s="1304"/>
      <c r="AMA46" s="1305"/>
      <c r="AMB46" s="1335"/>
      <c r="AMC46" s="1304"/>
      <c r="AMD46" s="1305"/>
      <c r="AME46" s="1335"/>
      <c r="AMF46" s="1304"/>
      <c r="AMG46" s="1305"/>
      <c r="AMH46" s="1335"/>
      <c r="AMI46" s="1304"/>
      <c r="AMJ46" s="1305"/>
      <c r="AMK46" s="1335"/>
      <c r="AML46" s="1304"/>
      <c r="AMM46" s="1305"/>
      <c r="AMN46" s="1335"/>
      <c r="AMO46" s="1304"/>
      <c r="AMP46" s="1305"/>
      <c r="AMQ46" s="1335"/>
      <c r="AMR46" s="1304"/>
      <c r="AMS46" s="1305"/>
      <c r="AMT46" s="1335"/>
      <c r="AMU46" s="1304"/>
      <c r="AMV46" s="1305"/>
      <c r="AMW46" s="1335"/>
      <c r="AMX46" s="1304"/>
      <c r="AMY46" s="1305"/>
      <c r="AMZ46" s="1335"/>
      <c r="ANA46" s="1304"/>
      <c r="ANB46" s="1305"/>
      <c r="ANC46" s="1335"/>
      <c r="AND46" s="1304"/>
      <c r="ANE46" s="1305"/>
      <c r="ANF46" s="1335"/>
      <c r="ANG46" s="1304"/>
      <c r="ANH46" s="1305"/>
      <c r="ANI46" s="1335"/>
      <c r="ANJ46" s="1304"/>
      <c r="ANK46" s="1305"/>
      <c r="ANL46" s="1335"/>
      <c r="ANM46" s="1304"/>
      <c r="ANN46" s="1305"/>
      <c r="ANO46" s="1335"/>
      <c r="ANP46" s="1304"/>
      <c r="ANQ46" s="1305"/>
      <c r="ANR46" s="1335"/>
      <c r="ANS46" s="1304"/>
      <c r="ANT46" s="1305"/>
      <c r="ANU46" s="1335"/>
      <c r="ANV46" s="1304"/>
      <c r="ANW46" s="1305"/>
      <c r="ANX46" s="1335"/>
      <c r="ANY46" s="1304"/>
      <c r="ANZ46" s="1305"/>
      <c r="AOA46" s="1335"/>
      <c r="AOB46" s="1304"/>
      <c r="AOC46" s="1305"/>
      <c r="AOD46" s="1335"/>
      <c r="AOE46" s="1304"/>
      <c r="AOF46" s="1305"/>
      <c r="AOG46" s="1335"/>
      <c r="AOH46" s="1304"/>
      <c r="AOI46" s="1305"/>
      <c r="AOJ46" s="1335"/>
      <c r="AOK46" s="1304"/>
      <c r="AOL46" s="1305"/>
      <c r="AOM46" s="1335"/>
      <c r="AON46" s="1304"/>
      <c r="AOO46" s="1305"/>
      <c r="AOP46" s="1335"/>
      <c r="AOQ46" s="1304"/>
      <c r="AOR46" s="1305"/>
      <c r="AOS46" s="1335"/>
      <c r="AOT46" s="1304"/>
      <c r="AOU46" s="1305"/>
      <c r="AOV46" s="1335"/>
      <c r="AOW46" s="1304"/>
      <c r="AOX46" s="1305"/>
      <c r="AOY46" s="1335"/>
      <c r="AOZ46" s="1304"/>
      <c r="APA46" s="1305"/>
      <c r="APB46" s="1335"/>
      <c r="APC46" s="1304"/>
      <c r="APD46" s="1305"/>
      <c r="APE46" s="1335"/>
      <c r="APF46" s="1304"/>
      <c r="APG46" s="1305"/>
      <c r="APH46" s="1335"/>
      <c r="API46" s="1304"/>
      <c r="APJ46" s="1305"/>
      <c r="APK46" s="1335"/>
      <c r="APL46" s="1304"/>
      <c r="APM46" s="1305"/>
      <c r="APN46" s="1335"/>
      <c r="APO46" s="1304"/>
      <c r="APP46" s="1305"/>
      <c r="APQ46" s="1335"/>
      <c r="APR46" s="1304"/>
      <c r="APS46" s="1305"/>
      <c r="APT46" s="1335"/>
      <c r="APU46" s="1304"/>
      <c r="APV46" s="1305"/>
      <c r="APW46" s="1335"/>
      <c r="APX46" s="1304"/>
      <c r="APY46" s="1305"/>
      <c r="APZ46" s="1335"/>
      <c r="AQA46" s="1304"/>
      <c r="AQB46" s="1305"/>
      <c r="AQC46" s="1335"/>
      <c r="AQD46" s="1304"/>
      <c r="AQE46" s="1305"/>
      <c r="AQF46" s="1335"/>
      <c r="AQG46" s="1304"/>
      <c r="AQH46" s="1305"/>
      <c r="AQI46" s="1335"/>
      <c r="AQJ46" s="1304"/>
      <c r="AQK46" s="1305"/>
      <c r="AQL46" s="1335"/>
      <c r="AQM46" s="1304"/>
      <c r="AQN46" s="1305"/>
      <c r="AQO46" s="1335"/>
      <c r="AQP46" s="1304"/>
      <c r="AQQ46" s="1305"/>
      <c r="AQR46" s="1305"/>
      <c r="AQS46" s="1304"/>
      <c r="AQT46" s="1305"/>
      <c r="AQU46" s="1335"/>
      <c r="AQV46" s="1305"/>
      <c r="AQW46" s="1305"/>
      <c r="AQX46" s="1335"/>
      <c r="AQY46" s="1304"/>
      <c r="AQZ46" s="1305"/>
      <c r="ARA46" s="1335"/>
      <c r="ARB46" s="1304"/>
      <c r="ARC46" s="1305"/>
      <c r="ARD46" s="1335"/>
      <c r="ARE46" s="1304"/>
      <c r="ARF46" s="1305"/>
      <c r="ARG46" s="1335"/>
      <c r="ARH46" s="1304"/>
      <c r="ARI46" s="1305"/>
      <c r="ARJ46" s="1335"/>
      <c r="ARK46" s="1304"/>
      <c r="ARL46" s="1305"/>
      <c r="ARM46" s="1335"/>
      <c r="ARN46" s="1304"/>
      <c r="ARO46" s="1305"/>
      <c r="ARP46" s="1335"/>
      <c r="ARQ46" s="1304"/>
      <c r="ARR46" s="1305"/>
      <c r="ARS46" s="1335"/>
      <c r="ART46" s="1304"/>
      <c r="ARU46" s="1305"/>
      <c r="ARV46" s="1335"/>
      <c r="ARW46" s="1304"/>
      <c r="ARX46" s="1305"/>
      <c r="ARY46" s="1335"/>
      <c r="ARZ46" s="1304"/>
      <c r="ASA46" s="1305"/>
      <c r="ASB46" s="1335"/>
      <c r="ASC46" s="1304"/>
      <c r="ASD46" s="1305"/>
      <c r="ASE46" s="1335"/>
      <c r="ASF46" s="1304"/>
      <c r="ASG46" s="1305"/>
      <c r="ASH46" s="1335"/>
      <c r="ASI46" s="1304"/>
      <c r="ASJ46" s="1305"/>
      <c r="ASK46" s="1335"/>
      <c r="ASL46" s="1304"/>
      <c r="ASM46" s="1305"/>
      <c r="ASN46" s="1335"/>
      <c r="ASO46" s="1304"/>
      <c r="ASP46" s="1305"/>
      <c r="ASQ46" s="1305"/>
      <c r="ASR46" s="1304"/>
      <c r="ASS46" s="1305"/>
      <c r="AST46" s="1335"/>
      <c r="ASU46" s="1304"/>
      <c r="ASV46" s="1305"/>
      <c r="ASW46" s="1335"/>
      <c r="ASX46" s="1304"/>
      <c r="ASY46" s="1305"/>
      <c r="ASZ46" s="1335"/>
      <c r="ATA46" s="1304"/>
      <c r="ATB46" s="1305"/>
      <c r="ATC46" s="1335"/>
      <c r="ATD46" s="1304"/>
      <c r="ATE46" s="1305"/>
      <c r="ATF46" s="1335"/>
      <c r="ATG46" s="1304"/>
      <c r="ATH46" s="1305"/>
      <c r="ATI46" s="1335"/>
      <c r="ATJ46" s="1304"/>
      <c r="ATK46" s="1305"/>
      <c r="ATL46" s="1335"/>
      <c r="ATM46" s="1304"/>
      <c r="ATN46" s="1305"/>
      <c r="ATO46" s="1335"/>
      <c r="ATP46" s="1304"/>
      <c r="ATQ46" s="1305"/>
      <c r="ATR46" s="1335"/>
      <c r="ATS46" s="1304"/>
      <c r="ATT46" s="1305"/>
      <c r="ATU46" s="1335"/>
      <c r="ATV46" s="1305"/>
      <c r="ATW46" s="1305"/>
      <c r="ATX46" s="1335"/>
      <c r="ATY46" s="1304"/>
      <c r="ATZ46" s="1305"/>
      <c r="AUA46" s="1335"/>
      <c r="AUB46" s="1304"/>
      <c r="AUC46" s="1305"/>
      <c r="AUD46" s="1335"/>
      <c r="AUE46" s="1304"/>
      <c r="AUF46" s="1305"/>
      <c r="AUG46" s="1335"/>
      <c r="AUH46" s="1304"/>
      <c r="AUI46" s="1305"/>
      <c r="AUJ46" s="1335"/>
      <c r="AUK46" s="1304"/>
      <c r="AUL46" s="1305"/>
      <c r="AUM46" s="1305"/>
      <c r="AUN46" s="1304"/>
      <c r="AUO46" s="1305"/>
      <c r="AUP46" s="1305"/>
      <c r="AUQ46" s="1304"/>
      <c r="AUR46" s="1305"/>
      <c r="AUS46" s="1305"/>
      <c r="AUT46" s="1304"/>
      <c r="AUU46" s="1305"/>
      <c r="AUV46" s="1305"/>
      <c r="AUW46" s="1304"/>
      <c r="AUX46" s="1305"/>
      <c r="AUY46" s="1305"/>
      <c r="AUZ46" s="1304"/>
      <c r="AVA46" s="1305"/>
      <c r="AVB46" s="1305"/>
      <c r="AVC46" s="1304"/>
      <c r="AVD46" s="1305"/>
      <c r="AVE46" s="1305"/>
      <c r="AVF46" s="1304"/>
      <c r="AVG46" s="1305"/>
      <c r="AVH46" s="1305"/>
      <c r="AVI46" s="1304"/>
      <c r="AVJ46" s="1305"/>
      <c r="AVK46" s="1305"/>
      <c r="AVL46" s="1304"/>
      <c r="AVM46" s="1305"/>
      <c r="AVN46" s="1305"/>
      <c r="AVO46" s="1304"/>
      <c r="AVP46" s="1305"/>
      <c r="AVQ46" s="1305"/>
      <c r="AVR46" s="1304"/>
      <c r="AVS46" s="1305"/>
      <c r="AVT46" s="1305"/>
      <c r="AVU46" s="1304"/>
      <c r="AVV46" s="1305"/>
      <c r="AVW46" s="1305"/>
      <c r="AVX46" s="1304"/>
      <c r="AVY46" s="1305"/>
      <c r="AVZ46" s="1305"/>
      <c r="AWA46" s="1304"/>
      <c r="AWB46" s="1305"/>
      <c r="AWC46" s="1305"/>
      <c r="AWD46" s="1304"/>
      <c r="AWE46" s="1305"/>
      <c r="AWF46" s="1305"/>
      <c r="AWG46" s="1304"/>
      <c r="AWH46" s="1305"/>
      <c r="AWI46" s="1305"/>
      <c r="AWJ46" s="1304"/>
      <c r="AWK46" s="1305"/>
      <c r="AWL46" s="1305"/>
      <c r="AWM46" s="1304"/>
      <c r="AWN46" s="1305"/>
      <c r="AWO46" s="1335"/>
      <c r="AWP46" s="1305"/>
      <c r="AWQ46" s="1305"/>
      <c r="AWR46" s="1335"/>
      <c r="AWS46" s="1304"/>
      <c r="AWT46" s="1305"/>
      <c r="AWU46" s="1335"/>
      <c r="AWV46" s="1304"/>
      <c r="AWW46" s="1305"/>
      <c r="AWX46" s="1335"/>
      <c r="AWY46" s="1304"/>
      <c r="AWZ46" s="1305"/>
      <c r="AXA46" s="1335"/>
      <c r="AXB46" s="1304"/>
      <c r="AXC46" s="1305"/>
      <c r="AXD46" s="1335"/>
      <c r="AXE46" s="1304"/>
      <c r="AXF46" s="1305"/>
      <c r="AXG46" s="1335"/>
      <c r="AXH46" s="1304"/>
      <c r="AXI46" s="1305"/>
      <c r="AXJ46" s="1335"/>
      <c r="AXK46" s="1304"/>
      <c r="AXL46" s="1305"/>
      <c r="AXM46" s="1335"/>
      <c r="AXN46" s="1304"/>
      <c r="AXO46" s="1305"/>
      <c r="AXP46" s="1335"/>
      <c r="AXQ46" s="1304"/>
      <c r="AXR46" s="1305"/>
      <c r="AXS46" s="1335"/>
      <c r="AXT46" s="1304"/>
      <c r="AXU46" s="1305"/>
      <c r="AXV46" s="1335"/>
      <c r="AXW46" s="1304"/>
      <c r="AXX46" s="1305"/>
      <c r="AXY46" s="1335"/>
      <c r="AXZ46" s="1304"/>
      <c r="AYA46" s="1305"/>
      <c r="AYB46" s="1335"/>
      <c r="AYC46" s="1304"/>
      <c r="AYD46" s="1305"/>
      <c r="AYE46" s="1335"/>
      <c r="AYF46" s="1304"/>
      <c r="AYG46" s="1305"/>
      <c r="AYH46" s="1335"/>
      <c r="AYI46" s="1304"/>
      <c r="AYJ46" s="1305"/>
      <c r="AYK46" s="1335"/>
      <c r="AYL46" s="1304"/>
      <c r="AYM46" s="1305"/>
      <c r="AYN46" s="1335"/>
      <c r="AYO46" s="1304"/>
      <c r="AYP46" s="1305"/>
      <c r="AYQ46" s="1335"/>
      <c r="AYR46" s="1304"/>
      <c r="AYS46" s="1305"/>
      <c r="AYT46" s="1335"/>
      <c r="AYU46" s="1304"/>
      <c r="AYV46" s="1305"/>
      <c r="AYW46" s="1335"/>
      <c r="AYX46" s="1304"/>
      <c r="AYY46" s="1305"/>
      <c r="AYZ46" s="1335"/>
      <c r="AZA46" s="1304"/>
      <c r="AZB46" s="1305"/>
      <c r="AZC46" s="1335"/>
      <c r="AZD46" s="1304"/>
      <c r="AZE46" s="1305"/>
      <c r="AZF46" s="1335"/>
      <c r="AZG46" s="1304"/>
      <c r="AZH46" s="1305"/>
      <c r="AZI46" s="1335"/>
      <c r="AZJ46" s="1304"/>
      <c r="AZK46" s="1305"/>
      <c r="AZL46" s="1335"/>
      <c r="AZM46" s="1304"/>
      <c r="AZN46" s="1305"/>
      <c r="AZO46" s="1335"/>
      <c r="AZP46" s="1304"/>
      <c r="AZQ46" s="1305"/>
      <c r="AZR46" s="1335"/>
      <c r="AZS46" s="1304"/>
      <c r="AZT46" s="1305"/>
      <c r="AZU46" s="1335"/>
      <c r="AZV46" s="1304"/>
      <c r="AZW46" s="1305"/>
      <c r="AZX46" s="1335"/>
      <c r="AZY46" s="1304"/>
      <c r="AZZ46" s="1305"/>
      <c r="BAA46" s="1335"/>
      <c r="BAB46" s="1304"/>
      <c r="BAC46" s="1305"/>
      <c r="BAD46" s="1335"/>
      <c r="BAE46" s="1304"/>
      <c r="BAF46" s="1305"/>
      <c r="BAG46" s="1335"/>
      <c r="BAH46" s="1304"/>
      <c r="BAI46" s="1305"/>
      <c r="BAJ46" s="1335"/>
    </row>
    <row r="47" spans="1:1399" s="354" customFormat="1" ht="14.5" customHeight="1">
      <c r="A47" s="17"/>
      <c r="B47" s="18" t="s">
        <v>371</v>
      </c>
      <c r="C47" s="1201"/>
      <c r="D47" s="1201"/>
      <c r="E47" s="13" t="s">
        <v>342</v>
      </c>
      <c r="F47" s="1266"/>
      <c r="G47" s="1266"/>
      <c r="H47" s="346"/>
      <c r="I47" s="1266"/>
      <c r="J47" s="1266"/>
      <c r="K47" s="346"/>
      <c r="L47" s="1266"/>
      <c r="M47" s="1266"/>
      <c r="N47" s="346"/>
      <c r="O47" s="1266"/>
      <c r="P47" s="1266"/>
      <c r="Q47" s="346"/>
      <c r="R47" s="1266"/>
      <c r="S47" s="1266"/>
      <c r="T47" s="346"/>
      <c r="U47" s="1266"/>
      <c r="V47" s="1266"/>
      <c r="W47" s="346"/>
      <c r="X47" s="1266"/>
      <c r="Y47" s="1266"/>
      <c r="Z47" s="346"/>
      <c r="AA47" s="1266"/>
      <c r="AB47" s="1266"/>
      <c r="AC47" s="346"/>
      <c r="AD47" s="1266"/>
      <c r="AE47" s="1266"/>
      <c r="AF47" s="346"/>
      <c r="AG47" s="1266"/>
      <c r="AH47" s="1266"/>
      <c r="AI47" s="346"/>
      <c r="AJ47" s="1266"/>
      <c r="AK47" s="1266"/>
      <c r="AL47" s="346"/>
      <c r="AM47" s="1266"/>
      <c r="AN47" s="1266"/>
      <c r="AO47" s="346"/>
      <c r="AP47" s="1266"/>
      <c r="AQ47" s="1266"/>
      <c r="AR47" s="346"/>
      <c r="AS47" s="1266"/>
      <c r="AT47" s="1266"/>
      <c r="AU47" s="346"/>
      <c r="AV47" s="1266"/>
      <c r="AW47" s="1266"/>
      <c r="AX47" s="346"/>
      <c r="AY47" s="1266"/>
      <c r="AZ47" s="1266"/>
      <c r="BA47" s="346"/>
      <c r="BB47" s="1266"/>
      <c r="BC47" s="1266"/>
      <c r="BD47" s="346"/>
      <c r="BE47" s="1266"/>
      <c r="BF47" s="1266"/>
      <c r="BG47" s="346"/>
      <c r="BH47" s="1266"/>
      <c r="BI47" s="1266"/>
      <c r="BJ47" s="346"/>
      <c r="BK47" s="1266"/>
      <c r="BL47" s="1266"/>
      <c r="BM47" s="346"/>
      <c r="BN47" s="1266"/>
      <c r="BO47" s="1266"/>
      <c r="BP47" s="346"/>
      <c r="BQ47" s="1266"/>
      <c r="BR47" s="1266"/>
      <c r="BS47" s="346"/>
      <c r="BT47" s="1266"/>
      <c r="BU47" s="1266"/>
      <c r="BV47" s="346"/>
      <c r="BW47" s="1266"/>
      <c r="BX47" s="1266"/>
      <c r="BY47" s="346"/>
      <c r="BZ47" s="1266"/>
      <c r="CA47" s="1266"/>
      <c r="CB47" s="346"/>
      <c r="CC47" s="1266"/>
      <c r="CD47" s="1266"/>
      <c r="CE47" s="346"/>
      <c r="CF47" s="1266"/>
      <c r="CG47" s="1266"/>
      <c r="CH47" s="346"/>
      <c r="CI47" s="1266"/>
      <c r="CJ47" s="1266"/>
      <c r="CK47" s="346"/>
      <c r="CL47" s="1266"/>
      <c r="CM47" s="1266"/>
      <c r="CN47" s="346"/>
      <c r="CO47" s="1266"/>
      <c r="CP47" s="1266"/>
      <c r="CQ47" s="346"/>
      <c r="CR47" s="1266"/>
      <c r="CS47" s="1266"/>
      <c r="CT47" s="346"/>
      <c r="CU47" s="1266"/>
      <c r="CV47" s="1266"/>
      <c r="CW47" s="346"/>
      <c r="CX47" s="1266"/>
      <c r="CY47" s="1266"/>
      <c r="CZ47" s="346"/>
      <c r="DA47" s="1266"/>
      <c r="DB47" s="1266"/>
      <c r="DC47" s="346"/>
      <c r="DD47" s="1266"/>
      <c r="DE47" s="1266"/>
      <c r="DF47" s="346"/>
      <c r="DG47" s="1266"/>
      <c r="DH47" s="1266"/>
      <c r="DI47" s="346"/>
      <c r="DJ47" s="1266"/>
      <c r="DK47" s="1266"/>
      <c r="DL47" s="346"/>
      <c r="DM47" s="1266"/>
      <c r="DN47" s="1266"/>
      <c r="DO47" s="346"/>
      <c r="DP47" s="1266"/>
      <c r="DQ47" s="1266"/>
      <c r="DR47" s="346"/>
      <c r="DS47" s="1266"/>
      <c r="DT47" s="1266"/>
      <c r="DU47" s="346"/>
      <c r="DV47" s="1266"/>
      <c r="DW47" s="1266"/>
      <c r="DX47" s="346"/>
      <c r="DY47" s="1266"/>
      <c r="DZ47" s="1266"/>
      <c r="EA47" s="346"/>
      <c r="EB47" s="1266"/>
      <c r="EC47" s="1266"/>
      <c r="ED47" s="346"/>
      <c r="EE47" s="1266"/>
      <c r="EF47" s="1266"/>
      <c r="EG47" s="346"/>
      <c r="EH47" s="1266"/>
      <c r="EI47" s="1266"/>
      <c r="EJ47" s="346"/>
      <c r="EK47" s="1266"/>
      <c r="EL47" s="1266"/>
      <c r="EM47" s="346"/>
      <c r="EN47" s="1266"/>
      <c r="EO47" s="1266"/>
      <c r="EP47" s="346"/>
      <c r="EQ47" s="1266"/>
      <c r="ER47" s="1266"/>
      <c r="ES47" s="346"/>
      <c r="ET47" s="1266"/>
      <c r="EU47" s="1266"/>
      <c r="EV47" s="346"/>
      <c r="EW47" s="1266"/>
      <c r="EX47" s="1266"/>
      <c r="EY47" s="346"/>
      <c r="EZ47" s="1266"/>
      <c r="FA47" s="1266"/>
      <c r="FB47" s="346"/>
      <c r="FC47" s="1266"/>
      <c r="FD47" s="1266"/>
      <c r="FE47" s="346"/>
      <c r="FF47" s="1266"/>
      <c r="FG47" s="1266"/>
      <c r="FH47" s="346"/>
      <c r="FI47" s="1266"/>
      <c r="FJ47" s="1266"/>
      <c r="FK47" s="346"/>
      <c r="FL47" s="1266"/>
      <c r="FM47" s="1266"/>
      <c r="FN47" s="346"/>
      <c r="FO47" s="1266"/>
      <c r="FP47" s="1266"/>
      <c r="FQ47" s="346"/>
      <c r="FR47" s="1266"/>
      <c r="FS47" s="1266"/>
      <c r="FT47" s="346"/>
      <c r="FU47" s="1266"/>
      <c r="FV47" s="1266"/>
      <c r="FW47" s="346"/>
      <c r="FX47" s="1266"/>
      <c r="FY47" s="1266"/>
      <c r="FZ47" s="346"/>
      <c r="GA47" s="1266"/>
      <c r="GB47" s="1266"/>
      <c r="GC47" s="346"/>
      <c r="GD47" s="1266"/>
      <c r="GE47" s="1266"/>
      <c r="GF47" s="346"/>
      <c r="GG47" s="1266"/>
      <c r="GH47" s="1266"/>
      <c r="GI47" s="346"/>
      <c r="GJ47" s="1266"/>
      <c r="GK47" s="1266"/>
      <c r="GL47" s="346"/>
      <c r="GM47" s="1266"/>
      <c r="GN47" s="1266"/>
      <c r="GO47" s="346"/>
      <c r="GP47" s="1266"/>
      <c r="GQ47" s="1266"/>
      <c r="GR47" s="346"/>
      <c r="GS47" s="1266"/>
      <c r="GT47" s="1266"/>
      <c r="GU47" s="346"/>
      <c r="GV47" s="1266"/>
      <c r="GW47" s="1266"/>
      <c r="GX47" s="346"/>
      <c r="GY47" s="1266"/>
      <c r="GZ47" s="1266"/>
      <c r="HA47" s="346"/>
      <c r="HB47" s="1266"/>
      <c r="HC47" s="1266"/>
      <c r="HD47" s="346"/>
      <c r="HE47" s="1266"/>
      <c r="HF47" s="1266"/>
      <c r="HG47" s="346"/>
      <c r="HH47" s="1266"/>
      <c r="HI47" s="1266"/>
      <c r="HJ47" s="346"/>
      <c r="HK47" s="1266"/>
      <c r="HL47" s="1266"/>
      <c r="HM47" s="346"/>
      <c r="HN47" s="1266"/>
      <c r="HO47" s="1266"/>
      <c r="HP47" s="346"/>
      <c r="HQ47" s="1266"/>
      <c r="HR47" s="1266"/>
      <c r="HS47" s="346"/>
      <c r="HT47" s="1266"/>
      <c r="HU47" s="1266"/>
      <c r="HV47" s="346"/>
      <c r="HW47" s="1266"/>
      <c r="HX47" s="1266"/>
      <c r="HY47" s="346"/>
      <c r="HZ47" s="1266"/>
      <c r="IA47" s="1266"/>
      <c r="IB47" s="346"/>
      <c r="IC47" s="1266"/>
      <c r="ID47" s="1266"/>
      <c r="IE47" s="346"/>
      <c r="IF47" s="1266"/>
      <c r="IG47" s="1266"/>
      <c r="IH47" s="346"/>
      <c r="II47" s="1266"/>
      <c r="IJ47" s="1266"/>
      <c r="IK47" s="346"/>
      <c r="IL47" s="1266"/>
      <c r="IM47" s="1266"/>
      <c r="IN47" s="346"/>
      <c r="IO47" s="1266"/>
      <c r="IP47" s="1266"/>
      <c r="IQ47" s="346"/>
      <c r="IR47" s="1266"/>
      <c r="IS47" s="1266"/>
      <c r="IT47" s="346"/>
      <c r="IU47" s="1266"/>
      <c r="IV47" s="1266"/>
      <c r="IW47" s="346"/>
      <c r="IX47" s="1266"/>
      <c r="IY47" s="1266"/>
      <c r="IZ47" s="346"/>
      <c r="JA47" s="1266"/>
      <c r="JB47" s="1266"/>
      <c r="JC47" s="346"/>
      <c r="JD47" s="1266"/>
      <c r="JE47" s="1266"/>
      <c r="JF47" s="346"/>
      <c r="JG47" s="1266"/>
      <c r="JH47" s="1266"/>
      <c r="JI47" s="346"/>
      <c r="JJ47" s="1266"/>
      <c r="JK47" s="1266"/>
      <c r="JL47" s="346"/>
      <c r="JM47" s="1266"/>
      <c r="JN47" s="1266"/>
      <c r="JO47" s="346"/>
      <c r="JP47" s="1266"/>
      <c r="JQ47" s="1266"/>
      <c r="JR47" s="346"/>
      <c r="JS47" s="1266"/>
      <c r="JT47" s="1266"/>
      <c r="JU47" s="346"/>
      <c r="JV47" s="1266"/>
      <c r="JW47" s="1266"/>
      <c r="JX47" s="346"/>
      <c r="JY47" s="1266"/>
      <c r="JZ47" s="1266"/>
      <c r="KA47" s="346"/>
      <c r="KB47" s="1266"/>
      <c r="KC47" s="1266"/>
      <c r="KD47" s="346"/>
      <c r="KE47" s="1266"/>
      <c r="KF47" s="1266"/>
      <c r="KG47" s="346"/>
      <c r="KH47" s="1266"/>
      <c r="KI47" s="1266"/>
      <c r="KJ47" s="346"/>
      <c r="KK47" s="1266"/>
      <c r="KL47" s="1266"/>
      <c r="KM47" s="346"/>
      <c r="KN47" s="1266"/>
      <c r="KO47" s="1266"/>
      <c r="KP47" s="346"/>
      <c r="KQ47" s="1266"/>
      <c r="KR47" s="1266"/>
      <c r="KS47" s="346"/>
      <c r="KT47" s="1266"/>
      <c r="KU47" s="1266"/>
      <c r="KV47" s="346"/>
      <c r="KW47" s="1266"/>
      <c r="KX47" s="1266"/>
      <c r="KY47" s="346"/>
      <c r="KZ47" s="1266"/>
      <c r="LA47" s="1266"/>
      <c r="LB47" s="346"/>
      <c r="LC47" s="1266"/>
      <c r="LD47" s="1266"/>
      <c r="LE47" s="346"/>
      <c r="LF47" s="1266"/>
      <c r="LG47" s="1266"/>
      <c r="LH47" s="346"/>
      <c r="LI47" s="1266"/>
      <c r="LJ47" s="1266"/>
      <c r="LK47" s="346"/>
      <c r="LL47" s="1266"/>
      <c r="LM47" s="1266"/>
      <c r="LN47" s="346"/>
      <c r="LO47" s="1266"/>
      <c r="LP47" s="1266"/>
      <c r="LQ47" s="346"/>
      <c r="LR47" s="1266"/>
      <c r="LS47" s="1266"/>
      <c r="LT47" s="346"/>
      <c r="LU47" s="1266"/>
      <c r="LV47" s="1266"/>
      <c r="LW47" s="346"/>
      <c r="LX47" s="1266"/>
      <c r="LY47" s="1266"/>
      <c r="LZ47" s="346"/>
      <c r="MA47" s="1266"/>
      <c r="MB47" s="1266"/>
      <c r="MC47" s="346"/>
      <c r="MD47" s="1266"/>
      <c r="ME47" s="1266"/>
      <c r="MF47" s="346"/>
      <c r="MG47" s="1266"/>
      <c r="MH47" s="1266"/>
      <c r="MI47" s="346"/>
      <c r="MJ47" s="1266"/>
      <c r="MK47" s="1266"/>
      <c r="ML47" s="346"/>
      <c r="MM47" s="1266"/>
      <c r="MN47" s="1266"/>
      <c r="MO47" s="346"/>
      <c r="MP47" s="1266"/>
      <c r="MQ47" s="1266"/>
      <c r="MR47" s="346"/>
      <c r="MS47" s="1266"/>
      <c r="MT47" s="1266"/>
      <c r="MU47" s="346"/>
      <c r="MV47" s="1266"/>
      <c r="MW47" s="1266"/>
      <c r="MX47" s="346"/>
      <c r="MY47" s="1266"/>
      <c r="MZ47" s="1266"/>
      <c r="NA47" s="346"/>
      <c r="NB47" s="1266"/>
      <c r="NC47" s="1266"/>
      <c r="ND47" s="346"/>
      <c r="NE47" s="1266"/>
      <c r="NF47" s="1266"/>
      <c r="NG47" s="346"/>
      <c r="NH47" s="1266"/>
      <c r="NI47" s="1266"/>
      <c r="NJ47" s="346"/>
      <c r="NK47" s="1266"/>
      <c r="NL47" s="1266"/>
      <c r="NM47" s="346"/>
      <c r="NN47" s="1266"/>
      <c r="NO47" s="1266"/>
      <c r="NP47" s="346"/>
      <c r="NQ47" s="1266"/>
      <c r="NR47" s="1266"/>
      <c r="NS47" s="346"/>
      <c r="NT47" s="1266"/>
      <c r="NU47" s="1266"/>
      <c r="NV47" s="346"/>
      <c r="NW47" s="1266"/>
      <c r="NX47" s="1266"/>
      <c r="NY47" s="346"/>
      <c r="NZ47" s="1266"/>
      <c r="OA47" s="1266"/>
      <c r="OB47" s="346"/>
      <c r="OC47" s="1266"/>
      <c r="OD47" s="1266"/>
      <c r="OE47" s="346"/>
      <c r="OF47" s="1266"/>
      <c r="OG47" s="1266"/>
      <c r="OH47" s="346"/>
      <c r="OI47" s="1266"/>
      <c r="OJ47" s="1266"/>
      <c r="OK47" s="346"/>
      <c r="OL47" s="1266"/>
      <c r="OM47" s="1266"/>
      <c r="ON47" s="346"/>
      <c r="OO47" s="1266"/>
      <c r="OP47" s="1266"/>
      <c r="OQ47" s="346"/>
      <c r="OR47" s="1266"/>
      <c r="OS47" s="1266"/>
      <c r="OT47" s="346"/>
      <c r="OU47" s="1266"/>
      <c r="OV47" s="1266"/>
      <c r="OW47" s="346"/>
      <c r="OX47" s="1266"/>
      <c r="OY47" s="1266"/>
      <c r="OZ47" s="346"/>
      <c r="PA47" s="1266"/>
      <c r="PB47" s="1266"/>
      <c r="PC47" s="346"/>
      <c r="PD47" s="1266"/>
      <c r="PE47" s="1266"/>
      <c r="PF47" s="346"/>
      <c r="PG47" s="1266"/>
      <c r="PH47" s="1266"/>
      <c r="PI47" s="346"/>
      <c r="PJ47" s="1266"/>
      <c r="PK47" s="1266"/>
      <c r="PL47" s="346"/>
      <c r="PM47" s="1266"/>
      <c r="PN47" s="1266"/>
      <c r="PO47" s="346"/>
      <c r="PP47" s="1266"/>
      <c r="PQ47" s="1266"/>
      <c r="PR47" s="346"/>
      <c r="PS47" s="1266"/>
      <c r="PT47" s="1266"/>
      <c r="PU47" s="346"/>
      <c r="PV47" s="386"/>
      <c r="PW47" s="386"/>
      <c r="PX47" s="387"/>
      <c r="PY47" s="386"/>
      <c r="PZ47" s="386"/>
      <c r="QA47" s="387"/>
      <c r="QB47" s="386"/>
      <c r="QC47" s="386"/>
      <c r="QD47" s="387"/>
      <c r="QE47" s="386"/>
      <c r="QF47" s="386"/>
      <c r="QG47" s="387"/>
      <c r="QH47" s="386"/>
      <c r="QI47" s="386"/>
      <c r="QJ47" s="387"/>
      <c r="QK47" s="386"/>
      <c r="QL47" s="386"/>
      <c r="QM47" s="387"/>
      <c r="QN47" s="386"/>
      <c r="QO47" s="386"/>
      <c r="QP47" s="387"/>
      <c r="QQ47" s="386"/>
      <c r="QR47" s="386"/>
      <c r="QS47" s="387"/>
      <c r="QT47" s="386"/>
      <c r="QU47" s="386"/>
      <c r="QV47" s="387"/>
      <c r="QW47" s="386"/>
      <c r="QX47" s="386"/>
      <c r="QY47" s="387"/>
      <c r="QZ47" s="386"/>
      <c r="RA47" s="386"/>
      <c r="RB47" s="387"/>
      <c r="RC47" s="386"/>
      <c r="RD47" s="386"/>
      <c r="RE47" s="387"/>
      <c r="RF47" s="386"/>
      <c r="RG47" s="386"/>
      <c r="RH47" s="387"/>
      <c r="RI47" s="1266"/>
      <c r="RJ47" s="1266"/>
      <c r="RK47" s="346"/>
      <c r="RL47" s="1266"/>
      <c r="RM47" s="1266"/>
      <c r="RN47" s="346"/>
      <c r="RO47" s="1266"/>
      <c r="RP47" s="1266"/>
      <c r="RQ47" s="346"/>
      <c r="RR47" s="1266"/>
      <c r="RS47" s="1266"/>
      <c r="RT47" s="346"/>
      <c r="RU47" s="1266"/>
      <c r="RV47" s="1266"/>
      <c r="RW47" s="346"/>
      <c r="RX47" s="386"/>
      <c r="RY47" s="386"/>
      <c r="RZ47" s="387"/>
      <c r="SA47" s="386"/>
      <c r="SB47" s="386"/>
      <c r="SC47" s="387"/>
      <c r="SD47" s="386"/>
      <c r="SE47" s="386"/>
      <c r="SF47" s="387"/>
      <c r="SG47" s="386"/>
      <c r="SH47" s="386"/>
      <c r="SI47" s="387"/>
      <c r="SJ47" s="386"/>
      <c r="SK47" s="386"/>
      <c r="SL47" s="387"/>
      <c r="SM47" s="386"/>
      <c r="SN47" s="386"/>
      <c r="SO47" s="387"/>
      <c r="SP47" s="386"/>
      <c r="SQ47" s="386"/>
      <c r="SR47" s="387"/>
      <c r="SS47" s="386"/>
      <c r="ST47" s="386"/>
      <c r="SU47" s="387"/>
      <c r="SV47" s="386"/>
      <c r="SW47" s="386"/>
      <c r="SX47" s="387"/>
      <c r="SY47" s="386"/>
      <c r="SZ47" s="386"/>
      <c r="TA47" s="387"/>
      <c r="TB47" s="386"/>
      <c r="TC47" s="386"/>
      <c r="TD47" s="387"/>
      <c r="TE47" s="386"/>
      <c r="TF47" s="386"/>
      <c r="TG47" s="387"/>
      <c r="TH47" s="386"/>
      <c r="TI47" s="386"/>
      <c r="TJ47" s="387"/>
      <c r="TK47" s="386"/>
      <c r="TL47" s="386"/>
      <c r="TM47" s="387"/>
      <c r="TN47" s="386"/>
      <c r="TO47" s="386"/>
      <c r="TP47" s="387"/>
      <c r="TQ47" s="386"/>
      <c r="TR47" s="386"/>
      <c r="TS47" s="387"/>
      <c r="TT47" s="386"/>
      <c r="TU47" s="386"/>
      <c r="TV47" s="387"/>
      <c r="TW47" s="386"/>
      <c r="TX47" s="386"/>
      <c r="TY47" s="387"/>
      <c r="TZ47" s="386"/>
      <c r="UA47" s="386"/>
      <c r="UB47" s="387"/>
      <c r="UC47" s="386"/>
      <c r="UD47" s="19"/>
      <c r="UE47" s="389"/>
      <c r="UF47" s="388"/>
      <c r="UG47" s="19"/>
      <c r="UH47" s="389"/>
      <c r="UI47" s="386"/>
      <c r="UJ47" s="19"/>
      <c r="UK47" s="389"/>
      <c r="UL47" s="386"/>
      <c r="UM47" s="19"/>
      <c r="UN47" s="389"/>
      <c r="UO47" s="386"/>
      <c r="UP47" s="19"/>
      <c r="UQ47" s="389"/>
      <c r="UR47" s="386"/>
      <c r="US47" s="19"/>
      <c r="UT47" s="389"/>
      <c r="UU47" s="386"/>
      <c r="UV47" s="19"/>
      <c r="UW47" s="389"/>
      <c r="UX47" s="386"/>
      <c r="UY47" s="19"/>
      <c r="UZ47" s="389"/>
      <c r="VA47" s="386"/>
      <c r="VB47" s="19"/>
      <c r="VC47" s="389"/>
      <c r="VD47" s="386"/>
      <c r="VE47" s="19"/>
      <c r="VF47" s="389"/>
      <c r="VG47" s="386"/>
      <c r="VH47" s="19"/>
      <c r="VI47" s="389"/>
      <c r="VJ47" s="386"/>
      <c r="VK47" s="19"/>
      <c r="VL47" s="389"/>
      <c r="VM47" s="386"/>
      <c r="VN47" s="19"/>
      <c r="VO47" s="389"/>
      <c r="VP47" s="386"/>
      <c r="VQ47" s="19"/>
      <c r="VR47" s="389"/>
      <c r="VS47" s="386"/>
      <c r="VT47" s="19"/>
      <c r="VU47" s="389"/>
      <c r="VV47" s="386"/>
      <c r="VW47" s="19"/>
      <c r="VX47" s="389"/>
      <c r="VY47" s="386"/>
      <c r="VZ47" s="19"/>
      <c r="WA47" s="389"/>
      <c r="WB47" s="386"/>
      <c r="WC47" s="19"/>
      <c r="WD47" s="389"/>
      <c r="WE47" s="386"/>
      <c r="WF47" s="19"/>
      <c r="WG47" s="389"/>
      <c r="WH47" s="386"/>
      <c r="WI47" s="19"/>
      <c r="WJ47" s="389"/>
      <c r="WK47" s="386"/>
      <c r="WL47" s="19"/>
      <c r="WM47" s="389"/>
      <c r="WN47" s="386"/>
      <c r="WO47" s="19"/>
      <c r="WP47" s="389"/>
      <c r="WQ47" s="386"/>
      <c r="WR47" s="19"/>
      <c r="WS47" s="389"/>
      <c r="WT47" s="386"/>
      <c r="WU47" s="19"/>
      <c r="WV47" s="389"/>
      <c r="WW47" s="386"/>
      <c r="WX47" s="19"/>
      <c r="WY47" s="389"/>
      <c r="WZ47" s="386"/>
      <c r="XA47" s="19"/>
      <c r="XB47" s="389"/>
      <c r="XC47" s="386"/>
      <c r="XD47" s="19"/>
      <c r="XE47" s="389"/>
      <c r="XF47" s="386"/>
      <c r="XG47" s="19"/>
      <c r="XH47" s="389"/>
      <c r="XI47" s="386"/>
      <c r="XJ47" s="19"/>
      <c r="XK47" s="389"/>
      <c r="XL47" s="386"/>
      <c r="XM47" s="19"/>
      <c r="XN47" s="389"/>
      <c r="XO47" s="386"/>
      <c r="XP47" s="19"/>
      <c r="XQ47" s="389"/>
      <c r="XR47" s="386"/>
      <c r="XS47" s="19"/>
      <c r="XT47" s="389"/>
      <c r="XU47" s="386"/>
      <c r="XV47" s="19"/>
      <c r="XW47" s="389"/>
      <c r="XX47" s="386"/>
      <c r="XY47" s="19"/>
      <c r="XZ47" s="389"/>
      <c r="YA47" s="386"/>
      <c r="YB47" s="19"/>
      <c r="YC47" s="389"/>
      <c r="YD47" s="386"/>
      <c r="YE47" s="19"/>
      <c r="YF47" s="389"/>
      <c r="YG47" s="386"/>
      <c r="YH47" s="19"/>
      <c r="YI47" s="389"/>
      <c r="YJ47" s="386"/>
      <c r="YK47" s="19"/>
      <c r="YL47" s="389"/>
      <c r="YM47" s="386"/>
      <c r="YN47" s="19"/>
      <c r="YO47" s="389"/>
      <c r="YP47" s="386"/>
      <c r="YQ47" s="19"/>
      <c r="YR47" s="389"/>
      <c r="YS47" s="386"/>
      <c r="YT47" s="19"/>
      <c r="YU47" s="389"/>
      <c r="YV47" s="386"/>
      <c r="YW47" s="19"/>
      <c r="YX47" s="389"/>
      <c r="YY47" s="386"/>
      <c r="YZ47" s="19"/>
      <c r="ZA47" s="389"/>
      <c r="ZB47" s="386"/>
      <c r="ZC47" s="19"/>
      <c r="ZD47" s="389"/>
      <c r="ZE47" s="386"/>
      <c r="ZF47" s="19"/>
      <c r="ZG47" s="389"/>
      <c r="ZH47" s="386"/>
      <c r="ZI47" s="19"/>
      <c r="ZJ47" s="389"/>
      <c r="ZK47" s="386"/>
      <c r="ZL47" s="19"/>
      <c r="ZM47" s="389"/>
      <c r="ZN47" s="386"/>
      <c r="ZO47" s="19"/>
      <c r="ZP47" s="389"/>
      <c r="ZQ47" s="386"/>
      <c r="ZR47" s="19"/>
      <c r="ZS47" s="389"/>
      <c r="ZT47" s="386"/>
      <c r="ZU47" s="19"/>
      <c r="ZV47" s="389"/>
      <c r="ZW47" s="386"/>
      <c r="ZX47" s="19"/>
      <c r="ZY47" s="389"/>
      <c r="ZZ47" s="386"/>
      <c r="AAA47" s="19"/>
      <c r="AAB47" s="389"/>
      <c r="AAC47" s="386"/>
      <c r="AAD47" s="19"/>
      <c r="AAE47" s="389"/>
      <c r="AAF47" s="386"/>
      <c r="AAG47" s="19"/>
      <c r="AAH47" s="389"/>
      <c r="AAI47" s="386"/>
      <c r="AAJ47" s="19"/>
      <c r="AAK47" s="389"/>
      <c r="AAL47" s="386"/>
      <c r="AAM47" s="19"/>
      <c r="AAN47" s="389"/>
      <c r="AAO47" s="386"/>
      <c r="AAP47" s="19"/>
      <c r="AAQ47" s="389"/>
      <c r="AAR47" s="386"/>
      <c r="AAS47" s="19"/>
      <c r="AAT47" s="389"/>
      <c r="AAU47" s="386"/>
      <c r="AAV47" s="19"/>
      <c r="AAW47" s="389"/>
      <c r="AAX47" s="386"/>
      <c r="AAY47" s="19"/>
      <c r="AAZ47" s="389"/>
      <c r="ABA47" s="386"/>
      <c r="ABB47" s="19"/>
      <c r="ABC47" s="389"/>
      <c r="ABD47" s="386"/>
      <c r="ABE47" s="19"/>
      <c r="ABF47" s="389"/>
      <c r="ABG47" s="386"/>
      <c r="ABH47" s="19"/>
      <c r="ABI47" s="389"/>
      <c r="ABJ47" s="386"/>
      <c r="ABK47" s="19"/>
      <c r="ABL47" s="389"/>
      <c r="ABM47" s="386"/>
      <c r="ABN47" s="19"/>
      <c r="ABO47" s="389"/>
      <c r="ABP47" s="386"/>
      <c r="ABQ47" s="19"/>
      <c r="ABR47" s="389"/>
      <c r="ABS47" s="386"/>
      <c r="ABT47" s="19"/>
      <c r="ABU47" s="389"/>
      <c r="ABV47" s="386"/>
      <c r="ABW47" s="19"/>
      <c r="ABX47" s="389"/>
      <c r="ABY47" s="386"/>
      <c r="ABZ47" s="19"/>
      <c r="ACA47" s="389"/>
      <c r="ACB47" s="386"/>
      <c r="ACC47" s="19"/>
      <c r="ACD47" s="389"/>
      <c r="ACE47" s="386"/>
      <c r="ACF47" s="19"/>
      <c r="ACG47" s="389"/>
      <c r="ACH47" s="386"/>
      <c r="ACI47" s="19"/>
      <c r="ACJ47" s="389"/>
      <c r="ACK47" s="386"/>
      <c r="ACL47" s="19"/>
      <c r="ACM47" s="389"/>
      <c r="ACN47" s="386"/>
      <c r="ACO47" s="19"/>
      <c r="ACP47" s="389"/>
      <c r="ACQ47" s="386"/>
      <c r="ACR47" s="19"/>
      <c r="ACS47" s="389"/>
      <c r="ACT47" s="386"/>
      <c r="ACU47" s="19"/>
      <c r="ACV47" s="389"/>
      <c r="ACW47" s="386"/>
      <c r="ACX47" s="19"/>
      <c r="ACY47" s="389"/>
      <c r="ACZ47" s="386"/>
      <c r="ADA47" s="19"/>
      <c r="ADB47" s="389"/>
      <c r="ADC47" s="386"/>
      <c r="ADD47" s="19"/>
      <c r="ADE47" s="389"/>
      <c r="ADF47" s="386"/>
      <c r="ADG47" s="19"/>
      <c r="ADH47" s="389"/>
      <c r="ADI47" s="386"/>
      <c r="ADJ47" s="19"/>
      <c r="ADK47" s="389"/>
      <c r="ADL47" s="386"/>
      <c r="ADM47" s="19"/>
      <c r="ADN47" s="389"/>
      <c r="ADO47" s="386"/>
      <c r="ADP47" s="19"/>
      <c r="ADQ47" s="389"/>
      <c r="ADR47" s="386"/>
      <c r="ADS47" s="19"/>
      <c r="ADT47" s="389"/>
      <c r="ADU47" s="386"/>
      <c r="ADV47" s="19"/>
      <c r="ADW47" s="389"/>
      <c r="ADX47" s="386"/>
      <c r="ADY47" s="19"/>
      <c r="ADZ47" s="389"/>
      <c r="AEA47" s="386"/>
      <c r="AEB47" s="19"/>
      <c r="AEC47" s="389"/>
      <c r="AED47" s="386"/>
      <c r="AEE47" s="19"/>
      <c r="AEF47" s="389"/>
      <c r="AEG47" s="386"/>
      <c r="AEH47" s="19"/>
      <c r="AEI47" s="389"/>
      <c r="AEJ47" s="386"/>
      <c r="AEK47" s="19"/>
      <c r="AEL47" s="389"/>
      <c r="AEM47" s="1304">
        <v>2302</v>
      </c>
      <c r="AEN47" s="1308"/>
      <c r="AEO47" s="1352"/>
      <c r="AEP47" s="386"/>
      <c r="AEQ47" s="19"/>
      <c r="AER47" s="389"/>
      <c r="AES47" s="386"/>
      <c r="AET47" s="19"/>
      <c r="AEU47" s="389"/>
      <c r="AEV47" s="386"/>
      <c r="AEW47" s="19"/>
      <c r="AEX47" s="389"/>
      <c r="AEY47" s="1304"/>
      <c r="AEZ47" s="1305"/>
      <c r="AFA47" s="1335"/>
      <c r="AFB47" s="1304"/>
      <c r="AFC47" s="1305"/>
      <c r="AFD47" s="1335"/>
      <c r="AFE47" s="1304"/>
      <c r="AFF47" s="1305"/>
      <c r="AFG47" s="1335"/>
      <c r="AFH47" s="1304"/>
      <c r="AFI47" s="1305"/>
      <c r="AFJ47" s="1335"/>
      <c r="AFK47" s="1304"/>
      <c r="AFL47" s="1305"/>
      <c r="AFM47" s="1335"/>
      <c r="AFN47" s="1304">
        <v>3055</v>
      </c>
      <c r="AFO47" s="1305"/>
      <c r="AFP47" s="1335"/>
      <c r="AFQ47" s="1304"/>
      <c r="AFR47" s="1305"/>
      <c r="AFS47" s="1335"/>
      <c r="AFT47" s="1304"/>
      <c r="AFU47" s="1305"/>
      <c r="AFV47" s="1335"/>
      <c r="AFW47" s="1304"/>
      <c r="AFX47" s="1305"/>
      <c r="AFY47" s="1335"/>
      <c r="AFZ47" s="1304"/>
      <c r="AGA47" s="1305"/>
      <c r="AGB47" s="1335"/>
      <c r="AGC47" s="1304">
        <v>17317.603999999999</v>
      </c>
      <c r="AGD47" s="1305"/>
      <c r="AGE47" s="1335"/>
      <c r="AGF47" s="1304"/>
      <c r="AGG47" s="1305"/>
      <c r="AGH47" s="1335"/>
      <c r="AGI47" s="1304"/>
      <c r="AGJ47" s="1305"/>
      <c r="AGK47" s="1335"/>
      <c r="AGL47" s="1304"/>
      <c r="AGM47" s="1305"/>
      <c r="AGN47" s="1335"/>
      <c r="AGO47" s="1304"/>
      <c r="AGP47" s="1305"/>
      <c r="AGQ47" s="1335"/>
      <c r="AGR47" s="1304">
        <v>594.75</v>
      </c>
      <c r="AGS47" s="1305"/>
      <c r="AGT47" s="1335"/>
      <c r="AGU47" s="1304"/>
      <c r="AGV47" s="1305"/>
      <c r="AGW47" s="1335"/>
      <c r="AGX47" s="1304">
        <v>1311.15</v>
      </c>
      <c r="AGY47" s="1305"/>
      <c r="AGZ47" s="1335"/>
      <c r="AHA47" s="1304"/>
      <c r="AHB47" s="1305"/>
      <c r="AHC47" s="1335"/>
      <c r="AHD47" s="1304"/>
      <c r="AHE47" s="1305"/>
      <c r="AHF47" s="1335"/>
      <c r="AHG47" s="1304"/>
      <c r="AHH47" s="1305"/>
      <c r="AHI47" s="1335"/>
      <c r="AHJ47" s="1304"/>
      <c r="AHK47" s="1305"/>
      <c r="AHL47" s="1335"/>
      <c r="AHM47" s="1304"/>
      <c r="AHN47" s="1305"/>
      <c r="AHO47" s="1335"/>
      <c r="AHP47" s="1304">
        <v>4022.26</v>
      </c>
      <c r="AHQ47" s="1305"/>
      <c r="AHR47" s="1335"/>
      <c r="AHS47" s="1304"/>
      <c r="AHT47" s="1305"/>
      <c r="AHU47" s="1335"/>
      <c r="AHV47" s="1304"/>
      <c r="AHW47" s="1305"/>
      <c r="AHX47" s="1335"/>
      <c r="AHY47" s="1304">
        <v>617.94000000000005</v>
      </c>
      <c r="AHZ47" s="1305"/>
      <c r="AIA47" s="1335"/>
      <c r="AIB47" s="1304"/>
      <c r="AIC47" s="1305"/>
      <c r="AID47" s="1305"/>
      <c r="AIE47" s="1304"/>
      <c r="AIF47" s="1305"/>
      <c r="AIG47" s="1335"/>
      <c r="AIH47" s="1304"/>
      <c r="AII47" s="1305"/>
      <c r="AIJ47" s="1335"/>
      <c r="AIK47" s="1304">
        <v>383.55</v>
      </c>
      <c r="AIL47" s="1305"/>
      <c r="AIM47" s="1335"/>
      <c r="AIN47" s="1304"/>
      <c r="AIO47" s="1305"/>
      <c r="AIP47" s="1335"/>
      <c r="AIQ47" s="1441">
        <v>16626.22</v>
      </c>
      <c r="AIR47" s="1442"/>
      <c r="AIS47" s="1442"/>
      <c r="AIT47" s="1304"/>
      <c r="AIU47" s="1305"/>
      <c r="AIV47" s="1335"/>
      <c r="AIW47" s="1304"/>
      <c r="AIX47" s="1305"/>
      <c r="AIY47" s="1305"/>
      <c r="AIZ47" s="1304"/>
      <c r="AJA47" s="1305"/>
      <c r="AJB47" s="1335"/>
      <c r="AJC47" s="1304"/>
      <c r="AJD47" s="1305"/>
      <c r="AJE47" s="1335"/>
      <c r="AJF47" s="1304">
        <v>20383.12</v>
      </c>
      <c r="AJG47" s="1305"/>
      <c r="AJH47" s="1335"/>
      <c r="AJI47" s="1304"/>
      <c r="AJJ47" s="1305"/>
      <c r="AJK47" s="1335"/>
      <c r="AJL47" s="1304"/>
      <c r="AJM47" s="1305"/>
      <c r="AJN47" s="1305"/>
      <c r="AJO47" s="1304">
        <v>7341.39</v>
      </c>
      <c r="AJP47" s="1305"/>
      <c r="AJQ47" s="1335"/>
      <c r="AJR47" s="1304"/>
      <c r="AJS47" s="1305"/>
      <c r="AJT47" s="1305"/>
      <c r="AJU47" s="1304"/>
      <c r="AJV47" s="1305"/>
      <c r="AJW47" s="1335"/>
      <c r="AJX47" s="1304">
        <v>18072.580000000002</v>
      </c>
      <c r="AJY47" s="1305"/>
      <c r="AJZ47" s="1335"/>
      <c r="AKA47" s="1304"/>
      <c r="AKB47" s="1305"/>
      <c r="AKC47" s="1335"/>
      <c r="AKD47" s="1304"/>
      <c r="AKE47" s="1305"/>
      <c r="AKF47" s="1335"/>
      <c r="AKG47" s="1304"/>
      <c r="AKH47" s="1305"/>
      <c r="AKI47" s="1305"/>
      <c r="AKJ47" s="1304"/>
      <c r="AKK47" s="1305"/>
      <c r="AKL47" s="1335"/>
      <c r="AKM47" s="1304"/>
      <c r="AKN47" s="1305"/>
      <c r="AKO47" s="1305"/>
      <c r="AKP47" s="1304"/>
      <c r="AKQ47" s="1305"/>
      <c r="AKR47" s="1335"/>
      <c r="AKS47" s="1304"/>
      <c r="AKT47" s="1305"/>
      <c r="AKU47" s="1335"/>
      <c r="AKV47" s="1304">
        <v>11733.984</v>
      </c>
      <c r="AKW47" s="1305"/>
      <c r="AKX47" s="1335"/>
      <c r="AKY47" s="1304">
        <v>8896.3080000000009</v>
      </c>
      <c r="AKZ47" s="1305"/>
      <c r="ALA47" s="1335"/>
      <c r="ALB47" s="1304"/>
      <c r="ALC47" s="1305"/>
      <c r="ALD47" s="1335"/>
      <c r="ALE47" s="1304">
        <v>13445.76</v>
      </c>
      <c r="ALF47" s="1305"/>
      <c r="ALG47" s="1335"/>
      <c r="ALH47" s="1304"/>
      <c r="ALI47" s="1305"/>
      <c r="ALJ47" s="1335"/>
      <c r="ALK47" s="1304"/>
      <c r="ALL47" s="1305"/>
      <c r="ALM47" s="1335"/>
      <c r="ALN47" s="1304"/>
      <c r="ALO47" s="1305"/>
      <c r="ALP47" s="1335"/>
      <c r="ALQ47" s="1304">
        <v>11399.04</v>
      </c>
      <c r="ALR47" s="1305"/>
      <c r="ALS47" s="1335"/>
      <c r="ALT47" s="1304">
        <v>10708.644</v>
      </c>
      <c r="ALU47" s="1305"/>
      <c r="ALV47" s="1335"/>
      <c r="ALW47" s="1304"/>
      <c r="ALX47" s="1305"/>
      <c r="ALY47" s="1335"/>
      <c r="ALZ47" s="1304">
        <v>14479.632</v>
      </c>
      <c r="AMA47" s="1305"/>
      <c r="AMB47" s="1335"/>
      <c r="AMC47" s="1304"/>
      <c r="AMD47" s="1305"/>
      <c r="AME47" s="1335"/>
      <c r="AMF47" s="1304"/>
      <c r="AMG47" s="1305"/>
      <c r="AMH47" s="1335"/>
      <c r="AMI47" s="1304">
        <v>3419.6559999999999</v>
      </c>
      <c r="AMJ47" s="1305"/>
      <c r="AMK47" s="1335"/>
      <c r="AML47" s="1304"/>
      <c r="AMM47" s="1305"/>
      <c r="AMN47" s="1335"/>
      <c r="AMO47" s="1304">
        <v>8870.4719999999998</v>
      </c>
      <c r="AMP47" s="1305"/>
      <c r="AMQ47" s="1335"/>
      <c r="AMR47" s="1304"/>
      <c r="AMS47" s="1305"/>
      <c r="AMT47" s="1335"/>
      <c r="AMU47" s="1304">
        <v>2702.48</v>
      </c>
      <c r="AMV47" s="1305"/>
      <c r="AMW47" s="1335"/>
      <c r="AMX47" s="1304"/>
      <c r="AMY47" s="1305"/>
      <c r="AMZ47" s="1335"/>
      <c r="ANA47" s="1304"/>
      <c r="ANB47" s="1305"/>
      <c r="ANC47" s="1335"/>
      <c r="AND47" s="1304">
        <v>6309.36</v>
      </c>
      <c r="ANE47" s="1305"/>
      <c r="ANF47" s="1335"/>
      <c r="ANG47" s="1304"/>
      <c r="ANH47" s="1305"/>
      <c r="ANI47" s="1335"/>
      <c r="ANJ47" s="1304"/>
      <c r="ANK47" s="1305"/>
      <c r="ANL47" s="1335"/>
      <c r="ANM47" s="1304">
        <v>18000.011999999999</v>
      </c>
      <c r="ANN47" s="1305"/>
      <c r="ANO47" s="1335"/>
      <c r="ANP47" s="1304"/>
      <c r="ANQ47" s="1305"/>
      <c r="ANR47" s="1335"/>
      <c r="ANS47" s="1304"/>
      <c r="ANT47" s="1305"/>
      <c r="ANU47" s="1335"/>
      <c r="ANV47" s="1304"/>
      <c r="ANW47" s="1305"/>
      <c r="ANX47" s="1335"/>
      <c r="ANY47" s="1304">
        <v>476.16</v>
      </c>
      <c r="ANZ47" s="1305"/>
      <c r="AOA47" s="1335"/>
      <c r="AOB47" s="1304"/>
      <c r="AOC47" s="1305"/>
      <c r="AOD47" s="1335"/>
      <c r="AOE47" s="1304"/>
      <c r="AOF47" s="1305"/>
      <c r="AOG47" s="1335"/>
      <c r="AOH47" s="1304"/>
      <c r="AOI47" s="1305"/>
      <c r="AOJ47" s="1335"/>
      <c r="AOK47" s="1304"/>
      <c r="AOL47" s="1305"/>
      <c r="AOM47" s="1335"/>
      <c r="AON47" s="1304"/>
      <c r="AOO47" s="1305"/>
      <c r="AOP47" s="1335"/>
      <c r="AOQ47" s="1304"/>
      <c r="AOR47" s="1305"/>
      <c r="AOS47" s="1335"/>
      <c r="AOT47" s="1304">
        <v>13207.956</v>
      </c>
      <c r="AOU47" s="1305"/>
      <c r="AOV47" s="1335"/>
      <c r="AOW47" s="1304"/>
      <c r="AOX47" s="1305"/>
      <c r="AOY47" s="1335"/>
      <c r="AOZ47" s="1304"/>
      <c r="APA47" s="1305"/>
      <c r="APB47" s="1335"/>
      <c r="APC47" s="1304"/>
      <c r="APD47" s="1305"/>
      <c r="APE47" s="1335"/>
      <c r="APF47" s="1304"/>
      <c r="APG47" s="1305"/>
      <c r="APH47" s="1335"/>
      <c r="API47" s="1304"/>
      <c r="APJ47" s="1305"/>
      <c r="APK47" s="1335"/>
      <c r="APL47" s="1304"/>
      <c r="APM47" s="1305"/>
      <c r="APN47" s="1335"/>
      <c r="APO47" s="1304"/>
      <c r="APP47" s="1305"/>
      <c r="APQ47" s="1335"/>
      <c r="APR47" s="1304"/>
      <c r="APS47" s="1305"/>
      <c r="APT47" s="1335"/>
      <c r="APU47" s="1304"/>
      <c r="APV47" s="1305"/>
      <c r="APW47" s="1335"/>
      <c r="APX47" s="1304"/>
      <c r="APY47" s="1305"/>
      <c r="APZ47" s="1335"/>
      <c r="AQA47" s="1304"/>
      <c r="AQB47" s="1305"/>
      <c r="AQC47" s="1335"/>
      <c r="AQD47" s="1304"/>
      <c r="AQE47" s="1305"/>
      <c r="AQF47" s="1335"/>
      <c r="AQG47" s="1304">
        <v>689</v>
      </c>
      <c r="AQH47" s="1305"/>
      <c r="AQI47" s="1335"/>
      <c r="AQJ47" s="1304"/>
      <c r="AQK47" s="1305"/>
      <c r="AQL47" s="1335"/>
      <c r="AQM47" s="1304"/>
      <c r="AQN47" s="1305"/>
      <c r="AQO47" s="1335"/>
      <c r="AQP47" s="1304"/>
      <c r="AQQ47" s="1305"/>
      <c r="AQR47" s="1305"/>
      <c r="AQS47" s="1304"/>
      <c r="AQT47" s="1305"/>
      <c r="AQU47" s="1335"/>
      <c r="AQV47" s="1305"/>
      <c r="AQW47" s="1305"/>
      <c r="AQX47" s="1335"/>
      <c r="AQY47" s="1304"/>
      <c r="AQZ47" s="1305"/>
      <c r="ARA47" s="1335"/>
      <c r="ARB47" s="1304"/>
      <c r="ARC47" s="1305"/>
      <c r="ARD47" s="1335"/>
      <c r="ARE47" s="1304"/>
      <c r="ARF47" s="1305"/>
      <c r="ARG47" s="1335"/>
      <c r="ARH47" s="1304"/>
      <c r="ARI47" s="1305"/>
      <c r="ARJ47" s="1335"/>
      <c r="ARK47" s="1304"/>
      <c r="ARL47" s="1305"/>
      <c r="ARM47" s="1335"/>
      <c r="ARN47" s="1304"/>
      <c r="ARO47" s="1305"/>
      <c r="ARP47" s="1335"/>
      <c r="ARQ47" s="1304"/>
      <c r="ARR47" s="1305"/>
      <c r="ARS47" s="1335"/>
      <c r="ART47" s="1304"/>
      <c r="ARU47" s="1305"/>
      <c r="ARV47" s="1335"/>
      <c r="ARW47" s="1304"/>
      <c r="ARX47" s="1305"/>
      <c r="ARY47" s="1335"/>
      <c r="ARZ47" s="1304"/>
      <c r="ASA47" s="1305"/>
      <c r="ASB47" s="1335"/>
      <c r="ASC47" s="1304"/>
      <c r="ASD47" s="1305"/>
      <c r="ASE47" s="1335"/>
      <c r="ASF47" s="1304"/>
      <c r="ASG47" s="1305"/>
      <c r="ASH47" s="1335"/>
      <c r="ASI47" s="1304"/>
      <c r="ASJ47" s="1305"/>
      <c r="ASK47" s="1335"/>
      <c r="ASL47" s="1304"/>
      <c r="ASM47" s="1305"/>
      <c r="ASN47" s="1335"/>
      <c r="ASO47" s="1304"/>
      <c r="ASP47" s="1305"/>
      <c r="ASQ47" s="1305"/>
      <c r="ASR47" s="1304"/>
      <c r="ASS47" s="1305"/>
      <c r="AST47" s="1335"/>
      <c r="ASU47" s="1304"/>
      <c r="ASV47" s="1305"/>
      <c r="ASW47" s="1335"/>
      <c r="ASX47" s="1304"/>
      <c r="ASY47" s="1305"/>
      <c r="ASZ47" s="1335"/>
      <c r="ATA47" s="1304"/>
      <c r="ATB47" s="1305"/>
      <c r="ATC47" s="1335"/>
      <c r="ATD47" s="1304"/>
      <c r="ATE47" s="1305"/>
      <c r="ATF47" s="1335"/>
      <c r="ATG47" s="1304"/>
      <c r="ATH47" s="1305"/>
      <c r="ATI47" s="1335"/>
      <c r="ATJ47" s="1304"/>
      <c r="ATK47" s="1305"/>
      <c r="ATL47" s="1335"/>
      <c r="ATM47" s="1304"/>
      <c r="ATN47" s="1305"/>
      <c r="ATO47" s="1335"/>
      <c r="ATP47" s="1304"/>
      <c r="ATQ47" s="1305"/>
      <c r="ATR47" s="1335"/>
      <c r="ATS47" s="1304"/>
      <c r="ATT47" s="1305"/>
      <c r="ATU47" s="1335"/>
      <c r="ATV47" s="1305"/>
      <c r="ATW47" s="1305"/>
      <c r="ATX47" s="1335"/>
      <c r="ATY47" s="1304"/>
      <c r="ATZ47" s="1305"/>
      <c r="AUA47" s="1335"/>
      <c r="AUB47" s="1304"/>
      <c r="AUC47" s="1305"/>
      <c r="AUD47" s="1335"/>
      <c r="AUE47" s="1304"/>
      <c r="AUF47" s="1305"/>
      <c r="AUG47" s="1335"/>
      <c r="AUH47" s="1304"/>
      <c r="AUI47" s="1305"/>
      <c r="AUJ47" s="1335"/>
      <c r="AUK47" s="1304"/>
      <c r="AUL47" s="1305"/>
      <c r="AUM47" s="1305"/>
      <c r="AUN47" s="1304"/>
      <c r="AUO47" s="1305"/>
      <c r="AUP47" s="1305"/>
      <c r="AUQ47" s="1304"/>
      <c r="AUR47" s="1305"/>
      <c r="AUS47" s="1305"/>
      <c r="AUT47" s="1304"/>
      <c r="AUU47" s="1305"/>
      <c r="AUV47" s="1305"/>
      <c r="AUW47" s="1304"/>
      <c r="AUX47" s="1305"/>
      <c r="AUY47" s="1305"/>
      <c r="AUZ47" s="1304"/>
      <c r="AVA47" s="1305"/>
      <c r="AVB47" s="1305"/>
      <c r="AVC47" s="1304"/>
      <c r="AVD47" s="1305"/>
      <c r="AVE47" s="1305"/>
      <c r="AVF47" s="1304"/>
      <c r="AVG47" s="1305"/>
      <c r="AVH47" s="1305"/>
      <c r="AVI47" s="1304"/>
      <c r="AVJ47" s="1305"/>
      <c r="AVK47" s="1305"/>
      <c r="AVL47" s="1304"/>
      <c r="AVM47" s="1305"/>
      <c r="AVN47" s="1305"/>
      <c r="AVO47" s="1304"/>
      <c r="AVP47" s="1305"/>
      <c r="AVQ47" s="1305"/>
      <c r="AVR47" s="1304"/>
      <c r="AVS47" s="1305"/>
      <c r="AVT47" s="1305"/>
      <c r="AVU47" s="1304"/>
      <c r="AVV47" s="1305"/>
      <c r="AVW47" s="1305"/>
      <c r="AVX47" s="1304"/>
      <c r="AVY47" s="1305"/>
      <c r="AVZ47" s="1305"/>
      <c r="AWA47" s="1304"/>
      <c r="AWB47" s="1305"/>
      <c r="AWC47" s="1305"/>
      <c r="AWD47" s="1304"/>
      <c r="AWE47" s="1305"/>
      <c r="AWF47" s="1305"/>
      <c r="AWG47" s="1304"/>
      <c r="AWH47" s="1305"/>
      <c r="AWI47" s="1305"/>
      <c r="AWJ47" s="1304"/>
      <c r="AWK47" s="1305"/>
      <c r="AWL47" s="1305"/>
      <c r="AWM47" s="1304"/>
      <c r="AWN47" s="1305"/>
      <c r="AWO47" s="1335"/>
      <c r="AWP47" s="1305"/>
      <c r="AWQ47" s="1305"/>
      <c r="AWR47" s="1335"/>
      <c r="AWS47" s="1304"/>
      <c r="AWT47" s="1305"/>
      <c r="AWU47" s="1335"/>
      <c r="AWV47" s="1304"/>
      <c r="AWW47" s="1305"/>
      <c r="AWX47" s="1335"/>
      <c r="AWY47" s="1304"/>
      <c r="AWZ47" s="1305"/>
      <c r="AXA47" s="1335"/>
      <c r="AXB47" s="1304"/>
      <c r="AXC47" s="1305"/>
      <c r="AXD47" s="1335"/>
      <c r="AXE47" s="1304"/>
      <c r="AXF47" s="1305"/>
      <c r="AXG47" s="1335"/>
      <c r="AXH47" s="1304"/>
      <c r="AXI47" s="1305"/>
      <c r="AXJ47" s="1335"/>
      <c r="AXK47" s="1304"/>
      <c r="AXL47" s="1305"/>
      <c r="AXM47" s="1335"/>
      <c r="AXN47" s="1304"/>
      <c r="AXO47" s="1305"/>
      <c r="AXP47" s="1335"/>
      <c r="AXQ47" s="1304"/>
      <c r="AXR47" s="1305"/>
      <c r="AXS47" s="1335"/>
      <c r="AXT47" s="1304"/>
      <c r="AXU47" s="1305"/>
      <c r="AXV47" s="1335"/>
      <c r="AXW47" s="1304"/>
      <c r="AXX47" s="1305"/>
      <c r="AXY47" s="1335"/>
      <c r="AXZ47" s="1304"/>
      <c r="AYA47" s="1305"/>
      <c r="AYB47" s="1335"/>
      <c r="AYC47" s="1304"/>
      <c r="AYD47" s="1305"/>
      <c r="AYE47" s="1335"/>
      <c r="AYF47" s="1304"/>
      <c r="AYG47" s="1305"/>
      <c r="AYH47" s="1335"/>
      <c r="AYI47" s="1304"/>
      <c r="AYJ47" s="1305"/>
      <c r="AYK47" s="1335"/>
      <c r="AYL47" s="1304"/>
      <c r="AYM47" s="1305"/>
      <c r="AYN47" s="1335"/>
      <c r="AYO47" s="1304"/>
      <c r="AYP47" s="1305"/>
      <c r="AYQ47" s="1335"/>
      <c r="AYR47" s="1304"/>
      <c r="AYS47" s="1305"/>
      <c r="AYT47" s="1335"/>
      <c r="AYU47" s="1304"/>
      <c r="AYV47" s="1305"/>
      <c r="AYW47" s="1335"/>
      <c r="AYX47" s="1304"/>
      <c r="AYY47" s="1305"/>
      <c r="AYZ47" s="1335"/>
      <c r="AZA47" s="1304"/>
      <c r="AZB47" s="1305"/>
      <c r="AZC47" s="1335"/>
      <c r="AZD47" s="1304"/>
      <c r="AZE47" s="1305"/>
      <c r="AZF47" s="1335"/>
      <c r="AZG47" s="1304"/>
      <c r="AZH47" s="1305"/>
      <c r="AZI47" s="1335"/>
      <c r="AZJ47" s="1304"/>
      <c r="AZK47" s="1305"/>
      <c r="AZL47" s="1335"/>
      <c r="AZM47" s="1304"/>
      <c r="AZN47" s="1305"/>
      <c r="AZO47" s="1335"/>
      <c r="AZP47" s="1304"/>
      <c r="AZQ47" s="1305"/>
      <c r="AZR47" s="1335"/>
      <c r="AZS47" s="1304"/>
      <c r="AZT47" s="1305"/>
      <c r="AZU47" s="1335"/>
      <c r="AZV47" s="1304"/>
      <c r="AZW47" s="1305"/>
      <c r="AZX47" s="1335"/>
      <c r="AZY47" s="1304"/>
      <c r="AZZ47" s="1305"/>
      <c r="BAA47" s="1335"/>
      <c r="BAB47" s="1304"/>
      <c r="BAC47" s="1305"/>
      <c r="BAD47" s="1335"/>
      <c r="BAE47" s="1304"/>
      <c r="BAF47" s="1305"/>
      <c r="BAG47" s="1335"/>
      <c r="BAH47" s="1304"/>
      <c r="BAI47" s="1305"/>
      <c r="BAJ47" s="1335"/>
    </row>
    <row r="48" spans="1:1399" s="354" customFormat="1" ht="14.5" customHeight="1">
      <c r="A48" s="17"/>
      <c r="B48" s="18" t="s">
        <v>372</v>
      </c>
      <c r="C48" s="1201"/>
      <c r="D48" s="1201"/>
      <c r="E48" s="13" t="s">
        <v>342</v>
      </c>
      <c r="F48" s="1266"/>
      <c r="G48" s="1266"/>
      <c r="H48" s="346"/>
      <c r="I48" s="1266"/>
      <c r="J48" s="1266"/>
      <c r="K48" s="346"/>
      <c r="L48" s="1266"/>
      <c r="M48" s="1266"/>
      <c r="N48" s="346"/>
      <c r="O48" s="1266"/>
      <c r="P48" s="1266"/>
      <c r="Q48" s="346"/>
      <c r="R48" s="1266"/>
      <c r="S48" s="1266"/>
      <c r="T48" s="346"/>
      <c r="U48" s="1266"/>
      <c r="V48" s="1266"/>
      <c r="W48" s="346"/>
      <c r="X48" s="1266"/>
      <c r="Y48" s="1266"/>
      <c r="Z48" s="346"/>
      <c r="AA48" s="1266"/>
      <c r="AB48" s="1266"/>
      <c r="AC48" s="346"/>
      <c r="AD48" s="1266"/>
      <c r="AE48" s="1266"/>
      <c r="AF48" s="346"/>
      <c r="AG48" s="1266"/>
      <c r="AH48" s="1266"/>
      <c r="AI48" s="346"/>
      <c r="AJ48" s="1266"/>
      <c r="AK48" s="1266"/>
      <c r="AL48" s="346"/>
      <c r="AM48" s="1266"/>
      <c r="AN48" s="1266"/>
      <c r="AO48" s="346"/>
      <c r="AP48" s="1266"/>
      <c r="AQ48" s="1266"/>
      <c r="AR48" s="346"/>
      <c r="AS48" s="1266"/>
      <c r="AT48" s="1266"/>
      <c r="AU48" s="346"/>
      <c r="AV48" s="1266"/>
      <c r="AW48" s="1266"/>
      <c r="AX48" s="346"/>
      <c r="AY48" s="1266"/>
      <c r="AZ48" s="1266"/>
      <c r="BA48" s="346"/>
      <c r="BB48" s="1266"/>
      <c r="BC48" s="1266"/>
      <c r="BD48" s="346"/>
      <c r="BE48" s="1266"/>
      <c r="BF48" s="1266"/>
      <c r="BG48" s="346"/>
      <c r="BH48" s="1266"/>
      <c r="BI48" s="1266"/>
      <c r="BJ48" s="346"/>
      <c r="BK48" s="1266"/>
      <c r="BL48" s="1266"/>
      <c r="BM48" s="346"/>
      <c r="BN48" s="1266"/>
      <c r="BO48" s="1266"/>
      <c r="BP48" s="346"/>
      <c r="BQ48" s="1266"/>
      <c r="BR48" s="1266"/>
      <c r="BS48" s="346"/>
      <c r="BT48" s="1266"/>
      <c r="BU48" s="1266"/>
      <c r="BV48" s="346"/>
      <c r="BW48" s="1266"/>
      <c r="BX48" s="1266"/>
      <c r="BY48" s="346"/>
      <c r="BZ48" s="1266"/>
      <c r="CA48" s="1266"/>
      <c r="CB48" s="346"/>
      <c r="CC48" s="1266"/>
      <c r="CD48" s="1266"/>
      <c r="CE48" s="346"/>
      <c r="CF48" s="1266"/>
      <c r="CG48" s="1266"/>
      <c r="CH48" s="346"/>
      <c r="CI48" s="1266"/>
      <c r="CJ48" s="1266"/>
      <c r="CK48" s="346"/>
      <c r="CL48" s="1266"/>
      <c r="CM48" s="1266"/>
      <c r="CN48" s="346"/>
      <c r="CO48" s="1266"/>
      <c r="CP48" s="1266"/>
      <c r="CQ48" s="346"/>
      <c r="CR48" s="1266"/>
      <c r="CS48" s="1266"/>
      <c r="CT48" s="346"/>
      <c r="CU48" s="1266"/>
      <c r="CV48" s="1266"/>
      <c r="CW48" s="346"/>
      <c r="CX48" s="1266"/>
      <c r="CY48" s="1266"/>
      <c r="CZ48" s="346"/>
      <c r="DA48" s="1266"/>
      <c r="DB48" s="1266"/>
      <c r="DC48" s="346"/>
      <c r="DD48" s="1266"/>
      <c r="DE48" s="1266"/>
      <c r="DF48" s="346"/>
      <c r="DG48" s="1266"/>
      <c r="DH48" s="1266"/>
      <c r="DI48" s="346"/>
      <c r="DJ48" s="1266"/>
      <c r="DK48" s="1266"/>
      <c r="DL48" s="346"/>
      <c r="DM48" s="1266"/>
      <c r="DN48" s="1266"/>
      <c r="DO48" s="346"/>
      <c r="DP48" s="1266"/>
      <c r="DQ48" s="1266"/>
      <c r="DR48" s="346"/>
      <c r="DS48" s="1266"/>
      <c r="DT48" s="1266"/>
      <c r="DU48" s="346"/>
      <c r="DV48" s="1266"/>
      <c r="DW48" s="1266"/>
      <c r="DX48" s="346"/>
      <c r="DY48" s="1266"/>
      <c r="DZ48" s="1266"/>
      <c r="EA48" s="346"/>
      <c r="EB48" s="1266"/>
      <c r="EC48" s="1266"/>
      <c r="ED48" s="346"/>
      <c r="EE48" s="1266"/>
      <c r="EF48" s="1266"/>
      <c r="EG48" s="346"/>
      <c r="EH48" s="1266"/>
      <c r="EI48" s="1266"/>
      <c r="EJ48" s="346"/>
      <c r="EK48" s="1266"/>
      <c r="EL48" s="1266"/>
      <c r="EM48" s="346"/>
      <c r="EN48" s="1266"/>
      <c r="EO48" s="1266"/>
      <c r="EP48" s="346"/>
      <c r="EQ48" s="1266"/>
      <c r="ER48" s="1266"/>
      <c r="ES48" s="346"/>
      <c r="ET48" s="1266"/>
      <c r="EU48" s="1266"/>
      <c r="EV48" s="346"/>
      <c r="EW48" s="1266"/>
      <c r="EX48" s="1266"/>
      <c r="EY48" s="346"/>
      <c r="EZ48" s="1266"/>
      <c r="FA48" s="1266"/>
      <c r="FB48" s="346"/>
      <c r="FC48" s="1266"/>
      <c r="FD48" s="1266"/>
      <c r="FE48" s="346"/>
      <c r="FF48" s="1266"/>
      <c r="FG48" s="1266"/>
      <c r="FH48" s="346"/>
      <c r="FI48" s="1266"/>
      <c r="FJ48" s="1266"/>
      <c r="FK48" s="346"/>
      <c r="FL48" s="1266"/>
      <c r="FM48" s="1266"/>
      <c r="FN48" s="346"/>
      <c r="FO48" s="1266"/>
      <c r="FP48" s="1266"/>
      <c r="FQ48" s="346"/>
      <c r="FR48" s="1266"/>
      <c r="FS48" s="1266"/>
      <c r="FT48" s="346"/>
      <c r="FU48" s="1266"/>
      <c r="FV48" s="1266"/>
      <c r="FW48" s="346"/>
      <c r="FX48" s="1266"/>
      <c r="FY48" s="1266"/>
      <c r="FZ48" s="346"/>
      <c r="GA48" s="1266"/>
      <c r="GB48" s="1266"/>
      <c r="GC48" s="346"/>
      <c r="GD48" s="1266"/>
      <c r="GE48" s="1266"/>
      <c r="GF48" s="346"/>
      <c r="GG48" s="1266"/>
      <c r="GH48" s="1266"/>
      <c r="GI48" s="346"/>
      <c r="GJ48" s="1266"/>
      <c r="GK48" s="1266"/>
      <c r="GL48" s="346"/>
      <c r="GM48" s="1266"/>
      <c r="GN48" s="1266"/>
      <c r="GO48" s="346"/>
      <c r="GP48" s="1266"/>
      <c r="GQ48" s="1266"/>
      <c r="GR48" s="346"/>
      <c r="GS48" s="1266"/>
      <c r="GT48" s="1266"/>
      <c r="GU48" s="346"/>
      <c r="GV48" s="1266"/>
      <c r="GW48" s="1266"/>
      <c r="GX48" s="346"/>
      <c r="GY48" s="1266"/>
      <c r="GZ48" s="1266"/>
      <c r="HA48" s="346"/>
      <c r="HB48" s="1266"/>
      <c r="HC48" s="1266"/>
      <c r="HD48" s="346"/>
      <c r="HE48" s="1266"/>
      <c r="HF48" s="1266"/>
      <c r="HG48" s="346"/>
      <c r="HH48" s="1266"/>
      <c r="HI48" s="1266"/>
      <c r="HJ48" s="346"/>
      <c r="HK48" s="1266"/>
      <c r="HL48" s="1266"/>
      <c r="HM48" s="346"/>
      <c r="HN48" s="1266"/>
      <c r="HO48" s="1266"/>
      <c r="HP48" s="346"/>
      <c r="HQ48" s="1266"/>
      <c r="HR48" s="1266"/>
      <c r="HS48" s="346"/>
      <c r="HT48" s="1266"/>
      <c r="HU48" s="1266"/>
      <c r="HV48" s="346"/>
      <c r="HW48" s="1266"/>
      <c r="HX48" s="1266"/>
      <c r="HY48" s="346"/>
      <c r="HZ48" s="1266"/>
      <c r="IA48" s="1266"/>
      <c r="IB48" s="346"/>
      <c r="IC48" s="1266"/>
      <c r="ID48" s="1266"/>
      <c r="IE48" s="346"/>
      <c r="IF48" s="1266"/>
      <c r="IG48" s="1266"/>
      <c r="IH48" s="346"/>
      <c r="II48" s="1266"/>
      <c r="IJ48" s="1266"/>
      <c r="IK48" s="346"/>
      <c r="IL48" s="1266"/>
      <c r="IM48" s="1266"/>
      <c r="IN48" s="346"/>
      <c r="IO48" s="1266"/>
      <c r="IP48" s="1266"/>
      <c r="IQ48" s="346"/>
      <c r="IR48" s="1266"/>
      <c r="IS48" s="1266"/>
      <c r="IT48" s="346"/>
      <c r="IU48" s="1266"/>
      <c r="IV48" s="1266"/>
      <c r="IW48" s="346"/>
      <c r="IX48" s="1266"/>
      <c r="IY48" s="1266"/>
      <c r="IZ48" s="346"/>
      <c r="JA48" s="1266"/>
      <c r="JB48" s="1266"/>
      <c r="JC48" s="346"/>
      <c r="JD48" s="1266"/>
      <c r="JE48" s="1266"/>
      <c r="JF48" s="346"/>
      <c r="JG48" s="1266"/>
      <c r="JH48" s="1266"/>
      <c r="JI48" s="346"/>
      <c r="JJ48" s="1266"/>
      <c r="JK48" s="1266"/>
      <c r="JL48" s="346"/>
      <c r="JM48" s="1266"/>
      <c r="JN48" s="1266"/>
      <c r="JO48" s="346"/>
      <c r="JP48" s="1266"/>
      <c r="JQ48" s="1266"/>
      <c r="JR48" s="346"/>
      <c r="JS48" s="1266"/>
      <c r="JT48" s="1266"/>
      <c r="JU48" s="346"/>
      <c r="JV48" s="1266"/>
      <c r="JW48" s="1266"/>
      <c r="JX48" s="346"/>
      <c r="JY48" s="1266"/>
      <c r="JZ48" s="1266"/>
      <c r="KA48" s="346"/>
      <c r="KB48" s="1266"/>
      <c r="KC48" s="1266"/>
      <c r="KD48" s="346"/>
      <c r="KE48" s="1266"/>
      <c r="KF48" s="1266"/>
      <c r="KG48" s="346"/>
      <c r="KH48" s="1266"/>
      <c r="KI48" s="1266"/>
      <c r="KJ48" s="346"/>
      <c r="KK48" s="1266"/>
      <c r="KL48" s="1266"/>
      <c r="KM48" s="346"/>
      <c r="KN48" s="1266"/>
      <c r="KO48" s="1266"/>
      <c r="KP48" s="346"/>
      <c r="KQ48" s="1266"/>
      <c r="KR48" s="1266"/>
      <c r="KS48" s="346"/>
      <c r="KT48" s="1266"/>
      <c r="KU48" s="1266"/>
      <c r="KV48" s="346"/>
      <c r="KW48" s="1266"/>
      <c r="KX48" s="1266"/>
      <c r="KY48" s="346"/>
      <c r="KZ48" s="1266"/>
      <c r="LA48" s="1266"/>
      <c r="LB48" s="346"/>
      <c r="LC48" s="1266"/>
      <c r="LD48" s="1266"/>
      <c r="LE48" s="346"/>
      <c r="LF48" s="1266"/>
      <c r="LG48" s="1266"/>
      <c r="LH48" s="346"/>
      <c r="LI48" s="1266"/>
      <c r="LJ48" s="1266"/>
      <c r="LK48" s="346"/>
      <c r="LL48" s="1266"/>
      <c r="LM48" s="1266"/>
      <c r="LN48" s="346"/>
      <c r="LO48" s="1266"/>
      <c r="LP48" s="1266"/>
      <c r="LQ48" s="346"/>
      <c r="LR48" s="1266"/>
      <c r="LS48" s="1266"/>
      <c r="LT48" s="346"/>
      <c r="LU48" s="1266"/>
      <c r="LV48" s="1266"/>
      <c r="LW48" s="346"/>
      <c r="LX48" s="1266"/>
      <c r="LY48" s="1266"/>
      <c r="LZ48" s="346"/>
      <c r="MA48" s="1266"/>
      <c r="MB48" s="1266"/>
      <c r="MC48" s="346"/>
      <c r="MD48" s="1266"/>
      <c r="ME48" s="1266"/>
      <c r="MF48" s="346"/>
      <c r="MG48" s="1266"/>
      <c r="MH48" s="1266"/>
      <c r="MI48" s="346"/>
      <c r="MJ48" s="1266"/>
      <c r="MK48" s="1266"/>
      <c r="ML48" s="346"/>
      <c r="MM48" s="1266"/>
      <c r="MN48" s="1266"/>
      <c r="MO48" s="346"/>
      <c r="MP48" s="1266"/>
      <c r="MQ48" s="1266"/>
      <c r="MR48" s="346"/>
      <c r="MS48" s="1266"/>
      <c r="MT48" s="1266"/>
      <c r="MU48" s="346"/>
      <c r="MV48" s="1266"/>
      <c r="MW48" s="1266"/>
      <c r="MX48" s="346"/>
      <c r="MY48" s="1266"/>
      <c r="MZ48" s="1266"/>
      <c r="NA48" s="346"/>
      <c r="NB48" s="1266"/>
      <c r="NC48" s="1266"/>
      <c r="ND48" s="346"/>
      <c r="NE48" s="1266"/>
      <c r="NF48" s="1266"/>
      <c r="NG48" s="346"/>
      <c r="NH48" s="1266"/>
      <c r="NI48" s="1266"/>
      <c r="NJ48" s="346"/>
      <c r="NK48" s="1266"/>
      <c r="NL48" s="1266"/>
      <c r="NM48" s="346"/>
      <c r="NN48" s="1266"/>
      <c r="NO48" s="1266"/>
      <c r="NP48" s="346"/>
      <c r="NQ48" s="1266"/>
      <c r="NR48" s="1266"/>
      <c r="NS48" s="346"/>
      <c r="NT48" s="1266"/>
      <c r="NU48" s="1266"/>
      <c r="NV48" s="346"/>
      <c r="NW48" s="1266"/>
      <c r="NX48" s="1266"/>
      <c r="NY48" s="346"/>
      <c r="NZ48" s="1266"/>
      <c r="OA48" s="1266"/>
      <c r="OB48" s="346"/>
      <c r="OC48" s="1266"/>
      <c r="OD48" s="1266"/>
      <c r="OE48" s="346"/>
      <c r="OF48" s="1266"/>
      <c r="OG48" s="1266"/>
      <c r="OH48" s="346"/>
      <c r="OI48" s="1266"/>
      <c r="OJ48" s="1266"/>
      <c r="OK48" s="346"/>
      <c r="OL48" s="1266"/>
      <c r="OM48" s="1266"/>
      <c r="ON48" s="346"/>
      <c r="OO48" s="1266"/>
      <c r="OP48" s="1266"/>
      <c r="OQ48" s="346"/>
      <c r="OR48" s="1266"/>
      <c r="OS48" s="1266"/>
      <c r="OT48" s="346"/>
      <c r="OU48" s="1266"/>
      <c r="OV48" s="1266"/>
      <c r="OW48" s="346"/>
      <c r="OX48" s="1266"/>
      <c r="OY48" s="1266"/>
      <c r="OZ48" s="346"/>
      <c r="PA48" s="1266"/>
      <c r="PB48" s="1266"/>
      <c r="PC48" s="346"/>
      <c r="PD48" s="1266"/>
      <c r="PE48" s="1266"/>
      <c r="PF48" s="346"/>
      <c r="PG48" s="1266"/>
      <c r="PH48" s="1266"/>
      <c r="PI48" s="346"/>
      <c r="PJ48" s="1266"/>
      <c r="PK48" s="1266"/>
      <c r="PL48" s="346"/>
      <c r="PM48" s="1266"/>
      <c r="PN48" s="1266"/>
      <c r="PO48" s="346"/>
      <c r="PP48" s="1266"/>
      <c r="PQ48" s="1266"/>
      <c r="PR48" s="346"/>
      <c r="PS48" s="1266"/>
      <c r="PT48" s="1266"/>
      <c r="PU48" s="346"/>
      <c r="PV48" s="386"/>
      <c r="PW48" s="386"/>
      <c r="PX48" s="387"/>
      <c r="PY48" s="386"/>
      <c r="PZ48" s="386"/>
      <c r="QA48" s="387"/>
      <c r="QB48" s="386"/>
      <c r="QC48" s="386"/>
      <c r="QD48" s="387"/>
      <c r="QE48" s="386"/>
      <c r="QF48" s="386"/>
      <c r="QG48" s="387"/>
      <c r="QH48" s="386"/>
      <c r="QI48" s="386"/>
      <c r="QJ48" s="387"/>
      <c r="QK48" s="386"/>
      <c r="QL48" s="386"/>
      <c r="QM48" s="387"/>
      <c r="QN48" s="386"/>
      <c r="QO48" s="386"/>
      <c r="QP48" s="387"/>
      <c r="QQ48" s="386"/>
      <c r="QR48" s="386"/>
      <c r="QS48" s="387"/>
      <c r="QT48" s="386"/>
      <c r="QU48" s="386"/>
      <c r="QV48" s="387"/>
      <c r="QW48" s="386"/>
      <c r="QX48" s="386"/>
      <c r="QY48" s="387"/>
      <c r="QZ48" s="386"/>
      <c r="RA48" s="386"/>
      <c r="RB48" s="387"/>
      <c r="RC48" s="386"/>
      <c r="RD48" s="386"/>
      <c r="RE48" s="387"/>
      <c r="RF48" s="386"/>
      <c r="RG48" s="386"/>
      <c r="RH48" s="387"/>
      <c r="RI48" s="1266"/>
      <c r="RJ48" s="1266"/>
      <c r="RK48" s="346"/>
      <c r="RL48" s="1266"/>
      <c r="RM48" s="1266"/>
      <c r="RN48" s="346"/>
      <c r="RO48" s="1266"/>
      <c r="RP48" s="1266"/>
      <c r="RQ48" s="346"/>
      <c r="RR48" s="1266"/>
      <c r="RS48" s="1266"/>
      <c r="RT48" s="346"/>
      <c r="RU48" s="1266"/>
      <c r="RV48" s="1266"/>
      <c r="RW48" s="346"/>
      <c r="RX48" s="386"/>
      <c r="RY48" s="386"/>
      <c r="RZ48" s="387"/>
      <c r="SA48" s="386"/>
      <c r="SB48" s="386"/>
      <c r="SC48" s="387"/>
      <c r="SD48" s="386"/>
      <c r="SE48" s="386"/>
      <c r="SF48" s="387"/>
      <c r="SG48" s="386"/>
      <c r="SH48" s="386"/>
      <c r="SI48" s="387"/>
      <c r="SJ48" s="386"/>
      <c r="SK48" s="386"/>
      <c r="SL48" s="387"/>
      <c r="SM48" s="386"/>
      <c r="SN48" s="386"/>
      <c r="SO48" s="387"/>
      <c r="SP48" s="386"/>
      <c r="SQ48" s="386"/>
      <c r="SR48" s="387"/>
      <c r="SS48" s="386"/>
      <c r="ST48" s="386"/>
      <c r="SU48" s="387"/>
      <c r="SV48" s="386"/>
      <c r="SW48" s="386"/>
      <c r="SX48" s="387"/>
      <c r="SY48" s="386"/>
      <c r="SZ48" s="386"/>
      <c r="TA48" s="387"/>
      <c r="TB48" s="386"/>
      <c r="TC48" s="386"/>
      <c r="TD48" s="387"/>
      <c r="TE48" s="386"/>
      <c r="TF48" s="386"/>
      <c r="TG48" s="387"/>
      <c r="TH48" s="386"/>
      <c r="TI48" s="386"/>
      <c r="TJ48" s="387"/>
      <c r="TK48" s="386"/>
      <c r="TL48" s="386"/>
      <c r="TM48" s="387"/>
      <c r="TN48" s="386"/>
      <c r="TO48" s="386"/>
      <c r="TP48" s="387"/>
      <c r="TQ48" s="386"/>
      <c r="TR48" s="386"/>
      <c r="TS48" s="387"/>
      <c r="TT48" s="386"/>
      <c r="TU48" s="386"/>
      <c r="TV48" s="387"/>
      <c r="TW48" s="386"/>
      <c r="TX48" s="386"/>
      <c r="TY48" s="387"/>
      <c r="TZ48" s="386"/>
      <c r="UA48" s="386"/>
      <c r="UB48" s="387"/>
      <c r="UC48" s="386"/>
      <c r="UD48" s="19"/>
      <c r="UE48" s="389"/>
      <c r="UF48" s="388"/>
      <c r="UG48" s="19"/>
      <c r="UH48" s="389"/>
      <c r="UI48" s="386"/>
      <c r="UJ48" s="19"/>
      <c r="UK48" s="389"/>
      <c r="UL48" s="386"/>
      <c r="UM48" s="19"/>
      <c r="UN48" s="389"/>
      <c r="UO48" s="386"/>
      <c r="UP48" s="19"/>
      <c r="UQ48" s="389"/>
      <c r="UR48" s="386"/>
      <c r="US48" s="19"/>
      <c r="UT48" s="389"/>
      <c r="UU48" s="386"/>
      <c r="UV48" s="19"/>
      <c r="UW48" s="389"/>
      <c r="UX48" s="386"/>
      <c r="UY48" s="19"/>
      <c r="UZ48" s="389"/>
      <c r="VA48" s="386"/>
      <c r="VB48" s="19"/>
      <c r="VC48" s="389"/>
      <c r="VD48" s="386"/>
      <c r="VE48" s="19"/>
      <c r="VF48" s="389"/>
      <c r="VG48" s="386"/>
      <c r="VH48" s="19"/>
      <c r="VI48" s="389"/>
      <c r="VJ48" s="386"/>
      <c r="VK48" s="19"/>
      <c r="VL48" s="389"/>
      <c r="VM48" s="386"/>
      <c r="VN48" s="19"/>
      <c r="VO48" s="389"/>
      <c r="VP48" s="386"/>
      <c r="VQ48" s="19"/>
      <c r="VR48" s="389"/>
      <c r="VS48" s="386"/>
      <c r="VT48" s="19"/>
      <c r="VU48" s="389"/>
      <c r="VV48" s="386"/>
      <c r="VW48" s="19"/>
      <c r="VX48" s="389"/>
      <c r="VY48" s="386"/>
      <c r="VZ48" s="19"/>
      <c r="WA48" s="389"/>
      <c r="WB48" s="386"/>
      <c r="WC48" s="19"/>
      <c r="WD48" s="389"/>
      <c r="WE48" s="386"/>
      <c r="WF48" s="19"/>
      <c r="WG48" s="389"/>
      <c r="WH48" s="386"/>
      <c r="WI48" s="19"/>
      <c r="WJ48" s="389"/>
      <c r="WK48" s="386"/>
      <c r="WL48" s="19"/>
      <c r="WM48" s="389"/>
      <c r="WN48" s="386"/>
      <c r="WO48" s="19"/>
      <c r="WP48" s="389"/>
      <c r="WQ48" s="386"/>
      <c r="WR48" s="19"/>
      <c r="WS48" s="389"/>
      <c r="WT48" s="386"/>
      <c r="WU48" s="19"/>
      <c r="WV48" s="389"/>
      <c r="WW48" s="386"/>
      <c r="WX48" s="19"/>
      <c r="WY48" s="389"/>
      <c r="WZ48" s="386"/>
      <c r="XA48" s="19"/>
      <c r="XB48" s="389"/>
      <c r="XC48" s="386"/>
      <c r="XD48" s="19"/>
      <c r="XE48" s="389"/>
      <c r="XF48" s="386"/>
      <c r="XG48" s="19"/>
      <c r="XH48" s="389"/>
      <c r="XI48" s="386"/>
      <c r="XJ48" s="19"/>
      <c r="XK48" s="389"/>
      <c r="XL48" s="386"/>
      <c r="XM48" s="19"/>
      <c r="XN48" s="389"/>
      <c r="XO48" s="386"/>
      <c r="XP48" s="19"/>
      <c r="XQ48" s="389"/>
      <c r="XR48" s="386"/>
      <c r="XS48" s="19"/>
      <c r="XT48" s="389"/>
      <c r="XU48" s="386"/>
      <c r="XV48" s="19"/>
      <c r="XW48" s="389"/>
      <c r="XX48" s="386"/>
      <c r="XY48" s="19"/>
      <c r="XZ48" s="389"/>
      <c r="YA48" s="386"/>
      <c r="YB48" s="19"/>
      <c r="YC48" s="389"/>
      <c r="YD48" s="386"/>
      <c r="YE48" s="19"/>
      <c r="YF48" s="389"/>
      <c r="YG48" s="386"/>
      <c r="YH48" s="19"/>
      <c r="YI48" s="389"/>
      <c r="YJ48" s="386"/>
      <c r="YK48" s="19"/>
      <c r="YL48" s="389"/>
      <c r="YM48" s="386"/>
      <c r="YN48" s="19"/>
      <c r="YO48" s="389"/>
      <c r="YP48" s="386"/>
      <c r="YQ48" s="19"/>
      <c r="YR48" s="389"/>
      <c r="YS48" s="386"/>
      <c r="YT48" s="19"/>
      <c r="YU48" s="389"/>
      <c r="YV48" s="386"/>
      <c r="YW48" s="19"/>
      <c r="YX48" s="389"/>
      <c r="YY48" s="386"/>
      <c r="YZ48" s="19"/>
      <c r="ZA48" s="389"/>
      <c r="ZB48" s="386"/>
      <c r="ZC48" s="19"/>
      <c r="ZD48" s="389"/>
      <c r="ZE48" s="386"/>
      <c r="ZF48" s="19"/>
      <c r="ZG48" s="389"/>
      <c r="ZH48" s="386"/>
      <c r="ZI48" s="19"/>
      <c r="ZJ48" s="389"/>
      <c r="ZK48" s="386"/>
      <c r="ZL48" s="19"/>
      <c r="ZM48" s="389"/>
      <c r="ZN48" s="386"/>
      <c r="ZO48" s="19"/>
      <c r="ZP48" s="389"/>
      <c r="ZQ48" s="386"/>
      <c r="ZR48" s="19"/>
      <c r="ZS48" s="389"/>
      <c r="ZT48" s="386"/>
      <c r="ZU48" s="19"/>
      <c r="ZV48" s="389"/>
      <c r="ZW48" s="386"/>
      <c r="ZX48" s="19"/>
      <c r="ZY48" s="389"/>
      <c r="ZZ48" s="386"/>
      <c r="AAA48" s="19"/>
      <c r="AAB48" s="389"/>
      <c r="AAC48" s="386"/>
      <c r="AAD48" s="19"/>
      <c r="AAE48" s="389"/>
      <c r="AAF48" s="386"/>
      <c r="AAG48" s="19"/>
      <c r="AAH48" s="389"/>
      <c r="AAI48" s="386"/>
      <c r="AAJ48" s="19"/>
      <c r="AAK48" s="389"/>
      <c r="AAL48" s="386"/>
      <c r="AAM48" s="19"/>
      <c r="AAN48" s="389"/>
      <c r="AAO48" s="386"/>
      <c r="AAP48" s="19"/>
      <c r="AAQ48" s="389"/>
      <c r="AAR48" s="386"/>
      <c r="AAS48" s="19"/>
      <c r="AAT48" s="389"/>
      <c r="AAU48" s="386"/>
      <c r="AAV48" s="19"/>
      <c r="AAW48" s="389"/>
      <c r="AAX48" s="386"/>
      <c r="AAY48" s="19"/>
      <c r="AAZ48" s="389"/>
      <c r="ABA48" s="386"/>
      <c r="ABB48" s="19"/>
      <c r="ABC48" s="389"/>
      <c r="ABD48" s="386"/>
      <c r="ABE48" s="19"/>
      <c r="ABF48" s="389"/>
      <c r="ABG48" s="386"/>
      <c r="ABH48" s="19"/>
      <c r="ABI48" s="389"/>
      <c r="ABJ48" s="386"/>
      <c r="ABK48" s="19"/>
      <c r="ABL48" s="389"/>
      <c r="ABM48" s="386"/>
      <c r="ABN48" s="19"/>
      <c r="ABO48" s="389"/>
      <c r="ABP48" s="386"/>
      <c r="ABQ48" s="19"/>
      <c r="ABR48" s="389"/>
      <c r="ABS48" s="386"/>
      <c r="ABT48" s="19"/>
      <c r="ABU48" s="389"/>
      <c r="ABV48" s="386"/>
      <c r="ABW48" s="19"/>
      <c r="ABX48" s="389"/>
      <c r="ABY48" s="386"/>
      <c r="ABZ48" s="19"/>
      <c r="ACA48" s="389"/>
      <c r="ACB48" s="386"/>
      <c r="ACC48" s="19"/>
      <c r="ACD48" s="389"/>
      <c r="ACE48" s="386"/>
      <c r="ACF48" s="19"/>
      <c r="ACG48" s="389"/>
      <c r="ACH48" s="386"/>
      <c r="ACI48" s="19"/>
      <c r="ACJ48" s="389"/>
      <c r="ACK48" s="386"/>
      <c r="ACL48" s="19"/>
      <c r="ACM48" s="389"/>
      <c r="ACN48" s="386"/>
      <c r="ACO48" s="19"/>
      <c r="ACP48" s="389"/>
      <c r="ACQ48" s="386"/>
      <c r="ACR48" s="19"/>
      <c r="ACS48" s="389"/>
      <c r="ACT48" s="386"/>
      <c r="ACU48" s="19"/>
      <c r="ACV48" s="389"/>
      <c r="ACW48" s="386"/>
      <c r="ACX48" s="19"/>
      <c r="ACY48" s="389"/>
      <c r="ACZ48" s="386"/>
      <c r="ADA48" s="19"/>
      <c r="ADB48" s="389"/>
      <c r="ADC48" s="386"/>
      <c r="ADD48" s="19"/>
      <c r="ADE48" s="389"/>
      <c r="ADF48" s="386"/>
      <c r="ADG48" s="19"/>
      <c r="ADH48" s="389"/>
      <c r="ADI48" s="386"/>
      <c r="ADJ48" s="19"/>
      <c r="ADK48" s="389"/>
      <c r="ADL48" s="386"/>
      <c r="ADM48" s="19"/>
      <c r="ADN48" s="389"/>
      <c r="ADO48" s="386"/>
      <c r="ADP48" s="19"/>
      <c r="ADQ48" s="389"/>
      <c r="ADR48" s="386"/>
      <c r="ADS48" s="19"/>
      <c r="ADT48" s="389"/>
      <c r="ADU48" s="386"/>
      <c r="ADV48" s="19"/>
      <c r="ADW48" s="389"/>
      <c r="ADX48" s="386"/>
      <c r="ADY48" s="19"/>
      <c r="ADZ48" s="389"/>
      <c r="AEA48" s="386"/>
      <c r="AEB48" s="19"/>
      <c r="AEC48" s="389"/>
      <c r="AED48" s="386"/>
      <c r="AEE48" s="19"/>
      <c r="AEF48" s="389"/>
      <c r="AEG48" s="386"/>
      <c r="AEH48" s="19"/>
      <c r="AEI48" s="389"/>
      <c r="AEJ48" s="386"/>
      <c r="AEK48" s="19"/>
      <c r="AEL48" s="389"/>
      <c r="AEM48" s="1304">
        <f>10620+6</f>
        <v>10626</v>
      </c>
      <c r="AEN48" s="1308"/>
      <c r="AEO48" s="1352"/>
      <c r="AEP48" s="386"/>
      <c r="AEQ48" s="19"/>
      <c r="AER48" s="389"/>
      <c r="AES48" s="386"/>
      <c r="AET48" s="19"/>
      <c r="AEU48" s="389"/>
      <c r="AEV48" s="386"/>
      <c r="AEW48" s="19"/>
      <c r="AEX48" s="389"/>
      <c r="AEY48" s="1304"/>
      <c r="AEZ48" s="1305"/>
      <c r="AFA48" s="1335"/>
      <c r="AFB48" s="1304"/>
      <c r="AFC48" s="1305"/>
      <c r="AFD48" s="1335"/>
      <c r="AFE48" s="1304"/>
      <c r="AFF48" s="1305"/>
      <c r="AFG48" s="1335"/>
      <c r="AFH48" s="1304"/>
      <c r="AFI48" s="1305"/>
      <c r="AFJ48" s="1335"/>
      <c r="AFK48" s="1304"/>
      <c r="AFL48" s="1305"/>
      <c r="AFM48" s="1335"/>
      <c r="AFN48" s="1304">
        <f>11667+6</f>
        <v>11673</v>
      </c>
      <c r="AFO48" s="1305"/>
      <c r="AFP48" s="1335"/>
      <c r="AFQ48" s="1304"/>
      <c r="AFR48" s="1305"/>
      <c r="AFS48" s="1335"/>
      <c r="AFT48" s="1304"/>
      <c r="AFU48" s="1305"/>
      <c r="AFV48" s="1335"/>
      <c r="AFW48" s="1304"/>
      <c r="AFX48" s="1305"/>
      <c r="AFY48" s="1335"/>
      <c r="AFZ48" s="1304"/>
      <c r="AGA48" s="1305"/>
      <c r="AGB48" s="1335"/>
      <c r="AGC48" s="1304">
        <f>11869.192+6</f>
        <v>11875.191999999999</v>
      </c>
      <c r="AGD48" s="1305"/>
      <c r="AGE48" s="1335"/>
      <c r="AGF48" s="1304"/>
      <c r="AGG48" s="1305"/>
      <c r="AGH48" s="1335"/>
      <c r="AGI48" s="1304"/>
      <c r="AGJ48" s="1305"/>
      <c r="AGK48" s="1335"/>
      <c r="AGL48" s="1304"/>
      <c r="AGM48" s="1305"/>
      <c r="AGN48" s="1335"/>
      <c r="AGO48" s="1304"/>
      <c r="AGP48" s="1305"/>
      <c r="AGQ48" s="1335"/>
      <c r="AGR48" s="1304">
        <v>14481.17</v>
      </c>
      <c r="AGS48" s="1305"/>
      <c r="AGT48" s="1335"/>
      <c r="AGU48" s="1304"/>
      <c r="AGV48" s="1305"/>
      <c r="AGW48" s="1335"/>
      <c r="AGX48" s="1304">
        <v>13184.15</v>
      </c>
      <c r="AGY48" s="1305"/>
      <c r="AGZ48" s="1335"/>
      <c r="AHA48" s="1304"/>
      <c r="AHB48" s="1305"/>
      <c r="AHC48" s="1335"/>
      <c r="AHD48" s="1304"/>
      <c r="AHE48" s="1305"/>
      <c r="AHF48" s="1335"/>
      <c r="AHG48" s="1304"/>
      <c r="AHH48" s="1305"/>
      <c r="AHI48" s="1335"/>
      <c r="AHJ48" s="1304"/>
      <c r="AHK48" s="1305"/>
      <c r="AHL48" s="1335"/>
      <c r="AHM48" s="1304"/>
      <c r="AHN48" s="1305"/>
      <c r="AHO48" s="1335"/>
      <c r="AHP48" s="1304">
        <v>14829.85</v>
      </c>
      <c r="AHQ48" s="1305"/>
      <c r="AHR48" s="1335"/>
      <c r="AHS48" s="1304"/>
      <c r="AHT48" s="1305"/>
      <c r="AHU48" s="1335"/>
      <c r="AHV48" s="1304"/>
      <c r="AHW48" s="1305"/>
      <c r="AHX48" s="1335"/>
      <c r="AHY48" s="1304">
        <v>12133.45</v>
      </c>
      <c r="AHZ48" s="1305"/>
      <c r="AIA48" s="1335"/>
      <c r="AIB48" s="1304"/>
      <c r="AIC48" s="1305"/>
      <c r="AID48" s="1305"/>
      <c r="AIE48" s="1304"/>
      <c r="AIF48" s="1305"/>
      <c r="AIG48" s="1335"/>
      <c r="AIH48" s="1304"/>
      <c r="AII48" s="1305"/>
      <c r="AIJ48" s="1335"/>
      <c r="AIK48" s="1304">
        <v>12525.73</v>
      </c>
      <c r="AIL48" s="1305"/>
      <c r="AIM48" s="1335"/>
      <c r="AIN48" s="1304"/>
      <c r="AIO48" s="1305"/>
      <c r="AIP48" s="1335"/>
      <c r="AIQ48" s="1441">
        <v>13664.41</v>
      </c>
      <c r="AIR48" s="1442"/>
      <c r="AIS48" s="1442"/>
      <c r="AIT48" s="1304"/>
      <c r="AIU48" s="1305"/>
      <c r="AIV48" s="1335"/>
      <c r="AIW48" s="1304"/>
      <c r="AIX48" s="1305"/>
      <c r="AIY48" s="1305"/>
      <c r="AIZ48" s="1304"/>
      <c r="AJA48" s="1305"/>
      <c r="AJB48" s="1335"/>
      <c r="AJC48" s="1304"/>
      <c r="AJD48" s="1305"/>
      <c r="AJE48" s="1335"/>
      <c r="AJF48" s="1304">
        <v>14590.43</v>
      </c>
      <c r="AJG48" s="1305"/>
      <c r="AJH48" s="1335"/>
      <c r="AJI48" s="1304"/>
      <c r="AJJ48" s="1305"/>
      <c r="AJK48" s="1335"/>
      <c r="AJL48" s="1304"/>
      <c r="AJM48" s="1305"/>
      <c r="AJN48" s="1305"/>
      <c r="AJO48" s="1304">
        <v>13329.35</v>
      </c>
      <c r="AJP48" s="1305"/>
      <c r="AJQ48" s="1335"/>
      <c r="AJR48" s="1304"/>
      <c r="AJS48" s="1305"/>
      <c r="AJT48" s="1305"/>
      <c r="AJU48" s="1304"/>
      <c r="AJV48" s="1305"/>
      <c r="AJW48" s="1335"/>
      <c r="AJX48" s="1304">
        <v>14365.19</v>
      </c>
      <c r="AJY48" s="1305"/>
      <c r="AJZ48" s="1335"/>
      <c r="AKA48" s="1304"/>
      <c r="AKB48" s="1305"/>
      <c r="AKC48" s="1335"/>
      <c r="AKD48" s="1304"/>
      <c r="AKE48" s="1305"/>
      <c r="AKF48" s="1335"/>
      <c r="AKG48" s="1304"/>
      <c r="AKH48" s="1305"/>
      <c r="AKI48" s="1305"/>
      <c r="AKJ48" s="1304"/>
      <c r="AKK48" s="1305"/>
      <c r="AKL48" s="1335"/>
      <c r="AKM48" s="1304"/>
      <c r="AKN48" s="1305"/>
      <c r="AKO48" s="1305"/>
      <c r="AKP48" s="1304"/>
      <c r="AKQ48" s="1305"/>
      <c r="AKR48" s="1335"/>
      <c r="AKS48" s="1304"/>
      <c r="AKT48" s="1305"/>
      <c r="AKU48" s="1335"/>
      <c r="AKV48" s="1304">
        <v>8124.2120000000004</v>
      </c>
      <c r="AKW48" s="1305"/>
      <c r="AKX48" s="1335"/>
      <c r="AKY48" s="1304">
        <v>7601.3119999999999</v>
      </c>
      <c r="AKZ48" s="1305"/>
      <c r="ALA48" s="1335"/>
      <c r="ALB48" s="1304"/>
      <c r="ALC48" s="1305"/>
      <c r="ALD48" s="1335"/>
      <c r="ALE48" s="1304">
        <v>8140.3760000000002</v>
      </c>
      <c r="ALF48" s="1305"/>
      <c r="ALG48" s="1335"/>
      <c r="ALH48" s="1304"/>
      <c r="ALI48" s="1305"/>
      <c r="ALJ48" s="1335"/>
      <c r="ALK48" s="1304"/>
      <c r="ALL48" s="1305"/>
      <c r="ALM48" s="1335"/>
      <c r="ALN48" s="1304"/>
      <c r="ALO48" s="1305"/>
      <c r="ALP48" s="1335"/>
      <c r="ALQ48" s="1304">
        <v>7554.2960000000003</v>
      </c>
      <c r="ALR48" s="1305"/>
      <c r="ALS48" s="1335"/>
      <c r="ALT48" s="1304">
        <v>6001.7839999999997</v>
      </c>
      <c r="ALU48" s="1305"/>
      <c r="ALV48" s="1335"/>
      <c r="ALW48" s="1304"/>
      <c r="ALX48" s="1305"/>
      <c r="ALY48" s="1335"/>
      <c r="ALZ48" s="1304">
        <v>6001.7839999999997</v>
      </c>
      <c r="AMA48" s="1305"/>
      <c r="AMB48" s="1335"/>
      <c r="AMC48" s="1304"/>
      <c r="AMD48" s="1305"/>
      <c r="AME48" s="1335"/>
      <c r="AMF48" s="1304"/>
      <c r="AMG48" s="1305"/>
      <c r="AMH48" s="1335"/>
      <c r="AMI48" s="1304">
        <v>7037.6239999999998</v>
      </c>
      <c r="AMJ48" s="1305"/>
      <c r="AMK48" s="1335"/>
      <c r="AML48" s="1304"/>
      <c r="AMM48" s="1305"/>
      <c r="AMN48" s="1335"/>
      <c r="AMO48" s="1304">
        <v>6485.6239999999998</v>
      </c>
      <c r="AMP48" s="1305"/>
      <c r="AMQ48" s="1335"/>
      <c r="AMR48" s="1304"/>
      <c r="AMS48" s="1305"/>
      <c r="AMT48" s="1335"/>
      <c r="AMU48" s="1304">
        <v>6485.6239999999998</v>
      </c>
      <c r="AMV48" s="1305"/>
      <c r="AMW48" s="1335"/>
      <c r="AMX48" s="1304"/>
      <c r="AMY48" s="1305"/>
      <c r="AMZ48" s="1335"/>
      <c r="ANA48" s="1304"/>
      <c r="ANB48" s="1305"/>
      <c r="ANC48" s="1335"/>
      <c r="AND48" s="1304">
        <v>7521.4639999999999</v>
      </c>
      <c r="ANE48" s="1305"/>
      <c r="ANF48" s="1335"/>
      <c r="ANG48" s="1304"/>
      <c r="ANH48" s="1305"/>
      <c r="ANI48" s="1335"/>
      <c r="ANJ48" s="1304"/>
      <c r="ANK48" s="1305"/>
      <c r="ANL48" s="1335"/>
      <c r="ANM48" s="1304">
        <v>5678.7439999999997</v>
      </c>
      <c r="ANN48" s="1305"/>
      <c r="ANO48" s="1335"/>
      <c r="ANP48" s="1304"/>
      <c r="ANQ48" s="1305"/>
      <c r="ANR48" s="1335"/>
      <c r="ANS48" s="1304"/>
      <c r="ANT48" s="1305"/>
      <c r="ANU48" s="1335"/>
      <c r="ANV48" s="1304"/>
      <c r="ANW48" s="1305"/>
      <c r="ANX48" s="1335"/>
      <c r="ANY48" s="1304">
        <v>7253.5439999999999</v>
      </c>
      <c r="ANZ48" s="1305"/>
      <c r="AOA48" s="1335"/>
      <c r="AOB48" s="1304"/>
      <c r="AOC48" s="1305"/>
      <c r="AOD48" s="1335"/>
      <c r="AOE48" s="1304">
        <v>6177.9440000000004</v>
      </c>
      <c r="AOF48" s="1305"/>
      <c r="AOG48" s="1335"/>
      <c r="AOH48" s="1304"/>
      <c r="AOI48" s="1305"/>
      <c r="AOJ48" s="1335"/>
      <c r="AOK48" s="1304"/>
      <c r="AOL48" s="1305"/>
      <c r="AOM48" s="1335"/>
      <c r="AON48" s="1304"/>
      <c r="AOO48" s="1305"/>
      <c r="AOP48" s="1335"/>
      <c r="AOQ48" s="1304"/>
      <c r="AOR48" s="1305"/>
      <c r="AOS48" s="1335"/>
      <c r="AOT48" s="1304">
        <v>5303.7039999999997</v>
      </c>
      <c r="AOU48" s="1305"/>
      <c r="AOV48" s="1335"/>
      <c r="AOW48" s="1304"/>
      <c r="AOX48" s="1305"/>
      <c r="AOY48" s="1335"/>
      <c r="AOZ48" s="1304"/>
      <c r="APA48" s="1305"/>
      <c r="APB48" s="1335"/>
      <c r="APC48" s="1304"/>
      <c r="APD48" s="1305"/>
      <c r="APE48" s="1335"/>
      <c r="APF48" s="1304"/>
      <c r="APG48" s="1305"/>
      <c r="APH48" s="1335"/>
      <c r="API48" s="1304"/>
      <c r="APJ48" s="1305"/>
      <c r="APK48" s="1335"/>
      <c r="APL48" s="1304"/>
      <c r="APM48" s="1305"/>
      <c r="APN48" s="1335"/>
      <c r="APO48" s="1304">
        <v>4777.4639999999999</v>
      </c>
      <c r="APP48" s="1305"/>
      <c r="APQ48" s="1335"/>
      <c r="APR48" s="1304"/>
      <c r="APS48" s="1305"/>
      <c r="APT48" s="1335"/>
      <c r="APU48" s="1304"/>
      <c r="APV48" s="1305"/>
      <c r="APW48" s="1335"/>
      <c r="APX48" s="1304"/>
      <c r="APY48" s="1305"/>
      <c r="APZ48" s="1335"/>
      <c r="AQA48" s="1304"/>
      <c r="AQB48" s="1305"/>
      <c r="AQC48" s="1335"/>
      <c r="AQD48" s="1304"/>
      <c r="AQE48" s="1305"/>
      <c r="AQF48" s="1335"/>
      <c r="AQG48" s="1304">
        <v>3473.0639999999999</v>
      </c>
      <c r="AQH48" s="1305"/>
      <c r="AQI48" s="1335"/>
      <c r="AQJ48" s="1304"/>
      <c r="AQK48" s="1305"/>
      <c r="AQL48" s="1335"/>
      <c r="AQM48" s="1304"/>
      <c r="AQN48" s="1305"/>
      <c r="AQO48" s="1335"/>
      <c r="AQP48" s="1304"/>
      <c r="AQQ48" s="1305"/>
      <c r="AQR48" s="1305"/>
      <c r="AQS48" s="1304"/>
      <c r="AQT48" s="1305"/>
      <c r="AQU48" s="1335"/>
      <c r="AQV48" s="1305"/>
      <c r="AQW48" s="1305"/>
      <c r="AQX48" s="1335"/>
      <c r="AQY48" s="1304"/>
      <c r="AQZ48" s="1305"/>
      <c r="ARA48" s="1335"/>
      <c r="ARB48" s="1304"/>
      <c r="ARC48" s="1305"/>
      <c r="ARD48" s="1335"/>
      <c r="ARE48" s="1304"/>
      <c r="ARF48" s="1305"/>
      <c r="ARG48" s="1335"/>
      <c r="ARH48" s="1304"/>
      <c r="ARI48" s="1305"/>
      <c r="ARJ48" s="1335"/>
      <c r="ARK48" s="1304"/>
      <c r="ARL48" s="1305"/>
      <c r="ARM48" s="1335"/>
      <c r="ARN48" s="1304"/>
      <c r="ARO48" s="1305"/>
      <c r="ARP48" s="1335"/>
      <c r="ARQ48" s="1304"/>
      <c r="ARR48" s="1305"/>
      <c r="ARS48" s="1335"/>
      <c r="ART48" s="1304"/>
      <c r="ARU48" s="1305"/>
      <c r="ARV48" s="1335"/>
      <c r="ARW48" s="1304"/>
      <c r="ARX48" s="1305"/>
      <c r="ARY48" s="1335"/>
      <c r="ARZ48" s="1304"/>
      <c r="ASA48" s="1305"/>
      <c r="ASB48" s="1335"/>
      <c r="ASC48" s="1304"/>
      <c r="ASD48" s="1305"/>
      <c r="ASE48" s="1335"/>
      <c r="ASF48" s="1304"/>
      <c r="ASG48" s="1305"/>
      <c r="ASH48" s="1335"/>
      <c r="ASI48" s="1304"/>
      <c r="ASJ48" s="1305"/>
      <c r="ASK48" s="1335"/>
      <c r="ASL48" s="1304"/>
      <c r="ASM48" s="1305"/>
      <c r="ASN48" s="1335"/>
      <c r="ASO48" s="1304"/>
      <c r="ASP48" s="1305"/>
      <c r="ASQ48" s="1305"/>
      <c r="ASR48" s="1304"/>
      <c r="ASS48" s="1305"/>
      <c r="AST48" s="1335"/>
      <c r="ASU48" s="1304"/>
      <c r="ASV48" s="1305"/>
      <c r="ASW48" s="1335"/>
      <c r="ASX48" s="1304"/>
      <c r="ASY48" s="1305"/>
      <c r="ASZ48" s="1335"/>
      <c r="ATA48" s="1304"/>
      <c r="ATB48" s="1305"/>
      <c r="ATC48" s="1335"/>
      <c r="ATD48" s="1304"/>
      <c r="ATE48" s="1305"/>
      <c r="ATF48" s="1335"/>
      <c r="ATG48" s="1304"/>
      <c r="ATH48" s="1305"/>
      <c r="ATI48" s="1335"/>
      <c r="ATJ48" s="1304"/>
      <c r="ATK48" s="1305"/>
      <c r="ATL48" s="1335"/>
      <c r="ATM48" s="1304"/>
      <c r="ATN48" s="1305"/>
      <c r="ATO48" s="1335"/>
      <c r="ATP48" s="1304"/>
      <c r="ATQ48" s="1305"/>
      <c r="ATR48" s="1335"/>
      <c r="ATS48" s="1304"/>
      <c r="ATT48" s="1305"/>
      <c r="ATU48" s="1335"/>
      <c r="ATV48" s="1305"/>
      <c r="ATW48" s="1305"/>
      <c r="ATX48" s="1335"/>
      <c r="ATY48" s="1304"/>
      <c r="ATZ48" s="1305"/>
      <c r="AUA48" s="1335"/>
      <c r="AUB48" s="1304"/>
      <c r="AUC48" s="1305"/>
      <c r="AUD48" s="1335"/>
      <c r="AUE48" s="1304"/>
      <c r="AUF48" s="1305"/>
      <c r="AUG48" s="1335"/>
      <c r="AUH48" s="1304"/>
      <c r="AUI48" s="1305"/>
      <c r="AUJ48" s="1335"/>
      <c r="AUK48" s="1304"/>
      <c r="AUL48" s="1305"/>
      <c r="AUM48" s="1305"/>
      <c r="AUN48" s="1304"/>
      <c r="AUO48" s="1305"/>
      <c r="AUP48" s="1305"/>
      <c r="AUQ48" s="1304"/>
      <c r="AUR48" s="1305"/>
      <c r="AUS48" s="1305"/>
      <c r="AUT48" s="1304"/>
      <c r="AUU48" s="1305"/>
      <c r="AUV48" s="1305"/>
      <c r="AUW48" s="1304"/>
      <c r="AUX48" s="1305"/>
      <c r="AUY48" s="1305"/>
      <c r="AUZ48" s="1304"/>
      <c r="AVA48" s="1305"/>
      <c r="AVB48" s="1305"/>
      <c r="AVC48" s="1304"/>
      <c r="AVD48" s="1305"/>
      <c r="AVE48" s="1305"/>
      <c r="AVF48" s="1304"/>
      <c r="AVG48" s="1305"/>
      <c r="AVH48" s="1305"/>
      <c r="AVI48" s="1304"/>
      <c r="AVJ48" s="1305"/>
      <c r="AVK48" s="1305"/>
      <c r="AVL48" s="1304"/>
      <c r="AVM48" s="1305"/>
      <c r="AVN48" s="1305"/>
      <c r="AVO48" s="1304"/>
      <c r="AVP48" s="1305"/>
      <c r="AVQ48" s="1305"/>
      <c r="AVR48" s="1304"/>
      <c r="AVS48" s="1305"/>
      <c r="AVT48" s="1305"/>
      <c r="AVU48" s="1304"/>
      <c r="AVV48" s="1305"/>
      <c r="AVW48" s="1305"/>
      <c r="AVX48" s="1304"/>
      <c r="AVY48" s="1305"/>
      <c r="AVZ48" s="1305"/>
      <c r="AWA48" s="1304"/>
      <c r="AWB48" s="1305"/>
      <c r="AWC48" s="1305"/>
      <c r="AWD48" s="1304"/>
      <c r="AWE48" s="1305"/>
      <c r="AWF48" s="1305"/>
      <c r="AWG48" s="1304"/>
      <c r="AWH48" s="1305"/>
      <c r="AWI48" s="1305"/>
      <c r="AWJ48" s="1304"/>
      <c r="AWK48" s="1305"/>
      <c r="AWL48" s="1305"/>
      <c r="AWM48" s="1304"/>
      <c r="AWN48" s="1305"/>
      <c r="AWO48" s="1335"/>
      <c r="AWP48" s="1305"/>
      <c r="AWQ48" s="1305"/>
      <c r="AWR48" s="1335"/>
      <c r="AWS48" s="1304"/>
      <c r="AWT48" s="1305"/>
      <c r="AWU48" s="1335"/>
      <c r="AWV48" s="1304"/>
      <c r="AWW48" s="1305"/>
      <c r="AWX48" s="1335"/>
      <c r="AWY48" s="1304"/>
      <c r="AWZ48" s="1305"/>
      <c r="AXA48" s="1335"/>
      <c r="AXB48" s="1304"/>
      <c r="AXC48" s="1305"/>
      <c r="AXD48" s="1335"/>
      <c r="AXE48" s="1304"/>
      <c r="AXF48" s="1305"/>
      <c r="AXG48" s="1335"/>
      <c r="AXH48" s="1304"/>
      <c r="AXI48" s="1305"/>
      <c r="AXJ48" s="1335"/>
      <c r="AXK48" s="1304"/>
      <c r="AXL48" s="1305"/>
      <c r="AXM48" s="1335"/>
      <c r="AXN48" s="1304"/>
      <c r="AXO48" s="1305"/>
      <c r="AXP48" s="1335"/>
      <c r="AXQ48" s="1304"/>
      <c r="AXR48" s="1305"/>
      <c r="AXS48" s="1335"/>
      <c r="AXT48" s="1304"/>
      <c r="AXU48" s="1305"/>
      <c r="AXV48" s="1335"/>
      <c r="AXW48" s="1304"/>
      <c r="AXX48" s="1305"/>
      <c r="AXY48" s="1335"/>
      <c r="AXZ48" s="1304"/>
      <c r="AYA48" s="1305"/>
      <c r="AYB48" s="1335"/>
      <c r="AYC48" s="1304"/>
      <c r="AYD48" s="1305"/>
      <c r="AYE48" s="1335"/>
      <c r="AYF48" s="1304"/>
      <c r="AYG48" s="1305"/>
      <c r="AYH48" s="1335"/>
      <c r="AYI48" s="1304"/>
      <c r="AYJ48" s="1305"/>
      <c r="AYK48" s="1335"/>
      <c r="AYL48" s="1304"/>
      <c r="AYM48" s="1305"/>
      <c r="AYN48" s="1335"/>
      <c r="AYO48" s="1304"/>
      <c r="AYP48" s="1305"/>
      <c r="AYQ48" s="1335"/>
      <c r="AYR48" s="1304"/>
      <c r="AYS48" s="1305"/>
      <c r="AYT48" s="1335"/>
      <c r="AYU48" s="1304"/>
      <c r="AYV48" s="1305"/>
      <c r="AYW48" s="1335"/>
      <c r="AYX48" s="1304"/>
      <c r="AYY48" s="1305"/>
      <c r="AYZ48" s="1335"/>
      <c r="AZA48" s="1304"/>
      <c r="AZB48" s="1305"/>
      <c r="AZC48" s="1335"/>
      <c r="AZD48" s="1304"/>
      <c r="AZE48" s="1305"/>
      <c r="AZF48" s="1335"/>
      <c r="AZG48" s="1304"/>
      <c r="AZH48" s="1305"/>
      <c r="AZI48" s="1335"/>
      <c r="AZJ48" s="1304"/>
      <c r="AZK48" s="1305"/>
      <c r="AZL48" s="1335"/>
      <c r="AZM48" s="1304"/>
      <c r="AZN48" s="1305"/>
      <c r="AZO48" s="1335"/>
      <c r="AZP48" s="1304"/>
      <c r="AZQ48" s="1305"/>
      <c r="AZR48" s="1335"/>
      <c r="AZS48" s="1304"/>
      <c r="AZT48" s="1305"/>
      <c r="AZU48" s="1335"/>
      <c r="AZV48" s="1304"/>
      <c r="AZW48" s="1305"/>
      <c r="AZX48" s="1335"/>
      <c r="AZY48" s="1304"/>
      <c r="AZZ48" s="1305"/>
      <c r="BAA48" s="1335"/>
      <c r="BAB48" s="1304"/>
      <c r="BAC48" s="1305"/>
      <c r="BAD48" s="1335"/>
      <c r="BAE48" s="1304"/>
      <c r="BAF48" s="1305"/>
      <c r="BAG48" s="1335"/>
      <c r="BAH48" s="1304"/>
      <c r="BAI48" s="1305"/>
      <c r="BAJ48" s="1335"/>
    </row>
    <row r="49" spans="1:1388" s="354" customFormat="1" ht="14.5" customHeight="1">
      <c r="A49" s="17"/>
      <c r="B49" s="18" t="s">
        <v>373</v>
      </c>
      <c r="C49" s="1201"/>
      <c r="D49" s="1201"/>
      <c r="E49" s="13" t="s">
        <v>342</v>
      </c>
      <c r="F49" s="1266"/>
      <c r="G49" s="1266"/>
      <c r="H49" s="346"/>
      <c r="I49" s="1266"/>
      <c r="J49" s="1266"/>
      <c r="K49" s="346"/>
      <c r="L49" s="1266"/>
      <c r="M49" s="1266"/>
      <c r="N49" s="346"/>
      <c r="O49" s="1266"/>
      <c r="P49" s="1266"/>
      <c r="Q49" s="346"/>
      <c r="R49" s="1266"/>
      <c r="S49" s="1266"/>
      <c r="T49" s="346"/>
      <c r="U49" s="1266"/>
      <c r="V49" s="1266"/>
      <c r="W49" s="346"/>
      <c r="X49" s="1266"/>
      <c r="Y49" s="1266"/>
      <c r="Z49" s="346"/>
      <c r="AA49" s="1266"/>
      <c r="AB49" s="1266"/>
      <c r="AC49" s="346"/>
      <c r="AD49" s="1266"/>
      <c r="AE49" s="1266"/>
      <c r="AF49" s="346"/>
      <c r="AG49" s="1266"/>
      <c r="AH49" s="1266"/>
      <c r="AI49" s="346"/>
      <c r="AJ49" s="1266"/>
      <c r="AK49" s="1266"/>
      <c r="AL49" s="346"/>
      <c r="AM49" s="1266"/>
      <c r="AN49" s="1266"/>
      <c r="AO49" s="346"/>
      <c r="AP49" s="1266"/>
      <c r="AQ49" s="1266"/>
      <c r="AR49" s="346"/>
      <c r="AS49" s="1266"/>
      <c r="AT49" s="1266"/>
      <c r="AU49" s="346"/>
      <c r="AV49" s="1266"/>
      <c r="AW49" s="1266"/>
      <c r="AX49" s="346"/>
      <c r="AY49" s="1266"/>
      <c r="AZ49" s="1266"/>
      <c r="BA49" s="346"/>
      <c r="BB49" s="1266"/>
      <c r="BC49" s="1266"/>
      <c r="BD49" s="346"/>
      <c r="BE49" s="1266"/>
      <c r="BF49" s="1266"/>
      <c r="BG49" s="346"/>
      <c r="BH49" s="1266"/>
      <c r="BI49" s="1266"/>
      <c r="BJ49" s="346"/>
      <c r="BK49" s="1266"/>
      <c r="BL49" s="1266"/>
      <c r="BM49" s="346"/>
      <c r="BN49" s="1266"/>
      <c r="BO49" s="1266"/>
      <c r="BP49" s="346"/>
      <c r="BQ49" s="1266"/>
      <c r="BR49" s="1266"/>
      <c r="BS49" s="346"/>
      <c r="BT49" s="1266"/>
      <c r="BU49" s="1266"/>
      <c r="BV49" s="346"/>
      <c r="BW49" s="1266"/>
      <c r="BX49" s="1266"/>
      <c r="BY49" s="346"/>
      <c r="BZ49" s="1266"/>
      <c r="CA49" s="1266"/>
      <c r="CB49" s="346"/>
      <c r="CC49" s="1266"/>
      <c r="CD49" s="1266"/>
      <c r="CE49" s="346"/>
      <c r="CF49" s="1266"/>
      <c r="CG49" s="1266"/>
      <c r="CH49" s="346"/>
      <c r="CI49" s="1266"/>
      <c r="CJ49" s="1266"/>
      <c r="CK49" s="346"/>
      <c r="CL49" s="1266"/>
      <c r="CM49" s="1266"/>
      <c r="CN49" s="346"/>
      <c r="CO49" s="1266"/>
      <c r="CP49" s="1266"/>
      <c r="CQ49" s="346"/>
      <c r="CR49" s="1266"/>
      <c r="CS49" s="1266"/>
      <c r="CT49" s="346"/>
      <c r="CU49" s="1266"/>
      <c r="CV49" s="1266"/>
      <c r="CW49" s="346"/>
      <c r="CX49" s="1266"/>
      <c r="CY49" s="1266"/>
      <c r="CZ49" s="346"/>
      <c r="DA49" s="1266"/>
      <c r="DB49" s="1266"/>
      <c r="DC49" s="346"/>
      <c r="DD49" s="1266"/>
      <c r="DE49" s="1266"/>
      <c r="DF49" s="346"/>
      <c r="DG49" s="1266"/>
      <c r="DH49" s="1266"/>
      <c r="DI49" s="346"/>
      <c r="DJ49" s="1266"/>
      <c r="DK49" s="1266"/>
      <c r="DL49" s="346"/>
      <c r="DM49" s="1266"/>
      <c r="DN49" s="1266"/>
      <c r="DO49" s="346"/>
      <c r="DP49" s="1266"/>
      <c r="DQ49" s="1266"/>
      <c r="DR49" s="346"/>
      <c r="DS49" s="1266"/>
      <c r="DT49" s="1266"/>
      <c r="DU49" s="346"/>
      <c r="DV49" s="1266"/>
      <c r="DW49" s="1266"/>
      <c r="DX49" s="346"/>
      <c r="DY49" s="1266"/>
      <c r="DZ49" s="1266"/>
      <c r="EA49" s="346"/>
      <c r="EB49" s="1266"/>
      <c r="EC49" s="1266"/>
      <c r="ED49" s="346"/>
      <c r="EE49" s="1266"/>
      <c r="EF49" s="1266"/>
      <c r="EG49" s="346"/>
      <c r="EH49" s="1266"/>
      <c r="EI49" s="1266"/>
      <c r="EJ49" s="346"/>
      <c r="EK49" s="1266"/>
      <c r="EL49" s="1266"/>
      <c r="EM49" s="346"/>
      <c r="EN49" s="1266"/>
      <c r="EO49" s="1266"/>
      <c r="EP49" s="346"/>
      <c r="EQ49" s="1266"/>
      <c r="ER49" s="1266"/>
      <c r="ES49" s="346"/>
      <c r="ET49" s="1266"/>
      <c r="EU49" s="1266"/>
      <c r="EV49" s="346"/>
      <c r="EW49" s="1266"/>
      <c r="EX49" s="1266"/>
      <c r="EY49" s="346"/>
      <c r="EZ49" s="1266"/>
      <c r="FA49" s="1266"/>
      <c r="FB49" s="346"/>
      <c r="FC49" s="1266"/>
      <c r="FD49" s="1266"/>
      <c r="FE49" s="346"/>
      <c r="FF49" s="1266"/>
      <c r="FG49" s="1266"/>
      <c r="FH49" s="346"/>
      <c r="FI49" s="1266"/>
      <c r="FJ49" s="1266"/>
      <c r="FK49" s="346"/>
      <c r="FL49" s="1266"/>
      <c r="FM49" s="1266"/>
      <c r="FN49" s="346"/>
      <c r="FO49" s="1266"/>
      <c r="FP49" s="1266"/>
      <c r="FQ49" s="346"/>
      <c r="FR49" s="1266"/>
      <c r="FS49" s="1266"/>
      <c r="FT49" s="346"/>
      <c r="FU49" s="1266"/>
      <c r="FV49" s="1266"/>
      <c r="FW49" s="346"/>
      <c r="FX49" s="1266"/>
      <c r="FY49" s="1266"/>
      <c r="FZ49" s="346"/>
      <c r="GA49" s="1266"/>
      <c r="GB49" s="1266"/>
      <c r="GC49" s="346"/>
      <c r="GD49" s="1266"/>
      <c r="GE49" s="1266"/>
      <c r="GF49" s="346"/>
      <c r="GG49" s="1266"/>
      <c r="GH49" s="1266"/>
      <c r="GI49" s="346"/>
      <c r="GJ49" s="1266"/>
      <c r="GK49" s="1266"/>
      <c r="GL49" s="346"/>
      <c r="GM49" s="1266"/>
      <c r="GN49" s="1266"/>
      <c r="GO49" s="346"/>
      <c r="GP49" s="1266"/>
      <c r="GQ49" s="1266"/>
      <c r="GR49" s="346"/>
      <c r="GS49" s="1266"/>
      <c r="GT49" s="1266"/>
      <c r="GU49" s="346"/>
      <c r="GV49" s="1266"/>
      <c r="GW49" s="1266"/>
      <c r="GX49" s="346"/>
      <c r="GY49" s="1266"/>
      <c r="GZ49" s="1266"/>
      <c r="HA49" s="346"/>
      <c r="HB49" s="1266"/>
      <c r="HC49" s="1266"/>
      <c r="HD49" s="346"/>
      <c r="HE49" s="1266"/>
      <c r="HF49" s="1266"/>
      <c r="HG49" s="346"/>
      <c r="HH49" s="1266"/>
      <c r="HI49" s="1266"/>
      <c r="HJ49" s="346"/>
      <c r="HK49" s="1266"/>
      <c r="HL49" s="1266"/>
      <c r="HM49" s="346"/>
      <c r="HN49" s="1266"/>
      <c r="HO49" s="1266"/>
      <c r="HP49" s="346"/>
      <c r="HQ49" s="1266"/>
      <c r="HR49" s="1266"/>
      <c r="HS49" s="346"/>
      <c r="HT49" s="1266"/>
      <c r="HU49" s="1266"/>
      <c r="HV49" s="346"/>
      <c r="HW49" s="1266"/>
      <c r="HX49" s="1266"/>
      <c r="HY49" s="346"/>
      <c r="HZ49" s="1266"/>
      <c r="IA49" s="1266"/>
      <c r="IB49" s="346"/>
      <c r="IC49" s="1266"/>
      <c r="ID49" s="1266"/>
      <c r="IE49" s="346"/>
      <c r="IF49" s="1266"/>
      <c r="IG49" s="1266"/>
      <c r="IH49" s="346"/>
      <c r="II49" s="1266"/>
      <c r="IJ49" s="1266"/>
      <c r="IK49" s="346"/>
      <c r="IL49" s="1266"/>
      <c r="IM49" s="1266"/>
      <c r="IN49" s="346"/>
      <c r="IO49" s="1266"/>
      <c r="IP49" s="1266"/>
      <c r="IQ49" s="346"/>
      <c r="IR49" s="1266"/>
      <c r="IS49" s="1266"/>
      <c r="IT49" s="346"/>
      <c r="IU49" s="1266"/>
      <c r="IV49" s="1266"/>
      <c r="IW49" s="346"/>
      <c r="IX49" s="1266"/>
      <c r="IY49" s="1266"/>
      <c r="IZ49" s="346"/>
      <c r="JA49" s="1266"/>
      <c r="JB49" s="1266"/>
      <c r="JC49" s="346"/>
      <c r="JD49" s="1266"/>
      <c r="JE49" s="1266"/>
      <c r="JF49" s="346"/>
      <c r="JG49" s="1266"/>
      <c r="JH49" s="1266"/>
      <c r="JI49" s="346"/>
      <c r="JJ49" s="1266"/>
      <c r="JK49" s="1266"/>
      <c r="JL49" s="346"/>
      <c r="JM49" s="1266"/>
      <c r="JN49" s="1266"/>
      <c r="JO49" s="346"/>
      <c r="JP49" s="1266"/>
      <c r="JQ49" s="1266"/>
      <c r="JR49" s="346"/>
      <c r="JS49" s="1266"/>
      <c r="JT49" s="1266"/>
      <c r="JU49" s="346"/>
      <c r="JV49" s="1266"/>
      <c r="JW49" s="1266"/>
      <c r="JX49" s="346"/>
      <c r="JY49" s="1266"/>
      <c r="JZ49" s="1266"/>
      <c r="KA49" s="346"/>
      <c r="KB49" s="1266"/>
      <c r="KC49" s="1266"/>
      <c r="KD49" s="346"/>
      <c r="KE49" s="1266"/>
      <c r="KF49" s="1266"/>
      <c r="KG49" s="346"/>
      <c r="KH49" s="1266"/>
      <c r="KI49" s="1266"/>
      <c r="KJ49" s="346"/>
      <c r="KK49" s="1266"/>
      <c r="KL49" s="1266"/>
      <c r="KM49" s="346"/>
      <c r="KN49" s="1266"/>
      <c r="KO49" s="1266"/>
      <c r="KP49" s="346"/>
      <c r="KQ49" s="1266"/>
      <c r="KR49" s="1266"/>
      <c r="KS49" s="346"/>
      <c r="KT49" s="1266"/>
      <c r="KU49" s="1266"/>
      <c r="KV49" s="346"/>
      <c r="KW49" s="1266"/>
      <c r="KX49" s="1266"/>
      <c r="KY49" s="346"/>
      <c r="KZ49" s="1266"/>
      <c r="LA49" s="1266"/>
      <c r="LB49" s="346"/>
      <c r="LC49" s="1266"/>
      <c r="LD49" s="1266"/>
      <c r="LE49" s="346"/>
      <c r="LF49" s="1266"/>
      <c r="LG49" s="1266"/>
      <c r="LH49" s="346"/>
      <c r="LI49" s="1266"/>
      <c r="LJ49" s="1266"/>
      <c r="LK49" s="346"/>
      <c r="LL49" s="1266"/>
      <c r="LM49" s="1266"/>
      <c r="LN49" s="346"/>
      <c r="LO49" s="1266"/>
      <c r="LP49" s="1266"/>
      <c r="LQ49" s="346"/>
      <c r="LR49" s="1266"/>
      <c r="LS49" s="1266"/>
      <c r="LT49" s="346"/>
      <c r="LU49" s="1266"/>
      <c r="LV49" s="1266"/>
      <c r="LW49" s="346"/>
      <c r="LX49" s="1266"/>
      <c r="LY49" s="1266"/>
      <c r="LZ49" s="346"/>
      <c r="MA49" s="1266"/>
      <c r="MB49" s="1266"/>
      <c r="MC49" s="346"/>
      <c r="MD49" s="1266"/>
      <c r="ME49" s="1266"/>
      <c r="MF49" s="346"/>
      <c r="MG49" s="1266"/>
      <c r="MH49" s="1266"/>
      <c r="MI49" s="346"/>
      <c r="MJ49" s="1266"/>
      <c r="MK49" s="1266"/>
      <c r="ML49" s="346"/>
      <c r="MM49" s="1266"/>
      <c r="MN49" s="1266"/>
      <c r="MO49" s="346"/>
      <c r="MP49" s="1266"/>
      <c r="MQ49" s="1266"/>
      <c r="MR49" s="346"/>
      <c r="MS49" s="1266"/>
      <c r="MT49" s="1266"/>
      <c r="MU49" s="346"/>
      <c r="MV49" s="1266"/>
      <c r="MW49" s="1266"/>
      <c r="MX49" s="346"/>
      <c r="MY49" s="1266"/>
      <c r="MZ49" s="1266"/>
      <c r="NA49" s="346"/>
      <c r="NB49" s="1266"/>
      <c r="NC49" s="1266"/>
      <c r="ND49" s="346"/>
      <c r="NE49" s="1266"/>
      <c r="NF49" s="1266"/>
      <c r="NG49" s="346"/>
      <c r="NH49" s="1266"/>
      <c r="NI49" s="1266"/>
      <c r="NJ49" s="346"/>
      <c r="NK49" s="1266"/>
      <c r="NL49" s="1266"/>
      <c r="NM49" s="346"/>
      <c r="NN49" s="1266"/>
      <c r="NO49" s="1266"/>
      <c r="NP49" s="346"/>
      <c r="NQ49" s="1266"/>
      <c r="NR49" s="1266"/>
      <c r="NS49" s="346"/>
      <c r="NT49" s="1266"/>
      <c r="NU49" s="1266"/>
      <c r="NV49" s="346"/>
      <c r="NW49" s="1266"/>
      <c r="NX49" s="1266"/>
      <c r="NY49" s="346"/>
      <c r="NZ49" s="1266"/>
      <c r="OA49" s="1266"/>
      <c r="OB49" s="346"/>
      <c r="OC49" s="1266"/>
      <c r="OD49" s="1266"/>
      <c r="OE49" s="346"/>
      <c r="OF49" s="1266"/>
      <c r="OG49" s="1266"/>
      <c r="OH49" s="346"/>
      <c r="OI49" s="1266"/>
      <c r="OJ49" s="1266"/>
      <c r="OK49" s="346"/>
      <c r="OL49" s="1266"/>
      <c r="OM49" s="1266"/>
      <c r="ON49" s="346"/>
      <c r="OO49" s="1266"/>
      <c r="OP49" s="1266"/>
      <c r="OQ49" s="346"/>
      <c r="OR49" s="1266"/>
      <c r="OS49" s="1266"/>
      <c r="OT49" s="346"/>
      <c r="OU49" s="1266"/>
      <c r="OV49" s="1266"/>
      <c r="OW49" s="346"/>
      <c r="OX49" s="1266"/>
      <c r="OY49" s="1266"/>
      <c r="OZ49" s="346"/>
      <c r="PA49" s="1266"/>
      <c r="PB49" s="1266"/>
      <c r="PC49" s="346"/>
      <c r="PD49" s="1266"/>
      <c r="PE49" s="1266"/>
      <c r="PF49" s="346"/>
      <c r="PG49" s="1266"/>
      <c r="PH49" s="1266"/>
      <c r="PI49" s="346"/>
      <c r="PJ49" s="1266"/>
      <c r="PK49" s="1266"/>
      <c r="PL49" s="346"/>
      <c r="PM49" s="1266"/>
      <c r="PN49" s="1266"/>
      <c r="PO49" s="346"/>
      <c r="PP49" s="1266"/>
      <c r="PQ49" s="1266"/>
      <c r="PR49" s="346"/>
      <c r="PS49" s="1266"/>
      <c r="PT49" s="1266"/>
      <c r="PU49" s="346"/>
      <c r="PV49" s="386"/>
      <c r="PW49" s="386"/>
      <c r="PX49" s="387"/>
      <c r="PY49" s="386"/>
      <c r="PZ49" s="386"/>
      <c r="QA49" s="387"/>
      <c r="QB49" s="386"/>
      <c r="QC49" s="386"/>
      <c r="QD49" s="387"/>
      <c r="QE49" s="386"/>
      <c r="QF49" s="386"/>
      <c r="QG49" s="387"/>
      <c r="QH49" s="386"/>
      <c r="QI49" s="386"/>
      <c r="QJ49" s="387"/>
      <c r="QK49" s="386"/>
      <c r="QL49" s="386"/>
      <c r="QM49" s="387"/>
      <c r="QN49" s="386"/>
      <c r="QO49" s="386"/>
      <c r="QP49" s="387"/>
      <c r="QQ49" s="386"/>
      <c r="QR49" s="386"/>
      <c r="QS49" s="387"/>
      <c r="QT49" s="386"/>
      <c r="QU49" s="386"/>
      <c r="QV49" s="387"/>
      <c r="QW49" s="386"/>
      <c r="QX49" s="386"/>
      <c r="QY49" s="387"/>
      <c r="QZ49" s="386"/>
      <c r="RA49" s="386"/>
      <c r="RB49" s="387"/>
      <c r="RC49" s="386"/>
      <c r="RD49" s="386"/>
      <c r="RE49" s="387"/>
      <c r="RF49" s="386"/>
      <c r="RG49" s="386"/>
      <c r="RH49" s="387"/>
      <c r="RI49" s="1266"/>
      <c r="RJ49" s="1266"/>
      <c r="RK49" s="346"/>
      <c r="RL49" s="1266"/>
      <c r="RM49" s="1266"/>
      <c r="RN49" s="346"/>
      <c r="RO49" s="1266"/>
      <c r="RP49" s="1266"/>
      <c r="RQ49" s="346"/>
      <c r="RR49" s="1266"/>
      <c r="RS49" s="1266"/>
      <c r="RT49" s="346"/>
      <c r="RU49" s="1266"/>
      <c r="RV49" s="1266"/>
      <c r="RW49" s="346"/>
      <c r="RX49" s="386"/>
      <c r="RY49" s="386"/>
      <c r="RZ49" s="387"/>
      <c r="SA49" s="386"/>
      <c r="SB49" s="386"/>
      <c r="SC49" s="387"/>
      <c r="SD49" s="386"/>
      <c r="SE49" s="386"/>
      <c r="SF49" s="387"/>
      <c r="SG49" s="386"/>
      <c r="SH49" s="386"/>
      <c r="SI49" s="387"/>
      <c r="SJ49" s="386"/>
      <c r="SK49" s="386"/>
      <c r="SL49" s="387"/>
      <c r="SM49" s="386"/>
      <c r="SN49" s="386"/>
      <c r="SO49" s="387"/>
      <c r="SP49" s="386"/>
      <c r="SQ49" s="386"/>
      <c r="SR49" s="387"/>
      <c r="SS49" s="386"/>
      <c r="ST49" s="386"/>
      <c r="SU49" s="387"/>
      <c r="SV49" s="386"/>
      <c r="SW49" s="386"/>
      <c r="SX49" s="387"/>
      <c r="SY49" s="386"/>
      <c r="SZ49" s="386"/>
      <c r="TA49" s="387"/>
      <c r="TB49" s="386"/>
      <c r="TC49" s="386"/>
      <c r="TD49" s="387"/>
      <c r="TE49" s="386"/>
      <c r="TF49" s="386"/>
      <c r="TG49" s="387"/>
      <c r="TH49" s="386"/>
      <c r="TI49" s="386"/>
      <c r="TJ49" s="387"/>
      <c r="TK49" s="386"/>
      <c r="TL49" s="386"/>
      <c r="TM49" s="387"/>
      <c r="TN49" s="386"/>
      <c r="TO49" s="386"/>
      <c r="TP49" s="387"/>
      <c r="TQ49" s="386"/>
      <c r="TR49" s="386"/>
      <c r="TS49" s="387"/>
      <c r="TT49" s="386"/>
      <c r="TU49" s="386"/>
      <c r="TV49" s="387"/>
      <c r="TW49" s="386"/>
      <c r="TX49" s="386"/>
      <c r="TY49" s="387"/>
      <c r="TZ49" s="386"/>
      <c r="UA49" s="386"/>
      <c r="UB49" s="387"/>
      <c r="UC49" s="386"/>
      <c r="UD49" s="19"/>
      <c r="UE49" s="389"/>
      <c r="UF49" s="388"/>
      <c r="UG49" s="19"/>
      <c r="UH49" s="389"/>
      <c r="UI49" s="386"/>
      <c r="UJ49" s="19"/>
      <c r="UK49" s="389"/>
      <c r="UL49" s="386"/>
      <c r="UM49" s="19"/>
      <c r="UN49" s="389"/>
      <c r="UO49" s="386"/>
      <c r="UP49" s="19"/>
      <c r="UQ49" s="389"/>
      <c r="UR49" s="386"/>
      <c r="US49" s="19"/>
      <c r="UT49" s="389"/>
      <c r="UU49" s="386"/>
      <c r="UV49" s="19"/>
      <c r="UW49" s="389"/>
      <c r="UX49" s="386"/>
      <c r="UY49" s="19"/>
      <c r="UZ49" s="389"/>
      <c r="VA49" s="386"/>
      <c r="VB49" s="19"/>
      <c r="VC49" s="389"/>
      <c r="VD49" s="386"/>
      <c r="VE49" s="19"/>
      <c r="VF49" s="389"/>
      <c r="VG49" s="386"/>
      <c r="VH49" s="19"/>
      <c r="VI49" s="389"/>
      <c r="VJ49" s="386"/>
      <c r="VK49" s="19"/>
      <c r="VL49" s="389"/>
      <c r="VM49" s="386"/>
      <c r="VN49" s="19"/>
      <c r="VO49" s="389"/>
      <c r="VP49" s="386"/>
      <c r="VQ49" s="19"/>
      <c r="VR49" s="389"/>
      <c r="VS49" s="386"/>
      <c r="VT49" s="19"/>
      <c r="VU49" s="389"/>
      <c r="VV49" s="386"/>
      <c r="VW49" s="19"/>
      <c r="VX49" s="389"/>
      <c r="VY49" s="386"/>
      <c r="VZ49" s="19"/>
      <c r="WA49" s="389"/>
      <c r="WB49" s="386"/>
      <c r="WC49" s="19"/>
      <c r="WD49" s="389"/>
      <c r="WE49" s="386"/>
      <c r="WF49" s="19"/>
      <c r="WG49" s="389"/>
      <c r="WH49" s="386"/>
      <c r="WI49" s="19"/>
      <c r="WJ49" s="389"/>
      <c r="WK49" s="386"/>
      <c r="WL49" s="19"/>
      <c r="WM49" s="389"/>
      <c r="WN49" s="386"/>
      <c r="WO49" s="19"/>
      <c r="WP49" s="389"/>
      <c r="WQ49" s="386"/>
      <c r="WR49" s="19"/>
      <c r="WS49" s="389"/>
      <c r="WT49" s="386"/>
      <c r="WU49" s="19"/>
      <c r="WV49" s="389"/>
      <c r="WW49" s="386"/>
      <c r="WX49" s="19"/>
      <c r="WY49" s="389"/>
      <c r="WZ49" s="386"/>
      <c r="XA49" s="19"/>
      <c r="XB49" s="389"/>
      <c r="XC49" s="386"/>
      <c r="XD49" s="19"/>
      <c r="XE49" s="389"/>
      <c r="XF49" s="386"/>
      <c r="XG49" s="19"/>
      <c r="XH49" s="389"/>
      <c r="XI49" s="386"/>
      <c r="XJ49" s="19"/>
      <c r="XK49" s="389"/>
      <c r="XL49" s="386"/>
      <c r="XM49" s="19"/>
      <c r="XN49" s="389"/>
      <c r="XO49" s="386"/>
      <c r="XP49" s="19"/>
      <c r="XQ49" s="389"/>
      <c r="XR49" s="386"/>
      <c r="XS49" s="19"/>
      <c r="XT49" s="389"/>
      <c r="XU49" s="386"/>
      <c r="XV49" s="19"/>
      <c r="XW49" s="389"/>
      <c r="XX49" s="386"/>
      <c r="XY49" s="19"/>
      <c r="XZ49" s="389"/>
      <c r="YA49" s="386"/>
      <c r="YB49" s="19"/>
      <c r="YC49" s="389"/>
      <c r="YD49" s="386"/>
      <c r="YE49" s="19"/>
      <c r="YF49" s="389"/>
      <c r="YG49" s="386"/>
      <c r="YH49" s="19"/>
      <c r="YI49" s="389"/>
      <c r="YJ49" s="386"/>
      <c r="YK49" s="19"/>
      <c r="YL49" s="389"/>
      <c r="YM49" s="386"/>
      <c r="YN49" s="19"/>
      <c r="YO49" s="389"/>
      <c r="YP49" s="386"/>
      <c r="YQ49" s="19"/>
      <c r="YR49" s="389"/>
      <c r="YS49" s="386"/>
      <c r="YT49" s="19"/>
      <c r="YU49" s="389"/>
      <c r="YV49" s="386"/>
      <c r="YW49" s="19"/>
      <c r="YX49" s="389"/>
      <c r="YY49" s="386"/>
      <c r="YZ49" s="19"/>
      <c r="ZA49" s="389"/>
      <c r="ZB49" s="386"/>
      <c r="ZC49" s="19"/>
      <c r="ZD49" s="389"/>
      <c r="ZE49" s="386"/>
      <c r="ZF49" s="19"/>
      <c r="ZG49" s="389"/>
      <c r="ZH49" s="386"/>
      <c r="ZI49" s="19"/>
      <c r="ZJ49" s="389"/>
      <c r="ZK49" s="386"/>
      <c r="ZL49" s="19"/>
      <c r="ZM49" s="389"/>
      <c r="ZN49" s="386"/>
      <c r="ZO49" s="19"/>
      <c r="ZP49" s="389"/>
      <c r="ZQ49" s="386"/>
      <c r="ZR49" s="19"/>
      <c r="ZS49" s="389"/>
      <c r="ZT49" s="386"/>
      <c r="ZU49" s="19"/>
      <c r="ZV49" s="389"/>
      <c r="ZW49" s="386"/>
      <c r="ZX49" s="19"/>
      <c r="ZY49" s="389"/>
      <c r="ZZ49" s="386"/>
      <c r="AAA49" s="19"/>
      <c r="AAB49" s="389"/>
      <c r="AAC49" s="386"/>
      <c r="AAD49" s="19"/>
      <c r="AAE49" s="389"/>
      <c r="AAF49" s="386"/>
      <c r="AAG49" s="19"/>
      <c r="AAH49" s="389"/>
      <c r="AAI49" s="386"/>
      <c r="AAJ49" s="19"/>
      <c r="AAK49" s="389"/>
      <c r="AAL49" s="386"/>
      <c r="AAM49" s="19"/>
      <c r="AAN49" s="389"/>
      <c r="AAO49" s="386"/>
      <c r="AAP49" s="19"/>
      <c r="AAQ49" s="389"/>
      <c r="AAR49" s="386"/>
      <c r="AAS49" s="19"/>
      <c r="AAT49" s="389"/>
      <c r="AAU49" s="386"/>
      <c r="AAV49" s="19"/>
      <c r="AAW49" s="389"/>
      <c r="AAX49" s="386"/>
      <c r="AAY49" s="19"/>
      <c r="AAZ49" s="389"/>
      <c r="ABA49" s="386"/>
      <c r="ABB49" s="19"/>
      <c r="ABC49" s="389"/>
      <c r="ABD49" s="386"/>
      <c r="ABE49" s="19"/>
      <c r="ABF49" s="389"/>
      <c r="ABG49" s="386"/>
      <c r="ABH49" s="19"/>
      <c r="ABI49" s="389"/>
      <c r="ABJ49" s="386"/>
      <c r="ABK49" s="19"/>
      <c r="ABL49" s="389"/>
      <c r="ABM49" s="386"/>
      <c r="ABN49" s="19"/>
      <c r="ABO49" s="389"/>
      <c r="ABP49" s="386"/>
      <c r="ABQ49" s="19"/>
      <c r="ABR49" s="389"/>
      <c r="ABS49" s="386"/>
      <c r="ABT49" s="19"/>
      <c r="ABU49" s="389"/>
      <c r="ABV49" s="386"/>
      <c r="ABW49" s="19"/>
      <c r="ABX49" s="389"/>
      <c r="ABY49" s="386"/>
      <c r="ABZ49" s="19"/>
      <c r="ACA49" s="389"/>
      <c r="ACB49" s="386"/>
      <c r="ACC49" s="19"/>
      <c r="ACD49" s="389"/>
      <c r="ACE49" s="386"/>
      <c r="ACF49" s="19"/>
      <c r="ACG49" s="389"/>
      <c r="ACH49" s="386"/>
      <c r="ACI49" s="19"/>
      <c r="ACJ49" s="389"/>
      <c r="ACK49" s="386"/>
      <c r="ACL49" s="19"/>
      <c r="ACM49" s="389"/>
      <c r="ACN49" s="386"/>
      <c r="ACO49" s="19"/>
      <c r="ACP49" s="389"/>
      <c r="ACQ49" s="386"/>
      <c r="ACR49" s="19"/>
      <c r="ACS49" s="389"/>
      <c r="ACT49" s="386"/>
      <c r="ACU49" s="19"/>
      <c r="ACV49" s="389"/>
      <c r="ACW49" s="386"/>
      <c r="ACX49" s="19"/>
      <c r="ACY49" s="389"/>
      <c r="ACZ49" s="386"/>
      <c r="ADA49" s="19"/>
      <c r="ADB49" s="389"/>
      <c r="ADC49" s="386"/>
      <c r="ADD49" s="19"/>
      <c r="ADE49" s="389"/>
      <c r="ADF49" s="386"/>
      <c r="ADG49" s="19"/>
      <c r="ADH49" s="389"/>
      <c r="ADI49" s="386"/>
      <c r="ADJ49" s="19"/>
      <c r="ADK49" s="389"/>
      <c r="ADL49" s="386"/>
      <c r="ADM49" s="19"/>
      <c r="ADN49" s="389"/>
      <c r="ADO49" s="386"/>
      <c r="ADP49" s="19"/>
      <c r="ADQ49" s="389"/>
      <c r="ADR49" s="386"/>
      <c r="ADS49" s="19"/>
      <c r="ADT49" s="389"/>
      <c r="ADU49" s="386"/>
      <c r="ADV49" s="19"/>
      <c r="ADW49" s="389"/>
      <c r="ADX49" s="386"/>
      <c r="ADY49" s="19"/>
      <c r="ADZ49" s="389"/>
      <c r="AEA49" s="386"/>
      <c r="AEB49" s="19"/>
      <c r="AEC49" s="389"/>
      <c r="AED49" s="386"/>
      <c r="AEE49" s="19"/>
      <c r="AEF49" s="389"/>
      <c r="AEG49" s="386"/>
      <c r="AEH49" s="19"/>
      <c r="AEI49" s="389"/>
      <c r="AEJ49" s="386"/>
      <c r="AEK49" s="19"/>
      <c r="AEL49" s="389"/>
      <c r="AEM49" s="388"/>
      <c r="AEN49" s="19"/>
      <c r="AEO49" s="389"/>
      <c r="AEP49" s="386"/>
      <c r="AEQ49" s="19"/>
      <c r="AER49" s="389"/>
      <c r="AES49" s="386"/>
      <c r="AET49" s="19"/>
      <c r="AEU49" s="389"/>
      <c r="AEV49" s="386"/>
      <c r="AEW49" s="19"/>
      <c r="AEX49" s="389"/>
      <c r="AEY49" s="388"/>
      <c r="AEZ49" s="386"/>
      <c r="AFA49" s="387"/>
      <c r="AFB49" s="388"/>
      <c r="AFC49" s="386"/>
      <c r="AFD49" s="387"/>
      <c r="AFE49" s="388"/>
      <c r="AFF49" s="386"/>
      <c r="AFG49" s="387"/>
      <c r="AFH49" s="388"/>
      <c r="AFI49" s="386"/>
      <c r="AFJ49" s="387"/>
      <c r="AFK49" s="388"/>
      <c r="AFL49" s="386"/>
      <c r="AFM49" s="387"/>
      <c r="AFN49" s="388"/>
      <c r="AFO49" s="386"/>
      <c r="AFP49" s="387"/>
      <c r="AFQ49" s="388"/>
      <c r="AFR49" s="386"/>
      <c r="AFS49" s="387"/>
      <c r="AFT49" s="388"/>
      <c r="AFU49" s="386"/>
      <c r="AFV49" s="387"/>
      <c r="AFW49" s="388"/>
      <c r="AFX49" s="386"/>
      <c r="AFY49" s="387"/>
      <c r="AFZ49" s="388"/>
      <c r="AGA49" s="386"/>
      <c r="AGB49" s="387"/>
      <c r="AGC49" s="388"/>
      <c r="AGD49" s="386"/>
      <c r="AGE49" s="387"/>
      <c r="AGF49" s="388"/>
      <c r="AGG49" s="386"/>
      <c r="AGH49" s="387"/>
      <c r="AGI49" s="388"/>
      <c r="AGJ49" s="386"/>
      <c r="AGK49" s="387"/>
      <c r="AGL49" s="388"/>
      <c r="AGM49" s="386"/>
      <c r="AGN49" s="387"/>
      <c r="AGO49" s="388"/>
      <c r="AGP49" s="386"/>
      <c r="AGQ49" s="387"/>
      <c r="AGR49" s="388"/>
      <c r="AGS49" s="386"/>
      <c r="AGT49" s="387"/>
      <c r="AGU49" s="388"/>
      <c r="AGV49" s="386"/>
      <c r="AGW49" s="387"/>
      <c r="AGX49" s="388"/>
      <c r="AGY49" s="386"/>
      <c r="AGZ49" s="387"/>
      <c r="AHA49" s="388"/>
      <c r="AHB49" s="386"/>
      <c r="AHC49" s="387"/>
      <c r="AHD49" s="388"/>
      <c r="AHE49" s="386"/>
      <c r="AHF49" s="387"/>
      <c r="AHG49" s="388"/>
      <c r="AHH49" s="386"/>
      <c r="AHI49" s="387"/>
      <c r="AHJ49" s="388"/>
      <c r="AHK49" s="386"/>
      <c r="AHL49" s="387"/>
      <c r="AHM49" s="388"/>
      <c r="AHN49" s="386"/>
      <c r="AHO49" s="387"/>
      <c r="AHP49" s="388"/>
      <c r="AHQ49" s="386"/>
      <c r="AHR49" s="387"/>
      <c r="AHS49" s="388"/>
      <c r="AHT49" s="386"/>
      <c r="AHU49" s="387"/>
      <c r="AHV49" s="388"/>
      <c r="AHW49" s="386"/>
      <c r="AHX49" s="387"/>
      <c r="AHY49" s="388"/>
      <c r="AHZ49" s="386"/>
      <c r="AIA49" s="387"/>
      <c r="AIB49" s="388"/>
      <c r="AIC49" s="386"/>
      <c r="AID49" s="386"/>
      <c r="AIE49" s="388"/>
      <c r="AIF49" s="386"/>
      <c r="AIG49" s="387"/>
      <c r="AIH49" s="388"/>
      <c r="AII49" s="386"/>
      <c r="AIJ49" s="387"/>
      <c r="AIK49" s="388"/>
      <c r="AIL49" s="386"/>
      <c r="AIM49" s="387"/>
      <c r="AIN49" s="388"/>
      <c r="AIO49" s="386"/>
      <c r="AIP49" s="387"/>
      <c r="AIQ49" s="954"/>
      <c r="AIR49" s="1271"/>
      <c r="AIS49" s="1271"/>
      <c r="AIT49" s="388"/>
      <c r="AIU49" s="386"/>
      <c r="AIV49" s="387"/>
      <c r="AIW49" s="388"/>
      <c r="AIX49" s="386"/>
      <c r="AIY49" s="386"/>
      <c r="AIZ49" s="388"/>
      <c r="AJA49" s="386"/>
      <c r="AJB49" s="387"/>
      <c r="AJC49" s="388"/>
      <c r="AJD49" s="386"/>
      <c r="AJE49" s="387"/>
      <c r="AJF49" s="1304">
        <v>12406.83</v>
      </c>
      <c r="AJG49" s="1305"/>
      <c r="AJH49" s="1335"/>
      <c r="AJI49" s="388"/>
      <c r="AJJ49" s="386"/>
      <c r="AJK49" s="387"/>
      <c r="AJL49" s="388"/>
      <c r="AJM49" s="386"/>
      <c r="AJN49" s="386"/>
      <c r="AJO49" s="1304">
        <v>12448.63</v>
      </c>
      <c r="AJP49" s="1305"/>
      <c r="AJQ49" s="1335"/>
      <c r="AJR49" s="388"/>
      <c r="AJS49" s="386"/>
      <c r="AJT49" s="386"/>
      <c r="AJU49" s="388"/>
      <c r="AJV49" s="386"/>
      <c r="AJW49" s="387"/>
      <c r="AJX49" s="1304">
        <v>12439.83</v>
      </c>
      <c r="AJY49" s="1305"/>
      <c r="AJZ49" s="1335"/>
      <c r="AKA49" s="388"/>
      <c r="AKB49" s="386"/>
      <c r="AKC49" s="387"/>
      <c r="AKD49" s="388"/>
      <c r="AKE49" s="386"/>
      <c r="AKF49" s="387"/>
      <c r="AKG49" s="388"/>
      <c r="AKH49" s="386"/>
      <c r="AKI49" s="386"/>
      <c r="AKJ49" s="388"/>
      <c r="AKK49" s="386"/>
      <c r="AKL49" s="387"/>
      <c r="AKM49" s="388"/>
      <c r="AKN49" s="386"/>
      <c r="AKO49" s="386"/>
      <c r="AKP49" s="388"/>
      <c r="AKQ49" s="386"/>
      <c r="AKR49" s="387"/>
      <c r="AKS49" s="388"/>
      <c r="AKT49" s="386"/>
      <c r="AKU49" s="387"/>
      <c r="AKV49" s="1304">
        <v>4092.8879999999999</v>
      </c>
      <c r="AKW49" s="1305"/>
      <c r="AKX49" s="1335"/>
      <c r="AKY49" s="1304">
        <v>4092.8879999999999</v>
      </c>
      <c r="AKZ49" s="1305"/>
      <c r="ALA49" s="1335"/>
      <c r="ALB49" s="1304"/>
      <c r="ALC49" s="1305"/>
      <c r="ALD49" s="1335"/>
      <c r="ALE49" s="1304">
        <v>4276.6180000000004</v>
      </c>
      <c r="ALF49" s="1305"/>
      <c r="ALG49" s="1335"/>
      <c r="ALH49" s="1304"/>
      <c r="ALI49" s="1305"/>
      <c r="ALJ49" s="1335"/>
      <c r="ALK49" s="1304"/>
      <c r="ALL49" s="1305"/>
      <c r="ALM49" s="1335"/>
      <c r="ALN49" s="1304"/>
      <c r="ALO49" s="1305"/>
      <c r="ALP49" s="1335"/>
      <c r="ALQ49" s="1304">
        <v>3843.8760000000002</v>
      </c>
      <c r="ALR49" s="1305"/>
      <c r="ALS49" s="1335"/>
      <c r="ALT49" s="1304">
        <v>3843.8760000000002</v>
      </c>
      <c r="ALU49" s="1305"/>
      <c r="ALV49" s="1335"/>
      <c r="ALW49" s="1304"/>
      <c r="ALX49" s="1305"/>
      <c r="ALY49" s="1335"/>
      <c r="ALZ49" s="1304">
        <v>4147.1959999999999</v>
      </c>
      <c r="AMA49" s="1305"/>
      <c r="AMB49" s="1335"/>
      <c r="AMC49" s="1304"/>
      <c r="AMD49" s="1305"/>
      <c r="AME49" s="1335"/>
      <c r="AMF49" s="1304"/>
      <c r="AMG49" s="1305"/>
      <c r="AMH49" s="1335"/>
      <c r="AMI49" s="1304">
        <v>4265.7560000000003</v>
      </c>
      <c r="AMJ49" s="1305"/>
      <c r="AMK49" s="1335"/>
      <c r="AML49" s="1304"/>
      <c r="AMM49" s="1305"/>
      <c r="AMN49" s="1335"/>
      <c r="AMO49" s="1304">
        <v>4265.7560000000003</v>
      </c>
      <c r="AMP49" s="1305"/>
      <c r="AMQ49" s="1335"/>
      <c r="AMR49" s="1304"/>
      <c r="AMS49" s="1305"/>
      <c r="AMT49" s="1335"/>
      <c r="AMU49" s="1304">
        <v>1072.356</v>
      </c>
      <c r="AMV49" s="1305"/>
      <c r="AMW49" s="1335"/>
      <c r="AMX49" s="1304"/>
      <c r="AMY49" s="1305"/>
      <c r="AMZ49" s="1335"/>
      <c r="ANA49" s="1304"/>
      <c r="ANB49" s="1305"/>
      <c r="ANC49" s="1335"/>
      <c r="AND49" s="1304">
        <v>791.55600000000004</v>
      </c>
      <c r="ANE49" s="1305"/>
      <c r="ANF49" s="1335"/>
      <c r="ANG49" s="1304"/>
      <c r="ANH49" s="1305"/>
      <c r="ANI49" s="1335"/>
      <c r="ANJ49" s="1304"/>
      <c r="ANK49" s="1305"/>
      <c r="ANL49" s="1335"/>
      <c r="ANM49" s="1304">
        <v>791.55600000000004</v>
      </c>
      <c r="ANN49" s="1305"/>
      <c r="ANO49" s="1335"/>
      <c r="ANP49" s="1304"/>
      <c r="ANQ49" s="1305"/>
      <c r="ANR49" s="1335"/>
      <c r="ANS49" s="1304"/>
      <c r="ANT49" s="1305"/>
      <c r="ANU49" s="1335"/>
      <c r="ANV49" s="1304"/>
      <c r="ANW49" s="1305"/>
      <c r="ANX49" s="1335"/>
      <c r="ANY49" s="1304">
        <v>791.55600000000004</v>
      </c>
      <c r="ANZ49" s="1305"/>
      <c r="AOA49" s="1335"/>
      <c r="AOB49" s="1304"/>
      <c r="AOC49" s="1305"/>
      <c r="AOD49" s="1335"/>
      <c r="AOE49" s="1304">
        <v>776.95600000000002</v>
      </c>
      <c r="AOF49" s="1305"/>
      <c r="AOG49" s="1335"/>
      <c r="AOH49" s="1304"/>
      <c r="AOI49" s="1305"/>
      <c r="AOJ49" s="1335"/>
      <c r="AOK49" s="1304"/>
      <c r="AOL49" s="1305"/>
      <c r="AOM49" s="1335"/>
      <c r="AON49" s="1304"/>
      <c r="AOO49" s="1305"/>
      <c r="AOP49" s="1335"/>
      <c r="AOQ49" s="1304"/>
      <c r="AOR49" s="1305"/>
      <c r="AOS49" s="1335"/>
      <c r="AOT49" s="1304">
        <v>776.95600000000002</v>
      </c>
      <c r="AOU49" s="1305"/>
      <c r="AOV49" s="1335"/>
      <c r="AOW49" s="1304"/>
      <c r="AOX49" s="1305"/>
      <c r="AOY49" s="1335"/>
      <c r="AOZ49" s="1304"/>
      <c r="APA49" s="1305"/>
      <c r="APB49" s="1335"/>
      <c r="APC49" s="1304"/>
      <c r="APD49" s="1305"/>
      <c r="APE49" s="1335"/>
      <c r="APF49" s="1304"/>
      <c r="APG49" s="1305"/>
      <c r="APH49" s="1335"/>
      <c r="API49" s="1304"/>
      <c r="APJ49" s="1305"/>
      <c r="APK49" s="1335"/>
      <c r="APL49" s="1304"/>
      <c r="APM49" s="1305"/>
      <c r="APN49" s="1335"/>
      <c r="APO49" s="1304">
        <v>740.95600000000002</v>
      </c>
      <c r="APP49" s="1305"/>
      <c r="APQ49" s="1335"/>
      <c r="APR49" s="1304"/>
      <c r="APS49" s="1305"/>
      <c r="APT49" s="1335"/>
      <c r="APU49" s="1304"/>
      <c r="APV49" s="1305"/>
      <c r="APW49" s="1335"/>
      <c r="APX49" s="1304"/>
      <c r="APY49" s="1305"/>
      <c r="APZ49" s="1335"/>
      <c r="AQA49" s="1304"/>
      <c r="AQB49" s="1305"/>
      <c r="AQC49" s="1335"/>
      <c r="AQD49" s="1304"/>
      <c r="AQE49" s="1305"/>
      <c r="AQF49" s="1335"/>
      <c r="AQG49" s="1304">
        <v>749.71600000000001</v>
      </c>
      <c r="AQH49" s="1305"/>
      <c r="AQI49" s="1335"/>
      <c r="AQJ49" s="1304"/>
      <c r="AQK49" s="1305"/>
      <c r="AQL49" s="1335"/>
      <c r="AQM49" s="1304"/>
      <c r="AQN49" s="1305"/>
      <c r="AQO49" s="1335"/>
      <c r="AQP49" s="1304"/>
      <c r="AQQ49" s="1305"/>
      <c r="AQR49" s="1305"/>
      <c r="AQS49" s="1304"/>
      <c r="AQT49" s="1305"/>
      <c r="AQU49" s="1335"/>
      <c r="AQV49" s="1305"/>
      <c r="AQW49" s="1305"/>
      <c r="AQX49" s="1335"/>
      <c r="AQY49" s="1304"/>
      <c r="AQZ49" s="1305"/>
      <c r="ARA49" s="1335"/>
      <c r="ARB49" s="1304"/>
      <c r="ARC49" s="1305"/>
      <c r="ARD49" s="1335"/>
      <c r="ARE49" s="1304"/>
      <c r="ARF49" s="1305"/>
      <c r="ARG49" s="1335"/>
      <c r="ARH49" s="1304"/>
      <c r="ARI49" s="1305"/>
      <c r="ARJ49" s="1335"/>
      <c r="ARK49" s="1304"/>
      <c r="ARL49" s="1305"/>
      <c r="ARM49" s="1335"/>
      <c r="ARN49" s="1304"/>
      <c r="ARO49" s="1305"/>
      <c r="ARP49" s="1335"/>
      <c r="ARQ49" s="1304"/>
      <c r="ARR49" s="1305"/>
      <c r="ARS49" s="1335"/>
      <c r="ART49" s="1304"/>
      <c r="ARU49" s="1305"/>
      <c r="ARV49" s="1335"/>
      <c r="ARW49" s="1304"/>
      <c r="ARX49" s="1305"/>
      <c r="ARY49" s="1335"/>
      <c r="ARZ49" s="1304"/>
      <c r="ASA49" s="1305"/>
      <c r="ASB49" s="1335"/>
      <c r="ASC49" s="1304"/>
      <c r="ASD49" s="1305"/>
      <c r="ASE49" s="1335"/>
      <c r="ASF49" s="1304"/>
      <c r="ASG49" s="1305"/>
      <c r="ASH49" s="1335"/>
      <c r="ASI49" s="1304"/>
      <c r="ASJ49" s="1305"/>
      <c r="ASK49" s="1335"/>
      <c r="ASL49" s="1304"/>
      <c r="ASM49" s="1305"/>
      <c r="ASN49" s="1335"/>
      <c r="ASO49" s="1304"/>
      <c r="ASP49" s="1305"/>
      <c r="ASQ49" s="1305"/>
      <c r="ASR49" s="1304"/>
      <c r="ASS49" s="1305"/>
      <c r="AST49" s="1335"/>
      <c r="ASU49" s="1304"/>
      <c r="ASV49" s="1305"/>
      <c r="ASW49" s="1335"/>
      <c r="ASX49" s="1304"/>
      <c r="ASY49" s="1305"/>
      <c r="ASZ49" s="1335"/>
      <c r="ATA49" s="1304"/>
      <c r="ATB49" s="1305"/>
      <c r="ATC49" s="1335"/>
      <c r="ATD49" s="1304"/>
      <c r="ATE49" s="1305"/>
      <c r="ATF49" s="1335"/>
      <c r="ATG49" s="1304"/>
      <c r="ATH49" s="1305"/>
      <c r="ATI49" s="1335"/>
      <c r="ATJ49" s="1304"/>
      <c r="ATK49" s="1305"/>
      <c r="ATL49" s="1335"/>
      <c r="ATM49" s="1304"/>
      <c r="ATN49" s="1305"/>
      <c r="ATO49" s="1335"/>
      <c r="ATP49" s="1304"/>
      <c r="ATQ49" s="1305"/>
      <c r="ATR49" s="1335"/>
      <c r="ATS49" s="1304"/>
      <c r="ATT49" s="1305"/>
      <c r="ATU49" s="1335"/>
      <c r="ATV49" s="1305"/>
      <c r="ATW49" s="1305"/>
      <c r="ATX49" s="1335"/>
      <c r="ATY49" s="1304"/>
      <c r="ATZ49" s="1305"/>
      <c r="AUA49" s="1335"/>
      <c r="AUB49" s="1304"/>
      <c r="AUC49" s="1305"/>
      <c r="AUD49" s="1335"/>
      <c r="AUE49" s="1304"/>
      <c r="AUF49" s="1305"/>
      <c r="AUG49" s="1335"/>
      <c r="AUH49" s="1304"/>
      <c r="AUI49" s="1305"/>
      <c r="AUJ49" s="1335"/>
      <c r="AUK49" s="1304"/>
      <c r="AUL49" s="1305"/>
      <c r="AUM49" s="1305"/>
      <c r="AUN49" s="1304"/>
      <c r="AUO49" s="1305"/>
      <c r="AUP49" s="1305"/>
      <c r="AUQ49" s="1304"/>
      <c r="AUR49" s="1305"/>
      <c r="AUS49" s="1305"/>
      <c r="AUT49" s="1304"/>
      <c r="AUU49" s="1305"/>
      <c r="AUV49" s="1305"/>
      <c r="AUW49" s="1304"/>
      <c r="AUX49" s="1305"/>
      <c r="AUY49" s="1305"/>
      <c r="AUZ49" s="1304"/>
      <c r="AVA49" s="1305"/>
      <c r="AVB49" s="1305"/>
      <c r="AVC49" s="1304"/>
      <c r="AVD49" s="1305"/>
      <c r="AVE49" s="1305"/>
      <c r="AVF49" s="1304"/>
      <c r="AVG49" s="1305"/>
      <c r="AVH49" s="1305"/>
      <c r="AVI49" s="1304"/>
      <c r="AVJ49" s="1305"/>
      <c r="AVK49" s="1305"/>
      <c r="AVL49" s="1304"/>
      <c r="AVM49" s="1305"/>
      <c r="AVN49" s="1305"/>
      <c r="AVO49" s="1304"/>
      <c r="AVP49" s="1305"/>
      <c r="AVQ49" s="1305"/>
      <c r="AVR49" s="1304"/>
      <c r="AVS49" s="1305"/>
      <c r="AVT49" s="1305"/>
      <c r="AVU49" s="1304"/>
      <c r="AVV49" s="1305"/>
      <c r="AVW49" s="1305"/>
      <c r="AVX49" s="1304"/>
      <c r="AVY49" s="1305"/>
      <c r="AVZ49" s="1305"/>
      <c r="AWA49" s="1304"/>
      <c r="AWB49" s="1305"/>
      <c r="AWC49" s="1305"/>
      <c r="AWD49" s="1304"/>
      <c r="AWE49" s="1305"/>
      <c r="AWF49" s="1305"/>
      <c r="AWG49" s="1304"/>
      <c r="AWH49" s="1305"/>
      <c r="AWI49" s="1305"/>
      <c r="AWJ49" s="1304"/>
      <c r="AWK49" s="1305"/>
      <c r="AWL49" s="1305"/>
      <c r="AWM49" s="1304"/>
      <c r="AWN49" s="1305"/>
      <c r="AWO49" s="1335"/>
      <c r="AWP49" s="1305"/>
      <c r="AWQ49" s="1305"/>
      <c r="AWR49" s="1335"/>
      <c r="AWS49" s="1304"/>
      <c r="AWT49" s="1305"/>
      <c r="AWU49" s="1335"/>
      <c r="AWV49" s="1304"/>
      <c r="AWW49" s="1305"/>
      <c r="AWX49" s="1335"/>
      <c r="AWY49" s="1304"/>
      <c r="AWZ49" s="1305"/>
      <c r="AXA49" s="1335"/>
      <c r="AXB49" s="1304"/>
      <c r="AXC49" s="1305"/>
      <c r="AXD49" s="1335"/>
      <c r="AXE49" s="1304"/>
      <c r="AXF49" s="1305"/>
      <c r="AXG49" s="1335"/>
      <c r="AXH49" s="1304"/>
      <c r="AXI49" s="1305"/>
      <c r="AXJ49" s="1335"/>
      <c r="AXK49" s="1304"/>
      <c r="AXL49" s="1305"/>
      <c r="AXM49" s="1335"/>
      <c r="AXN49" s="1304"/>
      <c r="AXO49" s="1305"/>
      <c r="AXP49" s="1335"/>
      <c r="AXQ49" s="1304"/>
      <c r="AXR49" s="1305"/>
      <c r="AXS49" s="1335"/>
      <c r="AXT49" s="1304"/>
      <c r="AXU49" s="1305"/>
      <c r="AXV49" s="1335"/>
      <c r="AXW49" s="1304"/>
      <c r="AXX49" s="1305"/>
      <c r="AXY49" s="1335"/>
      <c r="AXZ49" s="1304"/>
      <c r="AYA49" s="1305"/>
      <c r="AYB49" s="1335"/>
      <c r="AYC49" s="1304"/>
      <c r="AYD49" s="1305"/>
      <c r="AYE49" s="1335"/>
      <c r="AYF49" s="1304"/>
      <c r="AYG49" s="1305"/>
      <c r="AYH49" s="1335"/>
      <c r="AYI49" s="1304"/>
      <c r="AYJ49" s="1305"/>
      <c r="AYK49" s="1335"/>
      <c r="AYL49" s="1304"/>
      <c r="AYM49" s="1305"/>
      <c r="AYN49" s="1335"/>
      <c r="AYO49" s="1304"/>
      <c r="AYP49" s="1305"/>
      <c r="AYQ49" s="1335"/>
      <c r="AYR49" s="1304"/>
      <c r="AYS49" s="1305"/>
      <c r="AYT49" s="1335"/>
      <c r="AYU49" s="1304"/>
      <c r="AYV49" s="1305"/>
      <c r="AYW49" s="1335"/>
      <c r="AYX49" s="1304"/>
      <c r="AYY49" s="1305"/>
      <c r="AYZ49" s="1335"/>
      <c r="AZA49" s="1304"/>
      <c r="AZB49" s="1305"/>
      <c r="AZC49" s="1335"/>
      <c r="AZD49" s="1304"/>
      <c r="AZE49" s="1305"/>
      <c r="AZF49" s="1335"/>
      <c r="AZG49" s="1304"/>
      <c r="AZH49" s="1305"/>
      <c r="AZI49" s="1335"/>
      <c r="AZJ49" s="1304"/>
      <c r="AZK49" s="1305"/>
      <c r="AZL49" s="1335"/>
      <c r="AZM49" s="1304"/>
      <c r="AZN49" s="1305"/>
      <c r="AZO49" s="1335"/>
      <c r="AZP49" s="1304"/>
      <c r="AZQ49" s="1305"/>
      <c r="AZR49" s="1335"/>
      <c r="AZS49" s="1304"/>
      <c r="AZT49" s="1305"/>
      <c r="AZU49" s="1335"/>
      <c r="AZV49" s="1304"/>
      <c r="AZW49" s="1305"/>
      <c r="AZX49" s="1335"/>
      <c r="AZY49" s="1304"/>
      <c r="AZZ49" s="1305"/>
      <c r="BAA49" s="1335"/>
      <c r="BAB49" s="1304"/>
      <c r="BAC49" s="1305"/>
      <c r="BAD49" s="1335"/>
      <c r="BAE49" s="1304"/>
      <c r="BAF49" s="1305"/>
      <c r="BAG49" s="1335"/>
      <c r="BAH49" s="1304"/>
      <c r="BAI49" s="1305"/>
      <c r="BAJ49" s="1335"/>
    </row>
    <row r="50" spans="1:1388" s="354" customFormat="1" ht="14.5" customHeight="1">
      <c r="A50" s="17"/>
      <c r="B50" s="18" t="s">
        <v>343</v>
      </c>
      <c r="C50" s="1201"/>
      <c r="D50" s="1201"/>
      <c r="E50" s="13" t="s">
        <v>342</v>
      </c>
      <c r="F50" s="1266"/>
      <c r="G50" s="1266"/>
      <c r="H50" s="346"/>
      <c r="I50" s="1266"/>
      <c r="J50" s="1266"/>
      <c r="K50" s="346"/>
      <c r="L50" s="1266"/>
      <c r="M50" s="1266"/>
      <c r="N50" s="346"/>
      <c r="O50" s="1266"/>
      <c r="P50" s="1266"/>
      <c r="Q50" s="346"/>
      <c r="R50" s="1266"/>
      <c r="S50" s="1266"/>
      <c r="T50" s="346"/>
      <c r="U50" s="1266"/>
      <c r="V50" s="1266"/>
      <c r="W50" s="346"/>
      <c r="X50" s="1266"/>
      <c r="Y50" s="1266"/>
      <c r="Z50" s="346"/>
      <c r="AA50" s="1266"/>
      <c r="AB50" s="1266"/>
      <c r="AC50" s="346"/>
      <c r="AD50" s="1266"/>
      <c r="AE50" s="1266"/>
      <c r="AF50" s="346"/>
      <c r="AG50" s="1266"/>
      <c r="AH50" s="1266"/>
      <c r="AI50" s="346"/>
      <c r="AJ50" s="1266"/>
      <c r="AK50" s="1266"/>
      <c r="AL50" s="346"/>
      <c r="AM50" s="1266"/>
      <c r="AN50" s="1266"/>
      <c r="AO50" s="346"/>
      <c r="AP50" s="1266"/>
      <c r="AQ50" s="1266"/>
      <c r="AR50" s="346"/>
      <c r="AS50" s="1266"/>
      <c r="AT50" s="1266"/>
      <c r="AU50" s="346"/>
      <c r="AV50" s="1266"/>
      <c r="AW50" s="1266"/>
      <c r="AX50" s="346"/>
      <c r="AY50" s="1266"/>
      <c r="AZ50" s="1266"/>
      <c r="BA50" s="346"/>
      <c r="BB50" s="1266"/>
      <c r="BC50" s="1266"/>
      <c r="BD50" s="346"/>
      <c r="BE50" s="1266"/>
      <c r="BF50" s="1266"/>
      <c r="BG50" s="346"/>
      <c r="BH50" s="1266"/>
      <c r="BI50" s="1266"/>
      <c r="BJ50" s="346"/>
      <c r="BK50" s="1266"/>
      <c r="BL50" s="1266"/>
      <c r="BM50" s="346"/>
      <c r="BN50" s="1266"/>
      <c r="BO50" s="1266"/>
      <c r="BP50" s="346"/>
      <c r="BQ50" s="1266"/>
      <c r="BR50" s="1266"/>
      <c r="BS50" s="346"/>
      <c r="BT50" s="1266"/>
      <c r="BU50" s="1266"/>
      <c r="BV50" s="346"/>
      <c r="BW50" s="1266"/>
      <c r="BX50" s="1266"/>
      <c r="BY50" s="346"/>
      <c r="BZ50" s="1266"/>
      <c r="CA50" s="1266"/>
      <c r="CB50" s="346"/>
      <c r="CC50" s="1266"/>
      <c r="CD50" s="1266"/>
      <c r="CE50" s="346"/>
      <c r="CF50" s="1266"/>
      <c r="CG50" s="1266"/>
      <c r="CH50" s="346"/>
      <c r="CI50" s="1266"/>
      <c r="CJ50" s="1266"/>
      <c r="CK50" s="346"/>
      <c r="CL50" s="1266"/>
      <c r="CM50" s="1266"/>
      <c r="CN50" s="346"/>
      <c r="CO50" s="1266"/>
      <c r="CP50" s="1266"/>
      <c r="CQ50" s="346"/>
      <c r="CR50" s="1266"/>
      <c r="CS50" s="1266"/>
      <c r="CT50" s="346"/>
      <c r="CU50" s="1266"/>
      <c r="CV50" s="1266"/>
      <c r="CW50" s="346"/>
      <c r="CX50" s="1266"/>
      <c r="CY50" s="1266"/>
      <c r="CZ50" s="346"/>
      <c r="DA50" s="1266"/>
      <c r="DB50" s="1266"/>
      <c r="DC50" s="346"/>
      <c r="DD50" s="1266"/>
      <c r="DE50" s="1266"/>
      <c r="DF50" s="346"/>
      <c r="DG50" s="1266"/>
      <c r="DH50" s="1266"/>
      <c r="DI50" s="346"/>
      <c r="DJ50" s="1266"/>
      <c r="DK50" s="1266"/>
      <c r="DL50" s="346"/>
      <c r="DM50" s="1266"/>
      <c r="DN50" s="1266"/>
      <c r="DO50" s="346"/>
      <c r="DP50" s="1266"/>
      <c r="DQ50" s="1266"/>
      <c r="DR50" s="346"/>
      <c r="DS50" s="1266"/>
      <c r="DT50" s="1266"/>
      <c r="DU50" s="346"/>
      <c r="DV50" s="1266"/>
      <c r="DW50" s="1266"/>
      <c r="DX50" s="346"/>
      <c r="DY50" s="1266"/>
      <c r="DZ50" s="1266"/>
      <c r="EA50" s="346"/>
      <c r="EB50" s="1266"/>
      <c r="EC50" s="1266"/>
      <c r="ED50" s="346"/>
      <c r="EE50" s="1266"/>
      <c r="EF50" s="1266"/>
      <c r="EG50" s="346"/>
      <c r="EH50" s="1266"/>
      <c r="EI50" s="1266"/>
      <c r="EJ50" s="346"/>
      <c r="EK50" s="1266"/>
      <c r="EL50" s="1266"/>
      <c r="EM50" s="346"/>
      <c r="EN50" s="1266"/>
      <c r="EO50" s="1266"/>
      <c r="EP50" s="346"/>
      <c r="EQ50" s="1266"/>
      <c r="ER50" s="1266"/>
      <c r="ES50" s="346"/>
      <c r="ET50" s="1266"/>
      <c r="EU50" s="1266"/>
      <c r="EV50" s="346"/>
      <c r="EW50" s="1266"/>
      <c r="EX50" s="1266"/>
      <c r="EY50" s="346"/>
      <c r="EZ50" s="1266"/>
      <c r="FA50" s="1266"/>
      <c r="FB50" s="346"/>
      <c r="FC50" s="1266"/>
      <c r="FD50" s="1266"/>
      <c r="FE50" s="346"/>
      <c r="FF50" s="1266"/>
      <c r="FG50" s="1266"/>
      <c r="FH50" s="346"/>
      <c r="FI50" s="1266"/>
      <c r="FJ50" s="1266"/>
      <c r="FK50" s="346"/>
      <c r="FL50" s="1266"/>
      <c r="FM50" s="1266"/>
      <c r="FN50" s="346"/>
      <c r="FO50" s="1266"/>
      <c r="FP50" s="1266"/>
      <c r="FQ50" s="346"/>
      <c r="FR50" s="1266"/>
      <c r="FS50" s="1266"/>
      <c r="FT50" s="346"/>
      <c r="FU50" s="1266"/>
      <c r="FV50" s="1266"/>
      <c r="FW50" s="346"/>
      <c r="FX50" s="1266"/>
      <c r="FY50" s="1266"/>
      <c r="FZ50" s="346"/>
      <c r="GA50" s="1266"/>
      <c r="GB50" s="1266"/>
      <c r="GC50" s="346"/>
      <c r="GD50" s="1266"/>
      <c r="GE50" s="1266"/>
      <c r="GF50" s="346"/>
      <c r="GG50" s="1266"/>
      <c r="GH50" s="1266"/>
      <c r="GI50" s="346"/>
      <c r="GJ50" s="1266"/>
      <c r="GK50" s="1266"/>
      <c r="GL50" s="346"/>
      <c r="GM50" s="1266"/>
      <c r="GN50" s="1266"/>
      <c r="GO50" s="346"/>
      <c r="GP50" s="1266"/>
      <c r="GQ50" s="1266"/>
      <c r="GR50" s="346"/>
      <c r="GS50" s="1266"/>
      <c r="GT50" s="1266"/>
      <c r="GU50" s="346"/>
      <c r="GV50" s="1266"/>
      <c r="GW50" s="1266"/>
      <c r="GX50" s="346"/>
      <c r="GY50" s="1266"/>
      <c r="GZ50" s="1266"/>
      <c r="HA50" s="346"/>
      <c r="HB50" s="1266"/>
      <c r="HC50" s="1266"/>
      <c r="HD50" s="346"/>
      <c r="HE50" s="1266"/>
      <c r="HF50" s="1266"/>
      <c r="HG50" s="346"/>
      <c r="HH50" s="1266"/>
      <c r="HI50" s="1266"/>
      <c r="HJ50" s="346"/>
      <c r="HK50" s="1266"/>
      <c r="HL50" s="1266"/>
      <c r="HM50" s="346"/>
      <c r="HN50" s="1266"/>
      <c r="HO50" s="1266"/>
      <c r="HP50" s="346"/>
      <c r="HQ50" s="1266"/>
      <c r="HR50" s="1266"/>
      <c r="HS50" s="346"/>
      <c r="HT50" s="1266"/>
      <c r="HU50" s="1266"/>
      <c r="HV50" s="346"/>
      <c r="HW50" s="1266"/>
      <c r="HX50" s="1266"/>
      <c r="HY50" s="346"/>
      <c r="HZ50" s="1266"/>
      <c r="IA50" s="1266"/>
      <c r="IB50" s="346"/>
      <c r="IC50" s="1266"/>
      <c r="ID50" s="1266"/>
      <c r="IE50" s="346"/>
      <c r="IF50" s="1266"/>
      <c r="IG50" s="1266"/>
      <c r="IH50" s="346"/>
      <c r="II50" s="1266"/>
      <c r="IJ50" s="1266"/>
      <c r="IK50" s="346"/>
      <c r="IL50" s="1266"/>
      <c r="IM50" s="1266"/>
      <c r="IN50" s="346"/>
      <c r="IO50" s="1266"/>
      <c r="IP50" s="1266"/>
      <c r="IQ50" s="346"/>
      <c r="IR50" s="1266"/>
      <c r="IS50" s="1266"/>
      <c r="IT50" s="346"/>
      <c r="IU50" s="1266"/>
      <c r="IV50" s="1266"/>
      <c r="IW50" s="346"/>
      <c r="IX50" s="1266"/>
      <c r="IY50" s="1266"/>
      <c r="IZ50" s="346"/>
      <c r="JA50" s="1266"/>
      <c r="JB50" s="1266"/>
      <c r="JC50" s="346"/>
      <c r="JD50" s="1266"/>
      <c r="JE50" s="1266"/>
      <c r="JF50" s="346"/>
      <c r="JG50" s="1266"/>
      <c r="JH50" s="1266"/>
      <c r="JI50" s="346"/>
      <c r="JJ50" s="1266"/>
      <c r="JK50" s="1266"/>
      <c r="JL50" s="346"/>
      <c r="JM50" s="1266"/>
      <c r="JN50" s="1266"/>
      <c r="JO50" s="346"/>
      <c r="JP50" s="1266"/>
      <c r="JQ50" s="1266"/>
      <c r="JR50" s="346"/>
      <c r="JS50" s="1266"/>
      <c r="JT50" s="1266"/>
      <c r="JU50" s="346"/>
      <c r="JV50" s="1266"/>
      <c r="JW50" s="1266"/>
      <c r="JX50" s="346"/>
      <c r="JY50" s="1266"/>
      <c r="JZ50" s="1266"/>
      <c r="KA50" s="346"/>
      <c r="KB50" s="1266"/>
      <c r="KC50" s="1266"/>
      <c r="KD50" s="346"/>
      <c r="KE50" s="1266"/>
      <c r="KF50" s="1266"/>
      <c r="KG50" s="346"/>
      <c r="KH50" s="1266"/>
      <c r="KI50" s="1266"/>
      <c r="KJ50" s="346"/>
      <c r="KK50" s="1266"/>
      <c r="KL50" s="1266"/>
      <c r="KM50" s="346"/>
      <c r="KN50" s="1266"/>
      <c r="KO50" s="1266"/>
      <c r="KP50" s="346"/>
      <c r="KQ50" s="1266"/>
      <c r="KR50" s="1266"/>
      <c r="KS50" s="346"/>
      <c r="KT50" s="1266"/>
      <c r="KU50" s="1266"/>
      <c r="KV50" s="346"/>
      <c r="KW50" s="1266"/>
      <c r="KX50" s="1266"/>
      <c r="KY50" s="346"/>
      <c r="KZ50" s="1266"/>
      <c r="LA50" s="1266"/>
      <c r="LB50" s="346"/>
      <c r="LC50" s="1266"/>
      <c r="LD50" s="1266"/>
      <c r="LE50" s="346"/>
      <c r="LF50" s="1266"/>
      <c r="LG50" s="1266"/>
      <c r="LH50" s="346"/>
      <c r="LI50" s="1266"/>
      <c r="LJ50" s="1266"/>
      <c r="LK50" s="346"/>
      <c r="LL50" s="1266"/>
      <c r="LM50" s="1266"/>
      <c r="LN50" s="346"/>
      <c r="LO50" s="1266"/>
      <c r="LP50" s="1266"/>
      <c r="LQ50" s="346"/>
      <c r="LR50" s="1266"/>
      <c r="LS50" s="1266"/>
      <c r="LT50" s="346"/>
      <c r="LU50" s="1266"/>
      <c r="LV50" s="1266"/>
      <c r="LW50" s="346"/>
      <c r="LX50" s="1266"/>
      <c r="LY50" s="1266"/>
      <c r="LZ50" s="346"/>
      <c r="MA50" s="1266"/>
      <c r="MB50" s="1266"/>
      <c r="MC50" s="346"/>
      <c r="MD50" s="1266"/>
      <c r="ME50" s="1266"/>
      <c r="MF50" s="346"/>
      <c r="MG50" s="1266"/>
      <c r="MH50" s="1266"/>
      <c r="MI50" s="346"/>
      <c r="MJ50" s="1266"/>
      <c r="MK50" s="1266"/>
      <c r="ML50" s="346"/>
      <c r="MM50" s="1266"/>
      <c r="MN50" s="1266"/>
      <c r="MO50" s="346"/>
      <c r="MP50" s="1266"/>
      <c r="MQ50" s="1266"/>
      <c r="MR50" s="346"/>
      <c r="MS50" s="1266"/>
      <c r="MT50" s="1266"/>
      <c r="MU50" s="346"/>
      <c r="MV50" s="1266"/>
      <c r="MW50" s="1266"/>
      <c r="MX50" s="346"/>
      <c r="MY50" s="1266"/>
      <c r="MZ50" s="1266"/>
      <c r="NA50" s="346"/>
      <c r="NB50" s="1266"/>
      <c r="NC50" s="1266"/>
      <c r="ND50" s="346"/>
      <c r="NE50" s="1266"/>
      <c r="NF50" s="1266"/>
      <c r="NG50" s="346"/>
      <c r="NH50" s="1266"/>
      <c r="NI50" s="1266"/>
      <c r="NJ50" s="346"/>
      <c r="NK50" s="1266"/>
      <c r="NL50" s="1266"/>
      <c r="NM50" s="346"/>
      <c r="NN50" s="1266"/>
      <c r="NO50" s="1266"/>
      <c r="NP50" s="346"/>
      <c r="NQ50" s="1266"/>
      <c r="NR50" s="1266"/>
      <c r="NS50" s="346"/>
      <c r="NT50" s="1266"/>
      <c r="NU50" s="1266"/>
      <c r="NV50" s="346"/>
      <c r="NW50" s="1266"/>
      <c r="NX50" s="1266"/>
      <c r="NY50" s="346"/>
      <c r="NZ50" s="1266"/>
      <c r="OA50" s="1266"/>
      <c r="OB50" s="346"/>
      <c r="OC50" s="1266"/>
      <c r="OD50" s="1266"/>
      <c r="OE50" s="346"/>
      <c r="OF50" s="1266"/>
      <c r="OG50" s="1266"/>
      <c r="OH50" s="346"/>
      <c r="OI50" s="1266"/>
      <c r="OJ50" s="1266"/>
      <c r="OK50" s="346"/>
      <c r="OL50" s="1266"/>
      <c r="OM50" s="1266"/>
      <c r="ON50" s="346"/>
      <c r="OO50" s="1266"/>
      <c r="OP50" s="1266"/>
      <c r="OQ50" s="346"/>
      <c r="OR50" s="1266"/>
      <c r="OS50" s="1266"/>
      <c r="OT50" s="346"/>
      <c r="OU50" s="1266"/>
      <c r="OV50" s="1266"/>
      <c r="OW50" s="346"/>
      <c r="OX50" s="1266"/>
      <c r="OY50" s="1266"/>
      <c r="OZ50" s="346"/>
      <c r="PA50" s="1266"/>
      <c r="PB50" s="1266"/>
      <c r="PC50" s="346"/>
      <c r="PD50" s="1266"/>
      <c r="PE50" s="1266"/>
      <c r="PF50" s="346"/>
      <c r="PG50" s="1266"/>
      <c r="PH50" s="1266"/>
      <c r="PI50" s="346"/>
      <c r="PJ50" s="1266"/>
      <c r="PK50" s="1266"/>
      <c r="PL50" s="346"/>
      <c r="PM50" s="1266"/>
      <c r="PN50" s="1266"/>
      <c r="PO50" s="346"/>
      <c r="PP50" s="1266"/>
      <c r="PQ50" s="1266"/>
      <c r="PR50" s="346"/>
      <c r="PS50" s="1266"/>
      <c r="PT50" s="1266"/>
      <c r="PU50" s="346"/>
      <c r="PV50" s="386"/>
      <c r="PW50" s="386"/>
      <c r="PX50" s="387"/>
      <c r="PY50" s="386"/>
      <c r="PZ50" s="386"/>
      <c r="QA50" s="387"/>
      <c r="QB50" s="386"/>
      <c r="QC50" s="386"/>
      <c r="QD50" s="387"/>
      <c r="QE50" s="386"/>
      <c r="QF50" s="386"/>
      <c r="QG50" s="387"/>
      <c r="QH50" s="386"/>
      <c r="QI50" s="386"/>
      <c r="QJ50" s="387"/>
      <c r="QK50" s="386"/>
      <c r="QL50" s="386"/>
      <c r="QM50" s="387"/>
      <c r="QN50" s="386"/>
      <c r="QO50" s="386"/>
      <c r="QP50" s="387"/>
      <c r="QQ50" s="386"/>
      <c r="QR50" s="386"/>
      <c r="QS50" s="387"/>
      <c r="QT50" s="386"/>
      <c r="QU50" s="386"/>
      <c r="QV50" s="387"/>
      <c r="QW50" s="386"/>
      <c r="QX50" s="386"/>
      <c r="QY50" s="387"/>
      <c r="QZ50" s="386"/>
      <c r="RA50" s="386"/>
      <c r="RB50" s="387"/>
      <c r="RC50" s="386"/>
      <c r="RD50" s="386"/>
      <c r="RE50" s="387"/>
      <c r="RF50" s="386"/>
      <c r="RG50" s="386"/>
      <c r="RH50" s="387"/>
      <c r="RI50" s="1266"/>
      <c r="RJ50" s="1266"/>
      <c r="RK50" s="346"/>
      <c r="RL50" s="1266"/>
      <c r="RM50" s="1266"/>
      <c r="RN50" s="346"/>
      <c r="RO50" s="1266"/>
      <c r="RP50" s="1266"/>
      <c r="RQ50" s="346"/>
      <c r="RR50" s="1266"/>
      <c r="RS50" s="1266"/>
      <c r="RT50" s="346"/>
      <c r="RU50" s="1266"/>
      <c r="RV50" s="1266"/>
      <c r="RW50" s="346"/>
      <c r="RX50" s="386"/>
      <c r="RY50" s="386"/>
      <c r="RZ50" s="387"/>
      <c r="SA50" s="386"/>
      <c r="SB50" s="386"/>
      <c r="SC50" s="387"/>
      <c r="SD50" s="386"/>
      <c r="SE50" s="386"/>
      <c r="SF50" s="387"/>
      <c r="SG50" s="386"/>
      <c r="SH50" s="386"/>
      <c r="SI50" s="387"/>
      <c r="SJ50" s="386"/>
      <c r="SK50" s="386"/>
      <c r="SL50" s="387"/>
      <c r="SM50" s="386"/>
      <c r="SN50" s="386"/>
      <c r="SO50" s="387"/>
      <c r="SP50" s="386"/>
      <c r="SQ50" s="386"/>
      <c r="SR50" s="387"/>
      <c r="SS50" s="386"/>
      <c r="ST50" s="386"/>
      <c r="SU50" s="387"/>
      <c r="SV50" s="386"/>
      <c r="SW50" s="386"/>
      <c r="SX50" s="387"/>
      <c r="SY50" s="386"/>
      <c r="SZ50" s="386"/>
      <c r="TA50" s="387"/>
      <c r="TB50" s="386"/>
      <c r="TC50" s="386"/>
      <c r="TD50" s="387"/>
      <c r="TE50" s="386"/>
      <c r="TF50" s="386"/>
      <c r="TG50" s="387"/>
      <c r="TH50" s="386"/>
      <c r="TI50" s="386"/>
      <c r="TJ50" s="387"/>
      <c r="TK50" s="386"/>
      <c r="TL50" s="386"/>
      <c r="TM50" s="387"/>
      <c r="TN50" s="386"/>
      <c r="TO50" s="386"/>
      <c r="TP50" s="387"/>
      <c r="TQ50" s="386"/>
      <c r="TR50" s="386"/>
      <c r="TS50" s="387"/>
      <c r="TT50" s="386"/>
      <c r="TU50" s="386"/>
      <c r="TV50" s="387"/>
      <c r="TW50" s="386"/>
      <c r="TX50" s="386"/>
      <c r="TY50" s="387"/>
      <c r="TZ50" s="386"/>
      <c r="UA50" s="386"/>
      <c r="UB50" s="387"/>
      <c r="UC50" s="386"/>
      <c r="UD50" s="19"/>
      <c r="UE50" s="389"/>
      <c r="UF50" s="388"/>
      <c r="UG50" s="19"/>
      <c r="UH50" s="389"/>
      <c r="UI50" s="386"/>
      <c r="UJ50" s="19"/>
      <c r="UK50" s="389"/>
      <c r="UL50" s="386"/>
      <c r="UM50" s="19"/>
      <c r="UN50" s="389"/>
      <c r="UO50" s="386"/>
      <c r="UP50" s="19"/>
      <c r="UQ50" s="389"/>
      <c r="UR50" s="386"/>
      <c r="US50" s="19"/>
      <c r="UT50" s="389"/>
      <c r="UU50" s="386"/>
      <c r="UV50" s="19"/>
      <c r="UW50" s="389"/>
      <c r="UX50" s="386"/>
      <c r="UY50" s="19"/>
      <c r="UZ50" s="389"/>
      <c r="VA50" s="386"/>
      <c r="VB50" s="19"/>
      <c r="VC50" s="389"/>
      <c r="VD50" s="386"/>
      <c r="VE50" s="19"/>
      <c r="VF50" s="389"/>
      <c r="VG50" s="386"/>
      <c r="VH50" s="19"/>
      <c r="VI50" s="389"/>
      <c r="VJ50" s="386"/>
      <c r="VK50" s="19"/>
      <c r="VL50" s="389"/>
      <c r="VM50" s="386"/>
      <c r="VN50" s="19"/>
      <c r="VO50" s="389"/>
      <c r="VP50" s="386"/>
      <c r="VQ50" s="19"/>
      <c r="VR50" s="389"/>
      <c r="VS50" s="386"/>
      <c r="VT50" s="19"/>
      <c r="VU50" s="389"/>
      <c r="VV50" s="386"/>
      <c r="VW50" s="19"/>
      <c r="VX50" s="389"/>
      <c r="VY50" s="386"/>
      <c r="VZ50" s="19"/>
      <c r="WA50" s="389"/>
      <c r="WB50" s="386"/>
      <c r="WC50" s="19"/>
      <c r="WD50" s="389"/>
      <c r="WE50" s="386"/>
      <c r="WF50" s="19"/>
      <c r="WG50" s="389"/>
      <c r="WH50" s="386"/>
      <c r="WI50" s="19"/>
      <c r="WJ50" s="389"/>
      <c r="WK50" s="386"/>
      <c r="WL50" s="19"/>
      <c r="WM50" s="389"/>
      <c r="WN50" s="386"/>
      <c r="WO50" s="19"/>
      <c r="WP50" s="389"/>
      <c r="WQ50" s="386"/>
      <c r="WR50" s="19"/>
      <c r="WS50" s="389"/>
      <c r="WT50" s="386"/>
      <c r="WU50" s="19"/>
      <c r="WV50" s="389"/>
      <c r="WW50" s="386"/>
      <c r="WX50" s="19"/>
      <c r="WY50" s="389"/>
      <c r="WZ50" s="386"/>
      <c r="XA50" s="19"/>
      <c r="XB50" s="389"/>
      <c r="XC50" s="386"/>
      <c r="XD50" s="19"/>
      <c r="XE50" s="389"/>
      <c r="XF50" s="386"/>
      <c r="XG50" s="19"/>
      <c r="XH50" s="389"/>
      <c r="XI50" s="386"/>
      <c r="XJ50" s="19"/>
      <c r="XK50" s="389"/>
      <c r="XL50" s="386"/>
      <c r="XM50" s="19"/>
      <c r="XN50" s="389"/>
      <c r="XO50" s="386"/>
      <c r="XP50" s="19"/>
      <c r="XQ50" s="389"/>
      <c r="XR50" s="386"/>
      <c r="XS50" s="19"/>
      <c r="XT50" s="389"/>
      <c r="XU50" s="386"/>
      <c r="XV50" s="19"/>
      <c r="XW50" s="389"/>
      <c r="XX50" s="386"/>
      <c r="XY50" s="19"/>
      <c r="XZ50" s="389"/>
      <c r="YA50" s="386"/>
      <c r="YB50" s="19"/>
      <c r="YC50" s="389"/>
      <c r="YD50" s="386"/>
      <c r="YE50" s="19"/>
      <c r="YF50" s="389"/>
      <c r="YG50" s="386"/>
      <c r="YH50" s="19"/>
      <c r="YI50" s="389"/>
      <c r="YJ50" s="386"/>
      <c r="YK50" s="19"/>
      <c r="YL50" s="389"/>
      <c r="YM50" s="386"/>
      <c r="YN50" s="19"/>
      <c r="YO50" s="389"/>
      <c r="YP50" s="386"/>
      <c r="YQ50" s="19"/>
      <c r="YR50" s="389"/>
      <c r="YS50" s="386"/>
      <c r="YT50" s="19"/>
      <c r="YU50" s="389"/>
      <c r="YV50" s="386"/>
      <c r="YW50" s="19"/>
      <c r="YX50" s="389"/>
      <c r="YY50" s="386"/>
      <c r="YZ50" s="19"/>
      <c r="ZA50" s="389"/>
      <c r="ZB50" s="386"/>
      <c r="ZC50" s="19"/>
      <c r="ZD50" s="389"/>
      <c r="ZE50" s="386"/>
      <c r="ZF50" s="19"/>
      <c r="ZG50" s="389"/>
      <c r="ZH50" s="386"/>
      <c r="ZI50" s="19"/>
      <c r="ZJ50" s="389"/>
      <c r="ZK50" s="386"/>
      <c r="ZL50" s="19"/>
      <c r="ZM50" s="389"/>
      <c r="ZN50" s="386"/>
      <c r="ZO50" s="19"/>
      <c r="ZP50" s="389"/>
      <c r="ZQ50" s="386"/>
      <c r="ZR50" s="19"/>
      <c r="ZS50" s="389"/>
      <c r="ZT50" s="386"/>
      <c r="ZU50" s="19"/>
      <c r="ZV50" s="389"/>
      <c r="ZW50" s="386"/>
      <c r="ZX50" s="19"/>
      <c r="ZY50" s="389"/>
      <c r="ZZ50" s="386"/>
      <c r="AAA50" s="19"/>
      <c r="AAB50" s="389"/>
      <c r="AAC50" s="386"/>
      <c r="AAD50" s="19"/>
      <c r="AAE50" s="389"/>
      <c r="AAF50" s="386"/>
      <c r="AAG50" s="19"/>
      <c r="AAH50" s="389"/>
      <c r="AAI50" s="386"/>
      <c r="AAJ50" s="19"/>
      <c r="AAK50" s="389"/>
      <c r="AAL50" s="386"/>
      <c r="AAM50" s="19"/>
      <c r="AAN50" s="389"/>
      <c r="AAO50" s="386"/>
      <c r="AAP50" s="19"/>
      <c r="AAQ50" s="389"/>
      <c r="AAR50" s="386"/>
      <c r="AAS50" s="19"/>
      <c r="AAT50" s="389"/>
      <c r="AAU50" s="386"/>
      <c r="AAV50" s="19"/>
      <c r="AAW50" s="389"/>
      <c r="AAX50" s="386"/>
      <c r="AAY50" s="19"/>
      <c r="AAZ50" s="389"/>
      <c r="ABA50" s="386"/>
      <c r="ABB50" s="19"/>
      <c r="ABC50" s="389"/>
      <c r="ABD50" s="386"/>
      <c r="ABE50" s="19"/>
      <c r="ABF50" s="389"/>
      <c r="ABG50" s="386"/>
      <c r="ABH50" s="19"/>
      <c r="ABI50" s="389"/>
      <c r="ABJ50" s="386"/>
      <c r="ABK50" s="19"/>
      <c r="ABL50" s="389"/>
      <c r="ABM50" s="386"/>
      <c r="ABN50" s="19"/>
      <c r="ABO50" s="389"/>
      <c r="ABP50" s="386"/>
      <c r="ABQ50" s="19"/>
      <c r="ABR50" s="389"/>
      <c r="ABS50" s="386"/>
      <c r="ABT50" s="19"/>
      <c r="ABU50" s="389"/>
      <c r="ABV50" s="386"/>
      <c r="ABW50" s="19"/>
      <c r="ABX50" s="389"/>
      <c r="ABY50" s="386"/>
      <c r="ABZ50" s="19"/>
      <c r="ACA50" s="389"/>
      <c r="ACB50" s="386"/>
      <c r="ACC50" s="19"/>
      <c r="ACD50" s="389"/>
      <c r="ACE50" s="386"/>
      <c r="ACF50" s="19"/>
      <c r="ACG50" s="389"/>
      <c r="ACH50" s="386"/>
      <c r="ACI50" s="19"/>
      <c r="ACJ50" s="389"/>
      <c r="ACK50" s="386"/>
      <c r="ACL50" s="19"/>
      <c r="ACM50" s="389"/>
      <c r="ACN50" s="386"/>
      <c r="ACO50" s="19"/>
      <c r="ACP50" s="389"/>
      <c r="ACQ50" s="386"/>
      <c r="ACR50" s="19"/>
      <c r="ACS50" s="389"/>
      <c r="ACT50" s="386"/>
      <c r="ACU50" s="19"/>
      <c r="ACV50" s="389"/>
      <c r="ACW50" s="386"/>
      <c r="ACX50" s="19"/>
      <c r="ACY50" s="389"/>
      <c r="ACZ50" s="386"/>
      <c r="ADA50" s="19"/>
      <c r="ADB50" s="389"/>
      <c r="ADC50" s="386"/>
      <c r="ADD50" s="19"/>
      <c r="ADE50" s="389"/>
      <c r="ADF50" s="386"/>
      <c r="ADG50" s="19"/>
      <c r="ADH50" s="389"/>
      <c r="ADI50" s="386"/>
      <c r="ADJ50" s="19"/>
      <c r="ADK50" s="389"/>
      <c r="ADL50" s="386"/>
      <c r="ADM50" s="19"/>
      <c r="ADN50" s="389"/>
      <c r="ADO50" s="386"/>
      <c r="ADP50" s="19"/>
      <c r="ADQ50" s="389"/>
      <c r="ADR50" s="386"/>
      <c r="ADS50" s="19"/>
      <c r="ADT50" s="389"/>
      <c r="ADU50" s="386"/>
      <c r="ADV50" s="19"/>
      <c r="ADW50" s="389"/>
      <c r="ADX50" s="386"/>
      <c r="ADY50" s="19"/>
      <c r="ADZ50" s="389"/>
      <c r="AEA50" s="386"/>
      <c r="AEB50" s="19"/>
      <c r="AEC50" s="389"/>
      <c r="AED50" s="386"/>
      <c r="AEE50" s="19"/>
      <c r="AEF50" s="389"/>
      <c r="AEG50" s="386"/>
      <c r="AEH50" s="19"/>
      <c r="AEI50" s="389"/>
      <c r="AEJ50" s="386"/>
      <c r="AEK50" s="19"/>
      <c r="AEL50" s="389"/>
      <c r="AEM50" s="388"/>
      <c r="AEN50" s="19"/>
      <c r="AEO50" s="389"/>
      <c r="AEP50" s="386"/>
      <c r="AEQ50" s="19"/>
      <c r="AER50" s="389"/>
      <c r="AES50" s="386"/>
      <c r="AET50" s="19"/>
      <c r="AEU50" s="389"/>
      <c r="AEV50" s="386"/>
      <c r="AEW50" s="19"/>
      <c r="AEX50" s="389"/>
      <c r="AEY50" s="388"/>
      <c r="AEZ50" s="386"/>
      <c r="AFA50" s="387"/>
      <c r="AFB50" s="388"/>
      <c r="AFC50" s="386"/>
      <c r="AFD50" s="387"/>
      <c r="AFE50" s="388"/>
      <c r="AFF50" s="386"/>
      <c r="AFG50" s="387"/>
      <c r="AFH50" s="388"/>
      <c r="AFI50" s="386"/>
      <c r="AFJ50" s="387"/>
      <c r="AFK50" s="388"/>
      <c r="AFL50" s="386"/>
      <c r="AFM50" s="387"/>
      <c r="AFN50" s="388"/>
      <c r="AFO50" s="386"/>
      <c r="AFP50" s="387"/>
      <c r="AFQ50" s="388"/>
      <c r="AFR50" s="386"/>
      <c r="AFS50" s="387"/>
      <c r="AFT50" s="388"/>
      <c r="AFU50" s="386"/>
      <c r="AFV50" s="387"/>
      <c r="AFW50" s="388"/>
      <c r="AFX50" s="386"/>
      <c r="AFY50" s="387"/>
      <c r="AFZ50" s="388"/>
      <c r="AGA50" s="386"/>
      <c r="AGB50" s="387"/>
      <c r="AGC50" s="388"/>
      <c r="AGD50" s="386"/>
      <c r="AGE50" s="387"/>
      <c r="AGF50" s="388"/>
      <c r="AGG50" s="386"/>
      <c r="AGH50" s="387"/>
      <c r="AGI50" s="388"/>
      <c r="AGJ50" s="386"/>
      <c r="AGK50" s="387"/>
      <c r="AGL50" s="388"/>
      <c r="AGM50" s="386"/>
      <c r="AGN50" s="387"/>
      <c r="AGO50" s="388"/>
      <c r="AGP50" s="386"/>
      <c r="AGQ50" s="387"/>
      <c r="AGR50" s="388"/>
      <c r="AGS50" s="386"/>
      <c r="AGT50" s="387"/>
      <c r="AGU50" s="388"/>
      <c r="AGV50" s="386"/>
      <c r="AGW50" s="387"/>
      <c r="AGX50" s="388"/>
      <c r="AGY50" s="386"/>
      <c r="AGZ50" s="387"/>
      <c r="AHA50" s="388"/>
      <c r="AHB50" s="386"/>
      <c r="AHC50" s="387"/>
      <c r="AHD50" s="388"/>
      <c r="AHE50" s="386"/>
      <c r="AHF50" s="387"/>
      <c r="AHG50" s="388"/>
      <c r="AHH50" s="386"/>
      <c r="AHI50" s="387"/>
      <c r="AHJ50" s="388"/>
      <c r="AHK50" s="386"/>
      <c r="AHL50" s="387"/>
      <c r="AHM50" s="388"/>
      <c r="AHN50" s="386"/>
      <c r="AHO50" s="387"/>
      <c r="AHP50" s="388"/>
      <c r="AHQ50" s="386"/>
      <c r="AHR50" s="387"/>
      <c r="AHS50" s="388"/>
      <c r="AHT50" s="386"/>
      <c r="AHU50" s="387"/>
      <c r="AHV50" s="388"/>
      <c r="AHW50" s="386"/>
      <c r="AHX50" s="387"/>
      <c r="AHY50" s="388"/>
      <c r="AHZ50" s="386"/>
      <c r="AIA50" s="387"/>
      <c r="AIB50" s="388"/>
      <c r="AIC50" s="386"/>
      <c r="AID50" s="386"/>
      <c r="AIE50" s="388"/>
      <c r="AIF50" s="386"/>
      <c r="AIG50" s="387"/>
      <c r="AIH50" s="388"/>
      <c r="AII50" s="386"/>
      <c r="AIJ50" s="387"/>
      <c r="AIK50" s="388"/>
      <c r="AIL50" s="386"/>
      <c r="AIM50" s="387"/>
      <c r="AIN50" s="388"/>
      <c r="AIO50" s="386"/>
      <c r="AIP50" s="387"/>
      <c r="AIQ50" s="954"/>
      <c r="AIR50" s="1271"/>
      <c r="AIS50" s="1271"/>
      <c r="AIT50" s="388"/>
      <c r="AIU50" s="386"/>
      <c r="AIV50" s="387"/>
      <c r="AIW50" s="388"/>
      <c r="AIX50" s="386"/>
      <c r="AIY50" s="386"/>
      <c r="AIZ50" s="388"/>
      <c r="AJA50" s="386"/>
      <c r="AJB50" s="387"/>
      <c r="AJC50" s="388"/>
      <c r="AJD50" s="386"/>
      <c r="AJE50" s="387"/>
      <c r="AJF50" s="1304"/>
      <c r="AJG50" s="1305"/>
      <c r="AJH50" s="1335"/>
      <c r="AJI50" s="388"/>
      <c r="AJJ50" s="386"/>
      <c r="AJK50" s="387"/>
      <c r="AJL50" s="388"/>
      <c r="AJM50" s="386"/>
      <c r="AJN50" s="386"/>
      <c r="AJO50" s="1304"/>
      <c r="AJP50" s="1305"/>
      <c r="AJQ50" s="1335"/>
      <c r="AJR50" s="388"/>
      <c r="AJS50" s="386"/>
      <c r="AJT50" s="386"/>
      <c r="AJU50" s="388"/>
      <c r="AJV50" s="386"/>
      <c r="AJW50" s="387"/>
      <c r="AJX50" s="1304"/>
      <c r="AJY50" s="1305"/>
      <c r="AJZ50" s="1335"/>
      <c r="AKA50" s="388"/>
      <c r="AKB50" s="386"/>
      <c r="AKC50" s="387"/>
      <c r="AKD50" s="388"/>
      <c r="AKE50" s="386"/>
      <c r="AKF50" s="387"/>
      <c r="AKG50" s="388"/>
      <c r="AKH50" s="386"/>
      <c r="AKI50" s="386"/>
      <c r="AKJ50" s="388"/>
      <c r="AKK50" s="386"/>
      <c r="AKL50" s="387"/>
      <c r="AKM50" s="388"/>
      <c r="AKN50" s="386"/>
      <c r="AKO50" s="386"/>
      <c r="AKP50" s="388"/>
      <c r="AKQ50" s="386"/>
      <c r="AKR50" s="387"/>
      <c r="AKS50" s="388"/>
      <c r="AKT50" s="386"/>
      <c r="AKU50" s="387"/>
      <c r="AKV50" s="1304"/>
      <c r="AKW50" s="1305"/>
      <c r="AKX50" s="1335"/>
      <c r="AKY50" s="1304">
        <v>597.6</v>
      </c>
      <c r="AKZ50" s="1305"/>
      <c r="ALA50" s="1335"/>
      <c r="ALB50" s="1304"/>
      <c r="ALC50" s="1305"/>
      <c r="ALD50" s="1335"/>
      <c r="ALE50" s="1304"/>
      <c r="ALF50" s="1305"/>
      <c r="ALG50" s="1335"/>
      <c r="ALH50" s="1304"/>
      <c r="ALI50" s="1305"/>
      <c r="ALJ50" s="1335"/>
      <c r="ALK50" s="1304"/>
      <c r="ALL50" s="1305"/>
      <c r="ALM50" s="1335"/>
      <c r="ALN50" s="1304"/>
      <c r="ALO50" s="1305"/>
      <c r="ALP50" s="1335"/>
      <c r="ALQ50" s="1304"/>
      <c r="ALR50" s="1305"/>
      <c r="ALS50" s="1335"/>
      <c r="ALT50" s="1304"/>
      <c r="ALU50" s="1305"/>
      <c r="ALV50" s="1335"/>
      <c r="ALW50" s="1304"/>
      <c r="ALX50" s="1305"/>
      <c r="ALY50" s="1335"/>
      <c r="ALZ50" s="1304"/>
      <c r="AMA50" s="1305"/>
      <c r="AMB50" s="1335"/>
      <c r="AMC50" s="1304"/>
      <c r="AMD50" s="1305"/>
      <c r="AME50" s="1335"/>
      <c r="AMF50" s="1304"/>
      <c r="AMG50" s="1305"/>
      <c r="AMH50" s="1335"/>
      <c r="AMI50" s="1304"/>
      <c r="AMJ50" s="1305"/>
      <c r="AMK50" s="1335"/>
      <c r="AML50" s="1304"/>
      <c r="AMM50" s="1305"/>
      <c r="AMN50" s="1335"/>
      <c r="AMO50" s="1304"/>
      <c r="AMP50" s="1305"/>
      <c r="AMQ50" s="1335"/>
      <c r="AMR50" s="1304"/>
      <c r="AMS50" s="1305"/>
      <c r="AMT50" s="1335"/>
      <c r="AMU50" s="1304"/>
      <c r="AMV50" s="1305"/>
      <c r="AMW50" s="1335"/>
      <c r="AMX50" s="1304"/>
      <c r="AMY50" s="1305"/>
      <c r="AMZ50" s="1335"/>
      <c r="ANA50" s="1304"/>
      <c r="ANB50" s="1305"/>
      <c r="ANC50" s="1335"/>
      <c r="AND50" s="1304"/>
      <c r="ANE50" s="1305"/>
      <c r="ANF50" s="1335"/>
      <c r="ANG50" s="1304"/>
      <c r="ANH50" s="1305"/>
      <c r="ANI50" s="1335"/>
      <c r="ANJ50" s="1304"/>
      <c r="ANK50" s="1305"/>
      <c r="ANL50" s="1335"/>
      <c r="ANM50" s="1304"/>
      <c r="ANN50" s="1305"/>
      <c r="ANO50" s="1335"/>
      <c r="ANP50" s="1304"/>
      <c r="ANQ50" s="1305"/>
      <c r="ANR50" s="1335"/>
      <c r="ANS50" s="1304"/>
      <c r="ANT50" s="1305"/>
      <c r="ANU50" s="1335"/>
      <c r="ANV50" s="1304"/>
      <c r="ANW50" s="1305"/>
      <c r="ANX50" s="1335"/>
      <c r="ANY50" s="1304"/>
      <c r="ANZ50" s="1305"/>
      <c r="AOA50" s="1335"/>
      <c r="AOB50" s="1304"/>
      <c r="AOC50" s="1305"/>
      <c r="AOD50" s="1335"/>
      <c r="AOE50" s="1304"/>
      <c r="AOF50" s="1305"/>
      <c r="AOG50" s="1335"/>
      <c r="AOH50" s="1304"/>
      <c r="AOI50" s="1305"/>
      <c r="AOJ50" s="1335"/>
      <c r="AOK50" s="1304"/>
      <c r="AOL50" s="1305"/>
      <c r="AOM50" s="1335"/>
      <c r="AON50" s="1304"/>
      <c r="AOO50" s="1305"/>
      <c r="AOP50" s="1335"/>
      <c r="AOQ50" s="1304"/>
      <c r="AOR50" s="1305"/>
      <c r="AOS50" s="1335"/>
      <c r="AOT50" s="1304"/>
      <c r="AOU50" s="1305"/>
      <c r="AOV50" s="1335"/>
      <c r="AOW50" s="1304"/>
      <c r="AOX50" s="1305"/>
      <c r="AOY50" s="1335"/>
      <c r="AOZ50" s="1304"/>
      <c r="APA50" s="1305"/>
      <c r="APB50" s="1335"/>
      <c r="APC50" s="1304"/>
      <c r="APD50" s="1305"/>
      <c r="APE50" s="1335"/>
      <c r="APF50" s="1304"/>
      <c r="APG50" s="1305"/>
      <c r="APH50" s="1335"/>
      <c r="API50" s="1304"/>
      <c r="APJ50" s="1305"/>
      <c r="APK50" s="1335"/>
      <c r="APL50" s="1304"/>
      <c r="APM50" s="1305"/>
      <c r="APN50" s="1335"/>
      <c r="APO50" s="1304"/>
      <c r="APP50" s="1305"/>
      <c r="APQ50" s="1335"/>
      <c r="APR50" s="1304"/>
      <c r="APS50" s="1305"/>
      <c r="APT50" s="1335"/>
      <c r="APU50" s="1304"/>
      <c r="APV50" s="1305"/>
      <c r="APW50" s="1335"/>
      <c r="APX50" s="1304"/>
      <c r="APY50" s="1305"/>
      <c r="APZ50" s="1335"/>
      <c r="AQA50" s="1304"/>
      <c r="AQB50" s="1305"/>
      <c r="AQC50" s="1335"/>
      <c r="AQD50" s="1304"/>
      <c r="AQE50" s="1305"/>
      <c r="AQF50" s="1335"/>
      <c r="AQG50" s="1304"/>
      <c r="AQH50" s="1305"/>
      <c r="AQI50" s="1335"/>
      <c r="AQJ50" s="1304"/>
      <c r="AQK50" s="1305"/>
      <c r="AQL50" s="1335"/>
      <c r="AQM50" s="1304"/>
      <c r="AQN50" s="1305"/>
      <c r="AQO50" s="1335"/>
      <c r="AQP50" s="1304"/>
      <c r="AQQ50" s="1305"/>
      <c r="AQR50" s="1305"/>
      <c r="AQS50" s="1304"/>
      <c r="AQT50" s="1305"/>
      <c r="AQU50" s="1335"/>
      <c r="AQV50" s="1305"/>
      <c r="AQW50" s="1305"/>
      <c r="AQX50" s="1335"/>
      <c r="AQY50" s="1304"/>
      <c r="AQZ50" s="1305"/>
      <c r="ARA50" s="1335"/>
      <c r="ARB50" s="1304"/>
      <c r="ARC50" s="1305"/>
      <c r="ARD50" s="1335"/>
      <c r="ARE50" s="1304"/>
      <c r="ARF50" s="1305"/>
      <c r="ARG50" s="1335"/>
      <c r="ARH50" s="1304"/>
      <c r="ARI50" s="1305"/>
      <c r="ARJ50" s="1335"/>
      <c r="ARK50" s="1304"/>
      <c r="ARL50" s="1305"/>
      <c r="ARM50" s="1335"/>
      <c r="ARN50" s="1304"/>
      <c r="ARO50" s="1305"/>
      <c r="ARP50" s="1335"/>
      <c r="ARQ50" s="1304"/>
      <c r="ARR50" s="1305"/>
      <c r="ARS50" s="1335"/>
      <c r="ART50" s="1304"/>
      <c r="ARU50" s="1305"/>
      <c r="ARV50" s="1335"/>
      <c r="ARW50" s="1304"/>
      <c r="ARX50" s="1305"/>
      <c r="ARY50" s="1335"/>
      <c r="ARZ50" s="1304"/>
      <c r="ASA50" s="1305"/>
      <c r="ASB50" s="1335"/>
      <c r="ASC50" s="1304"/>
      <c r="ASD50" s="1305"/>
      <c r="ASE50" s="1335"/>
      <c r="ASF50" s="1304"/>
      <c r="ASG50" s="1305"/>
      <c r="ASH50" s="1335"/>
      <c r="ASI50" s="1304"/>
      <c r="ASJ50" s="1305"/>
      <c r="ASK50" s="1335"/>
      <c r="ASL50" s="1304"/>
      <c r="ASM50" s="1305"/>
      <c r="ASN50" s="1335"/>
      <c r="ASO50" s="1304"/>
      <c r="ASP50" s="1305"/>
      <c r="ASQ50" s="1305"/>
      <c r="ASR50" s="1304"/>
      <c r="ASS50" s="1305"/>
      <c r="AST50" s="1335"/>
      <c r="ASU50" s="1304"/>
      <c r="ASV50" s="1305"/>
      <c r="ASW50" s="1335"/>
      <c r="ASX50" s="1304"/>
      <c r="ASY50" s="1305"/>
      <c r="ASZ50" s="1335"/>
      <c r="ATA50" s="1304"/>
      <c r="ATB50" s="1305"/>
      <c r="ATC50" s="1335"/>
      <c r="ATD50" s="1304"/>
      <c r="ATE50" s="1305"/>
      <c r="ATF50" s="1335"/>
      <c r="ATG50" s="1304"/>
      <c r="ATH50" s="1305"/>
      <c r="ATI50" s="1335"/>
      <c r="ATJ50" s="1304"/>
      <c r="ATK50" s="1305"/>
      <c r="ATL50" s="1335"/>
      <c r="ATM50" s="1304"/>
      <c r="ATN50" s="1305"/>
      <c r="ATO50" s="1335"/>
      <c r="ATP50" s="1304"/>
      <c r="ATQ50" s="1305"/>
      <c r="ATR50" s="1335"/>
      <c r="ATS50" s="1304"/>
      <c r="ATT50" s="1305"/>
      <c r="ATU50" s="1335"/>
      <c r="ATV50" s="1305"/>
      <c r="ATW50" s="1305"/>
      <c r="ATX50" s="1335"/>
      <c r="ATY50" s="1304"/>
      <c r="ATZ50" s="1305"/>
      <c r="AUA50" s="1335"/>
      <c r="AUB50" s="1304"/>
      <c r="AUC50" s="1305"/>
      <c r="AUD50" s="1335"/>
      <c r="AUE50" s="1304"/>
      <c r="AUF50" s="1305"/>
      <c r="AUG50" s="1335"/>
      <c r="AUH50" s="1304"/>
      <c r="AUI50" s="1305"/>
      <c r="AUJ50" s="1335"/>
      <c r="AUK50" s="1304"/>
      <c r="AUL50" s="1305"/>
      <c r="AUM50" s="1305"/>
      <c r="AUN50" s="1304"/>
      <c r="AUO50" s="1305"/>
      <c r="AUP50" s="1305"/>
      <c r="AUQ50" s="1304"/>
      <c r="AUR50" s="1305"/>
      <c r="AUS50" s="1305"/>
      <c r="AUT50" s="1304"/>
      <c r="AUU50" s="1305"/>
      <c r="AUV50" s="1305"/>
      <c r="AUW50" s="1304"/>
      <c r="AUX50" s="1305"/>
      <c r="AUY50" s="1305"/>
      <c r="AUZ50" s="1304"/>
      <c r="AVA50" s="1305"/>
      <c r="AVB50" s="1305"/>
      <c r="AVC50" s="1304"/>
      <c r="AVD50" s="1305"/>
      <c r="AVE50" s="1305"/>
      <c r="AVF50" s="1304"/>
      <c r="AVG50" s="1305"/>
      <c r="AVH50" s="1305"/>
      <c r="AVI50" s="1304"/>
      <c r="AVJ50" s="1305"/>
      <c r="AVK50" s="1305"/>
      <c r="AVL50" s="1304"/>
      <c r="AVM50" s="1305"/>
      <c r="AVN50" s="1305"/>
      <c r="AVO50" s="1304"/>
      <c r="AVP50" s="1305"/>
      <c r="AVQ50" s="1305"/>
      <c r="AVR50" s="1304"/>
      <c r="AVS50" s="1305"/>
      <c r="AVT50" s="1305"/>
      <c r="AVU50" s="1304"/>
      <c r="AVV50" s="1305"/>
      <c r="AVW50" s="1305"/>
      <c r="AVX50" s="1304"/>
      <c r="AVY50" s="1305"/>
      <c r="AVZ50" s="1305"/>
      <c r="AWA50" s="1304"/>
      <c r="AWB50" s="1305"/>
      <c r="AWC50" s="1305"/>
      <c r="AWD50" s="1304"/>
      <c r="AWE50" s="1305"/>
      <c r="AWF50" s="1305"/>
      <c r="AWG50" s="1304"/>
      <c r="AWH50" s="1305"/>
      <c r="AWI50" s="1305"/>
      <c r="AWJ50" s="1304"/>
      <c r="AWK50" s="1305"/>
      <c r="AWL50" s="1305"/>
      <c r="AWM50" s="1304"/>
      <c r="AWN50" s="1305"/>
      <c r="AWO50" s="1335"/>
      <c r="AWP50" s="1305"/>
      <c r="AWQ50" s="1305"/>
      <c r="AWR50" s="1335"/>
      <c r="AWS50" s="1304"/>
      <c r="AWT50" s="1305"/>
      <c r="AWU50" s="1335"/>
      <c r="AWV50" s="1304"/>
      <c r="AWW50" s="1305"/>
      <c r="AWX50" s="1335"/>
      <c r="AWY50" s="1304"/>
      <c r="AWZ50" s="1305"/>
      <c r="AXA50" s="1335"/>
      <c r="AXB50" s="1304"/>
      <c r="AXC50" s="1305"/>
      <c r="AXD50" s="1335"/>
      <c r="AXE50" s="1304"/>
      <c r="AXF50" s="1305"/>
      <c r="AXG50" s="1335"/>
      <c r="AXH50" s="1304"/>
      <c r="AXI50" s="1305"/>
      <c r="AXJ50" s="1335"/>
      <c r="AXK50" s="1304"/>
      <c r="AXL50" s="1305"/>
      <c r="AXM50" s="1335"/>
      <c r="AXN50" s="1304"/>
      <c r="AXO50" s="1305"/>
      <c r="AXP50" s="1335"/>
      <c r="AXQ50" s="1304"/>
      <c r="AXR50" s="1305"/>
      <c r="AXS50" s="1335"/>
      <c r="AXT50" s="1304"/>
      <c r="AXU50" s="1305"/>
      <c r="AXV50" s="1335"/>
      <c r="AXW50" s="1304"/>
      <c r="AXX50" s="1305"/>
      <c r="AXY50" s="1335"/>
      <c r="AXZ50" s="1304"/>
      <c r="AYA50" s="1305"/>
      <c r="AYB50" s="1335"/>
      <c r="AYC50" s="1304"/>
      <c r="AYD50" s="1305"/>
      <c r="AYE50" s="1335"/>
      <c r="AYF50" s="1304"/>
      <c r="AYG50" s="1305"/>
      <c r="AYH50" s="1335"/>
      <c r="AYI50" s="1304"/>
      <c r="AYJ50" s="1305"/>
      <c r="AYK50" s="1335"/>
      <c r="AYL50" s="1304"/>
      <c r="AYM50" s="1305"/>
      <c r="AYN50" s="1335"/>
      <c r="AYO50" s="1304"/>
      <c r="AYP50" s="1305"/>
      <c r="AYQ50" s="1335"/>
      <c r="AYR50" s="1304"/>
      <c r="AYS50" s="1305"/>
      <c r="AYT50" s="1335"/>
      <c r="AYU50" s="1304"/>
      <c r="AYV50" s="1305"/>
      <c r="AYW50" s="1335"/>
      <c r="AYX50" s="1304"/>
      <c r="AYY50" s="1305"/>
      <c r="AYZ50" s="1335"/>
      <c r="AZA50" s="1304"/>
      <c r="AZB50" s="1305"/>
      <c r="AZC50" s="1335"/>
      <c r="AZD50" s="1304"/>
      <c r="AZE50" s="1305"/>
      <c r="AZF50" s="1335"/>
      <c r="AZG50" s="1304"/>
      <c r="AZH50" s="1305"/>
      <c r="AZI50" s="1335"/>
      <c r="AZJ50" s="1304"/>
      <c r="AZK50" s="1305"/>
      <c r="AZL50" s="1335"/>
      <c r="AZM50" s="1304"/>
      <c r="AZN50" s="1305"/>
      <c r="AZO50" s="1335"/>
      <c r="AZP50" s="1304"/>
      <c r="AZQ50" s="1305"/>
      <c r="AZR50" s="1335"/>
      <c r="AZS50" s="1304"/>
      <c r="AZT50" s="1305"/>
      <c r="AZU50" s="1335"/>
      <c r="AZV50" s="1304"/>
      <c r="AZW50" s="1305"/>
      <c r="AZX50" s="1335"/>
      <c r="AZY50" s="1304"/>
      <c r="AZZ50" s="1305"/>
      <c r="BAA50" s="1335"/>
      <c r="BAB50" s="1304"/>
      <c r="BAC50" s="1305"/>
      <c r="BAD50" s="1335"/>
      <c r="BAE50" s="1304"/>
      <c r="BAF50" s="1305"/>
      <c r="BAG50" s="1335"/>
      <c r="BAH50" s="1304"/>
      <c r="BAI50" s="1305"/>
      <c r="BAJ50" s="1335"/>
    </row>
    <row r="51" spans="1:1388" s="354" customFormat="1" ht="14.5" customHeight="1">
      <c r="A51" s="17"/>
      <c r="B51" s="18" t="s">
        <v>374</v>
      </c>
      <c r="C51" s="1201"/>
      <c r="D51" s="1201"/>
      <c r="E51" s="13" t="s">
        <v>342</v>
      </c>
      <c r="F51" s="1266"/>
      <c r="G51" s="1266"/>
      <c r="H51" s="346"/>
      <c r="I51" s="1266"/>
      <c r="J51" s="1266"/>
      <c r="K51" s="346"/>
      <c r="L51" s="1266"/>
      <c r="M51" s="1266"/>
      <c r="N51" s="346"/>
      <c r="O51" s="1266"/>
      <c r="P51" s="1266"/>
      <c r="Q51" s="346"/>
      <c r="R51" s="1266"/>
      <c r="S51" s="1266"/>
      <c r="T51" s="346"/>
      <c r="U51" s="1266"/>
      <c r="V51" s="1266"/>
      <c r="W51" s="346"/>
      <c r="X51" s="1266"/>
      <c r="Y51" s="1266"/>
      <c r="Z51" s="346"/>
      <c r="AA51" s="1266"/>
      <c r="AB51" s="1266"/>
      <c r="AC51" s="346"/>
      <c r="AD51" s="1266"/>
      <c r="AE51" s="1266"/>
      <c r="AF51" s="346"/>
      <c r="AG51" s="1266"/>
      <c r="AH51" s="1266"/>
      <c r="AI51" s="346"/>
      <c r="AJ51" s="1266"/>
      <c r="AK51" s="1266"/>
      <c r="AL51" s="346"/>
      <c r="AM51" s="1266"/>
      <c r="AN51" s="1266"/>
      <c r="AO51" s="346"/>
      <c r="AP51" s="1266"/>
      <c r="AQ51" s="1266"/>
      <c r="AR51" s="346"/>
      <c r="AS51" s="1266"/>
      <c r="AT51" s="1266"/>
      <c r="AU51" s="346"/>
      <c r="AV51" s="1266"/>
      <c r="AW51" s="1266"/>
      <c r="AX51" s="346"/>
      <c r="AY51" s="1266"/>
      <c r="AZ51" s="1266"/>
      <c r="BA51" s="346"/>
      <c r="BB51" s="1266"/>
      <c r="BC51" s="1266"/>
      <c r="BD51" s="346"/>
      <c r="BE51" s="1266"/>
      <c r="BF51" s="1266"/>
      <c r="BG51" s="346"/>
      <c r="BH51" s="1266"/>
      <c r="BI51" s="1266"/>
      <c r="BJ51" s="346"/>
      <c r="BK51" s="1266"/>
      <c r="BL51" s="1266"/>
      <c r="BM51" s="346"/>
      <c r="BN51" s="1266"/>
      <c r="BO51" s="1266"/>
      <c r="BP51" s="346"/>
      <c r="BQ51" s="1266"/>
      <c r="BR51" s="1266"/>
      <c r="BS51" s="346"/>
      <c r="BT51" s="1266"/>
      <c r="BU51" s="1266"/>
      <c r="BV51" s="346"/>
      <c r="BW51" s="1266"/>
      <c r="BX51" s="1266"/>
      <c r="BY51" s="346"/>
      <c r="BZ51" s="1266"/>
      <c r="CA51" s="1266"/>
      <c r="CB51" s="346"/>
      <c r="CC51" s="1266"/>
      <c r="CD51" s="1266"/>
      <c r="CE51" s="346"/>
      <c r="CF51" s="1266"/>
      <c r="CG51" s="1266"/>
      <c r="CH51" s="346"/>
      <c r="CI51" s="1266"/>
      <c r="CJ51" s="1266"/>
      <c r="CK51" s="346"/>
      <c r="CL51" s="1266"/>
      <c r="CM51" s="1266"/>
      <c r="CN51" s="346"/>
      <c r="CO51" s="1266"/>
      <c r="CP51" s="1266"/>
      <c r="CQ51" s="346"/>
      <c r="CR51" s="1266"/>
      <c r="CS51" s="1266"/>
      <c r="CT51" s="346"/>
      <c r="CU51" s="1266"/>
      <c r="CV51" s="1266"/>
      <c r="CW51" s="346"/>
      <c r="CX51" s="1266"/>
      <c r="CY51" s="1266"/>
      <c r="CZ51" s="346"/>
      <c r="DA51" s="1266"/>
      <c r="DB51" s="1266"/>
      <c r="DC51" s="346"/>
      <c r="DD51" s="1266"/>
      <c r="DE51" s="1266"/>
      <c r="DF51" s="346"/>
      <c r="DG51" s="1266"/>
      <c r="DH51" s="1266"/>
      <c r="DI51" s="346"/>
      <c r="DJ51" s="1266"/>
      <c r="DK51" s="1266"/>
      <c r="DL51" s="346"/>
      <c r="DM51" s="1266"/>
      <c r="DN51" s="1266"/>
      <c r="DO51" s="346"/>
      <c r="DP51" s="1266"/>
      <c r="DQ51" s="1266"/>
      <c r="DR51" s="346"/>
      <c r="DS51" s="1266"/>
      <c r="DT51" s="1266"/>
      <c r="DU51" s="346"/>
      <c r="DV51" s="1266"/>
      <c r="DW51" s="1266"/>
      <c r="DX51" s="346"/>
      <c r="DY51" s="1266"/>
      <c r="DZ51" s="1266"/>
      <c r="EA51" s="346"/>
      <c r="EB51" s="1266"/>
      <c r="EC51" s="1266"/>
      <c r="ED51" s="346"/>
      <c r="EE51" s="1266"/>
      <c r="EF51" s="1266"/>
      <c r="EG51" s="346"/>
      <c r="EH51" s="1266"/>
      <c r="EI51" s="1266"/>
      <c r="EJ51" s="346"/>
      <c r="EK51" s="1266"/>
      <c r="EL51" s="1266"/>
      <c r="EM51" s="346"/>
      <c r="EN51" s="1266"/>
      <c r="EO51" s="1266"/>
      <c r="EP51" s="346"/>
      <c r="EQ51" s="1266"/>
      <c r="ER51" s="1266"/>
      <c r="ES51" s="346"/>
      <c r="ET51" s="1266"/>
      <c r="EU51" s="1266"/>
      <c r="EV51" s="346"/>
      <c r="EW51" s="1266"/>
      <c r="EX51" s="1266"/>
      <c r="EY51" s="346"/>
      <c r="EZ51" s="1266"/>
      <c r="FA51" s="1266"/>
      <c r="FB51" s="346"/>
      <c r="FC51" s="1266"/>
      <c r="FD51" s="1266"/>
      <c r="FE51" s="346"/>
      <c r="FF51" s="1266"/>
      <c r="FG51" s="1266"/>
      <c r="FH51" s="346"/>
      <c r="FI51" s="1266"/>
      <c r="FJ51" s="1266"/>
      <c r="FK51" s="346"/>
      <c r="FL51" s="1266"/>
      <c r="FM51" s="1266"/>
      <c r="FN51" s="346"/>
      <c r="FO51" s="1266"/>
      <c r="FP51" s="1266"/>
      <c r="FQ51" s="346"/>
      <c r="FR51" s="1266"/>
      <c r="FS51" s="1266"/>
      <c r="FT51" s="346"/>
      <c r="FU51" s="1266"/>
      <c r="FV51" s="1266"/>
      <c r="FW51" s="346"/>
      <c r="FX51" s="1266"/>
      <c r="FY51" s="1266"/>
      <c r="FZ51" s="346"/>
      <c r="GA51" s="1266"/>
      <c r="GB51" s="1266"/>
      <c r="GC51" s="346"/>
      <c r="GD51" s="1266"/>
      <c r="GE51" s="1266"/>
      <c r="GF51" s="346"/>
      <c r="GG51" s="1266"/>
      <c r="GH51" s="1266"/>
      <c r="GI51" s="346"/>
      <c r="GJ51" s="1266"/>
      <c r="GK51" s="1266"/>
      <c r="GL51" s="346"/>
      <c r="GM51" s="1266"/>
      <c r="GN51" s="1266"/>
      <c r="GO51" s="346"/>
      <c r="GP51" s="1266"/>
      <c r="GQ51" s="1266"/>
      <c r="GR51" s="346"/>
      <c r="GS51" s="1266"/>
      <c r="GT51" s="1266"/>
      <c r="GU51" s="346"/>
      <c r="GV51" s="1266"/>
      <c r="GW51" s="1266"/>
      <c r="GX51" s="346"/>
      <c r="GY51" s="1266"/>
      <c r="GZ51" s="1266"/>
      <c r="HA51" s="346"/>
      <c r="HB51" s="1266"/>
      <c r="HC51" s="1266"/>
      <c r="HD51" s="346"/>
      <c r="HE51" s="1266"/>
      <c r="HF51" s="1266"/>
      <c r="HG51" s="346"/>
      <c r="HH51" s="1266"/>
      <c r="HI51" s="1266"/>
      <c r="HJ51" s="346"/>
      <c r="HK51" s="1266"/>
      <c r="HL51" s="1266"/>
      <c r="HM51" s="346"/>
      <c r="HN51" s="1266"/>
      <c r="HO51" s="1266"/>
      <c r="HP51" s="346"/>
      <c r="HQ51" s="1266"/>
      <c r="HR51" s="1266"/>
      <c r="HS51" s="346"/>
      <c r="HT51" s="1266"/>
      <c r="HU51" s="1266"/>
      <c r="HV51" s="346"/>
      <c r="HW51" s="1266"/>
      <c r="HX51" s="1266"/>
      <c r="HY51" s="346"/>
      <c r="HZ51" s="1266"/>
      <c r="IA51" s="1266"/>
      <c r="IB51" s="346"/>
      <c r="IC51" s="1266"/>
      <c r="ID51" s="1266"/>
      <c r="IE51" s="346"/>
      <c r="IF51" s="1266"/>
      <c r="IG51" s="1266"/>
      <c r="IH51" s="346"/>
      <c r="II51" s="1266"/>
      <c r="IJ51" s="1266"/>
      <c r="IK51" s="346"/>
      <c r="IL51" s="1266"/>
      <c r="IM51" s="1266"/>
      <c r="IN51" s="346"/>
      <c r="IO51" s="1266"/>
      <c r="IP51" s="1266"/>
      <c r="IQ51" s="346"/>
      <c r="IR51" s="1266"/>
      <c r="IS51" s="1266"/>
      <c r="IT51" s="346"/>
      <c r="IU51" s="1266"/>
      <c r="IV51" s="1266"/>
      <c r="IW51" s="346"/>
      <c r="IX51" s="1266"/>
      <c r="IY51" s="1266"/>
      <c r="IZ51" s="346"/>
      <c r="JA51" s="1266"/>
      <c r="JB51" s="1266"/>
      <c r="JC51" s="346"/>
      <c r="JD51" s="1266"/>
      <c r="JE51" s="1266"/>
      <c r="JF51" s="346"/>
      <c r="JG51" s="1266"/>
      <c r="JH51" s="1266"/>
      <c r="JI51" s="346"/>
      <c r="JJ51" s="1266"/>
      <c r="JK51" s="1266"/>
      <c r="JL51" s="346"/>
      <c r="JM51" s="1266"/>
      <c r="JN51" s="1266"/>
      <c r="JO51" s="346"/>
      <c r="JP51" s="1266"/>
      <c r="JQ51" s="1266"/>
      <c r="JR51" s="346"/>
      <c r="JS51" s="1266"/>
      <c r="JT51" s="1266"/>
      <c r="JU51" s="346"/>
      <c r="JV51" s="1266"/>
      <c r="JW51" s="1266"/>
      <c r="JX51" s="346"/>
      <c r="JY51" s="1266"/>
      <c r="JZ51" s="1266"/>
      <c r="KA51" s="346"/>
      <c r="KB51" s="1266"/>
      <c r="KC51" s="1266"/>
      <c r="KD51" s="346"/>
      <c r="KE51" s="1266"/>
      <c r="KF51" s="1266"/>
      <c r="KG51" s="346"/>
      <c r="KH51" s="1266"/>
      <c r="KI51" s="1266"/>
      <c r="KJ51" s="346"/>
      <c r="KK51" s="1266"/>
      <c r="KL51" s="1266"/>
      <c r="KM51" s="346"/>
      <c r="KN51" s="1266"/>
      <c r="KO51" s="1266"/>
      <c r="KP51" s="346"/>
      <c r="KQ51" s="1266"/>
      <c r="KR51" s="1266"/>
      <c r="KS51" s="346"/>
      <c r="KT51" s="1266"/>
      <c r="KU51" s="1266"/>
      <c r="KV51" s="346"/>
      <c r="KW51" s="1266"/>
      <c r="KX51" s="1266"/>
      <c r="KY51" s="346"/>
      <c r="KZ51" s="1266"/>
      <c r="LA51" s="1266"/>
      <c r="LB51" s="346"/>
      <c r="LC51" s="1266"/>
      <c r="LD51" s="1266"/>
      <c r="LE51" s="346"/>
      <c r="LF51" s="1266"/>
      <c r="LG51" s="1266"/>
      <c r="LH51" s="346"/>
      <c r="LI51" s="1266"/>
      <c r="LJ51" s="1266"/>
      <c r="LK51" s="346"/>
      <c r="LL51" s="1266"/>
      <c r="LM51" s="1266"/>
      <c r="LN51" s="346"/>
      <c r="LO51" s="1266"/>
      <c r="LP51" s="1266"/>
      <c r="LQ51" s="346"/>
      <c r="LR51" s="1266"/>
      <c r="LS51" s="1266"/>
      <c r="LT51" s="346"/>
      <c r="LU51" s="1266"/>
      <c r="LV51" s="1266"/>
      <c r="LW51" s="346"/>
      <c r="LX51" s="1266"/>
      <c r="LY51" s="1266"/>
      <c r="LZ51" s="346"/>
      <c r="MA51" s="1266"/>
      <c r="MB51" s="1266"/>
      <c r="MC51" s="346"/>
      <c r="MD51" s="1266"/>
      <c r="ME51" s="1266"/>
      <c r="MF51" s="346"/>
      <c r="MG51" s="1266"/>
      <c r="MH51" s="1266"/>
      <c r="MI51" s="346"/>
      <c r="MJ51" s="1266"/>
      <c r="MK51" s="1266"/>
      <c r="ML51" s="346"/>
      <c r="MM51" s="1266"/>
      <c r="MN51" s="1266"/>
      <c r="MO51" s="346"/>
      <c r="MP51" s="1266"/>
      <c r="MQ51" s="1266"/>
      <c r="MR51" s="346"/>
      <c r="MS51" s="1266"/>
      <c r="MT51" s="1266"/>
      <c r="MU51" s="346"/>
      <c r="MV51" s="1266"/>
      <c r="MW51" s="1266"/>
      <c r="MX51" s="346"/>
      <c r="MY51" s="1266"/>
      <c r="MZ51" s="1266"/>
      <c r="NA51" s="346"/>
      <c r="NB51" s="1266"/>
      <c r="NC51" s="1266"/>
      <c r="ND51" s="346"/>
      <c r="NE51" s="1266"/>
      <c r="NF51" s="1266"/>
      <c r="NG51" s="346"/>
      <c r="NH51" s="1266"/>
      <c r="NI51" s="1266"/>
      <c r="NJ51" s="346"/>
      <c r="NK51" s="1266"/>
      <c r="NL51" s="1266"/>
      <c r="NM51" s="346"/>
      <c r="NN51" s="1266"/>
      <c r="NO51" s="1266"/>
      <c r="NP51" s="346"/>
      <c r="NQ51" s="1266"/>
      <c r="NR51" s="1266"/>
      <c r="NS51" s="346"/>
      <c r="NT51" s="1266"/>
      <c r="NU51" s="1266"/>
      <c r="NV51" s="346"/>
      <c r="NW51" s="1266"/>
      <c r="NX51" s="1266"/>
      <c r="NY51" s="346"/>
      <c r="NZ51" s="1266"/>
      <c r="OA51" s="1266"/>
      <c r="OB51" s="346"/>
      <c r="OC51" s="1266"/>
      <c r="OD51" s="1266"/>
      <c r="OE51" s="346"/>
      <c r="OF51" s="1266"/>
      <c r="OG51" s="1266"/>
      <c r="OH51" s="346"/>
      <c r="OI51" s="1266"/>
      <c r="OJ51" s="1266"/>
      <c r="OK51" s="346"/>
      <c r="OL51" s="1266"/>
      <c r="OM51" s="1266"/>
      <c r="ON51" s="346"/>
      <c r="OO51" s="1266"/>
      <c r="OP51" s="1266"/>
      <c r="OQ51" s="346"/>
      <c r="OR51" s="1266"/>
      <c r="OS51" s="1266"/>
      <c r="OT51" s="346"/>
      <c r="OU51" s="1266"/>
      <c r="OV51" s="1266"/>
      <c r="OW51" s="346"/>
      <c r="OX51" s="1266"/>
      <c r="OY51" s="1266"/>
      <c r="OZ51" s="346"/>
      <c r="PA51" s="1266"/>
      <c r="PB51" s="1266"/>
      <c r="PC51" s="346"/>
      <c r="PD51" s="1266"/>
      <c r="PE51" s="1266"/>
      <c r="PF51" s="346"/>
      <c r="PG51" s="1266"/>
      <c r="PH51" s="1266"/>
      <c r="PI51" s="346"/>
      <c r="PJ51" s="1266"/>
      <c r="PK51" s="1266"/>
      <c r="PL51" s="346"/>
      <c r="PM51" s="1266"/>
      <c r="PN51" s="1266"/>
      <c r="PO51" s="346"/>
      <c r="PP51" s="1266"/>
      <c r="PQ51" s="1266"/>
      <c r="PR51" s="346"/>
      <c r="PS51" s="1266"/>
      <c r="PT51" s="1266"/>
      <c r="PU51" s="346"/>
      <c r="PV51" s="386"/>
      <c r="PW51" s="386"/>
      <c r="PX51" s="387"/>
      <c r="PY51" s="386"/>
      <c r="PZ51" s="386"/>
      <c r="QA51" s="387"/>
      <c r="QB51" s="386"/>
      <c r="QC51" s="386"/>
      <c r="QD51" s="387"/>
      <c r="QE51" s="386"/>
      <c r="QF51" s="386"/>
      <c r="QG51" s="387"/>
      <c r="QH51" s="386"/>
      <c r="QI51" s="386"/>
      <c r="QJ51" s="387"/>
      <c r="QK51" s="386"/>
      <c r="QL51" s="386"/>
      <c r="QM51" s="387"/>
      <c r="QN51" s="386"/>
      <c r="QO51" s="386"/>
      <c r="QP51" s="387"/>
      <c r="QQ51" s="386"/>
      <c r="QR51" s="386"/>
      <c r="QS51" s="387"/>
      <c r="QT51" s="386"/>
      <c r="QU51" s="386"/>
      <c r="QV51" s="387"/>
      <c r="QW51" s="386"/>
      <c r="QX51" s="386"/>
      <c r="QY51" s="387"/>
      <c r="QZ51" s="386"/>
      <c r="RA51" s="386"/>
      <c r="RB51" s="387"/>
      <c r="RC51" s="386"/>
      <c r="RD51" s="386"/>
      <c r="RE51" s="387"/>
      <c r="RF51" s="386"/>
      <c r="RG51" s="386"/>
      <c r="RH51" s="387"/>
      <c r="RI51" s="1266"/>
      <c r="RJ51" s="1266"/>
      <c r="RK51" s="346"/>
      <c r="RL51" s="1266"/>
      <c r="RM51" s="1266"/>
      <c r="RN51" s="346"/>
      <c r="RO51" s="1266"/>
      <c r="RP51" s="1266"/>
      <c r="RQ51" s="346"/>
      <c r="RR51" s="1266"/>
      <c r="RS51" s="1266"/>
      <c r="RT51" s="346"/>
      <c r="RU51" s="1266"/>
      <c r="RV51" s="1266"/>
      <c r="RW51" s="346"/>
      <c r="RX51" s="386"/>
      <c r="RY51" s="386"/>
      <c r="RZ51" s="387"/>
      <c r="SA51" s="386"/>
      <c r="SB51" s="386"/>
      <c r="SC51" s="387"/>
      <c r="SD51" s="386"/>
      <c r="SE51" s="386"/>
      <c r="SF51" s="387"/>
      <c r="SG51" s="386"/>
      <c r="SH51" s="386"/>
      <c r="SI51" s="387"/>
      <c r="SJ51" s="386"/>
      <c r="SK51" s="386"/>
      <c r="SL51" s="387"/>
      <c r="SM51" s="386"/>
      <c r="SN51" s="386"/>
      <c r="SO51" s="387"/>
      <c r="SP51" s="386"/>
      <c r="SQ51" s="386"/>
      <c r="SR51" s="387"/>
      <c r="SS51" s="386"/>
      <c r="ST51" s="386"/>
      <c r="SU51" s="387"/>
      <c r="SV51" s="386"/>
      <c r="SW51" s="386"/>
      <c r="SX51" s="387"/>
      <c r="SY51" s="386"/>
      <c r="SZ51" s="386"/>
      <c r="TA51" s="387"/>
      <c r="TB51" s="386"/>
      <c r="TC51" s="386"/>
      <c r="TD51" s="387"/>
      <c r="TE51" s="386"/>
      <c r="TF51" s="386"/>
      <c r="TG51" s="387"/>
      <c r="TH51" s="386"/>
      <c r="TI51" s="386"/>
      <c r="TJ51" s="387"/>
      <c r="TK51" s="386"/>
      <c r="TL51" s="386"/>
      <c r="TM51" s="387"/>
      <c r="TN51" s="386"/>
      <c r="TO51" s="386"/>
      <c r="TP51" s="387"/>
      <c r="TQ51" s="386"/>
      <c r="TR51" s="386"/>
      <c r="TS51" s="387"/>
      <c r="TT51" s="386"/>
      <c r="TU51" s="386"/>
      <c r="TV51" s="387"/>
      <c r="TW51" s="386"/>
      <c r="TX51" s="386"/>
      <c r="TY51" s="387"/>
      <c r="TZ51" s="386"/>
      <c r="UA51" s="386"/>
      <c r="UB51" s="387"/>
      <c r="UC51" s="386"/>
      <c r="UD51" s="19"/>
      <c r="UE51" s="389"/>
      <c r="UF51" s="388"/>
      <c r="UG51" s="19"/>
      <c r="UH51" s="389"/>
      <c r="UI51" s="386"/>
      <c r="UJ51" s="19"/>
      <c r="UK51" s="389"/>
      <c r="UL51" s="386"/>
      <c r="UM51" s="19"/>
      <c r="UN51" s="389"/>
      <c r="UO51" s="386"/>
      <c r="UP51" s="19"/>
      <c r="UQ51" s="389"/>
      <c r="UR51" s="386"/>
      <c r="US51" s="19"/>
      <c r="UT51" s="389"/>
      <c r="UU51" s="386"/>
      <c r="UV51" s="19"/>
      <c r="UW51" s="389"/>
      <c r="UX51" s="386"/>
      <c r="UY51" s="19"/>
      <c r="UZ51" s="389"/>
      <c r="VA51" s="386"/>
      <c r="VB51" s="19"/>
      <c r="VC51" s="389"/>
      <c r="VD51" s="386"/>
      <c r="VE51" s="19"/>
      <c r="VF51" s="389"/>
      <c r="VG51" s="386"/>
      <c r="VH51" s="19"/>
      <c r="VI51" s="389"/>
      <c r="VJ51" s="386"/>
      <c r="VK51" s="19"/>
      <c r="VL51" s="389"/>
      <c r="VM51" s="386"/>
      <c r="VN51" s="19"/>
      <c r="VO51" s="389"/>
      <c r="VP51" s="386"/>
      <c r="VQ51" s="19"/>
      <c r="VR51" s="389"/>
      <c r="VS51" s="386"/>
      <c r="VT51" s="19"/>
      <c r="VU51" s="389"/>
      <c r="VV51" s="386"/>
      <c r="VW51" s="19"/>
      <c r="VX51" s="389"/>
      <c r="VY51" s="386"/>
      <c r="VZ51" s="19"/>
      <c r="WA51" s="389"/>
      <c r="WB51" s="386"/>
      <c r="WC51" s="19"/>
      <c r="WD51" s="389"/>
      <c r="WE51" s="386"/>
      <c r="WF51" s="19"/>
      <c r="WG51" s="389"/>
      <c r="WH51" s="386"/>
      <c r="WI51" s="19"/>
      <c r="WJ51" s="389"/>
      <c r="WK51" s="386"/>
      <c r="WL51" s="19"/>
      <c r="WM51" s="389"/>
      <c r="WN51" s="386"/>
      <c r="WO51" s="19"/>
      <c r="WP51" s="389"/>
      <c r="WQ51" s="386"/>
      <c r="WR51" s="19"/>
      <c r="WS51" s="389"/>
      <c r="WT51" s="386"/>
      <c r="WU51" s="19"/>
      <c r="WV51" s="389"/>
      <c r="WW51" s="386"/>
      <c r="WX51" s="19"/>
      <c r="WY51" s="389"/>
      <c r="WZ51" s="386"/>
      <c r="XA51" s="19"/>
      <c r="XB51" s="389"/>
      <c r="XC51" s="386"/>
      <c r="XD51" s="19"/>
      <c r="XE51" s="389"/>
      <c r="XF51" s="386"/>
      <c r="XG51" s="19"/>
      <c r="XH51" s="389"/>
      <c r="XI51" s="386"/>
      <c r="XJ51" s="19"/>
      <c r="XK51" s="389"/>
      <c r="XL51" s="386"/>
      <c r="XM51" s="19"/>
      <c r="XN51" s="389"/>
      <c r="XO51" s="386"/>
      <c r="XP51" s="19"/>
      <c r="XQ51" s="389"/>
      <c r="XR51" s="386"/>
      <c r="XS51" s="19"/>
      <c r="XT51" s="389"/>
      <c r="XU51" s="386"/>
      <c r="XV51" s="19"/>
      <c r="XW51" s="389"/>
      <c r="XX51" s="386"/>
      <c r="XY51" s="19"/>
      <c r="XZ51" s="389"/>
      <c r="YA51" s="386"/>
      <c r="YB51" s="19"/>
      <c r="YC51" s="389"/>
      <c r="YD51" s="386"/>
      <c r="YE51" s="19"/>
      <c r="YF51" s="389"/>
      <c r="YG51" s="386"/>
      <c r="YH51" s="19"/>
      <c r="YI51" s="389"/>
      <c r="YJ51" s="386"/>
      <c r="YK51" s="19"/>
      <c r="YL51" s="389"/>
      <c r="YM51" s="386"/>
      <c r="YN51" s="19"/>
      <c r="YO51" s="389"/>
      <c r="YP51" s="386"/>
      <c r="YQ51" s="19"/>
      <c r="YR51" s="389"/>
      <c r="YS51" s="386"/>
      <c r="YT51" s="19"/>
      <c r="YU51" s="389"/>
      <c r="YV51" s="386"/>
      <c r="YW51" s="19"/>
      <c r="YX51" s="389"/>
      <c r="YY51" s="386"/>
      <c r="YZ51" s="19"/>
      <c r="ZA51" s="389"/>
      <c r="ZB51" s="386"/>
      <c r="ZC51" s="19"/>
      <c r="ZD51" s="389"/>
      <c r="ZE51" s="386"/>
      <c r="ZF51" s="19"/>
      <c r="ZG51" s="389"/>
      <c r="ZH51" s="386"/>
      <c r="ZI51" s="19"/>
      <c r="ZJ51" s="389"/>
      <c r="ZK51" s="386"/>
      <c r="ZL51" s="19"/>
      <c r="ZM51" s="389"/>
      <c r="ZN51" s="386"/>
      <c r="ZO51" s="19"/>
      <c r="ZP51" s="389"/>
      <c r="ZQ51" s="386"/>
      <c r="ZR51" s="19"/>
      <c r="ZS51" s="389"/>
      <c r="ZT51" s="386"/>
      <c r="ZU51" s="19"/>
      <c r="ZV51" s="389"/>
      <c r="ZW51" s="386"/>
      <c r="ZX51" s="19"/>
      <c r="ZY51" s="389"/>
      <c r="ZZ51" s="386"/>
      <c r="AAA51" s="19"/>
      <c r="AAB51" s="389"/>
      <c r="AAC51" s="386"/>
      <c r="AAD51" s="19"/>
      <c r="AAE51" s="389"/>
      <c r="AAF51" s="386"/>
      <c r="AAG51" s="19"/>
      <c r="AAH51" s="389"/>
      <c r="AAI51" s="386"/>
      <c r="AAJ51" s="19"/>
      <c r="AAK51" s="389"/>
      <c r="AAL51" s="386"/>
      <c r="AAM51" s="19"/>
      <c r="AAN51" s="389"/>
      <c r="AAO51" s="386"/>
      <c r="AAP51" s="19"/>
      <c r="AAQ51" s="389"/>
      <c r="AAR51" s="386"/>
      <c r="AAS51" s="19"/>
      <c r="AAT51" s="389"/>
      <c r="AAU51" s="386"/>
      <c r="AAV51" s="19"/>
      <c r="AAW51" s="389"/>
      <c r="AAX51" s="386"/>
      <c r="AAY51" s="19"/>
      <c r="AAZ51" s="389"/>
      <c r="ABA51" s="386"/>
      <c r="ABB51" s="19"/>
      <c r="ABC51" s="389"/>
      <c r="ABD51" s="386"/>
      <c r="ABE51" s="19"/>
      <c r="ABF51" s="389"/>
      <c r="ABG51" s="386"/>
      <c r="ABH51" s="19"/>
      <c r="ABI51" s="389"/>
      <c r="ABJ51" s="386"/>
      <c r="ABK51" s="19"/>
      <c r="ABL51" s="389"/>
      <c r="ABM51" s="386"/>
      <c r="ABN51" s="19"/>
      <c r="ABO51" s="389"/>
      <c r="ABP51" s="386"/>
      <c r="ABQ51" s="19"/>
      <c r="ABR51" s="389"/>
      <c r="ABS51" s="386"/>
      <c r="ABT51" s="19"/>
      <c r="ABU51" s="389"/>
      <c r="ABV51" s="386"/>
      <c r="ABW51" s="19"/>
      <c r="ABX51" s="389"/>
      <c r="ABY51" s="386"/>
      <c r="ABZ51" s="19"/>
      <c r="ACA51" s="389"/>
      <c r="ACB51" s="386"/>
      <c r="ACC51" s="19"/>
      <c r="ACD51" s="389"/>
      <c r="ACE51" s="386"/>
      <c r="ACF51" s="19"/>
      <c r="ACG51" s="389"/>
      <c r="ACH51" s="386"/>
      <c r="ACI51" s="19"/>
      <c r="ACJ51" s="389"/>
      <c r="ACK51" s="386"/>
      <c r="ACL51" s="19"/>
      <c r="ACM51" s="389"/>
      <c r="ACN51" s="386"/>
      <c r="ACO51" s="19"/>
      <c r="ACP51" s="389"/>
      <c r="ACQ51" s="386"/>
      <c r="ACR51" s="19"/>
      <c r="ACS51" s="389"/>
      <c r="ACT51" s="386"/>
      <c r="ACU51" s="19"/>
      <c r="ACV51" s="389"/>
      <c r="ACW51" s="386"/>
      <c r="ACX51" s="19"/>
      <c r="ACY51" s="389"/>
      <c r="ACZ51" s="386"/>
      <c r="ADA51" s="19"/>
      <c r="ADB51" s="389"/>
      <c r="ADC51" s="386"/>
      <c r="ADD51" s="19"/>
      <c r="ADE51" s="389"/>
      <c r="ADF51" s="386"/>
      <c r="ADG51" s="19"/>
      <c r="ADH51" s="389"/>
      <c r="ADI51" s="386"/>
      <c r="ADJ51" s="19"/>
      <c r="ADK51" s="389"/>
      <c r="ADL51" s="386"/>
      <c r="ADM51" s="19"/>
      <c r="ADN51" s="389"/>
      <c r="ADO51" s="386"/>
      <c r="ADP51" s="19"/>
      <c r="ADQ51" s="389"/>
      <c r="ADR51" s="386"/>
      <c r="ADS51" s="19"/>
      <c r="ADT51" s="389"/>
      <c r="ADU51" s="386"/>
      <c r="ADV51" s="19"/>
      <c r="ADW51" s="389"/>
      <c r="ADX51" s="386"/>
      <c r="ADY51" s="19"/>
      <c r="ADZ51" s="389"/>
      <c r="AEA51" s="386"/>
      <c r="AEB51" s="19"/>
      <c r="AEC51" s="389"/>
      <c r="AED51" s="386"/>
      <c r="AEE51" s="19"/>
      <c r="AEF51" s="389"/>
      <c r="AEG51" s="386"/>
      <c r="AEH51" s="19"/>
      <c r="AEI51" s="389"/>
      <c r="AEJ51" s="386"/>
      <c r="AEK51" s="19"/>
      <c r="AEL51" s="389"/>
      <c r="AEM51" s="388"/>
      <c r="AEN51" s="19"/>
      <c r="AEO51" s="389"/>
      <c r="AEP51" s="386"/>
      <c r="AEQ51" s="19"/>
      <c r="AER51" s="389"/>
      <c r="AES51" s="386"/>
      <c r="AET51" s="19"/>
      <c r="AEU51" s="389"/>
      <c r="AEV51" s="386"/>
      <c r="AEW51" s="19"/>
      <c r="AEX51" s="389"/>
      <c r="AEY51" s="388"/>
      <c r="AEZ51" s="386"/>
      <c r="AFA51" s="387"/>
      <c r="AFB51" s="388"/>
      <c r="AFC51" s="386"/>
      <c r="AFD51" s="387"/>
      <c r="AFE51" s="388"/>
      <c r="AFF51" s="386"/>
      <c r="AFG51" s="387"/>
      <c r="AFH51" s="388"/>
      <c r="AFI51" s="386"/>
      <c r="AFJ51" s="387"/>
      <c r="AFK51" s="388"/>
      <c r="AFL51" s="386"/>
      <c r="AFM51" s="387"/>
      <c r="AFN51" s="388"/>
      <c r="AFO51" s="386"/>
      <c r="AFP51" s="387"/>
      <c r="AFQ51" s="388"/>
      <c r="AFR51" s="386"/>
      <c r="AFS51" s="387"/>
      <c r="AFT51" s="388"/>
      <c r="AFU51" s="386"/>
      <c r="AFV51" s="387"/>
      <c r="AFW51" s="388"/>
      <c r="AFX51" s="386"/>
      <c r="AFY51" s="387"/>
      <c r="AFZ51" s="388"/>
      <c r="AGA51" s="386"/>
      <c r="AGB51" s="387"/>
      <c r="AGC51" s="388"/>
      <c r="AGD51" s="386"/>
      <c r="AGE51" s="387"/>
      <c r="AGF51" s="388"/>
      <c r="AGG51" s="386"/>
      <c r="AGH51" s="387"/>
      <c r="AGI51" s="388"/>
      <c r="AGJ51" s="386"/>
      <c r="AGK51" s="387"/>
      <c r="AGL51" s="388"/>
      <c r="AGM51" s="386"/>
      <c r="AGN51" s="387"/>
      <c r="AGO51" s="388"/>
      <c r="AGP51" s="386"/>
      <c r="AGQ51" s="387"/>
      <c r="AGR51" s="388"/>
      <c r="AGS51" s="386"/>
      <c r="AGT51" s="387"/>
      <c r="AGU51" s="388"/>
      <c r="AGV51" s="386"/>
      <c r="AGW51" s="387"/>
      <c r="AGX51" s="388"/>
      <c r="AGY51" s="386"/>
      <c r="AGZ51" s="387"/>
      <c r="AHA51" s="388"/>
      <c r="AHB51" s="386"/>
      <c r="AHC51" s="387"/>
      <c r="AHD51" s="388"/>
      <c r="AHE51" s="386"/>
      <c r="AHF51" s="387"/>
      <c r="AHG51" s="388"/>
      <c r="AHH51" s="386"/>
      <c r="AHI51" s="387"/>
      <c r="AHJ51" s="388"/>
      <c r="AHK51" s="386"/>
      <c r="AHL51" s="387"/>
      <c r="AHM51" s="388"/>
      <c r="AHN51" s="386"/>
      <c r="AHO51" s="387"/>
      <c r="AHP51" s="388"/>
      <c r="AHQ51" s="386"/>
      <c r="AHR51" s="387"/>
      <c r="AHS51" s="388"/>
      <c r="AHT51" s="386"/>
      <c r="AHU51" s="387"/>
      <c r="AHV51" s="388"/>
      <c r="AHW51" s="386"/>
      <c r="AHX51" s="387"/>
      <c r="AHY51" s="388"/>
      <c r="AHZ51" s="386"/>
      <c r="AIA51" s="387"/>
      <c r="AIB51" s="388"/>
      <c r="AIC51" s="386"/>
      <c r="AID51" s="386"/>
      <c r="AIE51" s="388"/>
      <c r="AIF51" s="386"/>
      <c r="AIG51" s="387"/>
      <c r="AIH51" s="388"/>
      <c r="AII51" s="386"/>
      <c r="AIJ51" s="387"/>
      <c r="AIK51" s="388"/>
      <c r="AIL51" s="386"/>
      <c r="AIM51" s="387"/>
      <c r="AIN51" s="388"/>
      <c r="AIO51" s="386"/>
      <c r="AIP51" s="387"/>
      <c r="AIQ51" s="954"/>
      <c r="AIR51" s="1271"/>
      <c r="AIS51" s="1271"/>
      <c r="AIT51" s="388"/>
      <c r="AIU51" s="386"/>
      <c r="AIV51" s="387"/>
      <c r="AIW51" s="388"/>
      <c r="AIX51" s="386"/>
      <c r="AIY51" s="386"/>
      <c r="AIZ51" s="388"/>
      <c r="AJA51" s="386"/>
      <c r="AJB51" s="387"/>
      <c r="AJC51" s="388"/>
      <c r="AJD51" s="386"/>
      <c r="AJE51" s="387"/>
      <c r="AJF51" s="1304">
        <v>1183.8900000000001</v>
      </c>
      <c r="AJG51" s="1305"/>
      <c r="AJH51" s="1335"/>
      <c r="AJI51" s="388"/>
      <c r="AJJ51" s="386"/>
      <c r="AJK51" s="387"/>
      <c r="AJL51" s="388"/>
      <c r="AJM51" s="386"/>
      <c r="AJN51" s="386"/>
      <c r="AJO51" s="1304">
        <v>1178.6099999999999</v>
      </c>
      <c r="AJP51" s="1305"/>
      <c r="AJQ51" s="1335"/>
      <c r="AJR51" s="388"/>
      <c r="AJS51" s="386"/>
      <c r="AJT51" s="386"/>
      <c r="AJU51" s="388"/>
      <c r="AJV51" s="386"/>
      <c r="AJW51" s="387"/>
      <c r="AJX51" s="1304">
        <v>1178.6099999999999</v>
      </c>
      <c r="AJY51" s="1305"/>
      <c r="AJZ51" s="1335"/>
      <c r="AKA51" s="388"/>
      <c r="AKB51" s="386"/>
      <c r="AKC51" s="387"/>
      <c r="AKD51" s="388"/>
      <c r="AKE51" s="386"/>
      <c r="AKF51" s="387"/>
      <c r="AKG51" s="388"/>
      <c r="AKH51" s="386"/>
      <c r="AKI51" s="386"/>
      <c r="AKJ51" s="388"/>
      <c r="AKK51" s="386"/>
      <c r="AKL51" s="387"/>
      <c r="AKM51" s="388"/>
      <c r="AKN51" s="386"/>
      <c r="AKO51" s="386"/>
      <c r="AKP51" s="388"/>
      <c r="AKQ51" s="386"/>
      <c r="AKR51" s="387"/>
      <c r="AKS51" s="388"/>
      <c r="AKT51" s="386"/>
      <c r="AKU51" s="387"/>
      <c r="AKV51" s="1304">
        <v>171.6</v>
      </c>
      <c r="AKW51" s="1305"/>
      <c r="AKX51" s="1335"/>
      <c r="AKY51" s="1304">
        <v>1267.7760000000001</v>
      </c>
      <c r="AKZ51" s="1305"/>
      <c r="ALA51" s="1335"/>
      <c r="ALB51" s="1304"/>
      <c r="ALC51" s="1305"/>
      <c r="ALD51" s="1335"/>
      <c r="ALE51" s="1304">
        <v>1207.856</v>
      </c>
      <c r="ALF51" s="1305"/>
      <c r="ALG51" s="1335"/>
      <c r="ALH51" s="1304"/>
      <c r="ALI51" s="1305"/>
      <c r="ALJ51" s="1335"/>
      <c r="ALK51" s="1304"/>
      <c r="ALL51" s="1305"/>
      <c r="ALM51" s="1335"/>
      <c r="ALN51" s="1304"/>
      <c r="ALO51" s="1305"/>
      <c r="ALP51" s="1335"/>
      <c r="ALQ51" s="1304">
        <v>1207.856</v>
      </c>
      <c r="ALR51" s="1305"/>
      <c r="ALS51" s="1335"/>
      <c r="ALT51" s="1304">
        <v>1207.856</v>
      </c>
      <c r="ALU51" s="1305"/>
      <c r="ALV51" s="1335"/>
      <c r="ALW51" s="1304"/>
      <c r="ALX51" s="1305"/>
      <c r="ALY51" s="1335"/>
      <c r="ALZ51" s="1304">
        <v>1207.856</v>
      </c>
      <c r="AMA51" s="1305"/>
      <c r="AMB51" s="1335"/>
      <c r="AMC51" s="1304"/>
      <c r="AMD51" s="1305"/>
      <c r="AME51" s="1335"/>
      <c r="AMF51" s="1304"/>
      <c r="AMG51" s="1305"/>
      <c r="AMH51" s="1335"/>
      <c r="AMI51" s="1304">
        <v>1207.856</v>
      </c>
      <c r="AMJ51" s="1305"/>
      <c r="AMK51" s="1335"/>
      <c r="AML51" s="1304"/>
      <c r="AMM51" s="1305"/>
      <c r="AMN51" s="1335"/>
      <c r="AMO51" s="1304">
        <v>1207.856</v>
      </c>
      <c r="AMP51" s="1305"/>
      <c r="AMQ51" s="1335"/>
      <c r="AMR51" s="1304"/>
      <c r="AMS51" s="1305"/>
      <c r="AMT51" s="1335"/>
      <c r="AMU51" s="1304">
        <v>1207.856</v>
      </c>
      <c r="AMV51" s="1305"/>
      <c r="AMW51" s="1335"/>
      <c r="AMX51" s="1304"/>
      <c r="AMY51" s="1305"/>
      <c r="AMZ51" s="1335"/>
      <c r="ANA51" s="1304"/>
      <c r="ANB51" s="1305"/>
      <c r="ANC51" s="1335"/>
      <c r="AND51" s="1304">
        <v>1207.856</v>
      </c>
      <c r="ANE51" s="1305"/>
      <c r="ANF51" s="1335"/>
      <c r="ANG51" s="1304"/>
      <c r="ANH51" s="1305"/>
      <c r="ANI51" s="1335"/>
      <c r="ANJ51" s="1304"/>
      <c r="ANK51" s="1305"/>
      <c r="ANL51" s="1335"/>
      <c r="ANM51" s="1304">
        <v>1207.856</v>
      </c>
      <c r="ANN51" s="1305"/>
      <c r="ANO51" s="1335"/>
      <c r="ANP51" s="1304"/>
      <c r="ANQ51" s="1305"/>
      <c r="ANR51" s="1335"/>
      <c r="ANS51" s="1304"/>
      <c r="ANT51" s="1305"/>
      <c r="ANU51" s="1335"/>
      <c r="ANV51" s="1304"/>
      <c r="ANW51" s="1305"/>
      <c r="ANX51" s="1335"/>
      <c r="ANY51" s="1304">
        <v>1207.856</v>
      </c>
      <c r="ANZ51" s="1305"/>
      <c r="AOA51" s="1335"/>
      <c r="AOB51" s="1304"/>
      <c r="AOC51" s="1305"/>
      <c r="AOD51" s="1335"/>
      <c r="AOE51" s="1304">
        <v>1279.4960000000001</v>
      </c>
      <c r="AOF51" s="1305"/>
      <c r="AOG51" s="1335"/>
      <c r="AOH51" s="1304"/>
      <c r="AOI51" s="1305"/>
      <c r="AOJ51" s="1335"/>
      <c r="AOK51" s="1304"/>
      <c r="AOL51" s="1305"/>
      <c r="AOM51" s="1335"/>
      <c r="AON51" s="1304"/>
      <c r="AOO51" s="1305"/>
      <c r="AOP51" s="1335"/>
      <c r="AOQ51" s="1304"/>
      <c r="AOR51" s="1305"/>
      <c r="AOS51" s="1335"/>
      <c r="AOT51" s="1304">
        <v>1372.252</v>
      </c>
      <c r="AOU51" s="1305"/>
      <c r="AOV51" s="1335"/>
      <c r="AOW51" s="1304"/>
      <c r="AOX51" s="1305"/>
      <c r="AOY51" s="1335"/>
      <c r="AOZ51" s="1304"/>
      <c r="APA51" s="1305"/>
      <c r="APB51" s="1335"/>
      <c r="APC51" s="1304"/>
      <c r="APD51" s="1305"/>
      <c r="APE51" s="1335"/>
      <c r="APF51" s="1304"/>
      <c r="APG51" s="1305"/>
      <c r="APH51" s="1335"/>
      <c r="API51" s="1304"/>
      <c r="APJ51" s="1305"/>
      <c r="APK51" s="1335"/>
      <c r="APL51" s="1304"/>
      <c r="APM51" s="1305"/>
      <c r="APN51" s="1335"/>
      <c r="APO51" s="1304">
        <v>1509.5719999999999</v>
      </c>
      <c r="APP51" s="1305"/>
      <c r="APQ51" s="1335"/>
      <c r="APR51" s="1304"/>
      <c r="APS51" s="1305"/>
      <c r="APT51" s="1335"/>
      <c r="APU51" s="1304"/>
      <c r="APV51" s="1305"/>
      <c r="APW51" s="1335"/>
      <c r="APX51" s="1304"/>
      <c r="APY51" s="1305"/>
      <c r="APZ51" s="1335"/>
      <c r="AQA51" s="1304"/>
      <c r="AQB51" s="1305"/>
      <c r="AQC51" s="1335"/>
      <c r="AQD51" s="1304"/>
      <c r="AQE51" s="1305"/>
      <c r="AQF51" s="1335"/>
      <c r="AQG51" s="1304">
        <v>1509.5719999999999</v>
      </c>
      <c r="AQH51" s="1305"/>
      <c r="AQI51" s="1335"/>
      <c r="AQJ51" s="1304"/>
      <c r="AQK51" s="1305"/>
      <c r="AQL51" s="1335"/>
      <c r="AQM51" s="1304"/>
      <c r="AQN51" s="1305"/>
      <c r="AQO51" s="1335"/>
      <c r="AQP51" s="1304"/>
      <c r="AQQ51" s="1305"/>
      <c r="AQR51" s="1305"/>
      <c r="AQS51" s="1304"/>
      <c r="AQT51" s="1305"/>
      <c r="AQU51" s="1335"/>
      <c r="AQV51" s="1305"/>
      <c r="AQW51" s="1305"/>
      <c r="AQX51" s="1335"/>
      <c r="AQY51" s="1304"/>
      <c r="AQZ51" s="1305"/>
      <c r="ARA51" s="1335"/>
      <c r="ARB51" s="1304"/>
      <c r="ARC51" s="1305"/>
      <c r="ARD51" s="1335"/>
      <c r="ARE51" s="1304"/>
      <c r="ARF51" s="1305"/>
      <c r="ARG51" s="1335"/>
      <c r="ARH51" s="1304"/>
      <c r="ARI51" s="1305"/>
      <c r="ARJ51" s="1335"/>
      <c r="ARK51" s="1304"/>
      <c r="ARL51" s="1305"/>
      <c r="ARM51" s="1335"/>
      <c r="ARN51" s="1304"/>
      <c r="ARO51" s="1305"/>
      <c r="ARP51" s="1335"/>
      <c r="ARQ51" s="1304"/>
      <c r="ARR51" s="1305"/>
      <c r="ARS51" s="1335"/>
      <c r="ART51" s="1304"/>
      <c r="ARU51" s="1305"/>
      <c r="ARV51" s="1335"/>
      <c r="ARW51" s="1304"/>
      <c r="ARX51" s="1305"/>
      <c r="ARY51" s="1335"/>
      <c r="ARZ51" s="1304"/>
      <c r="ASA51" s="1305"/>
      <c r="ASB51" s="1335"/>
      <c r="ASC51" s="1304"/>
      <c r="ASD51" s="1305"/>
      <c r="ASE51" s="1335"/>
      <c r="ASF51" s="1304"/>
      <c r="ASG51" s="1305"/>
      <c r="ASH51" s="1335"/>
      <c r="ASI51" s="1304"/>
      <c r="ASJ51" s="1305"/>
      <c r="ASK51" s="1335"/>
      <c r="ASL51" s="1304"/>
      <c r="ASM51" s="1305"/>
      <c r="ASN51" s="1335"/>
      <c r="ASO51" s="1304"/>
      <c r="ASP51" s="1305"/>
      <c r="ASQ51" s="1305"/>
      <c r="ASR51" s="1304"/>
      <c r="ASS51" s="1305"/>
      <c r="AST51" s="1335"/>
      <c r="ASU51" s="1304"/>
      <c r="ASV51" s="1305"/>
      <c r="ASW51" s="1335"/>
      <c r="ASX51" s="1304"/>
      <c r="ASY51" s="1305"/>
      <c r="ASZ51" s="1335"/>
      <c r="ATA51" s="1304"/>
      <c r="ATB51" s="1305"/>
      <c r="ATC51" s="1335"/>
      <c r="ATD51" s="1304"/>
      <c r="ATE51" s="1305"/>
      <c r="ATF51" s="1335"/>
      <c r="ATG51" s="1304"/>
      <c r="ATH51" s="1305"/>
      <c r="ATI51" s="1335"/>
      <c r="ATJ51" s="1304"/>
      <c r="ATK51" s="1305"/>
      <c r="ATL51" s="1335"/>
      <c r="ATM51" s="1304"/>
      <c r="ATN51" s="1305"/>
      <c r="ATO51" s="1335"/>
      <c r="ATP51" s="1304"/>
      <c r="ATQ51" s="1305"/>
      <c r="ATR51" s="1335"/>
      <c r="ATS51" s="1304"/>
      <c r="ATT51" s="1305"/>
      <c r="ATU51" s="1335"/>
      <c r="ATV51" s="1305"/>
      <c r="ATW51" s="1305"/>
      <c r="ATX51" s="1335"/>
      <c r="ATY51" s="1304"/>
      <c r="ATZ51" s="1305"/>
      <c r="AUA51" s="1335"/>
      <c r="AUB51" s="1304"/>
      <c r="AUC51" s="1305"/>
      <c r="AUD51" s="1335"/>
      <c r="AUE51" s="1304"/>
      <c r="AUF51" s="1305"/>
      <c r="AUG51" s="1335"/>
      <c r="AUH51" s="1304"/>
      <c r="AUI51" s="1305"/>
      <c r="AUJ51" s="1335"/>
      <c r="AUK51" s="1304"/>
      <c r="AUL51" s="1305"/>
      <c r="AUM51" s="1305"/>
      <c r="AUN51" s="1304"/>
      <c r="AUO51" s="1305"/>
      <c r="AUP51" s="1305"/>
      <c r="AUQ51" s="1304"/>
      <c r="AUR51" s="1305"/>
      <c r="AUS51" s="1305"/>
      <c r="AUT51" s="1304"/>
      <c r="AUU51" s="1305"/>
      <c r="AUV51" s="1305"/>
      <c r="AUW51" s="1304"/>
      <c r="AUX51" s="1305"/>
      <c r="AUY51" s="1305"/>
      <c r="AUZ51" s="1304"/>
      <c r="AVA51" s="1305"/>
      <c r="AVB51" s="1305"/>
      <c r="AVC51" s="1304"/>
      <c r="AVD51" s="1305"/>
      <c r="AVE51" s="1305"/>
      <c r="AVF51" s="1304"/>
      <c r="AVG51" s="1305"/>
      <c r="AVH51" s="1305"/>
      <c r="AVI51" s="1304"/>
      <c r="AVJ51" s="1305"/>
      <c r="AVK51" s="1305"/>
      <c r="AVL51" s="1304"/>
      <c r="AVM51" s="1305"/>
      <c r="AVN51" s="1305"/>
      <c r="AVO51" s="1304"/>
      <c r="AVP51" s="1305"/>
      <c r="AVQ51" s="1305"/>
      <c r="AVR51" s="1304"/>
      <c r="AVS51" s="1305"/>
      <c r="AVT51" s="1305"/>
      <c r="AVU51" s="1304"/>
      <c r="AVV51" s="1305"/>
      <c r="AVW51" s="1305"/>
      <c r="AVX51" s="1304"/>
      <c r="AVY51" s="1305"/>
      <c r="AVZ51" s="1305"/>
      <c r="AWA51" s="1304"/>
      <c r="AWB51" s="1305"/>
      <c r="AWC51" s="1305"/>
      <c r="AWD51" s="1304"/>
      <c r="AWE51" s="1305"/>
      <c r="AWF51" s="1305"/>
      <c r="AWG51" s="1304"/>
      <c r="AWH51" s="1305"/>
      <c r="AWI51" s="1305"/>
      <c r="AWJ51" s="1304"/>
      <c r="AWK51" s="1305"/>
      <c r="AWL51" s="1305"/>
      <c r="AWM51" s="1304"/>
      <c r="AWN51" s="1305"/>
      <c r="AWO51" s="1335"/>
      <c r="AWP51" s="1305"/>
      <c r="AWQ51" s="1305"/>
      <c r="AWR51" s="1335"/>
      <c r="AWS51" s="1304"/>
      <c r="AWT51" s="1305"/>
      <c r="AWU51" s="1335"/>
      <c r="AWV51" s="1304"/>
      <c r="AWW51" s="1305"/>
      <c r="AWX51" s="1335"/>
      <c r="AWY51" s="1304"/>
      <c r="AWZ51" s="1305"/>
      <c r="AXA51" s="1335"/>
      <c r="AXB51" s="1304"/>
      <c r="AXC51" s="1305"/>
      <c r="AXD51" s="1335"/>
      <c r="AXE51" s="1304"/>
      <c r="AXF51" s="1305"/>
      <c r="AXG51" s="1335"/>
      <c r="AXH51" s="1304"/>
      <c r="AXI51" s="1305"/>
      <c r="AXJ51" s="1335"/>
      <c r="AXK51" s="1304"/>
      <c r="AXL51" s="1305"/>
      <c r="AXM51" s="1335"/>
      <c r="AXN51" s="1304"/>
      <c r="AXO51" s="1305"/>
      <c r="AXP51" s="1335"/>
      <c r="AXQ51" s="1304"/>
      <c r="AXR51" s="1305"/>
      <c r="AXS51" s="1335"/>
      <c r="AXT51" s="1304"/>
      <c r="AXU51" s="1305"/>
      <c r="AXV51" s="1335"/>
      <c r="AXW51" s="1304"/>
      <c r="AXX51" s="1305"/>
      <c r="AXY51" s="1335"/>
      <c r="AXZ51" s="1304"/>
      <c r="AYA51" s="1305"/>
      <c r="AYB51" s="1335"/>
      <c r="AYC51" s="1304"/>
      <c r="AYD51" s="1305"/>
      <c r="AYE51" s="1335"/>
      <c r="AYF51" s="1304"/>
      <c r="AYG51" s="1305"/>
      <c r="AYH51" s="1335"/>
      <c r="AYI51" s="1304"/>
      <c r="AYJ51" s="1305"/>
      <c r="AYK51" s="1335"/>
      <c r="AYL51" s="1304"/>
      <c r="AYM51" s="1305"/>
      <c r="AYN51" s="1335"/>
      <c r="AYO51" s="1304"/>
      <c r="AYP51" s="1305"/>
      <c r="AYQ51" s="1335"/>
      <c r="AYR51" s="1304"/>
      <c r="AYS51" s="1305"/>
      <c r="AYT51" s="1335"/>
      <c r="AYU51" s="1304"/>
      <c r="AYV51" s="1305"/>
      <c r="AYW51" s="1335"/>
      <c r="AYX51" s="1304"/>
      <c r="AYY51" s="1305"/>
      <c r="AYZ51" s="1335"/>
      <c r="AZA51" s="1304"/>
      <c r="AZB51" s="1305"/>
      <c r="AZC51" s="1335"/>
      <c r="AZD51" s="1304"/>
      <c r="AZE51" s="1305"/>
      <c r="AZF51" s="1335"/>
      <c r="AZG51" s="1304"/>
      <c r="AZH51" s="1305"/>
      <c r="AZI51" s="1335"/>
      <c r="AZJ51" s="1304"/>
      <c r="AZK51" s="1305"/>
      <c r="AZL51" s="1335"/>
      <c r="AZM51" s="1304"/>
      <c r="AZN51" s="1305"/>
      <c r="AZO51" s="1335"/>
      <c r="AZP51" s="1304"/>
      <c r="AZQ51" s="1305"/>
      <c r="AZR51" s="1335"/>
      <c r="AZS51" s="1304"/>
      <c r="AZT51" s="1305"/>
      <c r="AZU51" s="1335"/>
      <c r="AZV51" s="1304"/>
      <c r="AZW51" s="1305"/>
      <c r="AZX51" s="1335"/>
      <c r="AZY51" s="1304"/>
      <c r="AZZ51" s="1305"/>
      <c r="BAA51" s="1335"/>
      <c r="BAB51" s="1304"/>
      <c r="BAC51" s="1305"/>
      <c r="BAD51" s="1335"/>
      <c r="BAE51" s="1304"/>
      <c r="BAF51" s="1305"/>
      <c r="BAG51" s="1335"/>
      <c r="BAH51" s="1304"/>
      <c r="BAI51" s="1305"/>
      <c r="BAJ51" s="1335"/>
    </row>
    <row r="52" spans="1:1388" s="354" customFormat="1" ht="14.5" customHeight="1" thickBot="1">
      <c r="A52" s="17"/>
      <c r="B52" s="1267" t="s">
        <v>375</v>
      </c>
      <c r="C52" s="1268"/>
      <c r="D52" s="1268"/>
      <c r="E52" s="14" t="s">
        <v>342</v>
      </c>
      <c r="F52" s="1269"/>
      <c r="G52" s="1269"/>
      <c r="H52" s="1270"/>
      <c r="I52" s="1269"/>
      <c r="J52" s="1269"/>
      <c r="K52" s="1270"/>
      <c r="L52" s="1269"/>
      <c r="M52" s="1269"/>
      <c r="N52" s="1270"/>
      <c r="O52" s="1269"/>
      <c r="P52" s="1269"/>
      <c r="Q52" s="1270"/>
      <c r="R52" s="1269"/>
      <c r="S52" s="1269"/>
      <c r="T52" s="1270"/>
      <c r="U52" s="1269"/>
      <c r="V52" s="1269"/>
      <c r="W52" s="1270"/>
      <c r="X52" s="1269"/>
      <c r="Y52" s="1269"/>
      <c r="Z52" s="1270"/>
      <c r="AA52" s="1269"/>
      <c r="AB52" s="1269"/>
      <c r="AC52" s="1270"/>
      <c r="AD52" s="1269"/>
      <c r="AE52" s="1269"/>
      <c r="AF52" s="1270"/>
      <c r="AG52" s="1269"/>
      <c r="AH52" s="1269"/>
      <c r="AI52" s="1270"/>
      <c r="AJ52" s="1269"/>
      <c r="AK52" s="1269"/>
      <c r="AL52" s="1270"/>
      <c r="AM52" s="1269"/>
      <c r="AN52" s="1269"/>
      <c r="AO52" s="1270"/>
      <c r="AP52" s="1269"/>
      <c r="AQ52" s="1269"/>
      <c r="AR52" s="1270"/>
      <c r="AS52" s="1269"/>
      <c r="AT52" s="1269"/>
      <c r="AU52" s="1270"/>
      <c r="AV52" s="1269"/>
      <c r="AW52" s="1269"/>
      <c r="AX52" s="1270"/>
      <c r="AY52" s="1269"/>
      <c r="AZ52" s="1269"/>
      <c r="BA52" s="1270"/>
      <c r="BB52" s="1269"/>
      <c r="BC52" s="1269"/>
      <c r="BD52" s="1270"/>
      <c r="BE52" s="1269"/>
      <c r="BF52" s="1269"/>
      <c r="BG52" s="1270"/>
      <c r="BH52" s="1269"/>
      <c r="BI52" s="1269"/>
      <c r="BJ52" s="1270"/>
      <c r="BK52" s="1269"/>
      <c r="BL52" s="1269"/>
      <c r="BM52" s="1270"/>
      <c r="BN52" s="1269"/>
      <c r="BO52" s="1269"/>
      <c r="BP52" s="1270"/>
      <c r="BQ52" s="1269"/>
      <c r="BR52" s="1269"/>
      <c r="BS52" s="1270"/>
      <c r="BT52" s="1269"/>
      <c r="BU52" s="1269"/>
      <c r="BV52" s="1270"/>
      <c r="BW52" s="1269"/>
      <c r="BX52" s="1269"/>
      <c r="BY52" s="1270"/>
      <c r="BZ52" s="1269"/>
      <c r="CA52" s="1269"/>
      <c r="CB52" s="1270"/>
      <c r="CC52" s="1269"/>
      <c r="CD52" s="1269"/>
      <c r="CE52" s="1270"/>
      <c r="CF52" s="1269"/>
      <c r="CG52" s="1269"/>
      <c r="CH52" s="1270"/>
      <c r="CI52" s="1269"/>
      <c r="CJ52" s="1269"/>
      <c r="CK52" s="1270"/>
      <c r="CL52" s="1269"/>
      <c r="CM52" s="1269"/>
      <c r="CN52" s="1270"/>
      <c r="CO52" s="1269"/>
      <c r="CP52" s="1269"/>
      <c r="CQ52" s="1270"/>
      <c r="CR52" s="1269"/>
      <c r="CS52" s="1269"/>
      <c r="CT52" s="1270"/>
      <c r="CU52" s="1269"/>
      <c r="CV52" s="1269"/>
      <c r="CW52" s="1270"/>
      <c r="CX52" s="1269"/>
      <c r="CY52" s="1269"/>
      <c r="CZ52" s="1270"/>
      <c r="DA52" s="1269"/>
      <c r="DB52" s="1269"/>
      <c r="DC52" s="1270"/>
      <c r="DD52" s="1269"/>
      <c r="DE52" s="1269"/>
      <c r="DF52" s="1270"/>
      <c r="DG52" s="1269"/>
      <c r="DH52" s="1269"/>
      <c r="DI52" s="1270"/>
      <c r="DJ52" s="1269"/>
      <c r="DK52" s="1269"/>
      <c r="DL52" s="1270"/>
      <c r="DM52" s="1269"/>
      <c r="DN52" s="1269"/>
      <c r="DO52" s="1270"/>
      <c r="DP52" s="1269"/>
      <c r="DQ52" s="1269"/>
      <c r="DR52" s="1270"/>
      <c r="DS52" s="1269"/>
      <c r="DT52" s="1269"/>
      <c r="DU52" s="1270"/>
      <c r="DV52" s="1269"/>
      <c r="DW52" s="1269"/>
      <c r="DX52" s="1270"/>
      <c r="DY52" s="1269"/>
      <c r="DZ52" s="1269"/>
      <c r="EA52" s="1270"/>
      <c r="EB52" s="1269"/>
      <c r="EC52" s="1269"/>
      <c r="ED52" s="1270"/>
      <c r="EE52" s="1269"/>
      <c r="EF52" s="1269"/>
      <c r="EG52" s="1270"/>
      <c r="EH52" s="1269"/>
      <c r="EI52" s="1269"/>
      <c r="EJ52" s="1270"/>
      <c r="EK52" s="1269"/>
      <c r="EL52" s="1269"/>
      <c r="EM52" s="1270"/>
      <c r="EN52" s="1269"/>
      <c r="EO52" s="1269"/>
      <c r="EP52" s="1270"/>
      <c r="EQ52" s="1269"/>
      <c r="ER52" s="1269"/>
      <c r="ES52" s="1270"/>
      <c r="ET52" s="1269"/>
      <c r="EU52" s="1269"/>
      <c r="EV52" s="1270"/>
      <c r="EW52" s="1269"/>
      <c r="EX52" s="1269"/>
      <c r="EY52" s="1270"/>
      <c r="EZ52" s="1269"/>
      <c r="FA52" s="1269"/>
      <c r="FB52" s="1270"/>
      <c r="FC52" s="1269"/>
      <c r="FD52" s="1269"/>
      <c r="FE52" s="1270"/>
      <c r="FF52" s="1269"/>
      <c r="FG52" s="1269"/>
      <c r="FH52" s="1270"/>
      <c r="FI52" s="1269"/>
      <c r="FJ52" s="1269"/>
      <c r="FK52" s="1270"/>
      <c r="FL52" s="1269"/>
      <c r="FM52" s="1269"/>
      <c r="FN52" s="1270"/>
      <c r="FO52" s="1269"/>
      <c r="FP52" s="1269"/>
      <c r="FQ52" s="1270"/>
      <c r="FR52" s="1269"/>
      <c r="FS52" s="1269"/>
      <c r="FT52" s="1270"/>
      <c r="FU52" s="1269"/>
      <c r="FV52" s="1269"/>
      <c r="FW52" s="1270"/>
      <c r="FX52" s="1269"/>
      <c r="FY52" s="1269"/>
      <c r="FZ52" s="1270"/>
      <c r="GA52" s="1269"/>
      <c r="GB52" s="1269"/>
      <c r="GC52" s="1270"/>
      <c r="GD52" s="1269"/>
      <c r="GE52" s="1269"/>
      <c r="GF52" s="1270"/>
      <c r="GG52" s="1269"/>
      <c r="GH52" s="1269"/>
      <c r="GI52" s="1270"/>
      <c r="GJ52" s="1269"/>
      <c r="GK52" s="1269"/>
      <c r="GL52" s="1270"/>
      <c r="GM52" s="1269"/>
      <c r="GN52" s="1269"/>
      <c r="GO52" s="1270"/>
      <c r="GP52" s="1269"/>
      <c r="GQ52" s="1269"/>
      <c r="GR52" s="1270"/>
      <c r="GS52" s="1269"/>
      <c r="GT52" s="1269"/>
      <c r="GU52" s="1270"/>
      <c r="GV52" s="1269"/>
      <c r="GW52" s="1269"/>
      <c r="GX52" s="1270"/>
      <c r="GY52" s="1269"/>
      <c r="GZ52" s="1269"/>
      <c r="HA52" s="1270"/>
      <c r="HB52" s="1269"/>
      <c r="HC52" s="1269"/>
      <c r="HD52" s="1270"/>
      <c r="HE52" s="1269"/>
      <c r="HF52" s="1269"/>
      <c r="HG52" s="1270"/>
      <c r="HH52" s="1269"/>
      <c r="HI52" s="1269"/>
      <c r="HJ52" s="1270"/>
      <c r="HK52" s="1269"/>
      <c r="HL52" s="1269"/>
      <c r="HM52" s="1270"/>
      <c r="HN52" s="1269"/>
      <c r="HO52" s="1269"/>
      <c r="HP52" s="1270"/>
      <c r="HQ52" s="1269"/>
      <c r="HR52" s="1269"/>
      <c r="HS52" s="1270"/>
      <c r="HT52" s="1269"/>
      <c r="HU52" s="1269"/>
      <c r="HV52" s="1270"/>
      <c r="HW52" s="1269"/>
      <c r="HX52" s="1269"/>
      <c r="HY52" s="1270"/>
      <c r="HZ52" s="1269"/>
      <c r="IA52" s="1269"/>
      <c r="IB52" s="1270"/>
      <c r="IC52" s="1269"/>
      <c r="ID52" s="1269"/>
      <c r="IE52" s="1270"/>
      <c r="IF52" s="1269"/>
      <c r="IG52" s="1269"/>
      <c r="IH52" s="1270"/>
      <c r="II52" s="1269"/>
      <c r="IJ52" s="1269"/>
      <c r="IK52" s="1270"/>
      <c r="IL52" s="1269"/>
      <c r="IM52" s="1269"/>
      <c r="IN52" s="1270"/>
      <c r="IO52" s="1269"/>
      <c r="IP52" s="1269"/>
      <c r="IQ52" s="1270"/>
      <c r="IR52" s="1269"/>
      <c r="IS52" s="1269"/>
      <c r="IT52" s="1270"/>
      <c r="IU52" s="1269"/>
      <c r="IV52" s="1269"/>
      <c r="IW52" s="1270"/>
      <c r="IX52" s="1269"/>
      <c r="IY52" s="1269"/>
      <c r="IZ52" s="1270"/>
      <c r="JA52" s="1269"/>
      <c r="JB52" s="1269"/>
      <c r="JC52" s="1270"/>
      <c r="JD52" s="1269"/>
      <c r="JE52" s="1269"/>
      <c r="JF52" s="1270"/>
      <c r="JG52" s="1269"/>
      <c r="JH52" s="1269"/>
      <c r="JI52" s="1270"/>
      <c r="JJ52" s="1269"/>
      <c r="JK52" s="1269"/>
      <c r="JL52" s="1270"/>
      <c r="JM52" s="1269"/>
      <c r="JN52" s="1269"/>
      <c r="JO52" s="1270"/>
      <c r="JP52" s="1269"/>
      <c r="JQ52" s="1269"/>
      <c r="JR52" s="1270"/>
      <c r="JS52" s="1269"/>
      <c r="JT52" s="1269"/>
      <c r="JU52" s="1270"/>
      <c r="JV52" s="1269"/>
      <c r="JW52" s="1269"/>
      <c r="JX52" s="1270"/>
      <c r="JY52" s="1269"/>
      <c r="JZ52" s="1269"/>
      <c r="KA52" s="1270"/>
      <c r="KB52" s="1269"/>
      <c r="KC52" s="1269"/>
      <c r="KD52" s="1270"/>
      <c r="KE52" s="1269"/>
      <c r="KF52" s="1269"/>
      <c r="KG52" s="1270"/>
      <c r="KH52" s="1269"/>
      <c r="KI52" s="1269"/>
      <c r="KJ52" s="1270"/>
      <c r="KK52" s="1269"/>
      <c r="KL52" s="1269"/>
      <c r="KM52" s="1270"/>
      <c r="KN52" s="1269"/>
      <c r="KO52" s="1269"/>
      <c r="KP52" s="1270"/>
      <c r="KQ52" s="1269"/>
      <c r="KR52" s="1269"/>
      <c r="KS52" s="1270"/>
      <c r="KT52" s="1269"/>
      <c r="KU52" s="1269"/>
      <c r="KV52" s="1270"/>
      <c r="KW52" s="1269"/>
      <c r="KX52" s="1269"/>
      <c r="KY52" s="1270"/>
      <c r="KZ52" s="1269"/>
      <c r="LA52" s="1269"/>
      <c r="LB52" s="1270"/>
      <c r="LC52" s="1269"/>
      <c r="LD52" s="1269"/>
      <c r="LE52" s="1270"/>
      <c r="LF52" s="1269"/>
      <c r="LG52" s="1269"/>
      <c r="LH52" s="1270"/>
      <c r="LI52" s="1269"/>
      <c r="LJ52" s="1269"/>
      <c r="LK52" s="1270"/>
      <c r="LL52" s="1269"/>
      <c r="LM52" s="1269"/>
      <c r="LN52" s="1270"/>
      <c r="LO52" s="1269"/>
      <c r="LP52" s="1269"/>
      <c r="LQ52" s="1270"/>
      <c r="LR52" s="1269"/>
      <c r="LS52" s="1269"/>
      <c r="LT52" s="1270"/>
      <c r="LU52" s="1269"/>
      <c r="LV52" s="1269"/>
      <c r="LW52" s="1270"/>
      <c r="LX52" s="1269"/>
      <c r="LY52" s="1269"/>
      <c r="LZ52" s="1270"/>
      <c r="MA52" s="1269"/>
      <c r="MB52" s="1269"/>
      <c r="MC52" s="1270"/>
      <c r="MD52" s="1269"/>
      <c r="ME52" s="1269"/>
      <c r="MF52" s="1270"/>
      <c r="MG52" s="1269"/>
      <c r="MH52" s="1269"/>
      <c r="MI52" s="1270"/>
      <c r="MJ52" s="1269"/>
      <c r="MK52" s="1269"/>
      <c r="ML52" s="1270"/>
      <c r="MM52" s="1269"/>
      <c r="MN52" s="1269"/>
      <c r="MO52" s="1270"/>
      <c r="MP52" s="1269"/>
      <c r="MQ52" s="1269"/>
      <c r="MR52" s="1270"/>
      <c r="MS52" s="1269"/>
      <c r="MT52" s="1269"/>
      <c r="MU52" s="1270"/>
      <c r="MV52" s="1269"/>
      <c r="MW52" s="1269"/>
      <c r="MX52" s="1270"/>
      <c r="MY52" s="1269"/>
      <c r="MZ52" s="1269"/>
      <c r="NA52" s="1270"/>
      <c r="NB52" s="1269"/>
      <c r="NC52" s="1269"/>
      <c r="ND52" s="1270"/>
      <c r="NE52" s="1269"/>
      <c r="NF52" s="1269"/>
      <c r="NG52" s="1270"/>
      <c r="NH52" s="1269"/>
      <c r="NI52" s="1269"/>
      <c r="NJ52" s="1270"/>
      <c r="NK52" s="1269"/>
      <c r="NL52" s="1269"/>
      <c r="NM52" s="1270"/>
      <c r="NN52" s="1269"/>
      <c r="NO52" s="1269"/>
      <c r="NP52" s="1270"/>
      <c r="NQ52" s="1269"/>
      <c r="NR52" s="1269"/>
      <c r="NS52" s="1270"/>
      <c r="NT52" s="1269"/>
      <c r="NU52" s="1269"/>
      <c r="NV52" s="1270"/>
      <c r="NW52" s="1269"/>
      <c r="NX52" s="1269"/>
      <c r="NY52" s="1270"/>
      <c r="NZ52" s="1269"/>
      <c r="OA52" s="1269"/>
      <c r="OB52" s="1270"/>
      <c r="OC52" s="1269"/>
      <c r="OD52" s="1269"/>
      <c r="OE52" s="1270"/>
      <c r="OF52" s="1269"/>
      <c r="OG52" s="1269"/>
      <c r="OH52" s="1270"/>
      <c r="OI52" s="1269"/>
      <c r="OJ52" s="1269"/>
      <c r="OK52" s="1270"/>
      <c r="OL52" s="1269"/>
      <c r="OM52" s="1269"/>
      <c r="ON52" s="1270"/>
      <c r="OO52" s="1269"/>
      <c r="OP52" s="1269"/>
      <c r="OQ52" s="1270"/>
      <c r="OR52" s="1269"/>
      <c r="OS52" s="1269"/>
      <c r="OT52" s="1270"/>
      <c r="OU52" s="1269"/>
      <c r="OV52" s="1269"/>
      <c r="OW52" s="1270"/>
      <c r="OX52" s="1269"/>
      <c r="OY52" s="1269"/>
      <c r="OZ52" s="1270"/>
      <c r="PA52" s="1269"/>
      <c r="PB52" s="1269"/>
      <c r="PC52" s="1270"/>
      <c r="PD52" s="1269"/>
      <c r="PE52" s="1269"/>
      <c r="PF52" s="1270"/>
      <c r="PG52" s="1269"/>
      <c r="PH52" s="1269"/>
      <c r="PI52" s="1270"/>
      <c r="PJ52" s="1269"/>
      <c r="PK52" s="1269"/>
      <c r="PL52" s="1270"/>
      <c r="PM52" s="1269"/>
      <c r="PN52" s="1269"/>
      <c r="PO52" s="1270"/>
      <c r="PP52" s="1269"/>
      <c r="PQ52" s="1269"/>
      <c r="PR52" s="1270"/>
      <c r="PS52" s="1269"/>
      <c r="PT52" s="1269"/>
      <c r="PU52" s="1270"/>
      <c r="PV52" s="1193"/>
      <c r="PW52" s="1193"/>
      <c r="PX52" s="1194"/>
      <c r="PY52" s="1193"/>
      <c r="PZ52" s="1193"/>
      <c r="QA52" s="1194"/>
      <c r="QB52" s="1193"/>
      <c r="QC52" s="1193"/>
      <c r="QD52" s="1194"/>
      <c r="QE52" s="1193"/>
      <c r="QF52" s="1193"/>
      <c r="QG52" s="1194"/>
      <c r="QH52" s="1193"/>
      <c r="QI52" s="1193"/>
      <c r="QJ52" s="1194"/>
      <c r="QK52" s="1193"/>
      <c r="QL52" s="1193"/>
      <c r="QM52" s="1194"/>
      <c r="QN52" s="1193"/>
      <c r="QO52" s="1193"/>
      <c r="QP52" s="1194"/>
      <c r="QQ52" s="1193"/>
      <c r="QR52" s="1193"/>
      <c r="QS52" s="1194"/>
      <c r="QT52" s="1193"/>
      <c r="QU52" s="1193"/>
      <c r="QV52" s="1194"/>
      <c r="QW52" s="1193"/>
      <c r="QX52" s="1193"/>
      <c r="QY52" s="1194"/>
      <c r="QZ52" s="1193"/>
      <c r="RA52" s="1193"/>
      <c r="RB52" s="1194"/>
      <c r="RC52" s="1193"/>
      <c r="RD52" s="1193"/>
      <c r="RE52" s="1194"/>
      <c r="RF52" s="1193"/>
      <c r="RG52" s="1193"/>
      <c r="RH52" s="1194"/>
      <c r="RI52" s="1269"/>
      <c r="RJ52" s="1269"/>
      <c r="RK52" s="1270"/>
      <c r="RL52" s="1269"/>
      <c r="RM52" s="1269"/>
      <c r="RN52" s="1270"/>
      <c r="RO52" s="1269"/>
      <c r="RP52" s="1269"/>
      <c r="RQ52" s="1270"/>
      <c r="RR52" s="1269"/>
      <c r="RS52" s="1269"/>
      <c r="RT52" s="1270"/>
      <c r="RU52" s="1269"/>
      <c r="RV52" s="1269"/>
      <c r="RW52" s="1270"/>
      <c r="RX52" s="1193"/>
      <c r="RY52" s="1193"/>
      <c r="RZ52" s="1194"/>
      <c r="SA52" s="1193"/>
      <c r="SB52" s="1193"/>
      <c r="SC52" s="1194"/>
      <c r="SD52" s="1193"/>
      <c r="SE52" s="1193"/>
      <c r="SF52" s="1194"/>
      <c r="SG52" s="1193"/>
      <c r="SH52" s="1193"/>
      <c r="SI52" s="1194"/>
      <c r="SJ52" s="1193"/>
      <c r="SK52" s="1193"/>
      <c r="SL52" s="1194"/>
      <c r="SM52" s="1193"/>
      <c r="SN52" s="1193"/>
      <c r="SO52" s="1194"/>
      <c r="SP52" s="1193"/>
      <c r="SQ52" s="1193"/>
      <c r="SR52" s="1194"/>
      <c r="SS52" s="1193"/>
      <c r="ST52" s="1193"/>
      <c r="SU52" s="1194"/>
      <c r="SV52" s="1193"/>
      <c r="SW52" s="1193"/>
      <c r="SX52" s="1194"/>
      <c r="SY52" s="1193"/>
      <c r="SZ52" s="1193"/>
      <c r="TA52" s="1194"/>
      <c r="TB52" s="1193"/>
      <c r="TC52" s="1193"/>
      <c r="TD52" s="1194"/>
      <c r="TE52" s="1193"/>
      <c r="TF52" s="1193"/>
      <c r="TG52" s="1194"/>
      <c r="TH52" s="1193"/>
      <c r="TI52" s="1193"/>
      <c r="TJ52" s="1194"/>
      <c r="TK52" s="1193"/>
      <c r="TL52" s="1193"/>
      <c r="TM52" s="1194"/>
      <c r="TN52" s="1193"/>
      <c r="TO52" s="1193"/>
      <c r="TP52" s="1194"/>
      <c r="TQ52" s="1193"/>
      <c r="TR52" s="1193"/>
      <c r="TS52" s="1194"/>
      <c r="TT52" s="1193"/>
      <c r="TU52" s="1193"/>
      <c r="TV52" s="1194"/>
      <c r="TW52" s="1193"/>
      <c r="TX52" s="1193"/>
      <c r="TY52" s="1194"/>
      <c r="TZ52" s="1193"/>
      <c r="UA52" s="1193"/>
      <c r="UB52" s="1194"/>
      <c r="UC52" s="1193"/>
      <c r="UD52" s="1272"/>
      <c r="UE52" s="1273"/>
      <c r="UF52" s="1195"/>
      <c r="UG52" s="1272"/>
      <c r="UH52" s="1273"/>
      <c r="UI52" s="1193"/>
      <c r="UJ52" s="1272"/>
      <c r="UK52" s="1273"/>
      <c r="UL52" s="1193"/>
      <c r="UM52" s="1272"/>
      <c r="UN52" s="1273"/>
      <c r="UO52" s="1193"/>
      <c r="UP52" s="1272"/>
      <c r="UQ52" s="1273"/>
      <c r="UR52" s="1193"/>
      <c r="US52" s="1272"/>
      <c r="UT52" s="1273"/>
      <c r="UU52" s="1193"/>
      <c r="UV52" s="1272"/>
      <c r="UW52" s="1273"/>
      <c r="UX52" s="1193"/>
      <c r="UY52" s="1272"/>
      <c r="UZ52" s="1273"/>
      <c r="VA52" s="1193"/>
      <c r="VB52" s="1272"/>
      <c r="VC52" s="1273"/>
      <c r="VD52" s="1193"/>
      <c r="VE52" s="1272"/>
      <c r="VF52" s="1273"/>
      <c r="VG52" s="1193"/>
      <c r="VH52" s="1272"/>
      <c r="VI52" s="1273"/>
      <c r="VJ52" s="1193"/>
      <c r="VK52" s="1272"/>
      <c r="VL52" s="1273"/>
      <c r="VM52" s="1193"/>
      <c r="VN52" s="1272"/>
      <c r="VO52" s="1273"/>
      <c r="VP52" s="1193"/>
      <c r="VQ52" s="1272"/>
      <c r="VR52" s="1273"/>
      <c r="VS52" s="1193"/>
      <c r="VT52" s="1272"/>
      <c r="VU52" s="1273"/>
      <c r="VV52" s="1193"/>
      <c r="VW52" s="1272"/>
      <c r="VX52" s="1273"/>
      <c r="VY52" s="1193"/>
      <c r="VZ52" s="1272"/>
      <c r="WA52" s="1273"/>
      <c r="WB52" s="1193"/>
      <c r="WC52" s="1272"/>
      <c r="WD52" s="1273"/>
      <c r="WE52" s="1193"/>
      <c r="WF52" s="1272"/>
      <c r="WG52" s="1273"/>
      <c r="WH52" s="1193"/>
      <c r="WI52" s="1272"/>
      <c r="WJ52" s="1273"/>
      <c r="WK52" s="1193"/>
      <c r="WL52" s="1272"/>
      <c r="WM52" s="1273"/>
      <c r="WN52" s="1193"/>
      <c r="WO52" s="1272"/>
      <c r="WP52" s="1273"/>
      <c r="WQ52" s="1193"/>
      <c r="WR52" s="1272"/>
      <c r="WS52" s="1273"/>
      <c r="WT52" s="1193"/>
      <c r="WU52" s="1272"/>
      <c r="WV52" s="1273"/>
      <c r="WW52" s="1193"/>
      <c r="WX52" s="1272"/>
      <c r="WY52" s="1273"/>
      <c r="WZ52" s="1193"/>
      <c r="XA52" s="1272"/>
      <c r="XB52" s="1273"/>
      <c r="XC52" s="1193"/>
      <c r="XD52" s="1272"/>
      <c r="XE52" s="1273"/>
      <c r="XF52" s="1193"/>
      <c r="XG52" s="1272"/>
      <c r="XH52" s="1273"/>
      <c r="XI52" s="1193"/>
      <c r="XJ52" s="1272"/>
      <c r="XK52" s="1273"/>
      <c r="XL52" s="1193"/>
      <c r="XM52" s="1272"/>
      <c r="XN52" s="1273"/>
      <c r="XO52" s="1193"/>
      <c r="XP52" s="1272"/>
      <c r="XQ52" s="1273"/>
      <c r="XR52" s="1193"/>
      <c r="XS52" s="1272"/>
      <c r="XT52" s="1273"/>
      <c r="XU52" s="1193"/>
      <c r="XV52" s="1272"/>
      <c r="XW52" s="1273"/>
      <c r="XX52" s="1193"/>
      <c r="XY52" s="1272"/>
      <c r="XZ52" s="1273"/>
      <c r="YA52" s="1193"/>
      <c r="YB52" s="1272"/>
      <c r="YC52" s="1273"/>
      <c r="YD52" s="1193"/>
      <c r="YE52" s="1272"/>
      <c r="YF52" s="1273"/>
      <c r="YG52" s="1193"/>
      <c r="YH52" s="1272"/>
      <c r="YI52" s="1273"/>
      <c r="YJ52" s="1193"/>
      <c r="YK52" s="1272"/>
      <c r="YL52" s="1273"/>
      <c r="YM52" s="1193"/>
      <c r="YN52" s="1272"/>
      <c r="YO52" s="1273"/>
      <c r="YP52" s="1193"/>
      <c r="YQ52" s="1272"/>
      <c r="YR52" s="1273"/>
      <c r="YS52" s="1193"/>
      <c r="YT52" s="1272"/>
      <c r="YU52" s="1273"/>
      <c r="YV52" s="1193"/>
      <c r="YW52" s="1272"/>
      <c r="YX52" s="1273"/>
      <c r="YY52" s="1193"/>
      <c r="YZ52" s="1272"/>
      <c r="ZA52" s="1273"/>
      <c r="ZB52" s="1193"/>
      <c r="ZC52" s="1272"/>
      <c r="ZD52" s="1273"/>
      <c r="ZE52" s="1193"/>
      <c r="ZF52" s="1272"/>
      <c r="ZG52" s="1273"/>
      <c r="ZH52" s="1193"/>
      <c r="ZI52" s="1272"/>
      <c r="ZJ52" s="1273"/>
      <c r="ZK52" s="1193"/>
      <c r="ZL52" s="1272"/>
      <c r="ZM52" s="1273"/>
      <c r="ZN52" s="1193"/>
      <c r="ZO52" s="1272"/>
      <c r="ZP52" s="1273"/>
      <c r="ZQ52" s="1193"/>
      <c r="ZR52" s="1272"/>
      <c r="ZS52" s="1273"/>
      <c r="ZT52" s="1193"/>
      <c r="ZU52" s="1272"/>
      <c r="ZV52" s="1273"/>
      <c r="ZW52" s="1193"/>
      <c r="ZX52" s="1272"/>
      <c r="ZY52" s="1273"/>
      <c r="ZZ52" s="1193"/>
      <c r="AAA52" s="1272"/>
      <c r="AAB52" s="1273"/>
      <c r="AAC52" s="1193"/>
      <c r="AAD52" s="1272"/>
      <c r="AAE52" s="1273"/>
      <c r="AAF52" s="1193"/>
      <c r="AAG52" s="1272"/>
      <c r="AAH52" s="1273"/>
      <c r="AAI52" s="1193"/>
      <c r="AAJ52" s="1272"/>
      <c r="AAK52" s="1273"/>
      <c r="AAL52" s="1193"/>
      <c r="AAM52" s="1272"/>
      <c r="AAN52" s="1273"/>
      <c r="AAO52" s="1193"/>
      <c r="AAP52" s="1272"/>
      <c r="AAQ52" s="1273"/>
      <c r="AAR52" s="1193"/>
      <c r="AAS52" s="1272"/>
      <c r="AAT52" s="1273"/>
      <c r="AAU52" s="1193"/>
      <c r="AAV52" s="1272"/>
      <c r="AAW52" s="1273"/>
      <c r="AAX52" s="1193"/>
      <c r="AAY52" s="1272"/>
      <c r="AAZ52" s="1273"/>
      <c r="ABA52" s="1193"/>
      <c r="ABB52" s="1272"/>
      <c r="ABC52" s="1273"/>
      <c r="ABD52" s="1193"/>
      <c r="ABE52" s="1272"/>
      <c r="ABF52" s="1273"/>
      <c r="ABG52" s="1193"/>
      <c r="ABH52" s="1272"/>
      <c r="ABI52" s="1273"/>
      <c r="ABJ52" s="1193"/>
      <c r="ABK52" s="1272"/>
      <c r="ABL52" s="1273"/>
      <c r="ABM52" s="1193"/>
      <c r="ABN52" s="1272"/>
      <c r="ABO52" s="1273"/>
      <c r="ABP52" s="1193"/>
      <c r="ABQ52" s="1272"/>
      <c r="ABR52" s="1273"/>
      <c r="ABS52" s="1193"/>
      <c r="ABT52" s="1272"/>
      <c r="ABU52" s="1273"/>
      <c r="ABV52" s="1193"/>
      <c r="ABW52" s="1272"/>
      <c r="ABX52" s="1273"/>
      <c r="ABY52" s="1193"/>
      <c r="ABZ52" s="1272"/>
      <c r="ACA52" s="1273"/>
      <c r="ACB52" s="1193"/>
      <c r="ACC52" s="1272"/>
      <c r="ACD52" s="1273"/>
      <c r="ACE52" s="1193"/>
      <c r="ACF52" s="1272"/>
      <c r="ACG52" s="1273"/>
      <c r="ACH52" s="1193"/>
      <c r="ACI52" s="1272"/>
      <c r="ACJ52" s="1273"/>
      <c r="ACK52" s="1193"/>
      <c r="ACL52" s="1272"/>
      <c r="ACM52" s="1273"/>
      <c r="ACN52" s="1193"/>
      <c r="ACO52" s="1272"/>
      <c r="ACP52" s="1273"/>
      <c r="ACQ52" s="1193"/>
      <c r="ACR52" s="1272"/>
      <c r="ACS52" s="1273"/>
      <c r="ACT52" s="1193"/>
      <c r="ACU52" s="1272"/>
      <c r="ACV52" s="1273"/>
      <c r="ACW52" s="1193"/>
      <c r="ACX52" s="1272"/>
      <c r="ACY52" s="1273"/>
      <c r="ACZ52" s="1193"/>
      <c r="ADA52" s="1272"/>
      <c r="ADB52" s="1273"/>
      <c r="ADC52" s="1193"/>
      <c r="ADD52" s="1272"/>
      <c r="ADE52" s="1273"/>
      <c r="ADF52" s="1193"/>
      <c r="ADG52" s="1272"/>
      <c r="ADH52" s="1273"/>
      <c r="ADI52" s="1193"/>
      <c r="ADJ52" s="1272"/>
      <c r="ADK52" s="1273"/>
      <c r="ADL52" s="1193"/>
      <c r="ADM52" s="1272"/>
      <c r="ADN52" s="1273"/>
      <c r="ADO52" s="1193"/>
      <c r="ADP52" s="1272"/>
      <c r="ADQ52" s="1273"/>
      <c r="ADR52" s="1193"/>
      <c r="ADS52" s="1272"/>
      <c r="ADT52" s="1273"/>
      <c r="ADU52" s="1193"/>
      <c r="ADV52" s="1272"/>
      <c r="ADW52" s="1273"/>
      <c r="ADX52" s="1193"/>
      <c r="ADY52" s="1272"/>
      <c r="ADZ52" s="1273"/>
      <c r="AEA52" s="1193"/>
      <c r="AEB52" s="1272"/>
      <c r="AEC52" s="1273"/>
      <c r="AED52" s="1193"/>
      <c r="AEE52" s="1272"/>
      <c r="AEF52" s="1273"/>
      <c r="AEG52" s="1193"/>
      <c r="AEH52" s="1272"/>
      <c r="AEI52" s="1273"/>
      <c r="AEJ52" s="1193"/>
      <c r="AEK52" s="1272"/>
      <c r="AEL52" s="1273"/>
      <c r="AEM52" s="1306">
        <f>57752+26007+3230</f>
        <v>86989</v>
      </c>
      <c r="AEN52" s="1433"/>
      <c r="AEO52" s="1434"/>
      <c r="AEP52" s="1193"/>
      <c r="AEQ52" s="1272"/>
      <c r="AER52" s="1273"/>
      <c r="AES52" s="1193"/>
      <c r="AET52" s="1272"/>
      <c r="AEU52" s="1273"/>
      <c r="AEV52" s="1193"/>
      <c r="AEW52" s="1272"/>
      <c r="AEX52" s="1273"/>
      <c r="AEY52" s="1306"/>
      <c r="AEZ52" s="1307"/>
      <c r="AFA52" s="1340"/>
      <c r="AFB52" s="1306"/>
      <c r="AFC52" s="1307"/>
      <c r="AFD52" s="1340"/>
      <c r="AFE52" s="1306"/>
      <c r="AFF52" s="1307"/>
      <c r="AFG52" s="1340"/>
      <c r="AFH52" s="1306"/>
      <c r="AFI52" s="1307"/>
      <c r="AFJ52" s="1340"/>
      <c r="AFK52" s="1306"/>
      <c r="AFL52" s="1307"/>
      <c r="AFM52" s="1340"/>
      <c r="AFN52" s="1306">
        <f>104832+40142+3340</f>
        <v>148314</v>
      </c>
      <c r="AFO52" s="1307"/>
      <c r="AFP52" s="1340"/>
      <c r="AFQ52" s="1306"/>
      <c r="AFR52" s="1307"/>
      <c r="AFS52" s="1340"/>
      <c r="AFT52" s="1306"/>
      <c r="AFU52" s="1307"/>
      <c r="AFV52" s="1340"/>
      <c r="AFW52" s="1306"/>
      <c r="AFX52" s="1307"/>
      <c r="AFY52" s="1340"/>
      <c r="AFZ52" s="1306"/>
      <c r="AGA52" s="1307"/>
      <c r="AGB52" s="1340"/>
      <c r="AGC52" s="1306">
        <f>93950.86+37213.628+2944.5</f>
        <v>134108.98800000001</v>
      </c>
      <c r="AGD52" s="1307"/>
      <c r="AGE52" s="1340"/>
      <c r="AGF52" s="1306"/>
      <c r="AGG52" s="1307"/>
      <c r="AGH52" s="1340"/>
      <c r="AGI52" s="1306"/>
      <c r="AGJ52" s="1307"/>
      <c r="AGK52" s="1340"/>
      <c r="AGL52" s="1306"/>
      <c r="AGM52" s="1307"/>
      <c r="AGN52" s="1340"/>
      <c r="AGO52" s="1306"/>
      <c r="AGP52" s="1307"/>
      <c r="AGQ52" s="1340"/>
      <c r="AGR52" s="1306">
        <v>91064.08</v>
      </c>
      <c r="AGS52" s="1307"/>
      <c r="AGT52" s="1340"/>
      <c r="AGU52" s="1306"/>
      <c r="AGV52" s="1307"/>
      <c r="AGW52" s="1340"/>
      <c r="AGX52" s="1306">
        <v>82933.679999999993</v>
      </c>
      <c r="AGY52" s="1307"/>
      <c r="AGZ52" s="1340"/>
      <c r="AHA52" s="1306"/>
      <c r="AHB52" s="1307"/>
      <c r="AHC52" s="1340"/>
      <c r="AHD52" s="1306"/>
      <c r="AHE52" s="1307"/>
      <c r="AHF52" s="1340"/>
      <c r="AHG52" s="1306"/>
      <c r="AHH52" s="1307"/>
      <c r="AHI52" s="1340"/>
      <c r="AHJ52" s="1306"/>
      <c r="AHK52" s="1307"/>
      <c r="AHL52" s="1340"/>
      <c r="AHM52" s="1306"/>
      <c r="AHN52" s="1307"/>
      <c r="AHO52" s="1340"/>
      <c r="AHP52" s="1306">
        <v>74098.36</v>
      </c>
      <c r="AHQ52" s="1307"/>
      <c r="AHR52" s="1340"/>
      <c r="AHS52" s="1306"/>
      <c r="AHT52" s="1307"/>
      <c r="AHU52" s="1340"/>
      <c r="AHV52" s="1306"/>
      <c r="AHW52" s="1307"/>
      <c r="AHX52" s="1340"/>
      <c r="AHY52" s="1306">
        <v>79109.13</v>
      </c>
      <c r="AHZ52" s="1307"/>
      <c r="AIA52" s="1340"/>
      <c r="AIB52" s="1306"/>
      <c r="AIC52" s="1307"/>
      <c r="AID52" s="1307"/>
      <c r="AIE52" s="1306"/>
      <c r="AIF52" s="1307"/>
      <c r="AIG52" s="1340"/>
      <c r="AIH52" s="1306"/>
      <c r="AII52" s="1307"/>
      <c r="AIJ52" s="1340"/>
      <c r="AIK52" s="1306">
        <v>80024.570000000007</v>
      </c>
      <c r="AIL52" s="1307"/>
      <c r="AIM52" s="1340"/>
      <c r="AIN52" s="1306"/>
      <c r="AIO52" s="1307"/>
      <c r="AIP52" s="1340"/>
      <c r="AIQ52" s="1443">
        <v>58726.95</v>
      </c>
      <c r="AIR52" s="1444"/>
      <c r="AIS52" s="1444"/>
      <c r="AIT52" s="1306"/>
      <c r="AIU52" s="1307"/>
      <c r="AIV52" s="1340"/>
      <c r="AIW52" s="1306"/>
      <c r="AIX52" s="1307"/>
      <c r="AIY52" s="1307"/>
      <c r="AIZ52" s="1306"/>
      <c r="AJA52" s="1307"/>
      <c r="AJB52" s="1340"/>
      <c r="AJC52" s="1306"/>
      <c r="AJD52" s="1307"/>
      <c r="AJE52" s="1340"/>
      <c r="AJF52" s="1306">
        <v>54810.92</v>
      </c>
      <c r="AJG52" s="1307"/>
      <c r="AJH52" s="1340"/>
      <c r="AJI52" s="1306"/>
      <c r="AJJ52" s="1307"/>
      <c r="AJK52" s="1340"/>
      <c r="AJL52" s="1306"/>
      <c r="AJM52" s="1307"/>
      <c r="AJN52" s="1307"/>
      <c r="AJO52" s="1306">
        <v>58702.21</v>
      </c>
      <c r="AJP52" s="1307"/>
      <c r="AJQ52" s="1340"/>
      <c r="AJR52" s="1306"/>
      <c r="AJS52" s="1307"/>
      <c r="AJT52" s="1307"/>
      <c r="AJU52" s="1306"/>
      <c r="AJV52" s="1307"/>
      <c r="AJW52" s="1340"/>
      <c r="AJX52" s="1306">
        <v>64783.07</v>
      </c>
      <c r="AJY52" s="1307"/>
      <c r="AJZ52" s="1340"/>
      <c r="AKA52" s="1306"/>
      <c r="AKB52" s="1307"/>
      <c r="AKC52" s="1340"/>
      <c r="AKD52" s="1306"/>
      <c r="AKE52" s="1307"/>
      <c r="AKF52" s="1340"/>
      <c r="AKG52" s="1306"/>
      <c r="AKH52" s="1307"/>
      <c r="AKI52" s="1307"/>
      <c r="AKJ52" s="1306"/>
      <c r="AKK52" s="1307"/>
      <c r="AKL52" s="1340"/>
      <c r="AKM52" s="1306"/>
      <c r="AKN52" s="1307"/>
      <c r="AKO52" s="1307"/>
      <c r="AKP52" s="1306"/>
      <c r="AKQ52" s="1307"/>
      <c r="AKR52" s="1340"/>
      <c r="AKS52" s="1306"/>
      <c r="AKT52" s="1307"/>
      <c r="AKU52" s="1340"/>
      <c r="AKV52" s="1306">
        <v>33387.17</v>
      </c>
      <c r="AKW52" s="1307"/>
      <c r="AKX52" s="1340"/>
      <c r="AKY52" s="1306">
        <v>23356.704000000002</v>
      </c>
      <c r="AKZ52" s="1307"/>
      <c r="ALA52" s="1340"/>
      <c r="ALB52" s="1306"/>
      <c r="ALC52" s="1307"/>
      <c r="ALD52" s="1340"/>
      <c r="ALE52" s="1306">
        <v>43317.838000000003</v>
      </c>
      <c r="ALF52" s="1307"/>
      <c r="ALG52" s="1340"/>
      <c r="ALH52" s="1306"/>
      <c r="ALI52" s="1307"/>
      <c r="ALJ52" s="1340"/>
      <c r="ALK52" s="1306"/>
      <c r="ALL52" s="1307"/>
      <c r="ALM52" s="1340"/>
      <c r="ALN52" s="1306"/>
      <c r="ALO52" s="1307"/>
      <c r="ALP52" s="1340"/>
      <c r="ALQ52" s="1306">
        <v>26769.655999999999</v>
      </c>
      <c r="ALR52" s="1307"/>
      <c r="ALS52" s="1340"/>
      <c r="ALT52" s="1306">
        <v>27410.723999999998</v>
      </c>
      <c r="ALU52" s="1307"/>
      <c r="ALV52" s="1340"/>
      <c r="ALW52" s="1306"/>
      <c r="ALX52" s="1307"/>
      <c r="ALY52" s="1340"/>
      <c r="ALZ52" s="1306">
        <v>27857.42</v>
      </c>
      <c r="AMA52" s="1307"/>
      <c r="AMB52" s="1340"/>
      <c r="AMC52" s="1306"/>
      <c r="AMD52" s="1307"/>
      <c r="AME52" s="1340"/>
      <c r="AMF52" s="1306"/>
      <c r="AMG52" s="1307"/>
      <c r="AMH52" s="1340"/>
      <c r="AMI52" s="1306">
        <v>35347.826000000001</v>
      </c>
      <c r="AMJ52" s="1307"/>
      <c r="AMK52" s="1340"/>
      <c r="AML52" s="1306"/>
      <c r="AMM52" s="1307"/>
      <c r="AMN52" s="1340"/>
      <c r="AMO52" s="1306">
        <v>26808.815999999999</v>
      </c>
      <c r="AMP52" s="1307"/>
      <c r="AMQ52" s="1340"/>
      <c r="AMR52" s="1306"/>
      <c r="AMS52" s="1307"/>
      <c r="AMT52" s="1340"/>
      <c r="AMU52" s="1306">
        <v>49760.767999999996</v>
      </c>
      <c r="AMV52" s="1307"/>
      <c r="AMW52" s="1340"/>
      <c r="AMX52" s="1306"/>
      <c r="AMY52" s="1307"/>
      <c r="AMZ52" s="1340"/>
      <c r="ANA52" s="1306"/>
      <c r="ANB52" s="1307"/>
      <c r="ANC52" s="1340"/>
      <c r="AND52" s="1306">
        <v>28563.016</v>
      </c>
      <c r="ANE52" s="1307"/>
      <c r="ANF52" s="1340"/>
      <c r="ANG52" s="1306"/>
      <c r="ANH52" s="1307"/>
      <c r="ANI52" s="1340"/>
      <c r="ANJ52" s="1306"/>
      <c r="ANK52" s="1307"/>
      <c r="ANL52" s="1340"/>
      <c r="ANM52" s="1306">
        <v>42410.974000000002</v>
      </c>
      <c r="ANN52" s="1307"/>
      <c r="ANO52" s="1340"/>
      <c r="ANP52" s="1306"/>
      <c r="ANQ52" s="1307"/>
      <c r="ANR52" s="1340"/>
      <c r="ANS52" s="1306"/>
      <c r="ANT52" s="1307"/>
      <c r="ANU52" s="1340"/>
      <c r="ANV52" s="1306"/>
      <c r="ANW52" s="1307"/>
      <c r="ANX52" s="1340"/>
      <c r="ANY52" s="1306">
        <v>72417.338000000003</v>
      </c>
      <c r="ANZ52" s="1307"/>
      <c r="AOA52" s="1340"/>
      <c r="AOB52" s="1306"/>
      <c r="AOC52" s="1307"/>
      <c r="AOD52" s="1340"/>
      <c r="AOE52" s="1306">
        <v>68545.245999999999</v>
      </c>
      <c r="AOF52" s="1307"/>
      <c r="AOG52" s="1340"/>
      <c r="AOH52" s="1306"/>
      <c r="AOI52" s="1307"/>
      <c r="AOJ52" s="1340"/>
      <c r="AOK52" s="1306"/>
      <c r="AOL52" s="1307"/>
      <c r="AOM52" s="1340"/>
      <c r="AON52" s="1306"/>
      <c r="AOO52" s="1307"/>
      <c r="AOP52" s="1340"/>
      <c r="AOQ52" s="1306"/>
      <c r="AOR52" s="1307"/>
      <c r="AOS52" s="1340"/>
      <c r="AOT52" s="1306">
        <v>68036.793999999994</v>
      </c>
      <c r="AOU52" s="1307"/>
      <c r="AOV52" s="1340"/>
      <c r="AOW52" s="1306"/>
      <c r="AOX52" s="1307"/>
      <c r="AOY52" s="1340"/>
      <c r="AOZ52" s="1306"/>
      <c r="APA52" s="1307"/>
      <c r="APB52" s="1340"/>
      <c r="APC52" s="1306"/>
      <c r="APD52" s="1307"/>
      <c r="APE52" s="1340"/>
      <c r="APF52" s="1306"/>
      <c r="APG52" s="1307"/>
      <c r="APH52" s="1340"/>
      <c r="API52" s="1306"/>
      <c r="APJ52" s="1307"/>
      <c r="APK52" s="1340"/>
      <c r="APL52" s="1306"/>
      <c r="APM52" s="1307"/>
      <c r="APN52" s="1340"/>
      <c r="APO52" s="1306">
        <v>77910.313999999998</v>
      </c>
      <c r="APP52" s="1307"/>
      <c r="APQ52" s="1340"/>
      <c r="APR52" s="1306"/>
      <c r="APS52" s="1307"/>
      <c r="APT52" s="1340"/>
      <c r="APU52" s="1306"/>
      <c r="APV52" s="1307"/>
      <c r="APW52" s="1340"/>
      <c r="APX52" s="1306"/>
      <c r="APY52" s="1307"/>
      <c r="APZ52" s="1340"/>
      <c r="AQA52" s="1306"/>
      <c r="AQB52" s="1307"/>
      <c r="AQC52" s="1340"/>
      <c r="AQD52" s="1306"/>
      <c r="AQE52" s="1307"/>
      <c r="AQF52" s="1340"/>
      <c r="AQG52" s="1306">
        <v>71782.736000000004</v>
      </c>
      <c r="AQH52" s="1307"/>
      <c r="AQI52" s="1340"/>
      <c r="AQJ52" s="1306"/>
      <c r="AQK52" s="1307"/>
      <c r="AQL52" s="1340"/>
      <c r="AQM52" s="1306"/>
      <c r="AQN52" s="1307"/>
      <c r="AQO52" s="1340"/>
      <c r="AQP52" s="1306"/>
      <c r="AQQ52" s="1307"/>
      <c r="AQR52" s="1307"/>
      <c r="AQS52" s="1306"/>
      <c r="AQT52" s="1307"/>
      <c r="AQU52" s="1340"/>
      <c r="AQV52" s="1307"/>
      <c r="AQW52" s="1307"/>
      <c r="AQX52" s="1340"/>
      <c r="AQY52" s="1306"/>
      <c r="AQZ52" s="1307"/>
      <c r="ARA52" s="1340"/>
      <c r="ARB52" s="1306"/>
      <c r="ARC52" s="1307"/>
      <c r="ARD52" s="1340"/>
      <c r="ARE52" s="1306"/>
      <c r="ARF52" s="1307"/>
      <c r="ARG52" s="1340"/>
      <c r="ARH52" s="1306"/>
      <c r="ARI52" s="1307"/>
      <c r="ARJ52" s="1340"/>
      <c r="ARK52" s="1306"/>
      <c r="ARL52" s="1307"/>
      <c r="ARM52" s="1340"/>
      <c r="ARN52" s="1306"/>
      <c r="ARO52" s="1307"/>
      <c r="ARP52" s="1340"/>
      <c r="ARQ52" s="1306"/>
      <c r="ARR52" s="1307"/>
      <c r="ARS52" s="1340"/>
      <c r="ART52" s="1306"/>
      <c r="ARU52" s="1307"/>
      <c r="ARV52" s="1340"/>
      <c r="ARW52" s="1306"/>
      <c r="ARX52" s="1307"/>
      <c r="ARY52" s="1340"/>
      <c r="ARZ52" s="1306"/>
      <c r="ASA52" s="1307"/>
      <c r="ASB52" s="1340"/>
      <c r="ASC52" s="1306"/>
      <c r="ASD52" s="1307"/>
      <c r="ASE52" s="1340"/>
      <c r="ASF52" s="1306"/>
      <c r="ASG52" s="1307"/>
      <c r="ASH52" s="1340"/>
      <c r="ASI52" s="1306"/>
      <c r="ASJ52" s="1307"/>
      <c r="ASK52" s="1340"/>
      <c r="ASL52" s="1306"/>
      <c r="ASM52" s="1307"/>
      <c r="ASN52" s="1340"/>
      <c r="ASO52" s="1306"/>
      <c r="ASP52" s="1307"/>
      <c r="ASQ52" s="1307"/>
      <c r="ASR52" s="1306"/>
      <c r="ASS52" s="1307"/>
      <c r="AST52" s="1340"/>
      <c r="ASU52" s="1306"/>
      <c r="ASV52" s="1307"/>
      <c r="ASW52" s="1340"/>
      <c r="ASX52" s="1306"/>
      <c r="ASY52" s="1307"/>
      <c r="ASZ52" s="1340"/>
      <c r="ATA52" s="1306"/>
      <c r="ATB52" s="1307"/>
      <c r="ATC52" s="1340"/>
      <c r="ATD52" s="1306"/>
      <c r="ATE52" s="1307"/>
      <c r="ATF52" s="1340"/>
      <c r="ATG52" s="1306"/>
      <c r="ATH52" s="1307"/>
      <c r="ATI52" s="1340"/>
      <c r="ATJ52" s="1306"/>
      <c r="ATK52" s="1307"/>
      <c r="ATL52" s="1340"/>
      <c r="ATM52" s="1306"/>
      <c r="ATN52" s="1307"/>
      <c r="ATO52" s="1340"/>
      <c r="ATP52" s="1306"/>
      <c r="ATQ52" s="1307"/>
      <c r="ATR52" s="1340"/>
      <c r="ATS52" s="1306"/>
      <c r="ATT52" s="1307"/>
      <c r="ATU52" s="1340"/>
      <c r="ATV52" s="1307"/>
      <c r="ATW52" s="1307"/>
      <c r="ATX52" s="1340"/>
      <c r="ATY52" s="1306"/>
      <c r="ATZ52" s="1307"/>
      <c r="AUA52" s="1340"/>
      <c r="AUB52" s="1306"/>
      <c r="AUC52" s="1307"/>
      <c r="AUD52" s="1340"/>
      <c r="AUE52" s="1306"/>
      <c r="AUF52" s="1307"/>
      <c r="AUG52" s="1340"/>
      <c r="AUH52" s="1306"/>
      <c r="AUI52" s="1307"/>
      <c r="AUJ52" s="1340"/>
      <c r="AUK52" s="1306"/>
      <c r="AUL52" s="1307"/>
      <c r="AUM52" s="1307"/>
      <c r="AUN52" s="1306"/>
      <c r="AUO52" s="1307"/>
      <c r="AUP52" s="1307"/>
      <c r="AUQ52" s="1306"/>
      <c r="AUR52" s="1307"/>
      <c r="AUS52" s="1307"/>
      <c r="AUT52" s="1306"/>
      <c r="AUU52" s="1307"/>
      <c r="AUV52" s="1307"/>
      <c r="AUW52" s="1306"/>
      <c r="AUX52" s="1307"/>
      <c r="AUY52" s="1307"/>
      <c r="AUZ52" s="1306"/>
      <c r="AVA52" s="1307"/>
      <c r="AVB52" s="1307"/>
      <c r="AVC52" s="1306"/>
      <c r="AVD52" s="1307"/>
      <c r="AVE52" s="1307"/>
      <c r="AVF52" s="1306"/>
      <c r="AVG52" s="1307"/>
      <c r="AVH52" s="1307"/>
      <c r="AVI52" s="1306"/>
      <c r="AVJ52" s="1307"/>
      <c r="AVK52" s="1307"/>
      <c r="AVL52" s="1306"/>
      <c r="AVM52" s="1307"/>
      <c r="AVN52" s="1307"/>
      <c r="AVO52" s="1306"/>
      <c r="AVP52" s="1307"/>
      <c r="AVQ52" s="1307"/>
      <c r="AVR52" s="1306"/>
      <c r="AVS52" s="1307"/>
      <c r="AVT52" s="1307"/>
      <c r="AVU52" s="1306"/>
      <c r="AVV52" s="1307"/>
      <c r="AVW52" s="1307"/>
      <c r="AVX52" s="1306"/>
      <c r="AVY52" s="1307"/>
      <c r="AVZ52" s="1307"/>
      <c r="AWA52" s="1306"/>
      <c r="AWB52" s="1307"/>
      <c r="AWC52" s="1307"/>
      <c r="AWD52" s="1306"/>
      <c r="AWE52" s="1307"/>
      <c r="AWF52" s="1307"/>
      <c r="AWG52" s="1306"/>
      <c r="AWH52" s="1307"/>
      <c r="AWI52" s="1307"/>
      <c r="AWJ52" s="1306"/>
      <c r="AWK52" s="1307"/>
      <c r="AWL52" s="1307"/>
      <c r="AWM52" s="1306"/>
      <c r="AWN52" s="1307"/>
      <c r="AWO52" s="1340"/>
      <c r="AWP52" s="1307"/>
      <c r="AWQ52" s="1307"/>
      <c r="AWR52" s="1340"/>
      <c r="AWS52" s="1306"/>
      <c r="AWT52" s="1307"/>
      <c r="AWU52" s="1340"/>
      <c r="AWV52" s="1306"/>
      <c r="AWW52" s="1307"/>
      <c r="AWX52" s="1340"/>
      <c r="AWY52" s="1306"/>
      <c r="AWZ52" s="1307"/>
      <c r="AXA52" s="1340"/>
      <c r="AXB52" s="1306"/>
      <c r="AXC52" s="1307"/>
      <c r="AXD52" s="1340"/>
      <c r="AXE52" s="1306"/>
      <c r="AXF52" s="1307"/>
      <c r="AXG52" s="1340"/>
      <c r="AXH52" s="1306"/>
      <c r="AXI52" s="1307"/>
      <c r="AXJ52" s="1340"/>
      <c r="AXK52" s="1306"/>
      <c r="AXL52" s="1307"/>
      <c r="AXM52" s="1340"/>
      <c r="AXN52" s="1306"/>
      <c r="AXO52" s="1307"/>
      <c r="AXP52" s="1340"/>
      <c r="AXQ52" s="1306"/>
      <c r="AXR52" s="1307"/>
      <c r="AXS52" s="1340"/>
      <c r="AXT52" s="1306"/>
      <c r="AXU52" s="1307"/>
      <c r="AXV52" s="1340"/>
      <c r="AXW52" s="1306"/>
      <c r="AXX52" s="1307"/>
      <c r="AXY52" s="1340"/>
      <c r="AXZ52" s="1306"/>
      <c r="AYA52" s="1307"/>
      <c r="AYB52" s="1340"/>
      <c r="AYC52" s="1306"/>
      <c r="AYD52" s="1307"/>
      <c r="AYE52" s="1340"/>
      <c r="AYF52" s="1306"/>
      <c r="AYG52" s="1307"/>
      <c r="AYH52" s="1340"/>
      <c r="AYI52" s="1306"/>
      <c r="AYJ52" s="1307"/>
      <c r="AYK52" s="1340"/>
      <c r="AYL52" s="1306"/>
      <c r="AYM52" s="1307"/>
      <c r="AYN52" s="1340"/>
      <c r="AYO52" s="1306"/>
      <c r="AYP52" s="1307"/>
      <c r="AYQ52" s="1340"/>
      <c r="AYR52" s="1306"/>
      <c r="AYS52" s="1307"/>
      <c r="AYT52" s="1340"/>
      <c r="AYU52" s="1306"/>
      <c r="AYV52" s="1307"/>
      <c r="AYW52" s="1340"/>
      <c r="AYX52" s="1306"/>
      <c r="AYY52" s="1307"/>
      <c r="AYZ52" s="1340"/>
      <c r="AZA52" s="1306"/>
      <c r="AZB52" s="1307"/>
      <c r="AZC52" s="1340"/>
      <c r="AZD52" s="1306"/>
      <c r="AZE52" s="1307"/>
      <c r="AZF52" s="1340"/>
      <c r="AZG52" s="1306"/>
      <c r="AZH52" s="1307"/>
      <c r="AZI52" s="1340"/>
      <c r="AZJ52" s="1306"/>
      <c r="AZK52" s="1307"/>
      <c r="AZL52" s="1340"/>
      <c r="AZM52" s="1306"/>
      <c r="AZN52" s="1307"/>
      <c r="AZO52" s="1340"/>
      <c r="AZP52" s="1306"/>
      <c r="AZQ52" s="1307"/>
      <c r="AZR52" s="1340"/>
      <c r="AZS52" s="1306"/>
      <c r="AZT52" s="1307"/>
      <c r="AZU52" s="1340"/>
      <c r="AZV52" s="1306"/>
      <c r="AZW52" s="1307"/>
      <c r="AZX52" s="1340"/>
      <c r="AZY52" s="1306"/>
      <c r="AZZ52" s="1307"/>
      <c r="BAA52" s="1340"/>
      <c r="BAB52" s="1306"/>
      <c r="BAC52" s="1307"/>
      <c r="BAD52" s="1340"/>
      <c r="BAE52" s="1306"/>
      <c r="BAF52" s="1307"/>
      <c r="BAG52" s="1340"/>
      <c r="BAH52" s="1306"/>
      <c r="BAI52" s="1307"/>
      <c r="BAJ52" s="1340"/>
    </row>
    <row r="53" spans="1:1388" ht="13.5" customHeight="1">
      <c r="B53" s="1414" t="s">
        <v>376</v>
      </c>
      <c r="C53" s="1415"/>
      <c r="D53" s="1416"/>
      <c r="E53" s="10"/>
      <c r="F53" s="8"/>
      <c r="G53" s="8"/>
      <c r="H53" s="11"/>
      <c r="I53" s="8"/>
      <c r="J53" s="8"/>
      <c r="K53" s="11"/>
      <c r="L53" s="8"/>
      <c r="M53" s="8"/>
      <c r="N53" s="11"/>
      <c r="O53" s="8"/>
      <c r="P53" s="8"/>
      <c r="Q53" s="11"/>
      <c r="R53" s="8"/>
      <c r="S53" s="8"/>
      <c r="T53" s="11"/>
      <c r="U53" s="8"/>
      <c r="V53" s="8"/>
      <c r="W53" s="11"/>
      <c r="X53" s="8"/>
      <c r="Y53" s="8"/>
      <c r="Z53" s="11"/>
      <c r="AA53" s="8"/>
      <c r="AB53" s="8"/>
      <c r="AC53" s="11"/>
      <c r="AD53" s="8"/>
      <c r="AE53" s="8"/>
      <c r="AF53" s="11"/>
      <c r="AG53" s="8"/>
      <c r="AH53" s="8"/>
      <c r="AI53" s="11"/>
      <c r="AJ53" s="8"/>
      <c r="AK53" s="8"/>
      <c r="AL53" s="11"/>
      <c r="AM53" s="8"/>
      <c r="AN53" s="8"/>
      <c r="AO53" s="11"/>
      <c r="AP53" s="8"/>
      <c r="AQ53" s="8"/>
      <c r="AR53" s="11"/>
      <c r="AS53" s="8"/>
      <c r="AT53" s="8"/>
      <c r="AU53" s="11"/>
      <c r="AV53" s="8"/>
      <c r="AW53" s="8"/>
      <c r="AX53" s="11"/>
      <c r="AY53" s="8"/>
      <c r="AZ53" s="8"/>
      <c r="BA53" s="11"/>
      <c r="BB53" s="8"/>
      <c r="BC53" s="8"/>
      <c r="BD53" s="11"/>
      <c r="BE53" s="8"/>
      <c r="BF53" s="8"/>
      <c r="BG53" s="11"/>
      <c r="BH53" s="8"/>
      <c r="BI53" s="8"/>
      <c r="BJ53" s="11"/>
      <c r="BK53" s="8"/>
      <c r="BL53" s="8"/>
      <c r="BM53" s="11"/>
      <c r="BN53" s="8"/>
      <c r="BO53" s="8"/>
      <c r="BP53" s="11"/>
      <c r="BQ53" s="8"/>
      <c r="BR53" s="8"/>
      <c r="BS53" s="11"/>
      <c r="BT53" s="8"/>
      <c r="BU53" s="8"/>
      <c r="BV53" s="11"/>
      <c r="BW53" s="8"/>
      <c r="BX53" s="8"/>
      <c r="BY53" s="11"/>
      <c r="BZ53" s="8"/>
      <c r="CA53" s="8"/>
      <c r="CB53" s="11"/>
      <c r="CC53" s="8"/>
      <c r="CD53" s="8"/>
      <c r="CE53" s="11"/>
      <c r="CF53" s="8"/>
      <c r="CG53" s="8"/>
      <c r="CH53" s="11"/>
      <c r="CI53" s="8"/>
      <c r="CJ53" s="8"/>
      <c r="CK53" s="11"/>
      <c r="CL53" s="8"/>
      <c r="CM53" s="8"/>
      <c r="CN53" s="11"/>
      <c r="CO53" s="8"/>
      <c r="CP53" s="8"/>
      <c r="CQ53" s="11"/>
      <c r="CR53" s="8"/>
      <c r="CS53" s="8"/>
      <c r="CT53" s="11"/>
      <c r="CU53" s="8"/>
      <c r="CV53" s="8"/>
      <c r="CW53" s="11"/>
      <c r="CX53" s="8"/>
      <c r="CY53" s="8"/>
      <c r="CZ53" s="11"/>
      <c r="DA53" s="8"/>
      <c r="DB53" s="8"/>
      <c r="DC53" s="11"/>
      <c r="DD53" s="8"/>
      <c r="DE53" s="8"/>
      <c r="DF53" s="11"/>
      <c r="DG53" s="8"/>
      <c r="DH53" s="8"/>
      <c r="DI53" s="11"/>
      <c r="DJ53" s="8"/>
      <c r="DK53" s="8"/>
      <c r="DL53" s="11"/>
      <c r="DM53" s="8"/>
      <c r="DN53" s="8"/>
      <c r="DO53" s="8"/>
      <c r="DP53" s="20"/>
      <c r="DQ53" s="8"/>
      <c r="DR53" s="11"/>
      <c r="DS53" s="20"/>
      <c r="DT53" s="8"/>
      <c r="DU53" s="11"/>
      <c r="DV53" s="20"/>
      <c r="DW53" s="8"/>
      <c r="DX53" s="11"/>
      <c r="DY53" s="20"/>
      <c r="DZ53" s="8"/>
      <c r="EA53" s="11"/>
      <c r="EB53" s="20"/>
      <c r="EC53" s="8"/>
      <c r="ED53" s="11"/>
      <c r="EE53" s="20"/>
      <c r="EF53" s="8"/>
      <c r="EG53" s="11"/>
      <c r="EH53" s="20"/>
      <c r="EI53" s="8"/>
      <c r="EJ53" s="11"/>
      <c r="EK53" s="20"/>
      <c r="EL53" s="8"/>
      <c r="EM53" s="11"/>
      <c r="EN53" s="20"/>
      <c r="EO53" s="8"/>
      <c r="EP53" s="11"/>
      <c r="EQ53" s="20"/>
      <c r="ER53" s="8"/>
      <c r="ES53" s="11"/>
      <c r="ET53" s="20"/>
      <c r="EU53" s="8"/>
      <c r="EV53" s="11"/>
      <c r="EW53" s="20"/>
      <c r="EX53" s="8"/>
      <c r="EY53" s="11"/>
      <c r="EZ53" s="20"/>
      <c r="FA53" s="8"/>
      <c r="FB53" s="11"/>
      <c r="FC53" s="20"/>
      <c r="FD53" s="8"/>
      <c r="FE53" s="11"/>
      <c r="FF53" s="20"/>
      <c r="FG53" s="8"/>
      <c r="FH53" s="11"/>
      <c r="FI53" s="20"/>
      <c r="FJ53" s="8"/>
      <c r="FK53" s="11"/>
      <c r="FL53" s="20"/>
      <c r="FM53" s="8"/>
      <c r="FN53" s="11"/>
      <c r="FO53" s="20"/>
      <c r="FP53" s="8"/>
      <c r="FQ53" s="11"/>
      <c r="FR53" s="20"/>
      <c r="FS53" s="8"/>
      <c r="FT53" s="11"/>
      <c r="FU53" s="20"/>
      <c r="FV53" s="8"/>
      <c r="FW53" s="11"/>
      <c r="FX53" s="20"/>
      <c r="FY53" s="8"/>
      <c r="FZ53" s="11"/>
      <c r="GA53" s="20"/>
      <c r="GB53" s="8"/>
      <c r="GC53" s="11"/>
      <c r="GD53" s="20"/>
      <c r="GE53" s="8"/>
      <c r="GF53" s="11"/>
      <c r="GG53" s="20"/>
      <c r="GH53" s="8"/>
      <c r="GI53" s="11"/>
      <c r="GJ53" s="20"/>
      <c r="GK53" s="8"/>
      <c r="GL53" s="11"/>
      <c r="GM53" s="20"/>
      <c r="GN53" s="8"/>
      <c r="GO53" s="11"/>
      <c r="GP53" s="20"/>
      <c r="GQ53" s="8"/>
      <c r="GR53" s="11"/>
      <c r="GS53" s="20"/>
      <c r="GT53" s="8"/>
      <c r="GU53" s="11"/>
      <c r="GV53" s="20"/>
      <c r="GW53" s="8"/>
      <c r="GX53" s="11"/>
      <c r="GY53" s="20"/>
      <c r="GZ53" s="8"/>
      <c r="HA53" s="11"/>
      <c r="HB53" s="20"/>
      <c r="HC53" s="8"/>
      <c r="HD53" s="11"/>
      <c r="HE53" s="20"/>
      <c r="HF53" s="8"/>
      <c r="HG53" s="11"/>
      <c r="HH53" s="20"/>
      <c r="HI53" s="8"/>
      <c r="HJ53" s="11"/>
      <c r="HK53" s="20"/>
      <c r="HL53" s="8"/>
      <c r="HM53" s="11"/>
      <c r="HN53" s="20"/>
      <c r="HO53" s="8"/>
      <c r="HP53" s="11"/>
      <c r="HQ53" s="20"/>
      <c r="HR53" s="8"/>
      <c r="HS53" s="11"/>
      <c r="HT53" s="20"/>
      <c r="HU53" s="8"/>
      <c r="HV53" s="11"/>
      <c r="HW53" s="20"/>
      <c r="HX53" s="8"/>
      <c r="HY53" s="11"/>
      <c r="HZ53" s="20"/>
      <c r="IA53" s="8"/>
      <c r="IB53" s="11"/>
      <c r="IC53" s="20"/>
      <c r="ID53" s="8"/>
      <c r="IE53" s="11"/>
      <c r="IF53" s="20"/>
      <c r="IG53" s="8"/>
      <c r="IH53" s="11"/>
      <c r="II53" s="20"/>
      <c r="IJ53" s="8"/>
      <c r="IK53" s="11"/>
      <c r="IL53" s="20"/>
      <c r="IM53" s="8"/>
      <c r="IN53" s="11"/>
      <c r="IO53" s="20"/>
      <c r="IP53" s="8"/>
      <c r="IQ53" s="11"/>
      <c r="IR53" s="20"/>
      <c r="IS53" s="8"/>
      <c r="IT53" s="11"/>
      <c r="IU53" s="20"/>
      <c r="IV53" s="8"/>
      <c r="IW53" s="11"/>
      <c r="IX53" s="20"/>
      <c r="IY53" s="8"/>
      <c r="IZ53" s="11"/>
      <c r="JA53" s="20"/>
      <c r="JB53" s="8"/>
      <c r="JC53" s="11"/>
      <c r="JD53" s="20"/>
      <c r="JE53" s="8"/>
      <c r="JF53" s="11"/>
      <c r="JG53" s="20"/>
      <c r="JH53" s="8"/>
      <c r="JI53" s="11"/>
      <c r="JJ53" s="20"/>
      <c r="JK53" s="8"/>
      <c r="JL53" s="11"/>
      <c r="JM53" s="20"/>
      <c r="JN53" s="8"/>
      <c r="JO53" s="11"/>
      <c r="JP53" s="20"/>
      <c r="JQ53" s="8"/>
      <c r="JR53" s="11"/>
      <c r="JS53" s="20"/>
      <c r="JT53" s="8"/>
      <c r="JU53" s="11"/>
      <c r="JV53" s="20"/>
      <c r="JW53" s="8"/>
      <c r="JX53" s="11"/>
      <c r="JY53" s="20"/>
      <c r="JZ53" s="8"/>
      <c r="KA53" s="11"/>
      <c r="KB53" s="20"/>
      <c r="KC53" s="8"/>
      <c r="KD53" s="11"/>
      <c r="KE53" s="20"/>
      <c r="KF53" s="8"/>
      <c r="KG53" s="11"/>
      <c r="KH53" s="20"/>
      <c r="KI53" s="8"/>
      <c r="KJ53" s="11"/>
      <c r="KK53" s="20"/>
      <c r="KL53" s="8"/>
      <c r="KM53" s="11"/>
      <c r="KN53" s="20"/>
      <c r="KO53" s="8"/>
      <c r="KP53" s="11"/>
      <c r="KQ53" s="20"/>
      <c r="KR53" s="8"/>
      <c r="KS53" s="11"/>
      <c r="KT53" s="20"/>
      <c r="KU53" s="8"/>
      <c r="KV53" s="11"/>
      <c r="KW53" s="20"/>
      <c r="KX53" s="8"/>
      <c r="KY53" s="11"/>
      <c r="KZ53" s="20"/>
      <c r="LA53" s="8"/>
      <c r="LB53" s="11"/>
      <c r="LC53" s="20"/>
      <c r="LD53" s="8"/>
      <c r="LE53" s="11"/>
      <c r="LF53" s="20"/>
      <c r="LG53" s="8"/>
      <c r="LH53" s="11"/>
      <c r="LI53" s="20"/>
      <c r="LJ53" s="8"/>
      <c r="LK53" s="11"/>
      <c r="LL53" s="20"/>
      <c r="LM53" s="8"/>
      <c r="LN53" s="11"/>
      <c r="LO53" s="20"/>
      <c r="LP53" s="8"/>
      <c r="LQ53" s="11"/>
      <c r="LR53" s="20"/>
      <c r="LS53" s="8"/>
      <c r="LT53" s="11"/>
      <c r="LU53" s="20"/>
      <c r="LV53" s="8"/>
      <c r="LW53" s="11"/>
      <c r="LX53" s="20"/>
      <c r="LY53" s="8"/>
      <c r="LZ53" s="11"/>
      <c r="MA53" s="20"/>
      <c r="MB53" s="8"/>
      <c r="MC53" s="11"/>
      <c r="MD53" s="20"/>
      <c r="ME53" s="8"/>
      <c r="MF53" s="11"/>
      <c r="MG53" s="20"/>
      <c r="MH53" s="8"/>
      <c r="MI53" s="11"/>
      <c r="MJ53" s="20"/>
      <c r="MK53" s="8"/>
      <c r="ML53" s="11"/>
      <c r="MM53" s="20"/>
      <c r="MN53" s="8"/>
      <c r="MO53" s="11"/>
      <c r="MP53" s="20"/>
      <c r="MQ53" s="8"/>
      <c r="MR53" s="11"/>
      <c r="MS53" s="20"/>
      <c r="MT53" s="8"/>
      <c r="MU53" s="11"/>
      <c r="MV53" s="20"/>
      <c r="MW53" s="8"/>
      <c r="MX53" s="11"/>
      <c r="MY53" s="20"/>
      <c r="MZ53" s="8"/>
      <c r="NA53" s="11"/>
      <c r="NB53" s="20"/>
      <c r="NC53" s="8"/>
      <c r="ND53" s="11"/>
      <c r="NE53" s="20"/>
      <c r="NF53" s="8"/>
      <c r="NG53" s="11"/>
      <c r="NH53" s="20"/>
      <c r="NI53" s="8"/>
      <c r="NJ53" s="11"/>
      <c r="NK53" s="20"/>
      <c r="NL53" s="8"/>
      <c r="NM53" s="11"/>
      <c r="NN53" s="20"/>
      <c r="NO53" s="8"/>
      <c r="NP53" s="11"/>
      <c r="NQ53" s="20"/>
      <c r="NR53" s="8"/>
      <c r="NS53" s="11"/>
      <c r="NT53" s="20"/>
      <c r="NU53" s="8"/>
      <c r="NV53" s="11"/>
      <c r="NW53" s="20"/>
      <c r="NX53" s="8"/>
      <c r="NY53" s="11"/>
      <c r="NZ53" s="20"/>
      <c r="OA53" s="8"/>
      <c r="OB53" s="11"/>
      <c r="OC53" s="20"/>
      <c r="OD53" s="8"/>
      <c r="OE53" s="11"/>
      <c r="OF53" s="20"/>
      <c r="OG53" s="8"/>
      <c r="OH53" s="11"/>
      <c r="OI53" s="20"/>
      <c r="OJ53" s="8"/>
      <c r="OK53" s="11"/>
      <c r="OL53" s="20"/>
      <c r="OM53" s="8"/>
      <c r="ON53" s="11"/>
      <c r="OO53" s="20"/>
      <c r="OP53" s="8"/>
      <c r="OQ53" s="11"/>
      <c r="OR53" s="20"/>
      <c r="OS53" s="8"/>
      <c r="OT53" s="11"/>
      <c r="OU53" s="20"/>
      <c r="OV53" s="8"/>
      <c r="OW53" s="11"/>
      <c r="OX53" s="20"/>
      <c r="OY53" s="8"/>
      <c r="OZ53" s="11"/>
      <c r="PA53" s="20"/>
      <c r="PB53" s="8"/>
      <c r="PC53" s="11"/>
      <c r="PD53" s="20"/>
      <c r="PE53" s="8"/>
      <c r="PF53" s="11"/>
      <c r="PG53" s="20"/>
      <c r="PH53" s="8"/>
      <c r="PI53" s="11"/>
      <c r="PJ53" s="20"/>
      <c r="PK53" s="8"/>
      <c r="PL53" s="11"/>
      <c r="PM53" s="20"/>
      <c r="PN53" s="8"/>
      <c r="PO53" s="11"/>
      <c r="PP53" s="20"/>
      <c r="PQ53" s="8"/>
      <c r="PR53" s="11"/>
      <c r="PS53" s="20"/>
      <c r="PT53" s="8"/>
      <c r="PU53" s="11"/>
      <c r="PV53" s="20"/>
      <c r="PW53" s="8"/>
      <c r="PX53" s="11"/>
      <c r="PY53" s="20"/>
      <c r="PZ53" s="8"/>
      <c r="QA53" s="11"/>
      <c r="QB53" s="20"/>
      <c r="QC53" s="8"/>
      <c r="QD53" s="11"/>
      <c r="QE53" s="20"/>
      <c r="QF53" s="8"/>
      <c r="QG53" s="11"/>
      <c r="QH53" s="20"/>
      <c r="QI53" s="8"/>
      <c r="QJ53" s="11"/>
      <c r="QK53" s="20"/>
      <c r="QL53" s="8"/>
      <c r="QM53" s="11"/>
      <c r="QN53" s="20"/>
      <c r="QO53" s="8"/>
      <c r="QP53" s="11"/>
      <c r="QQ53" s="20"/>
      <c r="QR53" s="8"/>
      <c r="QS53" s="11"/>
      <c r="QT53" s="20"/>
      <c r="QU53" s="8"/>
      <c r="QV53" s="11"/>
      <c r="QW53" s="20"/>
      <c r="QX53" s="8"/>
      <c r="QY53" s="11"/>
      <c r="QZ53" s="20"/>
      <c r="RA53" s="8"/>
      <c r="RB53" s="11"/>
      <c r="RC53" s="20"/>
      <c r="RD53" s="8"/>
      <c r="RE53" s="11"/>
      <c r="RF53" s="20"/>
      <c r="RG53" s="8"/>
      <c r="RH53" s="11"/>
      <c r="RI53" s="20"/>
      <c r="RJ53" s="8"/>
      <c r="RK53" s="11"/>
      <c r="RL53" s="20"/>
      <c r="RM53" s="8"/>
      <c r="RN53" s="11"/>
      <c r="RO53" s="20"/>
      <c r="RP53" s="8"/>
      <c r="RQ53" s="11"/>
      <c r="RR53" s="20"/>
      <c r="RS53" s="8"/>
      <c r="RT53" s="11"/>
      <c r="RU53" s="20"/>
      <c r="RV53" s="8"/>
      <c r="RW53" s="11"/>
      <c r="RX53" s="20"/>
      <c r="RY53" s="8"/>
      <c r="RZ53" s="11"/>
      <c r="SA53" s="20"/>
      <c r="SB53" s="8"/>
      <c r="SC53" s="11"/>
      <c r="SD53" s="20"/>
      <c r="SE53" s="8"/>
      <c r="SF53" s="11"/>
      <c r="SG53" s="20"/>
      <c r="SH53" s="8"/>
      <c r="SI53" s="11"/>
      <c r="SJ53" s="20"/>
      <c r="SK53" s="8"/>
      <c r="SL53" s="11"/>
      <c r="SM53" s="20"/>
      <c r="SN53" s="8"/>
      <c r="SO53" s="11"/>
      <c r="SP53" s="20"/>
      <c r="SQ53" s="8"/>
      <c r="SR53" s="11"/>
      <c r="SS53" s="20"/>
      <c r="ST53" s="8"/>
      <c r="SU53" s="11"/>
      <c r="SV53" s="20"/>
      <c r="SW53" s="8"/>
      <c r="SX53" s="11"/>
      <c r="SY53" s="20"/>
      <c r="SZ53" s="8"/>
      <c r="TA53" s="11"/>
      <c r="TB53" s="20"/>
      <c r="TC53" s="8"/>
      <c r="TD53" s="11"/>
      <c r="TE53" s="20"/>
      <c r="TF53" s="8"/>
      <c r="TG53" s="11"/>
      <c r="TH53" s="20"/>
      <c r="TI53" s="8"/>
      <c r="TJ53" s="11"/>
      <c r="TK53" s="20"/>
      <c r="TL53" s="8"/>
      <c r="TM53" s="11"/>
      <c r="TN53" s="20"/>
      <c r="TO53" s="8"/>
      <c r="TP53" s="11"/>
      <c r="TQ53" s="20"/>
      <c r="TR53" s="8"/>
      <c r="TS53" s="11"/>
      <c r="TT53" s="20"/>
      <c r="TU53" s="8"/>
      <c r="TV53" s="11"/>
      <c r="TW53" s="20"/>
      <c r="TX53" s="8"/>
      <c r="TY53" s="11"/>
      <c r="TZ53" s="20"/>
      <c r="UA53" s="8"/>
      <c r="UB53" s="11"/>
      <c r="UC53" s="20"/>
      <c r="UD53" s="8"/>
      <c r="UE53" s="11"/>
      <c r="UF53" s="20"/>
      <c r="UG53" s="8"/>
      <c r="UH53" s="11"/>
      <c r="UI53" s="20"/>
      <c r="UJ53" s="8"/>
      <c r="UK53" s="11"/>
      <c r="UL53" s="20"/>
      <c r="UM53" s="8"/>
      <c r="UN53" s="11"/>
      <c r="UO53" s="20"/>
      <c r="UP53" s="8"/>
      <c r="UQ53" s="11"/>
      <c r="UR53" s="20"/>
      <c r="US53" s="8"/>
      <c r="UT53" s="11"/>
      <c r="UU53" s="20"/>
      <c r="UV53" s="8"/>
      <c r="UW53" s="11"/>
      <c r="UX53" s="20"/>
      <c r="UY53" s="8"/>
      <c r="UZ53" s="11"/>
      <c r="VA53" s="20"/>
      <c r="VB53" s="8"/>
      <c r="VC53" s="11"/>
      <c r="VD53" s="20"/>
      <c r="VE53" s="8"/>
      <c r="VF53" s="11"/>
      <c r="VG53" s="20"/>
      <c r="VH53" s="8"/>
      <c r="VI53" s="11"/>
      <c r="VJ53" s="20"/>
      <c r="VK53" s="8"/>
      <c r="VL53" s="11"/>
      <c r="VM53" s="20"/>
      <c r="VN53" s="8"/>
      <c r="VO53" s="11"/>
      <c r="VP53" s="20"/>
      <c r="VQ53" s="8"/>
      <c r="VR53" s="11"/>
      <c r="VS53" s="20"/>
      <c r="VT53" s="8"/>
      <c r="VU53" s="11"/>
      <c r="VV53" s="20"/>
      <c r="VW53" s="8"/>
      <c r="VX53" s="11"/>
      <c r="VY53" s="20"/>
      <c r="VZ53" s="8"/>
      <c r="WA53" s="11"/>
      <c r="WB53" s="20"/>
      <c r="WC53" s="8"/>
      <c r="WD53" s="11"/>
      <c r="WE53" s="20"/>
      <c r="WF53" s="8"/>
      <c r="WG53" s="11"/>
      <c r="WH53" s="20"/>
      <c r="WI53" s="8"/>
      <c r="WJ53" s="11"/>
      <c r="WK53" s="20"/>
      <c r="WL53" s="8"/>
      <c r="WM53" s="11"/>
      <c r="WN53" s="20"/>
      <c r="WO53" s="8"/>
      <c r="WP53" s="11"/>
      <c r="WQ53" s="20"/>
      <c r="WR53" s="8"/>
      <c r="WS53" s="11"/>
      <c r="WT53" s="20"/>
      <c r="WU53" s="8"/>
      <c r="WV53" s="11"/>
      <c r="WW53" s="20"/>
      <c r="WX53" s="8"/>
      <c r="WY53" s="11"/>
      <c r="WZ53" s="20"/>
      <c r="XA53" s="8"/>
      <c r="XB53" s="11"/>
      <c r="XC53" s="20"/>
      <c r="XD53" s="8"/>
      <c r="XE53" s="11"/>
      <c r="XF53" s="20"/>
      <c r="XG53" s="8"/>
      <c r="XH53" s="11"/>
      <c r="XI53" s="20"/>
      <c r="XJ53" s="8"/>
      <c r="XK53" s="11"/>
      <c r="XL53" s="20"/>
      <c r="XM53" s="8"/>
      <c r="XN53" s="11"/>
      <c r="XO53" s="20"/>
      <c r="XP53" s="8"/>
      <c r="XQ53" s="11"/>
      <c r="XR53" s="20"/>
      <c r="XS53" s="8"/>
      <c r="XT53" s="11"/>
      <c r="XU53" s="20"/>
      <c r="XV53" s="8"/>
      <c r="XW53" s="11"/>
      <c r="XX53" s="20"/>
      <c r="XY53" s="8"/>
      <c r="XZ53" s="11"/>
      <c r="YA53" s="20"/>
      <c r="YB53" s="8"/>
      <c r="YC53" s="11"/>
      <c r="YD53" s="20"/>
      <c r="YE53" s="8"/>
      <c r="YF53" s="11"/>
      <c r="YG53" s="20"/>
      <c r="YH53" s="8"/>
      <c r="YI53" s="11"/>
      <c r="YJ53" s="20"/>
      <c r="YK53" s="8"/>
      <c r="YL53" s="11"/>
      <c r="YM53" s="20"/>
      <c r="YN53" s="8"/>
      <c r="YO53" s="11"/>
      <c r="YP53" s="20"/>
      <c r="YQ53" s="8"/>
      <c r="YR53" s="11"/>
      <c r="YS53" s="20"/>
      <c r="YT53" s="8"/>
      <c r="YU53" s="11"/>
      <c r="YV53" s="20"/>
      <c r="YW53" s="8"/>
      <c r="YX53" s="11"/>
      <c r="YY53" s="20"/>
      <c r="YZ53" s="8"/>
      <c r="ZA53" s="11"/>
      <c r="ZB53" s="20"/>
      <c r="ZC53" s="8"/>
      <c r="ZD53" s="11"/>
      <c r="ZE53" s="20"/>
      <c r="ZF53" s="8"/>
      <c r="ZG53" s="11"/>
      <c r="ZH53" s="20"/>
      <c r="ZI53" s="8"/>
      <c r="ZJ53" s="11"/>
      <c r="ZK53" s="20"/>
      <c r="ZL53" s="8"/>
      <c r="ZM53" s="11"/>
      <c r="ZN53" s="20"/>
      <c r="ZO53" s="8"/>
      <c r="ZP53" s="11"/>
      <c r="ZQ53" s="20"/>
      <c r="ZR53" s="8"/>
      <c r="ZS53" s="11"/>
      <c r="ZT53" s="20"/>
      <c r="ZU53" s="8"/>
      <c r="ZV53" s="11"/>
      <c r="ZW53" s="20"/>
      <c r="ZX53" s="8"/>
      <c r="ZY53" s="11"/>
      <c r="ZZ53" s="20"/>
      <c r="AAA53" s="8"/>
      <c r="AAB53" s="11"/>
      <c r="AAC53" s="20"/>
      <c r="AAD53" s="8"/>
      <c r="AAE53" s="11"/>
      <c r="AAF53" s="20"/>
      <c r="AAG53" s="8"/>
      <c r="AAH53" s="11"/>
      <c r="AAI53" s="20"/>
      <c r="AAJ53" s="8"/>
      <c r="AAK53" s="11"/>
      <c r="AAL53" s="20"/>
      <c r="AAM53" s="8"/>
      <c r="AAN53" s="11"/>
      <c r="AAO53" s="20"/>
      <c r="AAP53" s="8"/>
      <c r="AAQ53" s="11"/>
      <c r="AAR53" s="20"/>
      <c r="AAS53" s="8"/>
      <c r="AAT53" s="11"/>
      <c r="AAU53" s="20"/>
      <c r="AAV53" s="8"/>
      <c r="AAW53" s="11"/>
      <c r="AAX53" s="20"/>
      <c r="AAY53" s="8"/>
      <c r="AAZ53" s="11"/>
      <c r="ABA53" s="20"/>
      <c r="ABB53" s="8"/>
      <c r="ABC53" s="11"/>
      <c r="ABD53" s="20"/>
      <c r="ABE53" s="8"/>
      <c r="ABF53" s="11"/>
      <c r="ABG53" s="20"/>
      <c r="ABH53" s="8"/>
      <c r="ABI53" s="11"/>
      <c r="ABJ53" s="20"/>
      <c r="ABK53" s="8"/>
      <c r="ABL53" s="11"/>
      <c r="ABM53" s="20"/>
      <c r="ABN53" s="8"/>
      <c r="ABO53" s="11"/>
      <c r="ABP53" s="20"/>
      <c r="ABQ53" s="8"/>
      <c r="ABR53" s="11"/>
      <c r="ABS53" s="20"/>
      <c r="ABT53" s="8"/>
      <c r="ABU53" s="11"/>
      <c r="ABV53" s="20"/>
      <c r="ABW53" s="8"/>
      <c r="ABX53" s="11"/>
      <c r="ABY53" s="20"/>
      <c r="ABZ53" s="8"/>
      <c r="ACA53" s="11"/>
      <c r="ACB53" s="20"/>
      <c r="ACC53" s="8"/>
      <c r="ACD53" s="11"/>
      <c r="ACE53" s="20"/>
      <c r="ACF53" s="8"/>
      <c r="ACG53" s="11"/>
      <c r="ACH53" s="20"/>
      <c r="ACI53" s="8"/>
      <c r="ACJ53" s="11"/>
      <c r="ACK53" s="20"/>
      <c r="ACL53" s="8"/>
      <c r="ACM53" s="11"/>
      <c r="ACN53" s="20"/>
      <c r="ACO53" s="8"/>
      <c r="ACP53" s="11"/>
      <c r="ACQ53" s="20"/>
      <c r="ACR53" s="8"/>
      <c r="ACS53" s="11"/>
      <c r="ACT53" s="20"/>
      <c r="ACU53" s="8"/>
      <c r="ACV53" s="11"/>
      <c r="ACW53" s="20"/>
      <c r="ACX53" s="8"/>
      <c r="ACY53" s="11"/>
      <c r="ACZ53" s="20"/>
      <c r="ADA53" s="8"/>
      <c r="ADB53" s="11"/>
      <c r="ADC53" s="20"/>
      <c r="ADD53" s="8"/>
      <c r="ADE53" s="11"/>
      <c r="ADF53" s="20"/>
      <c r="ADG53" s="8"/>
      <c r="ADH53" s="11"/>
      <c r="ADI53" s="20"/>
      <c r="ADJ53" s="8"/>
      <c r="ADK53" s="11"/>
      <c r="ADL53" s="20"/>
      <c r="ADM53" s="8"/>
      <c r="ADN53" s="11"/>
      <c r="ADO53" s="20"/>
      <c r="ADP53" s="8"/>
      <c r="ADQ53" s="11"/>
      <c r="ADR53" s="20"/>
      <c r="ADS53" s="8"/>
      <c r="ADT53" s="11"/>
      <c r="ADU53" s="20"/>
      <c r="ADV53" s="8"/>
      <c r="ADW53" s="11"/>
      <c r="ADX53" s="20"/>
      <c r="ADY53" s="8"/>
      <c r="ADZ53" s="11"/>
      <c r="AEA53" s="20"/>
      <c r="AEB53" s="8"/>
      <c r="AEC53" s="11"/>
      <c r="AED53" s="20"/>
      <c r="AEE53" s="8"/>
      <c r="AEF53" s="11"/>
      <c r="AEG53" s="20"/>
      <c r="AEH53" s="8"/>
      <c r="AEI53" s="11"/>
      <c r="AEJ53" s="20"/>
      <c r="AEK53" s="8"/>
      <c r="AEL53" s="11"/>
      <c r="AEM53" s="20"/>
      <c r="AEN53" s="8"/>
      <c r="AEO53" s="11"/>
      <c r="AEP53" s="20"/>
      <c r="AEQ53" s="8"/>
      <c r="AER53" s="11"/>
      <c r="AES53" s="20"/>
      <c r="AET53" s="8"/>
      <c r="AEU53" s="11"/>
      <c r="AEV53" s="20"/>
      <c r="AEW53" s="8"/>
      <c r="AEX53" s="11"/>
      <c r="AEY53" s="20"/>
      <c r="AEZ53" s="8"/>
      <c r="AFA53" s="11"/>
      <c r="AFB53" s="20"/>
      <c r="AFC53" s="8"/>
      <c r="AFD53" s="11"/>
      <c r="AFE53" s="20"/>
      <c r="AFF53" s="8"/>
      <c r="AFG53" s="11"/>
      <c r="AFH53" s="20"/>
      <c r="AFI53" s="8"/>
      <c r="AFJ53" s="11"/>
      <c r="AFK53" s="20"/>
      <c r="AFL53" s="8"/>
      <c r="AFM53" s="11"/>
      <c r="AFN53" s="20"/>
      <c r="AFO53" s="8"/>
      <c r="AFP53" s="11"/>
      <c r="AFQ53" s="20"/>
      <c r="AFR53" s="8"/>
      <c r="AFS53" s="11"/>
      <c r="AFT53" s="20"/>
      <c r="AFU53" s="8"/>
      <c r="AFV53" s="11"/>
      <c r="AFW53" s="20"/>
      <c r="AFX53" s="8"/>
      <c r="AFY53" s="11"/>
      <c r="AFZ53" s="20"/>
      <c r="AGA53" s="8"/>
      <c r="AGB53" s="11"/>
      <c r="AGC53" s="20"/>
      <c r="AGD53" s="8"/>
      <c r="AGE53" s="11"/>
      <c r="AGF53" s="20"/>
      <c r="AGG53" s="8"/>
      <c r="AGH53" s="11"/>
      <c r="AGI53" s="20"/>
      <c r="AGJ53" s="8"/>
      <c r="AGK53" s="11"/>
      <c r="AGL53" s="20"/>
      <c r="AGM53" s="8"/>
      <c r="AGN53" s="11"/>
      <c r="AGO53" s="20"/>
      <c r="AGP53" s="8"/>
      <c r="AGQ53" s="11"/>
      <c r="AGR53" s="20"/>
      <c r="AGS53" s="8"/>
      <c r="AGT53" s="11"/>
      <c r="AGU53" s="20"/>
      <c r="AGV53" s="8"/>
      <c r="AGW53" s="11"/>
      <c r="AGX53" s="20"/>
      <c r="AGY53" s="8"/>
      <c r="AGZ53" s="11"/>
      <c r="AHA53" s="20"/>
      <c r="AHB53" s="8"/>
      <c r="AHC53" s="11"/>
      <c r="AHD53" s="20"/>
      <c r="AHE53" s="8"/>
      <c r="AHF53" s="11"/>
      <c r="AHG53" s="20"/>
      <c r="AHH53" s="8"/>
      <c r="AHI53" s="11"/>
      <c r="AHJ53" s="20"/>
      <c r="AHK53" s="8"/>
      <c r="AHL53" s="11"/>
      <c r="AHM53" s="20"/>
      <c r="AHN53" s="8"/>
      <c r="AHO53" s="11"/>
      <c r="AHP53" s="20"/>
      <c r="AHQ53" s="8"/>
      <c r="AHR53" s="11"/>
      <c r="AHS53" s="20"/>
      <c r="AHT53" s="8"/>
      <c r="AHU53" s="11"/>
      <c r="AHV53" s="20"/>
      <c r="AHW53" s="8"/>
      <c r="AHX53" s="11"/>
      <c r="AHY53" s="20"/>
      <c r="AHZ53" s="8"/>
      <c r="AIA53" s="11"/>
      <c r="AIB53" s="20"/>
      <c r="AIC53" s="8"/>
      <c r="AID53" s="8"/>
      <c r="AIE53" s="20"/>
      <c r="AIF53" s="8"/>
      <c r="AIG53" s="11"/>
      <c r="AIH53" s="20"/>
      <c r="AII53" s="8"/>
      <c r="AIJ53" s="11"/>
      <c r="AIK53" s="20"/>
      <c r="AIL53" s="8"/>
      <c r="AIM53" s="11"/>
      <c r="AIN53" s="20"/>
      <c r="AIO53" s="8"/>
      <c r="AIP53" s="11"/>
      <c r="AIQ53" s="20"/>
      <c r="AIR53" s="8"/>
      <c r="AIS53" s="8"/>
      <c r="AIT53" s="20"/>
      <c r="AIU53" s="8"/>
      <c r="AIV53" s="11"/>
      <c r="AIW53" s="20"/>
      <c r="AIX53" s="8"/>
      <c r="AIY53" s="8"/>
      <c r="AIZ53" s="20"/>
      <c r="AJA53" s="8"/>
      <c r="AJB53" s="11"/>
      <c r="AJC53" s="20"/>
      <c r="AJD53" s="8"/>
      <c r="AJE53" s="11"/>
      <c r="AJF53" s="20"/>
      <c r="AJG53" s="8"/>
      <c r="AJH53" s="11"/>
      <c r="AJI53" s="20"/>
      <c r="AJJ53" s="8"/>
      <c r="AJK53" s="11"/>
      <c r="AJL53" s="20"/>
      <c r="AJM53" s="8"/>
      <c r="AJN53" s="8"/>
      <c r="AJO53" s="20"/>
      <c r="AJP53" s="8"/>
      <c r="AJQ53" s="11"/>
      <c r="AJR53" s="20"/>
      <c r="AJS53" s="8"/>
      <c r="AJT53" s="8"/>
      <c r="AJU53" s="20"/>
      <c r="AJV53" s="8"/>
      <c r="AJW53" s="11"/>
      <c r="AJX53" s="20"/>
      <c r="AJY53" s="8"/>
      <c r="AJZ53" s="11"/>
      <c r="AKA53" s="20"/>
      <c r="AKB53" s="8"/>
      <c r="AKC53" s="11"/>
      <c r="AKD53" s="20"/>
      <c r="AKE53" s="8"/>
      <c r="AKF53" s="11"/>
      <c r="AKG53" s="20"/>
      <c r="AKH53" s="8"/>
      <c r="AKI53" s="8"/>
      <c r="AKJ53" s="20"/>
      <c r="AKK53" s="8"/>
      <c r="AKL53" s="11"/>
      <c r="AKM53" s="20"/>
      <c r="AKN53" s="8"/>
      <c r="AKO53" s="8"/>
      <c r="AKP53" s="20"/>
      <c r="AKQ53" s="8"/>
      <c r="AKR53" s="11"/>
      <c r="AKS53" s="20"/>
      <c r="AKT53" s="8"/>
      <c r="AKU53" s="11"/>
      <c r="AKV53" s="20"/>
      <c r="AKW53" s="8"/>
      <c r="AKX53" s="11"/>
      <c r="AKY53" s="20"/>
      <c r="AKZ53" s="8"/>
      <c r="ALA53" s="11"/>
      <c r="ALB53" s="20"/>
      <c r="ALC53" s="8"/>
      <c r="ALD53" s="8"/>
      <c r="ALE53" s="20"/>
      <c r="ALF53" s="8"/>
      <c r="ALG53" s="11"/>
      <c r="ALH53" s="20"/>
      <c r="ALI53" s="8"/>
      <c r="ALJ53" s="8"/>
      <c r="ALK53" s="20"/>
      <c r="ALL53" s="8"/>
      <c r="ALM53" s="11"/>
      <c r="ALN53" s="20"/>
      <c r="ALO53" s="8"/>
      <c r="ALP53" s="11"/>
      <c r="ALQ53" s="20"/>
      <c r="ALR53" s="8"/>
      <c r="ALS53" s="11"/>
      <c r="ALT53" s="20"/>
      <c r="ALU53" s="8"/>
      <c r="ALV53" s="11"/>
      <c r="ALW53" s="20"/>
      <c r="ALX53" s="8"/>
      <c r="ALY53" s="8"/>
      <c r="ALZ53" s="20"/>
      <c r="AMA53" s="8"/>
      <c r="AMB53" s="11"/>
      <c r="AMC53" s="20"/>
      <c r="AMD53" s="8"/>
      <c r="AME53" s="8"/>
      <c r="AMF53" s="20"/>
      <c r="AMG53" s="8"/>
      <c r="AMH53" s="11"/>
      <c r="AMI53" s="20"/>
      <c r="AMJ53" s="8"/>
      <c r="AMK53" s="11"/>
      <c r="AML53" s="20"/>
      <c r="AMM53" s="8"/>
      <c r="AMN53" s="11"/>
      <c r="AMO53" s="20"/>
      <c r="AMP53" s="8"/>
      <c r="AMQ53" s="11"/>
      <c r="AMR53" s="20"/>
      <c r="AMS53" s="8"/>
      <c r="AMT53" s="8"/>
      <c r="AMU53" s="20"/>
      <c r="AMV53" s="8"/>
      <c r="AMW53" s="11"/>
      <c r="AMX53" s="20"/>
      <c r="AMY53" s="8"/>
      <c r="AMZ53" s="8"/>
      <c r="ANA53" s="20"/>
      <c r="ANB53" s="8"/>
      <c r="ANC53" s="11"/>
      <c r="AND53" s="20"/>
      <c r="ANE53" s="8"/>
      <c r="ANF53" s="11"/>
      <c r="ANG53" s="20"/>
      <c r="ANH53" s="8"/>
      <c r="ANI53" s="11"/>
      <c r="ANJ53" s="20"/>
      <c r="ANK53" s="8"/>
      <c r="ANL53" s="11"/>
      <c r="ANM53" s="20"/>
      <c r="ANN53" s="8"/>
      <c r="ANO53" s="8"/>
      <c r="ANP53" s="20"/>
      <c r="ANQ53" s="8"/>
      <c r="ANR53" s="11"/>
      <c r="ANS53" s="20"/>
      <c r="ANT53" s="8"/>
      <c r="ANU53" s="8"/>
      <c r="ANV53" s="20"/>
      <c r="ANW53" s="8"/>
      <c r="ANX53" s="11"/>
      <c r="ANY53" s="20"/>
      <c r="ANZ53" s="8"/>
      <c r="AOA53" s="11"/>
      <c r="AOB53" s="20"/>
      <c r="AOC53" s="8"/>
      <c r="AOD53" s="11"/>
      <c r="AOE53" s="20"/>
      <c r="AOF53" s="8"/>
      <c r="AOG53" s="11"/>
      <c r="AOH53" s="20"/>
      <c r="AOI53" s="8"/>
      <c r="AOJ53" s="8"/>
      <c r="AOK53" s="20"/>
      <c r="AOL53" s="8"/>
      <c r="AOM53" s="11"/>
      <c r="AON53" s="20"/>
      <c r="AOO53" s="8"/>
      <c r="AOP53" s="8"/>
      <c r="AOQ53" s="20"/>
      <c r="AOR53" s="8"/>
      <c r="AOS53" s="11"/>
      <c r="AOT53" s="20"/>
      <c r="AOU53" s="8"/>
      <c r="AOV53" s="11"/>
      <c r="AOW53" s="20"/>
      <c r="AOX53" s="8"/>
      <c r="AOY53" s="11"/>
      <c r="AOZ53" s="20"/>
      <c r="APA53" s="8"/>
      <c r="APB53" s="11"/>
      <c r="APC53" s="20"/>
      <c r="APD53" s="8"/>
      <c r="APE53" s="8"/>
      <c r="APF53" s="20"/>
      <c r="APG53" s="8"/>
      <c r="APH53" s="11"/>
      <c r="API53" s="20"/>
      <c r="APJ53" s="8"/>
      <c r="APK53" s="8"/>
      <c r="APL53" s="20"/>
      <c r="APM53" s="8"/>
      <c r="APN53" s="11"/>
      <c r="APO53" s="20"/>
      <c r="APP53" s="8"/>
      <c r="APQ53" s="11"/>
      <c r="APR53" s="20"/>
      <c r="APS53" s="8"/>
      <c r="APT53" s="11"/>
      <c r="APU53" s="20"/>
      <c r="APV53" s="8"/>
      <c r="APW53" s="11"/>
      <c r="APX53" s="20"/>
      <c r="APY53" s="8"/>
      <c r="APZ53" s="8"/>
      <c r="AQA53" s="20"/>
      <c r="AQB53" s="8"/>
      <c r="AQC53" s="11"/>
      <c r="AQD53" s="20"/>
      <c r="AQE53" s="8"/>
      <c r="AQF53" s="11"/>
      <c r="AQG53" s="20"/>
      <c r="AQH53" s="8"/>
      <c r="AQI53" s="11"/>
      <c r="AQJ53" s="20"/>
      <c r="AQK53" s="8"/>
      <c r="AQL53" s="11"/>
      <c r="AQM53" s="20"/>
      <c r="AQN53" s="8"/>
      <c r="AQO53" s="8"/>
      <c r="AQP53" s="20"/>
      <c r="AQQ53" s="8"/>
      <c r="AQR53" s="8"/>
      <c r="AQS53" s="20"/>
      <c r="AQT53" s="8"/>
      <c r="AQU53" s="11"/>
      <c r="AQV53" s="8"/>
      <c r="AQW53" s="8"/>
      <c r="AQX53" s="11"/>
      <c r="AQY53" s="20"/>
      <c r="AQZ53" s="8"/>
      <c r="ARA53" s="11"/>
      <c r="ARB53" s="20"/>
      <c r="ARC53" s="8"/>
      <c r="ARD53" s="11"/>
      <c r="ARE53" s="20"/>
      <c r="ARF53" s="8"/>
      <c r="ARG53" s="11"/>
      <c r="ARH53" s="20"/>
      <c r="ARI53" s="8"/>
      <c r="ARJ53" s="8"/>
      <c r="ARK53" s="20"/>
      <c r="ARL53" s="8"/>
      <c r="ARM53" s="11"/>
      <c r="ARN53" s="20"/>
      <c r="ARO53" s="8"/>
      <c r="ARP53" s="8"/>
      <c r="ARQ53" s="20"/>
      <c r="ARR53" s="8"/>
      <c r="ARS53" s="11"/>
      <c r="ART53" s="20"/>
      <c r="ARU53" s="8"/>
      <c r="ARV53" s="11"/>
      <c r="ARW53" s="20"/>
      <c r="ARX53" s="8"/>
      <c r="ARY53" s="11"/>
      <c r="ARZ53" s="20"/>
      <c r="ASA53" s="8"/>
      <c r="ASB53" s="11"/>
      <c r="ASC53" s="20"/>
      <c r="ASD53" s="8"/>
      <c r="ASE53" s="8"/>
      <c r="ASF53" s="20"/>
      <c r="ASG53" s="8"/>
      <c r="ASH53" s="11"/>
      <c r="ASI53" s="20"/>
      <c r="ASJ53" s="8"/>
      <c r="ASK53" s="8"/>
      <c r="ASL53" s="20"/>
      <c r="ASM53" s="8"/>
      <c r="ASN53" s="11"/>
      <c r="ASO53" s="20"/>
      <c r="ASP53" s="8"/>
      <c r="ASQ53" s="8"/>
      <c r="ASR53" s="20"/>
      <c r="ASS53" s="8"/>
      <c r="AST53" s="11"/>
      <c r="ASU53" s="20"/>
      <c r="ASV53" s="8"/>
      <c r="ASW53" s="11"/>
      <c r="ASX53" s="20"/>
      <c r="ASY53" s="8"/>
      <c r="ASZ53" s="8"/>
      <c r="ATA53" s="20"/>
      <c r="ATB53" s="8"/>
      <c r="ATC53" s="11"/>
      <c r="ATD53" s="20"/>
      <c r="ATE53" s="8"/>
      <c r="ATF53" s="8"/>
      <c r="ATG53" s="20"/>
      <c r="ATH53" s="8"/>
      <c r="ATI53" s="11"/>
      <c r="ATJ53" s="20"/>
      <c r="ATK53" s="8"/>
      <c r="ATL53" s="11"/>
      <c r="ATM53" s="20"/>
      <c r="ATN53" s="8"/>
      <c r="ATO53" s="11"/>
      <c r="ATP53" s="20"/>
      <c r="ATQ53" s="8"/>
      <c r="ATR53" s="11"/>
      <c r="ATS53" s="20"/>
      <c r="ATT53" s="8"/>
      <c r="ATU53" s="11"/>
      <c r="ATV53" s="8"/>
      <c r="ATW53" s="8"/>
      <c r="ATX53" s="11"/>
      <c r="ATY53" s="20"/>
      <c r="ATZ53" s="8"/>
      <c r="AUA53" s="8"/>
      <c r="AUB53" s="20"/>
      <c r="AUC53" s="8"/>
      <c r="AUD53" s="11"/>
      <c r="AUE53" s="20"/>
      <c r="AUF53" s="8"/>
      <c r="AUG53" s="11"/>
      <c r="AUH53" s="20"/>
      <c r="AUI53" s="8"/>
      <c r="AUJ53" s="11"/>
      <c r="AUK53" s="20"/>
      <c r="AUL53" s="8"/>
      <c r="AUM53" s="8"/>
      <c r="AUN53" s="20"/>
      <c r="AUO53" s="8"/>
      <c r="AUP53" s="8"/>
      <c r="AUQ53" s="20"/>
      <c r="AUR53" s="8"/>
      <c r="AUS53" s="8"/>
      <c r="AUT53" s="20"/>
      <c r="AUU53" s="8"/>
      <c r="AUV53" s="8"/>
      <c r="AUW53" s="20"/>
      <c r="AUX53" s="8"/>
      <c r="AUY53" s="8"/>
      <c r="AUZ53" s="20"/>
      <c r="AVA53" s="8"/>
      <c r="AVB53" s="8"/>
      <c r="AVC53" s="20"/>
      <c r="AVD53" s="8"/>
      <c r="AVE53" s="8"/>
      <c r="AVF53" s="20"/>
      <c r="AVG53" s="8"/>
      <c r="AVH53" s="8"/>
      <c r="AVI53" s="20"/>
      <c r="AVJ53" s="8"/>
      <c r="AVK53" s="8"/>
      <c r="AVL53" s="20"/>
      <c r="AVM53" s="8"/>
      <c r="AVN53" s="8"/>
      <c r="AVO53" s="20"/>
      <c r="AVP53" s="8"/>
      <c r="AVQ53" s="8"/>
      <c r="AVR53" s="20"/>
      <c r="AVS53" s="8"/>
      <c r="AVT53" s="8"/>
      <c r="AVU53" s="20"/>
      <c r="AVV53" s="8"/>
      <c r="AVW53" s="8"/>
      <c r="AVX53" s="20"/>
      <c r="AVY53" s="8"/>
      <c r="AVZ53" s="8"/>
      <c r="AWA53" s="20"/>
      <c r="AWB53" s="8"/>
      <c r="AWC53" s="8"/>
      <c r="AWD53" s="20"/>
      <c r="AWE53" s="8"/>
      <c r="AWF53" s="8"/>
      <c r="AWG53" s="20"/>
      <c r="AWH53" s="8"/>
      <c r="AWI53" s="8"/>
      <c r="AWJ53" s="20"/>
      <c r="AWK53" s="8"/>
      <c r="AWL53" s="8"/>
      <c r="AWM53" s="20"/>
      <c r="AWN53" s="8"/>
      <c r="AWO53" s="11"/>
      <c r="AWP53" s="8"/>
      <c r="AWQ53" s="8"/>
      <c r="AWR53" s="11"/>
      <c r="AWS53" s="20"/>
      <c r="AWT53" s="8"/>
      <c r="AWU53" s="11"/>
      <c r="AWV53" s="20"/>
      <c r="AWW53" s="8"/>
      <c r="AWX53" s="11"/>
      <c r="AWY53" s="20"/>
      <c r="AWZ53" s="8"/>
      <c r="AXA53" s="8"/>
      <c r="AXB53" s="20"/>
      <c r="AXC53" s="8"/>
      <c r="AXD53" s="11"/>
      <c r="AXE53" s="20"/>
      <c r="AXF53" s="8"/>
      <c r="AXG53" s="8"/>
      <c r="AXH53" s="20"/>
      <c r="AXI53" s="8"/>
      <c r="AXJ53" s="11"/>
      <c r="AXK53" s="20"/>
      <c r="AXL53" s="8"/>
      <c r="AXM53" s="11"/>
      <c r="AXN53" s="20"/>
      <c r="AXO53" s="8"/>
      <c r="AXP53" s="11"/>
      <c r="AXQ53" s="20"/>
      <c r="AXR53" s="8"/>
      <c r="AXS53" s="11"/>
      <c r="AXT53" s="20"/>
      <c r="AXU53" s="8"/>
      <c r="AXV53" s="8"/>
      <c r="AXW53" s="20"/>
      <c r="AXX53" s="8"/>
      <c r="AXY53" s="11"/>
      <c r="AXZ53" s="20"/>
      <c r="AYA53" s="8"/>
      <c r="AYB53" s="8"/>
      <c r="AYC53" s="20"/>
      <c r="AYD53" s="8"/>
      <c r="AYE53" s="11"/>
      <c r="AYF53" s="20"/>
      <c r="AYG53" s="8"/>
      <c r="AYH53" s="11"/>
      <c r="AYI53" s="20"/>
      <c r="AYJ53" s="8"/>
      <c r="AYK53" s="11"/>
      <c r="AYL53" s="20"/>
      <c r="AYM53" s="8"/>
      <c r="AYN53" s="11"/>
      <c r="AYO53" s="20"/>
      <c r="AYP53" s="8"/>
      <c r="AYQ53" s="8"/>
      <c r="AYR53" s="20"/>
      <c r="AYS53" s="8"/>
      <c r="AYT53" s="11"/>
      <c r="AYU53" s="20"/>
      <c r="AYV53" s="8"/>
      <c r="AYW53" s="8"/>
      <c r="AYX53" s="20"/>
      <c r="AYY53" s="8"/>
      <c r="AYZ53" s="11"/>
      <c r="AZA53" s="20"/>
      <c r="AZB53" s="8"/>
      <c r="AZC53" s="11"/>
      <c r="AZD53" s="20"/>
      <c r="AZE53" s="8"/>
      <c r="AZF53" s="11"/>
      <c r="AZG53" s="20"/>
      <c r="AZH53" s="8"/>
      <c r="AZI53" s="11"/>
      <c r="AZJ53" s="20"/>
      <c r="AZK53" s="8"/>
      <c r="AZL53" s="8"/>
      <c r="AZM53" s="20"/>
      <c r="AZN53" s="8"/>
      <c r="AZO53" s="11"/>
      <c r="AZP53" s="20"/>
      <c r="AZQ53" s="8"/>
      <c r="AZR53" s="8"/>
      <c r="AZS53" s="20"/>
      <c r="AZT53" s="8"/>
      <c r="AZU53" s="11"/>
      <c r="AZV53" s="20"/>
      <c r="AZW53" s="8"/>
      <c r="AZX53" s="11"/>
      <c r="AZY53" s="20"/>
      <c r="AZZ53" s="8"/>
      <c r="BAA53" s="11"/>
      <c r="BAB53" s="20"/>
      <c r="BAC53" s="8"/>
      <c r="BAD53" s="11"/>
      <c r="BAE53" s="20"/>
      <c r="BAF53" s="8"/>
      <c r="BAG53" s="8"/>
      <c r="BAH53" s="20"/>
      <c r="BAI53" s="8"/>
      <c r="BAJ53" s="11"/>
    </row>
    <row r="54" spans="1:1388" s="7" customFormat="1" ht="13.5" customHeight="1">
      <c r="A54" s="16"/>
      <c r="B54" s="26" t="s">
        <v>377</v>
      </c>
      <c r="C54" s="1198"/>
      <c r="D54" s="1186" t="s">
        <v>339</v>
      </c>
      <c r="E54" s="13" t="s">
        <v>336</v>
      </c>
      <c r="F54" s="1285"/>
      <c r="G54" s="1285"/>
      <c r="H54" s="1287"/>
      <c r="I54" s="1286"/>
      <c r="J54" s="1285"/>
      <c r="K54" s="1287"/>
      <c r="L54" s="1286"/>
      <c r="M54" s="1285"/>
      <c r="N54" s="1287"/>
      <c r="O54" s="1286"/>
      <c r="P54" s="1285"/>
      <c r="Q54" s="1287"/>
      <c r="R54" s="1286"/>
      <c r="S54" s="1285"/>
      <c r="T54" s="1287"/>
      <c r="U54" s="1286"/>
      <c r="V54" s="1285"/>
      <c r="W54" s="1287"/>
      <c r="X54" s="1286"/>
      <c r="Y54" s="1285"/>
      <c r="Z54" s="1287"/>
      <c r="AA54" s="1286"/>
      <c r="AB54" s="1285"/>
      <c r="AC54" s="1287"/>
      <c r="AD54" s="1286"/>
      <c r="AE54" s="1285"/>
      <c r="AF54" s="1287"/>
      <c r="AG54" s="1286"/>
      <c r="AH54" s="1285"/>
      <c r="AI54" s="1287"/>
      <c r="AJ54" s="1286"/>
      <c r="AK54" s="1285"/>
      <c r="AL54" s="1287"/>
      <c r="AM54" s="1286"/>
      <c r="AN54" s="1285"/>
      <c r="AO54" s="1287"/>
      <c r="AP54" s="1286"/>
      <c r="AQ54" s="1285"/>
      <c r="AR54" s="1287"/>
      <c r="AS54" s="1286"/>
      <c r="AT54" s="1285"/>
      <c r="AU54" s="1287"/>
      <c r="AV54" s="1286"/>
      <c r="AW54" s="1285"/>
      <c r="AX54" s="1287"/>
      <c r="AY54" s="1286"/>
      <c r="AZ54" s="1285"/>
      <c r="BA54" s="1287"/>
      <c r="BB54" s="1286"/>
      <c r="BC54" s="1285"/>
      <c r="BD54" s="1287"/>
      <c r="BE54" s="1286"/>
      <c r="BF54" s="1285"/>
      <c r="BG54" s="1287"/>
      <c r="BH54" s="16"/>
      <c r="BI54" s="16"/>
      <c r="BJ54" s="40"/>
      <c r="BK54" s="1286"/>
      <c r="BL54" s="1285"/>
      <c r="BM54" s="1287"/>
      <c r="BN54" s="1286"/>
      <c r="BO54" s="1285"/>
      <c r="BP54" s="1287"/>
      <c r="BQ54" s="1286"/>
      <c r="BR54" s="1285"/>
      <c r="BS54" s="1287"/>
      <c r="BT54" s="1286"/>
      <c r="BU54" s="1285"/>
      <c r="BV54" s="1287"/>
      <c r="BW54" s="1286"/>
      <c r="BX54" s="1285"/>
      <c r="BY54" s="1287"/>
      <c r="BZ54" s="1286">
        <v>36</v>
      </c>
      <c r="CA54" s="1285"/>
      <c r="CB54" s="1287"/>
      <c r="CC54" s="1286">
        <v>35</v>
      </c>
      <c r="CD54" s="1285"/>
      <c r="CE54" s="1287"/>
      <c r="CF54" s="1286">
        <v>35</v>
      </c>
      <c r="CG54" s="1285"/>
      <c r="CH54" s="1287"/>
      <c r="CI54" s="1286">
        <v>37</v>
      </c>
      <c r="CJ54" s="1285"/>
      <c r="CK54" s="1287"/>
      <c r="CL54" s="1286">
        <v>37</v>
      </c>
      <c r="CM54" s="1285"/>
      <c r="CN54" s="1287"/>
      <c r="CO54" s="1286">
        <v>25</v>
      </c>
      <c r="CP54" s="1285"/>
      <c r="CQ54" s="1287"/>
      <c r="CR54" s="1286">
        <v>7</v>
      </c>
      <c r="CS54" s="1285"/>
      <c r="CT54" s="1287"/>
      <c r="CU54" s="1286">
        <v>29</v>
      </c>
      <c r="CV54" s="1285"/>
      <c r="CW54" s="1287"/>
      <c r="CX54" s="1286">
        <v>29</v>
      </c>
      <c r="CY54" s="1285"/>
      <c r="CZ54" s="1287"/>
      <c r="DA54" s="1286">
        <v>35</v>
      </c>
      <c r="DB54" s="1285"/>
      <c r="DC54" s="1287"/>
      <c r="DD54" s="1286">
        <v>37</v>
      </c>
      <c r="DE54" s="1285"/>
      <c r="DF54" s="1287"/>
      <c r="DG54" s="1286">
        <v>36</v>
      </c>
      <c r="DH54" s="1285"/>
      <c r="DI54" s="1287"/>
      <c r="DJ54" s="1286">
        <v>28</v>
      </c>
      <c r="DK54" s="1285"/>
      <c r="DL54" s="1287"/>
      <c r="DM54" s="1286" t="s">
        <v>20</v>
      </c>
      <c r="DN54" s="1285"/>
      <c r="DO54" s="1287"/>
      <c r="DP54" s="1286">
        <v>31</v>
      </c>
      <c r="DQ54" s="1285"/>
      <c r="DR54" s="1287"/>
      <c r="DS54" s="1286">
        <v>35</v>
      </c>
      <c r="DT54" s="1285"/>
      <c r="DU54" s="1287"/>
      <c r="DV54" s="1286">
        <v>35</v>
      </c>
      <c r="DW54" s="1285"/>
      <c r="DX54" s="1287"/>
      <c r="DY54" s="1286">
        <v>36</v>
      </c>
      <c r="DZ54" s="1285"/>
      <c r="EA54" s="1287"/>
      <c r="EB54" s="1286">
        <v>36</v>
      </c>
      <c r="EC54" s="1285"/>
      <c r="ED54" s="1287"/>
      <c r="EE54" s="1286">
        <v>26</v>
      </c>
      <c r="EF54" s="1285"/>
      <c r="EG54" s="1287"/>
      <c r="EH54" s="1286">
        <v>0</v>
      </c>
      <c r="EI54" s="1285"/>
      <c r="EJ54" s="1287"/>
      <c r="EK54" s="1286">
        <v>36</v>
      </c>
      <c r="EL54" s="1285"/>
      <c r="EM54" s="1287"/>
      <c r="EN54" s="1286">
        <v>36</v>
      </c>
      <c r="EO54" s="1285"/>
      <c r="EP54" s="1287"/>
      <c r="EQ54" s="1286">
        <v>37</v>
      </c>
      <c r="ER54" s="1285"/>
      <c r="ES54" s="1287"/>
      <c r="ET54" s="1286">
        <v>38</v>
      </c>
      <c r="EU54" s="1285"/>
      <c r="EV54" s="1287"/>
      <c r="EW54" s="1286">
        <v>37</v>
      </c>
      <c r="EX54" s="1285"/>
      <c r="EY54" s="1287"/>
      <c r="EZ54" s="1286">
        <v>31</v>
      </c>
      <c r="FA54" s="1285"/>
      <c r="FB54" s="1287"/>
      <c r="FC54" s="1286">
        <v>33</v>
      </c>
      <c r="FD54" s="1285"/>
      <c r="FE54" s="1287"/>
      <c r="FF54" s="1286">
        <v>35</v>
      </c>
      <c r="FG54" s="1285"/>
      <c r="FH54" s="1287"/>
      <c r="FI54" s="1286">
        <v>36</v>
      </c>
      <c r="FJ54" s="1285"/>
      <c r="FK54" s="1287"/>
      <c r="FL54" s="1286">
        <v>37</v>
      </c>
      <c r="FM54" s="1285"/>
      <c r="FN54" s="1287"/>
      <c r="FO54" s="1286">
        <v>38</v>
      </c>
      <c r="FP54" s="1285"/>
      <c r="FQ54" s="1287"/>
      <c r="FR54" s="1286">
        <v>37</v>
      </c>
      <c r="FS54" s="1285"/>
      <c r="FT54" s="1287"/>
      <c r="FU54" s="1286">
        <v>24</v>
      </c>
      <c r="FV54" s="1285"/>
      <c r="FW54" s="1287"/>
      <c r="FX54" s="1286">
        <v>32</v>
      </c>
      <c r="FY54" s="1285"/>
      <c r="FZ54" s="1287"/>
      <c r="GA54" s="1286">
        <v>0</v>
      </c>
      <c r="GB54" s="1285"/>
      <c r="GC54" s="1287"/>
      <c r="GD54" s="1286">
        <v>38</v>
      </c>
      <c r="GE54" s="1285"/>
      <c r="GF54" s="1287"/>
      <c r="GG54" s="1286">
        <v>36</v>
      </c>
      <c r="GH54" s="1285"/>
      <c r="GI54" s="1287"/>
      <c r="GJ54" s="1286">
        <v>42</v>
      </c>
      <c r="GK54" s="1285"/>
      <c r="GL54" s="1287"/>
      <c r="GM54" s="1286">
        <v>42</v>
      </c>
      <c r="GN54" s="1285"/>
      <c r="GO54" s="1287"/>
      <c r="GP54" s="1286" t="s">
        <v>20</v>
      </c>
      <c r="GQ54" s="1285"/>
      <c r="GR54" s="1287"/>
      <c r="GS54" s="1286">
        <v>0</v>
      </c>
      <c r="GT54" s="1285"/>
      <c r="GU54" s="1287"/>
      <c r="GV54" s="1286">
        <v>43</v>
      </c>
      <c r="GW54" s="1285"/>
      <c r="GX54" s="1287"/>
      <c r="GY54" s="1286">
        <v>43</v>
      </c>
      <c r="GZ54" s="1285"/>
      <c r="HA54" s="1287"/>
      <c r="HB54" s="1286">
        <v>43</v>
      </c>
      <c r="HC54" s="1285"/>
      <c r="HD54" s="1287"/>
      <c r="HE54" s="1286">
        <v>43</v>
      </c>
      <c r="HF54" s="1285"/>
      <c r="HG54" s="1287"/>
      <c r="HH54" s="1286">
        <v>43</v>
      </c>
      <c r="HI54" s="1285"/>
      <c r="HJ54" s="1287"/>
      <c r="HK54" s="1286">
        <v>34</v>
      </c>
      <c r="HL54" s="1285"/>
      <c r="HM54" s="1287"/>
      <c r="HN54" s="1286">
        <v>31</v>
      </c>
      <c r="HO54" s="1285"/>
      <c r="HP54" s="1287"/>
      <c r="HQ54" s="1286">
        <v>42</v>
      </c>
      <c r="HR54" s="1285"/>
      <c r="HS54" s="1287"/>
      <c r="HT54" s="1286">
        <v>41</v>
      </c>
      <c r="HU54" s="1285"/>
      <c r="HV54" s="1287"/>
      <c r="HW54" s="1286">
        <v>42</v>
      </c>
      <c r="HX54" s="1285"/>
      <c r="HY54" s="1287"/>
      <c r="HZ54" s="1286">
        <v>41</v>
      </c>
      <c r="IA54" s="1285"/>
      <c r="IB54" s="1287"/>
      <c r="IC54" s="1286">
        <v>0</v>
      </c>
      <c r="ID54" s="1285"/>
      <c r="IE54" s="1287"/>
      <c r="IF54" s="1286">
        <v>0</v>
      </c>
      <c r="IG54" s="1285"/>
      <c r="IH54" s="1287"/>
      <c r="II54" s="1286">
        <v>0</v>
      </c>
      <c r="IJ54" s="1285"/>
      <c r="IK54" s="1287"/>
      <c r="IL54" s="1286">
        <v>41</v>
      </c>
      <c r="IM54" s="1285"/>
      <c r="IN54" s="1287"/>
      <c r="IO54" s="1286">
        <v>41</v>
      </c>
      <c r="IP54" s="1285"/>
      <c r="IQ54" s="1287"/>
      <c r="IR54" s="1286">
        <v>39</v>
      </c>
      <c r="IS54" s="1285"/>
      <c r="IT54" s="1287"/>
      <c r="IU54" s="1286">
        <v>39</v>
      </c>
      <c r="IV54" s="1285"/>
      <c r="IW54" s="1287"/>
      <c r="IX54" s="1286">
        <v>41</v>
      </c>
      <c r="IY54" s="1285"/>
      <c r="IZ54" s="1287"/>
      <c r="JA54" s="1286">
        <v>37</v>
      </c>
      <c r="JB54" s="1285"/>
      <c r="JC54" s="1287"/>
      <c r="JD54" s="1286">
        <v>33</v>
      </c>
      <c r="JE54" s="1285"/>
      <c r="JF54" s="1287"/>
      <c r="JG54" s="1286">
        <v>47</v>
      </c>
      <c r="JH54" s="1285"/>
      <c r="JI54" s="1287"/>
      <c r="JJ54" s="1286">
        <v>45</v>
      </c>
      <c r="JK54" s="1285"/>
      <c r="JL54" s="1287"/>
      <c r="JM54" s="1286">
        <v>46</v>
      </c>
      <c r="JN54" s="1285"/>
      <c r="JO54" s="1287"/>
      <c r="JP54" s="1286" t="s">
        <v>20</v>
      </c>
      <c r="JQ54" s="1285"/>
      <c r="JR54" s="1287"/>
      <c r="JS54" s="1286">
        <v>44</v>
      </c>
      <c r="JT54" s="1285"/>
      <c r="JU54" s="1287"/>
      <c r="JV54" s="1286">
        <v>34</v>
      </c>
      <c r="JW54" s="1285"/>
      <c r="JX54" s="1287"/>
      <c r="JY54" s="1286">
        <v>0</v>
      </c>
      <c r="JZ54" s="1285"/>
      <c r="KA54" s="1287"/>
      <c r="KB54" s="1286">
        <v>47</v>
      </c>
      <c r="KC54" s="1285"/>
      <c r="KD54" s="1287"/>
      <c r="KE54" s="1286">
        <v>40</v>
      </c>
      <c r="KF54" s="1285"/>
      <c r="KG54" s="1287"/>
      <c r="KH54" s="1286">
        <v>47</v>
      </c>
      <c r="KI54" s="1285"/>
      <c r="KJ54" s="1287"/>
      <c r="KK54" s="1286">
        <v>47</v>
      </c>
      <c r="KL54" s="1285"/>
      <c r="KM54" s="1287"/>
      <c r="KN54" s="1286">
        <v>47</v>
      </c>
      <c r="KO54" s="1285"/>
      <c r="KP54" s="1287"/>
      <c r="KQ54" s="1286">
        <v>41</v>
      </c>
      <c r="KR54" s="1285"/>
      <c r="KS54" s="1287"/>
      <c r="KT54" s="1286">
        <v>36</v>
      </c>
      <c r="KU54" s="1285"/>
      <c r="KV54" s="1287"/>
      <c r="KW54" s="1286">
        <v>42</v>
      </c>
      <c r="KX54" s="1285"/>
      <c r="KY54" s="1287"/>
      <c r="KZ54" s="1286">
        <v>42</v>
      </c>
      <c r="LA54" s="1285"/>
      <c r="LB54" s="1287"/>
      <c r="LC54" s="1286">
        <v>44</v>
      </c>
      <c r="LD54" s="1285"/>
      <c r="LE54" s="1287"/>
      <c r="LF54" s="1286">
        <v>45</v>
      </c>
      <c r="LG54" s="1285"/>
      <c r="LH54" s="1287"/>
      <c r="LI54" s="1286">
        <v>46</v>
      </c>
      <c r="LJ54" s="1285"/>
      <c r="LK54" s="1287"/>
      <c r="LL54" s="1286">
        <v>0</v>
      </c>
      <c r="LM54" s="1285"/>
      <c r="LN54" s="1287"/>
      <c r="LO54" s="1286">
        <v>0</v>
      </c>
      <c r="LP54" s="1285"/>
      <c r="LQ54" s="1287"/>
      <c r="LR54" s="1286">
        <v>44</v>
      </c>
      <c r="LS54" s="1285"/>
      <c r="LT54" s="1287"/>
      <c r="LU54" s="1286">
        <v>44</v>
      </c>
      <c r="LV54" s="1285"/>
      <c r="LW54" s="1287"/>
      <c r="LX54" s="1286">
        <v>45</v>
      </c>
      <c r="LY54" s="1285"/>
      <c r="LZ54" s="1287"/>
      <c r="MA54" s="1286">
        <v>43</v>
      </c>
      <c r="MB54" s="1285"/>
      <c r="MC54" s="1287"/>
      <c r="MD54" s="1286">
        <v>43</v>
      </c>
      <c r="ME54" s="1285"/>
      <c r="MF54" s="1287"/>
      <c r="MG54" s="1286">
        <v>36</v>
      </c>
      <c r="MH54" s="1285"/>
      <c r="MI54" s="1287"/>
      <c r="MJ54" s="1286" t="s">
        <v>20</v>
      </c>
      <c r="MK54" s="1285"/>
      <c r="ML54" s="1287"/>
      <c r="MM54" s="1286">
        <v>42</v>
      </c>
      <c r="MN54" s="1285"/>
      <c r="MO54" s="1287"/>
      <c r="MP54" s="1286">
        <v>40</v>
      </c>
      <c r="MQ54" s="1285"/>
      <c r="MR54" s="1287"/>
      <c r="MS54" s="1286">
        <v>41</v>
      </c>
      <c r="MT54" s="1285"/>
      <c r="MU54" s="1287"/>
      <c r="MV54" s="1286">
        <v>39</v>
      </c>
      <c r="MW54" s="1285"/>
      <c r="MX54" s="1287"/>
      <c r="MY54" s="1286">
        <v>38</v>
      </c>
      <c r="MZ54" s="1285"/>
      <c r="NA54" s="1287"/>
      <c r="NB54" s="1286">
        <v>0</v>
      </c>
      <c r="NC54" s="1285"/>
      <c r="ND54" s="1287"/>
      <c r="NE54" s="1286" t="s">
        <v>20</v>
      </c>
      <c r="NF54" s="1285"/>
      <c r="NG54" s="1287"/>
      <c r="NH54" s="1286">
        <v>41</v>
      </c>
      <c r="NI54" s="1285"/>
      <c r="NJ54" s="1287"/>
      <c r="NK54" s="1286">
        <v>40</v>
      </c>
      <c r="NL54" s="1285"/>
      <c r="NM54" s="1287"/>
      <c r="NN54" s="1286">
        <v>39</v>
      </c>
      <c r="NO54" s="1285"/>
      <c r="NP54" s="1287"/>
      <c r="NQ54" s="1286">
        <v>40</v>
      </c>
      <c r="NR54" s="1285"/>
      <c r="NS54" s="1287"/>
      <c r="NT54" s="1286">
        <v>41</v>
      </c>
      <c r="NU54" s="1285"/>
      <c r="NV54" s="1287"/>
      <c r="NW54" s="1286" t="s">
        <v>20</v>
      </c>
      <c r="NX54" s="1285"/>
      <c r="NY54" s="1287"/>
      <c r="NZ54" s="1286" t="s">
        <v>20</v>
      </c>
      <c r="OA54" s="1285"/>
      <c r="OB54" s="1287"/>
      <c r="OC54" s="1286" t="s">
        <v>20</v>
      </c>
      <c r="OD54" s="1285"/>
      <c r="OE54" s="1287"/>
      <c r="OF54" s="1286">
        <v>40</v>
      </c>
      <c r="OG54" s="1285"/>
      <c r="OH54" s="1287"/>
      <c r="OI54" s="1286">
        <v>40</v>
      </c>
      <c r="OJ54" s="1285"/>
      <c r="OK54" s="1287"/>
      <c r="OL54" s="1286">
        <v>41</v>
      </c>
      <c r="OM54" s="1285"/>
      <c r="ON54" s="1287"/>
      <c r="OO54" s="1286">
        <v>41</v>
      </c>
      <c r="OP54" s="1285"/>
      <c r="OQ54" s="1287"/>
      <c r="OR54" s="1286" t="s">
        <v>20</v>
      </c>
      <c r="OS54" s="1285"/>
      <c r="OT54" s="1287"/>
      <c r="OU54" s="1286" t="s">
        <v>20</v>
      </c>
      <c r="OV54" s="1285"/>
      <c r="OW54" s="1287"/>
      <c r="OX54" s="1286" t="s">
        <v>20</v>
      </c>
      <c r="OY54" s="1285"/>
      <c r="OZ54" s="1287"/>
      <c r="PA54" s="1286">
        <v>42</v>
      </c>
      <c r="PB54" s="1285"/>
      <c r="PC54" s="1287"/>
      <c r="PD54" s="1286">
        <v>41</v>
      </c>
      <c r="PE54" s="1285"/>
      <c r="PF54" s="1287"/>
      <c r="PG54" s="1286">
        <v>42</v>
      </c>
      <c r="PH54" s="1285"/>
      <c r="PI54" s="1287"/>
      <c r="PJ54" s="1286" t="s">
        <v>20</v>
      </c>
      <c r="PK54" s="1285"/>
      <c r="PL54" s="1287"/>
      <c r="PM54" s="1286" t="s">
        <v>20</v>
      </c>
      <c r="PN54" s="1285"/>
      <c r="PO54" s="1287"/>
      <c r="PP54" s="1286" t="s">
        <v>20</v>
      </c>
      <c r="PQ54" s="1285"/>
      <c r="PR54" s="1287"/>
      <c r="PS54" s="1286">
        <v>38</v>
      </c>
      <c r="PT54" s="1285"/>
      <c r="PU54" s="1287"/>
      <c r="PV54" s="1286">
        <v>39</v>
      </c>
      <c r="PW54" s="1285"/>
      <c r="PX54" s="1287"/>
      <c r="PY54" s="1286">
        <v>0</v>
      </c>
      <c r="PZ54" s="1285"/>
      <c r="QA54" s="1287"/>
      <c r="QB54" s="1286">
        <v>39</v>
      </c>
      <c r="QC54" s="1285"/>
      <c r="QD54" s="1287"/>
      <c r="QE54" s="1286">
        <v>38</v>
      </c>
      <c r="QF54" s="1285"/>
      <c r="QG54" s="1287"/>
      <c r="QH54" s="1286">
        <v>35</v>
      </c>
      <c r="QI54" s="1285"/>
      <c r="QJ54" s="1287"/>
      <c r="QK54" s="1286" t="s">
        <v>20</v>
      </c>
      <c r="QL54" s="1285"/>
      <c r="QM54" s="1287"/>
      <c r="QN54" s="1286">
        <v>39</v>
      </c>
      <c r="QO54" s="1285"/>
      <c r="QP54" s="1287"/>
      <c r="QQ54" s="1286">
        <v>39</v>
      </c>
      <c r="QR54" s="1285"/>
      <c r="QS54" s="1287"/>
      <c r="QT54" s="1286">
        <v>39</v>
      </c>
      <c r="QU54" s="1285"/>
      <c r="QV54" s="1287"/>
      <c r="QW54" s="1286">
        <v>40</v>
      </c>
      <c r="QX54" s="1285"/>
      <c r="QY54" s="1287"/>
      <c r="QZ54" s="1286">
        <v>38</v>
      </c>
      <c r="RA54" s="1285"/>
      <c r="RB54" s="1287"/>
      <c r="RC54" s="1286" t="s">
        <v>20</v>
      </c>
      <c r="RD54" s="1285"/>
      <c r="RE54" s="1287"/>
      <c r="RF54" s="1286" t="s">
        <v>20</v>
      </c>
      <c r="RG54" s="1285"/>
      <c r="RH54" s="1287"/>
      <c r="RI54" s="1286">
        <v>41</v>
      </c>
      <c r="RJ54" s="1285"/>
      <c r="RK54" s="1287"/>
      <c r="RL54" s="1286">
        <v>40</v>
      </c>
      <c r="RM54" s="1285"/>
      <c r="RN54" s="1287"/>
      <c r="RO54" s="1286">
        <v>39</v>
      </c>
      <c r="RP54" s="1285"/>
      <c r="RQ54" s="1287"/>
      <c r="RR54" s="1286">
        <v>41</v>
      </c>
      <c r="RS54" s="1285"/>
      <c r="RT54" s="1287"/>
      <c r="RU54" s="1286">
        <v>41</v>
      </c>
      <c r="RV54" s="1285"/>
      <c r="RW54" s="1287"/>
      <c r="RX54" s="1286" t="s">
        <v>20</v>
      </c>
      <c r="RY54" s="1285"/>
      <c r="RZ54" s="1287"/>
      <c r="SA54" s="1286" t="s">
        <v>20</v>
      </c>
      <c r="SB54" s="1285"/>
      <c r="SC54" s="1287"/>
      <c r="SD54" s="1286" t="s">
        <v>20</v>
      </c>
      <c r="SE54" s="1285"/>
      <c r="SF54" s="1287"/>
      <c r="SG54" s="1286">
        <v>41</v>
      </c>
      <c r="SH54" s="1285"/>
      <c r="SI54" s="1287"/>
      <c r="SJ54" s="1286">
        <v>40</v>
      </c>
      <c r="SK54" s="1285"/>
      <c r="SL54" s="1287"/>
      <c r="SM54" s="1286">
        <v>41</v>
      </c>
      <c r="SN54" s="1285"/>
      <c r="SO54" s="1287"/>
      <c r="SP54" s="1286">
        <v>41</v>
      </c>
      <c r="SQ54" s="1285"/>
      <c r="SR54" s="1287"/>
      <c r="SS54" s="1286">
        <v>34</v>
      </c>
      <c r="ST54" s="1285"/>
      <c r="SU54" s="1287"/>
      <c r="SV54" s="1286">
        <v>31</v>
      </c>
      <c r="SW54" s="1285"/>
      <c r="SX54" s="1287"/>
      <c r="SY54" s="1286">
        <v>40</v>
      </c>
      <c r="SZ54" s="1285"/>
      <c r="TA54" s="1287"/>
      <c r="TB54" s="1286">
        <v>38</v>
      </c>
      <c r="TC54" s="1285"/>
      <c r="TD54" s="1287"/>
      <c r="TE54" s="1286">
        <v>40</v>
      </c>
      <c r="TF54" s="1285"/>
      <c r="TG54" s="1287"/>
      <c r="TH54" s="1286">
        <v>39</v>
      </c>
      <c r="TI54" s="1285"/>
      <c r="TJ54" s="1287"/>
      <c r="TK54" s="1286">
        <v>39</v>
      </c>
      <c r="TL54" s="1285"/>
      <c r="TM54" s="1287"/>
      <c r="TN54" s="1286">
        <v>31</v>
      </c>
      <c r="TO54" s="1285"/>
      <c r="TP54" s="1287"/>
      <c r="TQ54" s="1286">
        <v>27</v>
      </c>
      <c r="TR54" s="1285"/>
      <c r="TS54" s="1287"/>
      <c r="TT54" s="1286">
        <v>39</v>
      </c>
      <c r="TU54" s="1285"/>
      <c r="TV54" s="1287"/>
      <c r="TW54" s="1286">
        <v>39</v>
      </c>
      <c r="TX54" s="1285"/>
      <c r="TY54" s="1287"/>
      <c r="TZ54" s="1398">
        <v>37</v>
      </c>
      <c r="UA54" s="1399"/>
      <c r="UB54" s="1400"/>
      <c r="UC54" s="1398">
        <v>37</v>
      </c>
      <c r="UD54" s="1399"/>
      <c r="UE54" s="1400"/>
      <c r="UF54" s="1398">
        <v>37</v>
      </c>
      <c r="UG54" s="1399"/>
      <c r="UH54" s="1400"/>
      <c r="UI54" s="1286" t="s">
        <v>20</v>
      </c>
      <c r="UJ54" s="1285"/>
      <c r="UK54" s="1287"/>
      <c r="UL54" s="1387" t="s">
        <v>20</v>
      </c>
      <c r="UM54" s="1388"/>
      <c r="UN54" s="1389"/>
      <c r="UO54" s="1286">
        <v>39</v>
      </c>
      <c r="UP54" s="1285"/>
      <c r="UQ54" s="1287"/>
      <c r="UR54" s="1286">
        <v>39</v>
      </c>
      <c r="US54" s="1285"/>
      <c r="UT54" s="1287"/>
      <c r="UU54" s="1286">
        <v>41</v>
      </c>
      <c r="UV54" s="1285"/>
      <c r="UW54" s="1287"/>
      <c r="UX54" s="1286">
        <v>42</v>
      </c>
      <c r="UY54" s="1285"/>
      <c r="UZ54" s="1287"/>
      <c r="VA54" s="1286">
        <v>40</v>
      </c>
      <c r="VB54" s="1285"/>
      <c r="VC54" s="1287"/>
      <c r="VD54" s="1286" t="s">
        <v>20</v>
      </c>
      <c r="VE54" s="1285"/>
      <c r="VF54" s="1287"/>
      <c r="VG54" s="1286" t="s">
        <v>20</v>
      </c>
      <c r="VH54" s="1285"/>
      <c r="VI54" s="1287"/>
      <c r="VJ54" s="1286">
        <v>39</v>
      </c>
      <c r="VK54" s="1285"/>
      <c r="VL54" s="1287"/>
      <c r="VM54" s="1286">
        <v>40</v>
      </c>
      <c r="VN54" s="1285"/>
      <c r="VO54" s="1287"/>
      <c r="VP54" s="1286">
        <v>39</v>
      </c>
      <c r="VQ54" s="1285"/>
      <c r="VR54" s="1287"/>
      <c r="VS54" s="1286">
        <v>41</v>
      </c>
      <c r="VT54" s="1285"/>
      <c r="VU54" s="1287"/>
      <c r="VV54" s="1286">
        <v>39</v>
      </c>
      <c r="VW54" s="1285"/>
      <c r="VX54" s="1287"/>
      <c r="VY54" s="1286" t="s">
        <v>20</v>
      </c>
      <c r="VZ54" s="1285"/>
      <c r="WA54" s="1287"/>
      <c r="WB54" s="1286" t="s">
        <v>20</v>
      </c>
      <c r="WC54" s="1285"/>
      <c r="WD54" s="1287"/>
      <c r="WE54" s="1286">
        <v>41</v>
      </c>
      <c r="WF54" s="1285"/>
      <c r="WG54" s="1287"/>
      <c r="WH54" s="1286">
        <v>40</v>
      </c>
      <c r="WI54" s="1285"/>
      <c r="WJ54" s="1287"/>
      <c r="WK54" s="1286">
        <v>41</v>
      </c>
      <c r="WL54" s="1285"/>
      <c r="WM54" s="1287"/>
      <c r="WN54" s="1286">
        <v>42</v>
      </c>
      <c r="WO54" s="1285"/>
      <c r="WP54" s="1287"/>
      <c r="WQ54" s="1286">
        <v>42</v>
      </c>
      <c r="WR54" s="1285"/>
      <c r="WS54" s="1287"/>
      <c r="WT54" s="1286" t="s">
        <v>20</v>
      </c>
      <c r="WU54" s="1285"/>
      <c r="WV54" s="1287"/>
      <c r="WW54" s="1286" t="s">
        <v>20</v>
      </c>
      <c r="WX54" s="1285"/>
      <c r="WY54" s="1287"/>
      <c r="WZ54" s="1286">
        <v>40</v>
      </c>
      <c r="XA54" s="1285"/>
      <c r="XB54" s="1287"/>
      <c r="XC54" s="1286">
        <v>40</v>
      </c>
      <c r="XD54" s="1285"/>
      <c r="XE54" s="1287"/>
      <c r="XF54" s="1286">
        <v>40</v>
      </c>
      <c r="XG54" s="1285"/>
      <c r="XH54" s="1287"/>
      <c r="XI54" s="1286">
        <v>40</v>
      </c>
      <c r="XJ54" s="1285"/>
      <c r="XK54" s="1287"/>
      <c r="XL54" s="1286">
        <v>40</v>
      </c>
      <c r="XM54" s="1285"/>
      <c r="XN54" s="1287"/>
      <c r="XO54" s="1286" t="s">
        <v>20</v>
      </c>
      <c r="XP54" s="1285"/>
      <c r="XQ54" s="1287"/>
      <c r="XR54" s="1286" t="s">
        <v>20</v>
      </c>
      <c r="XS54" s="1285"/>
      <c r="XT54" s="1287"/>
      <c r="XU54" s="1286">
        <v>39</v>
      </c>
      <c r="XV54" s="1285"/>
      <c r="XW54" s="1287"/>
      <c r="XX54" s="1286">
        <v>38</v>
      </c>
      <c r="XY54" s="1285"/>
      <c r="XZ54" s="1287"/>
      <c r="YA54" s="1286">
        <v>38</v>
      </c>
      <c r="YB54" s="1285"/>
      <c r="YC54" s="1287"/>
      <c r="YD54" s="1286">
        <v>38</v>
      </c>
      <c r="YE54" s="1285"/>
      <c r="YF54" s="1287"/>
      <c r="YG54" s="1286">
        <v>38</v>
      </c>
      <c r="YH54" s="1285"/>
      <c r="YI54" s="1287"/>
      <c r="YJ54" s="1286" t="s">
        <v>20</v>
      </c>
      <c r="YK54" s="1285"/>
      <c r="YL54" s="1287"/>
      <c r="YM54" s="1286" t="s">
        <v>20</v>
      </c>
      <c r="YN54" s="1285"/>
      <c r="YO54" s="1287"/>
      <c r="YP54" s="1286">
        <v>38</v>
      </c>
      <c r="YQ54" s="1285"/>
      <c r="YR54" s="1287"/>
      <c r="YS54" s="1286">
        <v>39</v>
      </c>
      <c r="YT54" s="1285"/>
      <c r="YU54" s="1287"/>
      <c r="YV54" s="1286">
        <v>39</v>
      </c>
      <c r="YW54" s="1285"/>
      <c r="YX54" s="1287"/>
      <c r="YY54" s="1286">
        <v>40</v>
      </c>
      <c r="YZ54" s="1285"/>
      <c r="ZA54" s="1287"/>
      <c r="ZB54" s="1286">
        <v>39</v>
      </c>
      <c r="ZC54" s="1285"/>
      <c r="ZD54" s="1287"/>
      <c r="ZE54" s="1286" t="s">
        <v>20</v>
      </c>
      <c r="ZF54" s="1285"/>
      <c r="ZG54" s="1287"/>
      <c r="ZH54" s="1286" t="s">
        <v>20</v>
      </c>
      <c r="ZI54" s="1285"/>
      <c r="ZJ54" s="1287"/>
      <c r="ZK54" s="1286">
        <v>36</v>
      </c>
      <c r="ZL54" s="1285"/>
      <c r="ZM54" s="1287"/>
      <c r="ZN54" s="1286">
        <v>37</v>
      </c>
      <c r="ZO54" s="1285"/>
      <c r="ZP54" s="1287"/>
      <c r="ZQ54" s="1286">
        <v>36</v>
      </c>
      <c r="ZR54" s="1285"/>
      <c r="ZS54" s="1287"/>
      <c r="ZT54" s="1286">
        <v>36</v>
      </c>
      <c r="ZU54" s="1285"/>
      <c r="ZV54" s="1287"/>
      <c r="ZW54" s="1286">
        <v>36</v>
      </c>
      <c r="ZX54" s="1285"/>
      <c r="ZY54" s="1287"/>
      <c r="ZZ54" s="1286">
        <v>26</v>
      </c>
      <c r="AAA54" s="1285"/>
      <c r="AAB54" s="1287"/>
      <c r="AAC54" s="1286" t="s">
        <v>20</v>
      </c>
      <c r="AAD54" s="1285"/>
      <c r="AAE54" s="1287"/>
      <c r="AAF54" s="1286">
        <v>34</v>
      </c>
      <c r="AAG54" s="1285"/>
      <c r="AAH54" s="1287"/>
      <c r="AAI54" s="1286">
        <v>35</v>
      </c>
      <c r="AAJ54" s="1285"/>
      <c r="AAK54" s="1287"/>
      <c r="AAL54" s="1286">
        <v>34</v>
      </c>
      <c r="AAM54" s="1285"/>
      <c r="AAN54" s="1287"/>
      <c r="AAO54" s="1286">
        <v>32</v>
      </c>
      <c r="AAP54" s="1285"/>
      <c r="AAQ54" s="1287"/>
      <c r="AAR54" s="1286">
        <v>35</v>
      </c>
      <c r="AAS54" s="1285"/>
      <c r="AAT54" s="1287"/>
      <c r="AAU54" s="1286">
        <v>26</v>
      </c>
      <c r="AAV54" s="1285"/>
      <c r="AAW54" s="1287"/>
      <c r="AAX54" s="1286" t="s">
        <v>20</v>
      </c>
      <c r="AAY54" s="1285"/>
      <c r="AAZ54" s="1287"/>
      <c r="ABA54" s="1286">
        <v>40</v>
      </c>
      <c r="ABB54" s="1285"/>
      <c r="ABC54" s="1287"/>
      <c r="ABD54" s="1286">
        <v>39</v>
      </c>
      <c r="ABE54" s="1285"/>
      <c r="ABF54" s="1287"/>
      <c r="ABG54" s="1286">
        <v>38</v>
      </c>
      <c r="ABH54" s="1285"/>
      <c r="ABI54" s="1287"/>
      <c r="ABJ54" s="1286">
        <v>38</v>
      </c>
      <c r="ABK54" s="1285"/>
      <c r="ABL54" s="1287"/>
      <c r="ABM54" s="1286">
        <v>38</v>
      </c>
      <c r="ABN54" s="1285"/>
      <c r="ABO54" s="1287"/>
      <c r="ABP54" s="1286">
        <v>29</v>
      </c>
      <c r="ABQ54" s="1285"/>
      <c r="ABR54" s="1287"/>
      <c r="ABS54" s="1286" t="s">
        <v>20</v>
      </c>
      <c r="ABT54" s="1285"/>
      <c r="ABU54" s="1287"/>
      <c r="ABV54" s="1286">
        <v>39</v>
      </c>
      <c r="ABW54" s="1285"/>
      <c r="ABX54" s="1287"/>
      <c r="ABY54" s="1286">
        <v>38</v>
      </c>
      <c r="ABZ54" s="1285"/>
      <c r="ACA54" s="1287"/>
      <c r="ACB54" s="1286">
        <v>39</v>
      </c>
      <c r="ACC54" s="1285"/>
      <c r="ACD54" s="1287"/>
      <c r="ACE54" s="1286">
        <v>39</v>
      </c>
      <c r="ACF54" s="1285"/>
      <c r="ACG54" s="1287"/>
      <c r="ACH54" s="1286">
        <v>28</v>
      </c>
      <c r="ACI54" s="1285"/>
      <c r="ACJ54" s="1287"/>
      <c r="ACK54" s="1286" t="s">
        <v>20</v>
      </c>
      <c r="ACL54" s="1285"/>
      <c r="ACM54" s="1287"/>
      <c r="ACN54" s="1286" t="s">
        <v>20</v>
      </c>
      <c r="ACO54" s="1285"/>
      <c r="ACP54" s="1287"/>
      <c r="ACQ54" s="1286">
        <v>36</v>
      </c>
      <c r="ACR54" s="1285"/>
      <c r="ACS54" s="1287"/>
      <c r="ACT54" s="1286">
        <v>36</v>
      </c>
      <c r="ACU54" s="1285"/>
      <c r="ACV54" s="1287"/>
      <c r="ACW54" s="1286">
        <v>36</v>
      </c>
      <c r="ACX54" s="1285"/>
      <c r="ACY54" s="1287"/>
      <c r="ACZ54" s="1286">
        <v>36</v>
      </c>
      <c r="ADA54" s="1285"/>
      <c r="ADB54" s="1287"/>
      <c r="ADC54" s="1286">
        <v>36</v>
      </c>
      <c r="ADD54" s="1285"/>
      <c r="ADE54" s="1287"/>
      <c r="ADF54" s="1286">
        <v>28</v>
      </c>
      <c r="ADG54" s="1285"/>
      <c r="ADH54" s="1287"/>
      <c r="ADI54" s="1286" t="s">
        <v>20</v>
      </c>
      <c r="ADJ54" s="1285"/>
      <c r="ADK54" s="1287"/>
      <c r="ADL54" s="1286">
        <v>37</v>
      </c>
      <c r="ADM54" s="1285"/>
      <c r="ADN54" s="1287"/>
      <c r="ADO54" s="1286">
        <v>36</v>
      </c>
      <c r="ADP54" s="1285"/>
      <c r="ADQ54" s="1287"/>
      <c r="ADR54" s="1286">
        <v>37</v>
      </c>
      <c r="ADS54" s="1285"/>
      <c r="ADT54" s="1287"/>
      <c r="ADU54" s="1286">
        <v>38</v>
      </c>
      <c r="ADV54" s="1285"/>
      <c r="ADW54" s="1287"/>
      <c r="ADX54" s="1286">
        <v>36</v>
      </c>
      <c r="ADY54" s="1285"/>
      <c r="ADZ54" s="1287"/>
      <c r="AEA54" s="1286">
        <v>30</v>
      </c>
      <c r="AEB54" s="1285"/>
      <c r="AEC54" s="1287"/>
      <c r="AED54" s="1286" t="s">
        <v>20</v>
      </c>
      <c r="AEE54" s="1285"/>
      <c r="AEF54" s="1287"/>
      <c r="AEG54" s="1286">
        <v>37</v>
      </c>
      <c r="AEH54" s="1285"/>
      <c r="AEI54" s="1287"/>
      <c r="AEJ54" s="1286">
        <v>36</v>
      </c>
      <c r="AEK54" s="1285"/>
      <c r="AEL54" s="1287"/>
      <c r="AEM54" s="1286">
        <v>36</v>
      </c>
      <c r="AEN54" s="1285"/>
      <c r="AEO54" s="1287"/>
      <c r="AEP54" s="1286">
        <v>38</v>
      </c>
      <c r="AEQ54" s="1285"/>
      <c r="AER54" s="1287"/>
      <c r="AES54" s="1286">
        <v>38</v>
      </c>
      <c r="AET54" s="1285"/>
      <c r="AEU54" s="1287"/>
      <c r="AEV54" s="1286">
        <v>30</v>
      </c>
      <c r="AEW54" s="1285"/>
      <c r="AEX54" s="1287"/>
      <c r="AEY54" s="1286" t="s">
        <v>20</v>
      </c>
      <c r="AEZ54" s="1285"/>
      <c r="AFA54" s="1287"/>
      <c r="AFB54" s="1286">
        <v>40</v>
      </c>
      <c r="AFC54" s="1285"/>
      <c r="AFD54" s="1287"/>
      <c r="AFE54" s="1286">
        <v>41</v>
      </c>
      <c r="AFF54" s="1285"/>
      <c r="AFG54" s="1287"/>
      <c r="AFH54" s="1286">
        <v>37</v>
      </c>
      <c r="AFI54" s="1285"/>
      <c r="AFJ54" s="1287"/>
      <c r="AFK54" s="1286">
        <v>39</v>
      </c>
      <c r="AFL54" s="1285"/>
      <c r="AFM54" s="1287"/>
      <c r="AFN54" s="1286">
        <v>40</v>
      </c>
      <c r="AFO54" s="1285"/>
      <c r="AFP54" s="1287"/>
      <c r="AFQ54" s="1286" t="s">
        <v>20</v>
      </c>
      <c r="AFR54" s="1285"/>
      <c r="AFS54" s="1287"/>
      <c r="AFT54" s="1286" t="s">
        <v>20</v>
      </c>
      <c r="AFU54" s="1285"/>
      <c r="AFV54" s="1287"/>
      <c r="AFW54" s="1286">
        <v>36</v>
      </c>
      <c r="AFX54" s="1285"/>
      <c r="AFY54" s="1287"/>
      <c r="AFZ54" s="1286">
        <v>38</v>
      </c>
      <c r="AGA54" s="1285"/>
      <c r="AGB54" s="1287"/>
      <c r="AGC54" s="1286">
        <v>39</v>
      </c>
      <c r="AGD54" s="1285"/>
      <c r="AGE54" s="1287"/>
      <c r="AGF54" s="1286">
        <v>39</v>
      </c>
      <c r="AGG54" s="1285"/>
      <c r="AGH54" s="1287"/>
      <c r="AGI54" s="1286">
        <v>40</v>
      </c>
      <c r="AGJ54" s="1285"/>
      <c r="AGK54" s="1287"/>
      <c r="AGL54" s="1286">
        <f>28+10</f>
        <v>38</v>
      </c>
      <c r="AGM54" s="1285"/>
      <c r="AGN54" s="1287"/>
      <c r="AGO54" s="1286" t="s">
        <v>20</v>
      </c>
      <c r="AGP54" s="1285"/>
      <c r="AGQ54" s="1287"/>
      <c r="AGR54" s="1286">
        <v>41</v>
      </c>
      <c r="AGS54" s="1285"/>
      <c r="AGT54" s="1287"/>
      <c r="AGU54" s="1286">
        <v>42</v>
      </c>
      <c r="AGV54" s="1285"/>
      <c r="AGW54" s="1287"/>
      <c r="AGX54" s="1286">
        <v>41</v>
      </c>
      <c r="AGY54" s="1285"/>
      <c r="AGZ54" s="1287"/>
      <c r="AHA54" s="1286">
        <v>40</v>
      </c>
      <c r="AHB54" s="1285"/>
      <c r="AHC54" s="1287"/>
      <c r="AHD54" s="1286">
        <v>38</v>
      </c>
      <c r="AHE54" s="1285"/>
      <c r="AHF54" s="1287"/>
      <c r="AHG54" s="1286">
        <v>30</v>
      </c>
      <c r="AHH54" s="1285"/>
      <c r="AHI54" s="1287"/>
      <c r="AHJ54" s="1286" t="s">
        <v>20</v>
      </c>
      <c r="AHK54" s="1285"/>
      <c r="AHL54" s="1287"/>
      <c r="AHM54" s="1286" t="s">
        <v>20</v>
      </c>
      <c r="AHN54" s="1285"/>
      <c r="AHO54" s="1287"/>
      <c r="AHP54" s="1286">
        <v>40</v>
      </c>
      <c r="AHQ54" s="1285"/>
      <c r="AHR54" s="1287"/>
      <c r="AHS54" s="1286">
        <v>38</v>
      </c>
      <c r="AHT54" s="1285"/>
      <c r="AHU54" s="1287"/>
      <c r="AHV54" s="1286">
        <v>39</v>
      </c>
      <c r="AHW54" s="1285"/>
      <c r="AHX54" s="1287"/>
      <c r="AHY54" s="1286">
        <v>40</v>
      </c>
      <c r="AHZ54" s="1285"/>
      <c r="AIA54" s="1287"/>
      <c r="AIB54" s="1286">
        <v>29</v>
      </c>
      <c r="AIC54" s="1285"/>
      <c r="AID54" s="1285"/>
      <c r="AIE54" s="1286" t="s">
        <v>20</v>
      </c>
      <c r="AIF54" s="1285"/>
      <c r="AIG54" s="1287"/>
      <c r="AIH54" s="1286">
        <v>40</v>
      </c>
      <c r="AII54" s="1285"/>
      <c r="AIJ54" s="1287"/>
      <c r="AIK54" s="1286">
        <v>40</v>
      </c>
      <c r="AIL54" s="1285"/>
      <c r="AIM54" s="1287"/>
      <c r="AIN54" s="1286">
        <v>40</v>
      </c>
      <c r="AIO54" s="1285"/>
      <c r="AIP54" s="1287"/>
      <c r="AIQ54" s="1286">
        <v>39</v>
      </c>
      <c r="AIR54" s="1285"/>
      <c r="AIS54" s="1285"/>
      <c r="AIT54" s="1286">
        <v>37</v>
      </c>
      <c r="AIU54" s="1285"/>
      <c r="AIV54" s="1287"/>
      <c r="AIW54" s="1286">
        <v>35</v>
      </c>
      <c r="AIX54" s="1285"/>
      <c r="AIY54" s="1285"/>
      <c r="AIZ54" s="1286" t="s">
        <v>20</v>
      </c>
      <c r="AJA54" s="1285"/>
      <c r="AJB54" s="1287"/>
      <c r="AJC54" s="1286" t="s">
        <v>20</v>
      </c>
      <c r="AJD54" s="1285"/>
      <c r="AJE54" s="1287"/>
      <c r="AJF54" s="1286">
        <v>38</v>
      </c>
      <c r="AJG54" s="1285"/>
      <c r="AJH54" s="1287"/>
      <c r="AJI54" s="1286">
        <v>38</v>
      </c>
      <c r="AJJ54" s="1285"/>
      <c r="AJK54" s="1287"/>
      <c r="AJL54" s="1286">
        <v>38</v>
      </c>
      <c r="AJM54" s="1285"/>
      <c r="AJN54" s="1285"/>
      <c r="AJO54" s="1286">
        <v>38</v>
      </c>
      <c r="AJP54" s="1285"/>
      <c r="AJQ54" s="1287"/>
      <c r="AJR54" s="1286">
        <v>33</v>
      </c>
      <c r="AJS54" s="1285"/>
      <c r="AJT54" s="1285"/>
      <c r="AJU54" s="1286">
        <v>30</v>
      </c>
      <c r="AJV54" s="1285"/>
      <c r="AJW54" s="1287"/>
      <c r="AJX54" s="1286">
        <v>39</v>
      </c>
      <c r="AJY54" s="1285"/>
      <c r="AJZ54" s="1287"/>
      <c r="AKA54" s="1286">
        <v>40</v>
      </c>
      <c r="AKB54" s="1285"/>
      <c r="AKC54" s="1287"/>
      <c r="AKD54" s="1286">
        <v>40</v>
      </c>
      <c r="AKE54" s="1285"/>
      <c r="AKF54" s="1287"/>
      <c r="AKG54" s="1286">
        <v>37</v>
      </c>
      <c r="AKH54" s="1285"/>
      <c r="AKI54" s="1285"/>
      <c r="AKJ54" s="1286">
        <v>41</v>
      </c>
      <c r="AKK54" s="1285"/>
      <c r="AKL54" s="1287"/>
      <c r="AKM54" s="1286">
        <v>24</v>
      </c>
      <c r="AKN54" s="1285"/>
      <c r="AKO54" s="1285"/>
      <c r="AKP54" s="1286" t="s">
        <v>20</v>
      </c>
      <c r="AKQ54" s="1285"/>
      <c r="AKR54" s="1287"/>
      <c r="AKS54" s="1286">
        <v>39</v>
      </c>
      <c r="AKT54" s="1285"/>
      <c r="AKU54" s="1287"/>
      <c r="AKV54" s="1286">
        <v>40</v>
      </c>
      <c r="AKW54" s="1285"/>
      <c r="AKX54" s="1287"/>
      <c r="AKY54" s="1286">
        <v>40</v>
      </c>
      <c r="AKZ54" s="1285"/>
      <c r="ALA54" s="1287"/>
      <c r="ALB54" s="1286" t="s">
        <v>20</v>
      </c>
      <c r="ALC54" s="1285"/>
      <c r="ALD54" s="1285"/>
      <c r="ALE54" s="1286">
        <v>41</v>
      </c>
      <c r="ALF54" s="1285"/>
      <c r="ALG54" s="1287"/>
      <c r="ALH54" s="1286">
        <v>34</v>
      </c>
      <c r="ALI54" s="1285"/>
      <c r="ALJ54" s="1285"/>
      <c r="ALK54" s="1286">
        <v>33</v>
      </c>
      <c r="ALL54" s="1285"/>
      <c r="ALM54" s="1287"/>
      <c r="ALN54" s="1286">
        <v>39</v>
      </c>
      <c r="ALO54" s="1285"/>
      <c r="ALP54" s="1287"/>
      <c r="ALQ54" s="1286">
        <v>39</v>
      </c>
      <c r="ALR54" s="1285"/>
      <c r="ALS54" s="1287"/>
      <c r="ALT54" s="1286">
        <v>39</v>
      </c>
      <c r="ALU54" s="1285"/>
      <c r="ALV54" s="1287"/>
      <c r="ALW54" s="1286" t="s">
        <v>20</v>
      </c>
      <c r="ALX54" s="1285"/>
      <c r="ALY54" s="1287"/>
      <c r="ALZ54" s="1285">
        <v>37</v>
      </c>
      <c r="AMA54" s="1285"/>
      <c r="AMB54" s="1287"/>
      <c r="AMC54" s="1286">
        <v>30</v>
      </c>
      <c r="AMD54" s="1285"/>
      <c r="AME54" s="1285"/>
      <c r="AMF54" s="1286" t="s">
        <v>20</v>
      </c>
      <c r="AMG54" s="1285"/>
      <c r="AMH54" s="1287"/>
      <c r="AMI54" s="1286">
        <v>38</v>
      </c>
      <c r="AMJ54" s="1285"/>
      <c r="AMK54" s="1287"/>
      <c r="AML54" s="1286">
        <v>38</v>
      </c>
      <c r="AMM54" s="1285"/>
      <c r="AMN54" s="1287"/>
      <c r="AMO54" s="1286">
        <v>38</v>
      </c>
      <c r="AMP54" s="1285"/>
      <c r="AMQ54" s="1287"/>
      <c r="AMR54" s="1286">
        <v>39</v>
      </c>
      <c r="AMS54" s="1285"/>
      <c r="AMT54" s="1285"/>
      <c r="AMU54" s="1286">
        <v>39</v>
      </c>
      <c r="AMV54" s="1285"/>
      <c r="AMW54" s="1287"/>
      <c r="AMX54" s="1286">
        <v>32</v>
      </c>
      <c r="AMY54" s="1285"/>
      <c r="AMZ54" s="1285"/>
      <c r="ANA54" s="1286">
        <v>30</v>
      </c>
      <c r="ANB54" s="1285"/>
      <c r="ANC54" s="1287"/>
      <c r="AND54" s="1286">
        <v>35</v>
      </c>
      <c r="ANE54" s="1285"/>
      <c r="ANF54" s="1287"/>
      <c r="ANG54" s="1286">
        <v>37</v>
      </c>
      <c r="ANH54" s="1285"/>
      <c r="ANI54" s="1287"/>
      <c r="ANJ54" s="1286">
        <v>36</v>
      </c>
      <c r="ANK54" s="1285"/>
      <c r="ANL54" s="1287"/>
      <c r="ANM54" s="1286">
        <v>36</v>
      </c>
      <c r="ANN54" s="1285"/>
      <c r="ANO54" s="1285"/>
      <c r="ANP54" s="1286">
        <v>37</v>
      </c>
      <c r="ANQ54" s="1285"/>
      <c r="ANR54" s="1287"/>
      <c r="ANS54" s="1286">
        <v>32</v>
      </c>
      <c r="ANT54" s="1285"/>
      <c r="ANU54" s="1285"/>
      <c r="ANV54" s="1286" t="s">
        <v>20</v>
      </c>
      <c r="ANW54" s="1285"/>
      <c r="ANX54" s="1287"/>
      <c r="ANY54" s="1286">
        <v>36</v>
      </c>
      <c r="ANZ54" s="1285"/>
      <c r="AOA54" s="1287"/>
      <c r="AOB54" s="1286">
        <v>37</v>
      </c>
      <c r="AOC54" s="1285"/>
      <c r="AOD54" s="1287"/>
      <c r="AOE54" s="1286">
        <v>37</v>
      </c>
      <c r="AOF54" s="1285"/>
      <c r="AOG54" s="1287"/>
      <c r="AOH54" s="1286">
        <v>37</v>
      </c>
      <c r="AOI54" s="1285"/>
      <c r="AOJ54" s="1285"/>
      <c r="AOK54" s="1286">
        <v>38</v>
      </c>
      <c r="AOL54" s="1285"/>
      <c r="AOM54" s="1287"/>
      <c r="AON54" s="1286">
        <v>34</v>
      </c>
      <c r="AOO54" s="1285"/>
      <c r="AOP54" s="1285"/>
      <c r="AOQ54" s="1286">
        <v>33</v>
      </c>
      <c r="AOR54" s="1285"/>
      <c r="AOS54" s="1287"/>
      <c r="AOT54" s="1286">
        <v>38</v>
      </c>
      <c r="AOU54" s="1285"/>
      <c r="AOV54" s="1287"/>
      <c r="AOW54" s="1286">
        <v>38</v>
      </c>
      <c r="AOX54" s="1285"/>
      <c r="AOY54" s="1287"/>
      <c r="AOZ54" s="1286">
        <v>39</v>
      </c>
      <c r="APA54" s="1285"/>
      <c r="APB54" s="1287"/>
      <c r="APC54" s="1286">
        <v>39</v>
      </c>
      <c r="APD54" s="1285"/>
      <c r="APE54" s="1285"/>
      <c r="APF54" s="1286">
        <v>39</v>
      </c>
      <c r="APG54" s="1285"/>
      <c r="APH54" s="1287"/>
      <c r="API54" s="1286" t="s">
        <v>20</v>
      </c>
      <c r="APJ54" s="1285"/>
      <c r="APK54" s="1285"/>
      <c r="APL54" s="1286" t="s">
        <v>20</v>
      </c>
      <c r="APM54" s="1285"/>
      <c r="APN54" s="1287"/>
      <c r="APO54" s="1286">
        <v>37</v>
      </c>
      <c r="APP54" s="1285"/>
      <c r="APQ54" s="1287"/>
      <c r="APR54" s="1286">
        <v>37</v>
      </c>
      <c r="APS54" s="1285"/>
      <c r="APT54" s="1287"/>
      <c r="APU54" s="1286">
        <v>38</v>
      </c>
      <c r="APV54" s="1285"/>
      <c r="APW54" s="1287"/>
      <c r="APX54" s="1286">
        <v>38</v>
      </c>
      <c r="APY54" s="1285"/>
      <c r="APZ54" s="1285"/>
      <c r="AQA54" s="1286">
        <v>39</v>
      </c>
      <c r="AQB54" s="1285"/>
      <c r="AQC54" s="1287"/>
      <c r="AQD54" s="1286">
        <v>34</v>
      </c>
      <c r="AQE54" s="1285"/>
      <c r="AQF54" s="1287"/>
      <c r="AQG54" s="1286">
        <v>31</v>
      </c>
      <c r="AQH54" s="1285"/>
      <c r="AQI54" s="1287"/>
      <c r="AQJ54" s="1286">
        <v>40</v>
      </c>
      <c r="AQK54" s="1285"/>
      <c r="AQL54" s="1287"/>
      <c r="AQM54" s="1286">
        <v>38</v>
      </c>
      <c r="AQN54" s="1285"/>
      <c r="AQO54" s="1285"/>
      <c r="AQP54" s="1286">
        <v>39</v>
      </c>
      <c r="AQQ54" s="1285"/>
      <c r="AQR54" s="1285"/>
      <c r="AQS54" s="1286">
        <v>38</v>
      </c>
      <c r="AQT54" s="1285"/>
      <c r="AQU54" s="1287"/>
      <c r="AQV54" s="1285">
        <v>38</v>
      </c>
      <c r="AQW54" s="1285"/>
      <c r="AQX54" s="1287"/>
      <c r="AQY54" s="1286">
        <v>29</v>
      </c>
      <c r="AQZ54" s="1285"/>
      <c r="ARA54" s="1287"/>
      <c r="ARB54" s="1286" t="s">
        <v>20</v>
      </c>
      <c r="ARC54" s="1285"/>
      <c r="ARD54" s="1287"/>
      <c r="ARE54" s="1286" t="s">
        <v>20</v>
      </c>
      <c r="ARF54" s="1285"/>
      <c r="ARG54" s="1287"/>
      <c r="ARH54" s="1286">
        <v>30</v>
      </c>
      <c r="ARI54" s="1285"/>
      <c r="ARJ54" s="1285"/>
      <c r="ARK54" s="1286">
        <v>38</v>
      </c>
      <c r="ARL54" s="1285"/>
      <c r="ARM54" s="1287"/>
      <c r="ARN54" s="1286">
        <v>34</v>
      </c>
      <c r="ARO54" s="1285"/>
      <c r="ARP54" s="1285"/>
      <c r="ARQ54" s="1286">
        <v>39</v>
      </c>
      <c r="ARR54" s="1285"/>
      <c r="ARS54" s="1287"/>
      <c r="ART54" s="1286">
        <v>35</v>
      </c>
      <c r="ARU54" s="1285"/>
      <c r="ARV54" s="1287"/>
      <c r="ARW54" s="1286">
        <v>34</v>
      </c>
      <c r="ARX54" s="1285"/>
      <c r="ARY54" s="1287"/>
      <c r="ARZ54" s="1286">
        <v>39</v>
      </c>
      <c r="ASA54" s="1285"/>
      <c r="ASB54" s="1287"/>
      <c r="ASC54" s="1286">
        <v>39</v>
      </c>
      <c r="ASD54" s="1285"/>
      <c r="ASE54" s="1285"/>
      <c r="ASF54" s="1286">
        <v>40</v>
      </c>
      <c r="ASG54" s="1285"/>
      <c r="ASH54" s="1287"/>
      <c r="ASI54" s="1286">
        <v>38</v>
      </c>
      <c r="ASJ54" s="1285"/>
      <c r="ASK54" s="1285"/>
      <c r="ASL54" s="1286">
        <v>39</v>
      </c>
      <c r="ASM54" s="1285"/>
      <c r="ASN54" s="1287"/>
      <c r="ASO54" s="1286" t="s">
        <v>20</v>
      </c>
      <c r="ASP54" s="1285"/>
      <c r="ASQ54" s="1285"/>
      <c r="ASR54" s="1286" t="s">
        <v>20</v>
      </c>
      <c r="ASS54" s="1285"/>
      <c r="AST54" s="1287"/>
      <c r="ASU54" s="1286">
        <v>38</v>
      </c>
      <c r="ASV54" s="1285"/>
      <c r="ASW54" s="1287"/>
      <c r="ASX54" s="1286">
        <v>38</v>
      </c>
      <c r="ASY54" s="1285"/>
      <c r="ASZ54" s="1285"/>
      <c r="ATA54" s="1286">
        <v>40</v>
      </c>
      <c r="ATB54" s="1285"/>
      <c r="ATC54" s="1287"/>
      <c r="ATD54" s="1286">
        <v>39</v>
      </c>
      <c r="ATE54" s="1285"/>
      <c r="ATF54" s="1285"/>
      <c r="ATG54" s="1286">
        <v>40</v>
      </c>
      <c r="ATH54" s="1285"/>
      <c r="ATI54" s="1287"/>
      <c r="ATJ54" s="1286">
        <v>33</v>
      </c>
      <c r="ATK54" s="1285"/>
      <c r="ATL54" s="1287"/>
      <c r="ATM54" s="1286" t="s">
        <v>20</v>
      </c>
      <c r="ATN54" s="1285"/>
      <c r="ATO54" s="1287"/>
      <c r="ATP54" s="1286">
        <v>38</v>
      </c>
      <c r="ATQ54" s="1285"/>
      <c r="ATR54" s="1287"/>
      <c r="ATS54" s="1286">
        <v>38</v>
      </c>
      <c r="ATT54" s="1285"/>
      <c r="ATU54" s="1287"/>
      <c r="ATV54" s="1285">
        <v>37</v>
      </c>
      <c r="ATW54" s="1285"/>
      <c r="ATX54" s="1287"/>
      <c r="ATY54" s="1286">
        <v>38</v>
      </c>
      <c r="ATZ54" s="1285"/>
      <c r="AUA54" s="1285"/>
      <c r="AUB54" s="1286">
        <v>38</v>
      </c>
      <c r="AUC54" s="1285"/>
      <c r="AUD54" s="1287"/>
      <c r="AUE54" s="1286" t="s">
        <v>20</v>
      </c>
      <c r="AUF54" s="1285"/>
      <c r="AUG54" s="1287"/>
      <c r="AUH54" s="1286" t="s">
        <v>20</v>
      </c>
      <c r="AUI54" s="1285"/>
      <c r="AUJ54" s="1287"/>
      <c r="AUK54" s="1286">
        <v>37</v>
      </c>
      <c r="AUL54" s="1285"/>
      <c r="AUM54" s="1285"/>
      <c r="AUN54" s="1286">
        <v>37</v>
      </c>
      <c r="AUO54" s="1285"/>
      <c r="AUP54" s="1285"/>
      <c r="AUQ54" s="1286">
        <v>36</v>
      </c>
      <c r="AUR54" s="1285"/>
      <c r="AUS54" s="1285"/>
      <c r="AUT54" s="1286">
        <v>36</v>
      </c>
      <c r="AUU54" s="1285"/>
      <c r="AUV54" s="1285"/>
      <c r="AUW54" s="1286">
        <v>36</v>
      </c>
      <c r="AUX54" s="1285"/>
      <c r="AUY54" s="1285"/>
      <c r="AUZ54" s="1286">
        <v>34</v>
      </c>
      <c r="AVA54" s="1285"/>
      <c r="AVB54" s="1285"/>
      <c r="AVC54" s="1286">
        <v>32</v>
      </c>
      <c r="AVD54" s="1285"/>
      <c r="AVE54" s="1285"/>
      <c r="AVF54" s="1286" t="s">
        <v>20</v>
      </c>
      <c r="AVG54" s="1285"/>
      <c r="AVH54" s="1285"/>
      <c r="AVI54" s="1286" t="s">
        <v>20</v>
      </c>
      <c r="AVJ54" s="1285"/>
      <c r="AVK54" s="1285"/>
      <c r="AVL54" s="1286" t="s">
        <v>20</v>
      </c>
      <c r="AVM54" s="1285"/>
      <c r="AVN54" s="1285"/>
      <c r="AVO54" s="1286" t="s">
        <v>20</v>
      </c>
      <c r="AVP54" s="1285"/>
      <c r="AVQ54" s="1285"/>
      <c r="AVR54" s="1286" t="s">
        <v>20</v>
      </c>
      <c r="AVS54" s="1285"/>
      <c r="AVT54" s="1285"/>
      <c r="AVU54" s="1286" t="s">
        <v>20</v>
      </c>
      <c r="AVV54" s="1285"/>
      <c r="AVW54" s="1285"/>
      <c r="AVX54" s="1286" t="s">
        <v>20</v>
      </c>
      <c r="AVY54" s="1285"/>
      <c r="AVZ54" s="1285"/>
      <c r="AWA54" s="1286" t="s">
        <v>20</v>
      </c>
      <c r="AWB54" s="1285"/>
      <c r="AWC54" s="1285"/>
      <c r="AWD54" s="1286" t="s">
        <v>20</v>
      </c>
      <c r="AWE54" s="1285"/>
      <c r="AWF54" s="1285"/>
      <c r="AWG54" s="1286" t="s">
        <v>20</v>
      </c>
      <c r="AWH54" s="1285"/>
      <c r="AWI54" s="1285"/>
      <c r="AWJ54" s="1286" t="s">
        <v>20</v>
      </c>
      <c r="AWK54" s="1285"/>
      <c r="AWL54" s="1285"/>
      <c r="AWM54" s="1286" t="s">
        <v>20</v>
      </c>
      <c r="AWN54" s="1285"/>
      <c r="AWO54" s="1287"/>
      <c r="AWP54" s="1285" t="s">
        <v>20</v>
      </c>
      <c r="AWQ54" s="1285"/>
      <c r="AWR54" s="1287"/>
      <c r="AWS54" s="1286" t="s">
        <v>20</v>
      </c>
      <c r="AWT54" s="1285"/>
      <c r="AWU54" s="1287"/>
      <c r="AWV54" s="1286" t="s">
        <v>20</v>
      </c>
      <c r="AWW54" s="1285"/>
      <c r="AWX54" s="1287"/>
      <c r="AWY54" s="1286" t="s">
        <v>20</v>
      </c>
      <c r="AWZ54" s="1285"/>
      <c r="AXA54" s="1285"/>
      <c r="AXB54" s="1286" t="s">
        <v>20</v>
      </c>
      <c r="AXC54" s="1285"/>
      <c r="AXD54" s="1287"/>
      <c r="AXE54" s="1286" t="s">
        <v>20</v>
      </c>
      <c r="AXF54" s="1285"/>
      <c r="AXG54" s="1285"/>
      <c r="AXH54" s="1286" t="s">
        <v>20</v>
      </c>
      <c r="AXI54" s="1285"/>
      <c r="AXJ54" s="1287"/>
      <c r="AXK54" s="1286" t="s">
        <v>20</v>
      </c>
      <c r="AXL54" s="1285"/>
      <c r="AXM54" s="1287"/>
      <c r="AXN54" s="1286" t="s">
        <v>20</v>
      </c>
      <c r="AXO54" s="1285"/>
      <c r="AXP54" s="1287"/>
      <c r="AXQ54" s="1286" t="s">
        <v>20</v>
      </c>
      <c r="AXR54" s="1285"/>
      <c r="AXS54" s="1287"/>
      <c r="AXT54" s="1286" t="s">
        <v>20</v>
      </c>
      <c r="AXU54" s="1285"/>
      <c r="AXV54" s="1285"/>
      <c r="AXW54" s="1286" t="s">
        <v>20</v>
      </c>
      <c r="AXX54" s="1285"/>
      <c r="AXY54" s="1287"/>
      <c r="AXZ54" s="1286" t="s">
        <v>20</v>
      </c>
      <c r="AYA54" s="1285"/>
      <c r="AYB54" s="1285"/>
      <c r="AYC54" s="1286" t="s">
        <v>20</v>
      </c>
      <c r="AYD54" s="1285"/>
      <c r="AYE54" s="1287"/>
      <c r="AYF54" s="1286" t="s">
        <v>20</v>
      </c>
      <c r="AYG54" s="1285"/>
      <c r="AYH54" s="1287"/>
      <c r="AYI54" s="1286" t="s">
        <v>20</v>
      </c>
      <c r="AYJ54" s="1285"/>
      <c r="AYK54" s="1287"/>
      <c r="AYL54" s="1286" t="s">
        <v>20</v>
      </c>
      <c r="AYM54" s="1285"/>
      <c r="AYN54" s="1287"/>
      <c r="AYO54" s="1286" t="s">
        <v>20</v>
      </c>
      <c r="AYP54" s="1285"/>
      <c r="AYQ54" s="1285"/>
      <c r="AYR54" s="1286" t="s">
        <v>20</v>
      </c>
      <c r="AYS54" s="1285"/>
      <c r="AYT54" s="1287"/>
      <c r="AYU54" s="1286" t="s">
        <v>20</v>
      </c>
      <c r="AYV54" s="1285"/>
      <c r="AYW54" s="1285"/>
      <c r="AYX54" s="1286" t="s">
        <v>20</v>
      </c>
      <c r="AYY54" s="1285"/>
      <c r="AYZ54" s="1287"/>
      <c r="AZA54" s="1286" t="s">
        <v>20</v>
      </c>
      <c r="AZB54" s="1285"/>
      <c r="AZC54" s="1287"/>
      <c r="AZD54" s="1286" t="s">
        <v>20</v>
      </c>
      <c r="AZE54" s="1285"/>
      <c r="AZF54" s="1287"/>
      <c r="AZG54" s="1286" t="s">
        <v>20</v>
      </c>
      <c r="AZH54" s="1285"/>
      <c r="AZI54" s="1287"/>
      <c r="AZJ54" s="1286" t="s">
        <v>20</v>
      </c>
      <c r="AZK54" s="1285"/>
      <c r="AZL54" s="1285"/>
      <c r="AZM54" s="1286" t="s">
        <v>20</v>
      </c>
      <c r="AZN54" s="1285"/>
      <c r="AZO54" s="1287"/>
      <c r="AZP54" s="1286" t="s">
        <v>20</v>
      </c>
      <c r="AZQ54" s="1285"/>
      <c r="AZR54" s="1285"/>
      <c r="AZS54" s="1286" t="s">
        <v>20</v>
      </c>
      <c r="AZT54" s="1285"/>
      <c r="AZU54" s="1287"/>
      <c r="AZV54" s="1286" t="s">
        <v>20</v>
      </c>
      <c r="AZW54" s="1285"/>
      <c r="AZX54" s="1287"/>
      <c r="AZY54" s="1286" t="s">
        <v>20</v>
      </c>
      <c r="AZZ54" s="1285"/>
      <c r="BAA54" s="1287"/>
      <c r="BAB54" s="1286" t="s">
        <v>20</v>
      </c>
      <c r="BAC54" s="1285"/>
      <c r="BAD54" s="1287"/>
      <c r="BAE54" s="1286" t="s">
        <v>20</v>
      </c>
      <c r="BAF54" s="1285"/>
      <c r="BAG54" s="1285"/>
      <c r="BAH54" s="1286" t="s">
        <v>20</v>
      </c>
      <c r="BAI54" s="1285"/>
      <c r="BAJ54" s="1287"/>
    </row>
    <row r="55" spans="1:1388" s="7" customFormat="1" ht="13.5" customHeight="1">
      <c r="A55" s="16"/>
      <c r="B55" s="788" t="s">
        <v>377</v>
      </c>
      <c r="C55" s="789"/>
      <c r="D55" s="790" t="s">
        <v>378</v>
      </c>
      <c r="E55" s="759" t="s">
        <v>336</v>
      </c>
      <c r="F55" s="1297"/>
      <c r="G55" s="1297"/>
      <c r="H55" s="1348"/>
      <c r="I55" s="1296"/>
      <c r="J55" s="1297"/>
      <c r="K55" s="1348"/>
      <c r="L55" s="1296"/>
      <c r="M55" s="1297"/>
      <c r="N55" s="1348"/>
      <c r="O55" s="1296"/>
      <c r="P55" s="1297"/>
      <c r="Q55" s="1348"/>
      <c r="R55" s="1296"/>
      <c r="S55" s="1297"/>
      <c r="T55" s="1348"/>
      <c r="U55" s="791"/>
      <c r="V55" s="792"/>
      <c r="W55" s="793"/>
      <c r="X55" s="791"/>
      <c r="Y55" s="792"/>
      <c r="Z55" s="793"/>
      <c r="AA55" s="791"/>
      <c r="AB55" s="792"/>
      <c r="AC55" s="793"/>
      <c r="AD55" s="791"/>
      <c r="AE55" s="792"/>
      <c r="AF55" s="793"/>
      <c r="AG55" s="791"/>
      <c r="AH55" s="792"/>
      <c r="AI55" s="793"/>
      <c r="AJ55" s="791"/>
      <c r="AK55" s="792"/>
      <c r="AL55" s="793"/>
      <c r="AM55" s="791"/>
      <c r="AN55" s="792"/>
      <c r="AO55" s="793"/>
      <c r="AP55" s="791"/>
      <c r="AQ55" s="792"/>
      <c r="AR55" s="793"/>
      <c r="AS55" s="791"/>
      <c r="AT55" s="792"/>
      <c r="AU55" s="793"/>
      <c r="AV55" s="791"/>
      <c r="AW55" s="792"/>
      <c r="AX55" s="793"/>
      <c r="AY55" s="791"/>
      <c r="AZ55" s="792"/>
      <c r="BA55" s="793"/>
      <c r="BB55" s="791"/>
      <c r="BC55" s="792"/>
      <c r="BD55" s="793"/>
      <c r="BE55" s="791"/>
      <c r="BF55" s="792"/>
      <c r="BG55" s="793"/>
      <c r="BH55" s="794"/>
      <c r="BI55" s="794"/>
      <c r="BJ55" s="795"/>
      <c r="BK55" s="791"/>
      <c r="BL55" s="792"/>
      <c r="BM55" s="793"/>
      <c r="BN55" s="791"/>
      <c r="BO55" s="792"/>
      <c r="BP55" s="793"/>
      <c r="BQ55" s="791"/>
      <c r="BR55" s="792"/>
      <c r="BS55" s="793"/>
      <c r="BT55" s="791"/>
      <c r="BU55" s="792"/>
      <c r="BV55" s="793"/>
      <c r="BW55" s="791"/>
      <c r="BX55" s="792"/>
      <c r="BY55" s="793"/>
      <c r="BZ55" s="1296">
        <v>36</v>
      </c>
      <c r="CA55" s="1297"/>
      <c r="CB55" s="1348"/>
      <c r="CC55" s="1296">
        <v>39</v>
      </c>
      <c r="CD55" s="1297"/>
      <c r="CE55" s="1348"/>
      <c r="CF55" s="1296">
        <v>39</v>
      </c>
      <c r="CG55" s="1297"/>
      <c r="CH55" s="1348"/>
      <c r="CI55" s="1296">
        <v>38</v>
      </c>
      <c r="CJ55" s="1297"/>
      <c r="CK55" s="1348"/>
      <c r="CL55" s="1296">
        <v>37</v>
      </c>
      <c r="CM55" s="1297"/>
      <c r="CN55" s="1348"/>
      <c r="CO55" s="1296">
        <v>20</v>
      </c>
      <c r="CP55" s="1297"/>
      <c r="CQ55" s="1348"/>
      <c r="CR55" s="1296">
        <v>19</v>
      </c>
      <c r="CS55" s="1297"/>
      <c r="CT55" s="1348"/>
      <c r="CU55" s="1296">
        <v>33</v>
      </c>
      <c r="CV55" s="1297"/>
      <c r="CW55" s="1348"/>
      <c r="CX55" s="1296">
        <v>32</v>
      </c>
      <c r="CY55" s="1297"/>
      <c r="CZ55" s="1348"/>
      <c r="DA55" s="1296">
        <v>38</v>
      </c>
      <c r="DB55" s="1297"/>
      <c r="DC55" s="1348"/>
      <c r="DD55" s="1296">
        <v>37</v>
      </c>
      <c r="DE55" s="1297"/>
      <c r="DF55" s="1348"/>
      <c r="DG55" s="1296">
        <v>37</v>
      </c>
      <c r="DH55" s="1297"/>
      <c r="DI55" s="1348"/>
      <c r="DJ55" s="1296">
        <v>22</v>
      </c>
      <c r="DK55" s="1297"/>
      <c r="DL55" s="1348"/>
      <c r="DM55" s="1296" t="s">
        <v>20</v>
      </c>
      <c r="DN55" s="1297"/>
      <c r="DO55" s="1348"/>
      <c r="DP55" s="1296">
        <v>38</v>
      </c>
      <c r="DQ55" s="1297"/>
      <c r="DR55" s="1348"/>
      <c r="DS55" s="1296">
        <v>39</v>
      </c>
      <c r="DT55" s="1297"/>
      <c r="DU55" s="1348"/>
      <c r="DV55" s="1296">
        <v>40</v>
      </c>
      <c r="DW55" s="1297"/>
      <c r="DX55" s="1348"/>
      <c r="DY55" s="1296">
        <v>40</v>
      </c>
      <c r="DZ55" s="1297"/>
      <c r="EA55" s="1348"/>
      <c r="EB55" s="1296">
        <v>40</v>
      </c>
      <c r="EC55" s="1297"/>
      <c r="ED55" s="1348"/>
      <c r="EE55" s="1296">
        <v>26</v>
      </c>
      <c r="EF55" s="1297"/>
      <c r="EG55" s="1348"/>
      <c r="EH55" s="791"/>
      <c r="EI55" s="792"/>
      <c r="EJ55" s="793"/>
      <c r="EK55" s="1296">
        <v>35</v>
      </c>
      <c r="EL55" s="1297"/>
      <c r="EM55" s="1348"/>
      <c r="EN55" s="1296">
        <v>35</v>
      </c>
      <c r="EO55" s="1297"/>
      <c r="EP55" s="1348"/>
      <c r="EQ55" s="1296">
        <v>36</v>
      </c>
      <c r="ER55" s="1297"/>
      <c r="ES55" s="1348"/>
      <c r="ET55" s="1296">
        <v>37</v>
      </c>
      <c r="EU55" s="1297"/>
      <c r="EV55" s="1348"/>
      <c r="EW55" s="1296">
        <v>36</v>
      </c>
      <c r="EX55" s="1297"/>
      <c r="EY55" s="1348"/>
      <c r="EZ55" s="1296">
        <v>18</v>
      </c>
      <c r="FA55" s="1297"/>
      <c r="FB55" s="1348"/>
      <c r="FC55" s="1296">
        <v>26</v>
      </c>
      <c r="FD55" s="1297"/>
      <c r="FE55" s="1348"/>
      <c r="FF55" s="1296">
        <v>32</v>
      </c>
      <c r="FG55" s="1297"/>
      <c r="FH55" s="1348"/>
      <c r="FI55" s="1296">
        <v>35</v>
      </c>
      <c r="FJ55" s="1297"/>
      <c r="FK55" s="1348"/>
      <c r="FL55" s="1296">
        <v>37</v>
      </c>
      <c r="FM55" s="1297"/>
      <c r="FN55" s="1348"/>
      <c r="FO55" s="1296">
        <v>37</v>
      </c>
      <c r="FP55" s="1297"/>
      <c r="FQ55" s="1348"/>
      <c r="FR55" s="1296">
        <v>35</v>
      </c>
      <c r="FS55" s="1297"/>
      <c r="FT55" s="1348"/>
      <c r="FU55" s="1296">
        <v>16</v>
      </c>
      <c r="FV55" s="1297"/>
      <c r="FW55" s="1348"/>
      <c r="FX55" s="1296">
        <v>25</v>
      </c>
      <c r="FY55" s="1297"/>
      <c r="FZ55" s="1348"/>
      <c r="GA55" s="1296">
        <v>41</v>
      </c>
      <c r="GB55" s="1297"/>
      <c r="GC55" s="1348"/>
      <c r="GD55" s="1296">
        <v>41</v>
      </c>
      <c r="GE55" s="1297"/>
      <c r="GF55" s="1348"/>
      <c r="GG55" s="1296">
        <v>36</v>
      </c>
      <c r="GH55" s="1297"/>
      <c r="GI55" s="1348"/>
      <c r="GJ55" s="1296">
        <v>40</v>
      </c>
      <c r="GK55" s="1297"/>
      <c r="GL55" s="1348"/>
      <c r="GM55" s="1296">
        <v>42</v>
      </c>
      <c r="GN55" s="1297"/>
      <c r="GO55" s="1348"/>
      <c r="GP55" s="1296" t="s">
        <v>20</v>
      </c>
      <c r="GQ55" s="1297"/>
      <c r="GR55" s="1348"/>
      <c r="GS55" s="1296">
        <v>24</v>
      </c>
      <c r="GT55" s="1297"/>
      <c r="GU55" s="1348"/>
      <c r="GV55" s="1296">
        <v>43</v>
      </c>
      <c r="GW55" s="1297"/>
      <c r="GX55" s="1348"/>
      <c r="GY55" s="1296">
        <v>43</v>
      </c>
      <c r="GZ55" s="1297"/>
      <c r="HA55" s="1348"/>
      <c r="HB55" s="1296">
        <v>43</v>
      </c>
      <c r="HC55" s="1297"/>
      <c r="HD55" s="1348"/>
      <c r="HE55" s="1296">
        <v>43</v>
      </c>
      <c r="HF55" s="1297"/>
      <c r="HG55" s="1348"/>
      <c r="HH55" s="1296">
        <v>40</v>
      </c>
      <c r="HI55" s="1297"/>
      <c r="HJ55" s="1348"/>
      <c r="HK55" s="1296">
        <v>20</v>
      </c>
      <c r="HL55" s="1297"/>
      <c r="HM55" s="1348"/>
      <c r="HN55" s="1296">
        <v>24</v>
      </c>
      <c r="HO55" s="1297"/>
      <c r="HP55" s="1348"/>
      <c r="HQ55" s="1296">
        <v>41</v>
      </c>
      <c r="HR55" s="1297"/>
      <c r="HS55" s="1348"/>
      <c r="HT55" s="1296">
        <v>40</v>
      </c>
      <c r="HU55" s="1297"/>
      <c r="HV55" s="1348"/>
      <c r="HW55" s="1296">
        <v>39</v>
      </c>
      <c r="HX55" s="1297"/>
      <c r="HY55" s="1348"/>
      <c r="HZ55" s="1296">
        <v>40</v>
      </c>
      <c r="IA55" s="1297"/>
      <c r="IB55" s="1348"/>
      <c r="IC55" s="1296">
        <v>0</v>
      </c>
      <c r="ID55" s="1297"/>
      <c r="IE55" s="1348"/>
      <c r="IF55" s="1296">
        <v>0</v>
      </c>
      <c r="IG55" s="1297"/>
      <c r="IH55" s="1348"/>
      <c r="II55" s="1296">
        <v>0</v>
      </c>
      <c r="IJ55" s="1297"/>
      <c r="IK55" s="1348"/>
      <c r="IL55" s="1296">
        <v>40</v>
      </c>
      <c r="IM55" s="1297"/>
      <c r="IN55" s="1348"/>
      <c r="IO55" s="1296">
        <v>42</v>
      </c>
      <c r="IP55" s="1297"/>
      <c r="IQ55" s="1348"/>
      <c r="IR55" s="1296">
        <v>42</v>
      </c>
      <c r="IS55" s="1297"/>
      <c r="IT55" s="1348"/>
      <c r="IU55" s="1296">
        <v>39</v>
      </c>
      <c r="IV55" s="1297"/>
      <c r="IW55" s="1348"/>
      <c r="IX55" s="1296">
        <v>42</v>
      </c>
      <c r="IY55" s="1297"/>
      <c r="IZ55" s="1348"/>
      <c r="JA55" s="1296">
        <v>27</v>
      </c>
      <c r="JB55" s="1297"/>
      <c r="JC55" s="1348"/>
      <c r="JD55" s="1296">
        <v>30</v>
      </c>
      <c r="JE55" s="1297"/>
      <c r="JF55" s="1348"/>
      <c r="JG55" s="1296">
        <v>41</v>
      </c>
      <c r="JH55" s="1297"/>
      <c r="JI55" s="1348"/>
      <c r="JJ55" s="1296">
        <v>41</v>
      </c>
      <c r="JK55" s="1297"/>
      <c r="JL55" s="1348"/>
      <c r="JM55" s="1296">
        <v>40</v>
      </c>
      <c r="JN55" s="1297"/>
      <c r="JO55" s="1348"/>
      <c r="JP55" s="1296" t="s">
        <v>20</v>
      </c>
      <c r="JQ55" s="1297"/>
      <c r="JR55" s="1348"/>
      <c r="JS55" s="1296">
        <v>38</v>
      </c>
      <c r="JT55" s="1297"/>
      <c r="JU55" s="1348"/>
      <c r="JV55" s="1296">
        <v>27</v>
      </c>
      <c r="JW55" s="1297"/>
      <c r="JX55" s="1348"/>
      <c r="JY55" s="1296">
        <v>0</v>
      </c>
      <c r="JZ55" s="1297"/>
      <c r="KA55" s="1348"/>
      <c r="KB55" s="1296">
        <v>40</v>
      </c>
      <c r="KC55" s="1297"/>
      <c r="KD55" s="1348"/>
      <c r="KE55" s="1296">
        <v>35</v>
      </c>
      <c r="KF55" s="1297"/>
      <c r="KG55" s="1348"/>
      <c r="KH55" s="1296">
        <v>41</v>
      </c>
      <c r="KI55" s="1297"/>
      <c r="KJ55" s="1348"/>
      <c r="KK55" s="1296">
        <v>41</v>
      </c>
      <c r="KL55" s="1297"/>
      <c r="KM55" s="1348"/>
      <c r="KN55" s="1296">
        <v>40</v>
      </c>
      <c r="KO55" s="1297"/>
      <c r="KP55" s="1348"/>
      <c r="KQ55" s="1296">
        <v>33</v>
      </c>
      <c r="KR55" s="1297"/>
      <c r="KS55" s="1348"/>
      <c r="KT55" s="1296">
        <v>23</v>
      </c>
      <c r="KU55" s="1297"/>
      <c r="KV55" s="1348"/>
      <c r="KW55" s="1296">
        <v>40</v>
      </c>
      <c r="KX55" s="1297"/>
      <c r="KY55" s="1348"/>
      <c r="KZ55" s="1296">
        <v>39</v>
      </c>
      <c r="LA55" s="1297"/>
      <c r="LB55" s="1348"/>
      <c r="LC55" s="1296">
        <v>40</v>
      </c>
      <c r="LD55" s="1297"/>
      <c r="LE55" s="1348"/>
      <c r="LF55" s="1296">
        <v>41</v>
      </c>
      <c r="LG55" s="1297"/>
      <c r="LH55" s="1348"/>
      <c r="LI55" s="1296">
        <v>39</v>
      </c>
      <c r="LJ55" s="1297"/>
      <c r="LK55" s="1348"/>
      <c r="LL55" s="1296">
        <v>0</v>
      </c>
      <c r="LM55" s="1297"/>
      <c r="LN55" s="1348"/>
      <c r="LO55" s="1296">
        <v>0</v>
      </c>
      <c r="LP55" s="1297"/>
      <c r="LQ55" s="1348"/>
      <c r="LR55" s="1296">
        <v>39</v>
      </c>
      <c r="LS55" s="1297"/>
      <c r="LT55" s="1348"/>
      <c r="LU55" s="1296">
        <v>39</v>
      </c>
      <c r="LV55" s="1297"/>
      <c r="LW55" s="1348"/>
      <c r="LX55" s="1296">
        <v>40</v>
      </c>
      <c r="LY55" s="1297"/>
      <c r="LZ55" s="1348"/>
      <c r="MA55" s="1296">
        <v>41</v>
      </c>
      <c r="MB55" s="1297"/>
      <c r="MC55" s="1348"/>
      <c r="MD55" s="1296">
        <v>39</v>
      </c>
      <c r="ME55" s="1297"/>
      <c r="MF55" s="1348"/>
      <c r="MG55" s="1296">
        <v>27</v>
      </c>
      <c r="MH55" s="1297"/>
      <c r="MI55" s="1348"/>
      <c r="MJ55" s="1296" t="s">
        <v>20</v>
      </c>
      <c r="MK55" s="1297"/>
      <c r="ML55" s="1348"/>
      <c r="MM55" s="1296">
        <v>40</v>
      </c>
      <c r="MN55" s="1297"/>
      <c r="MO55" s="1348"/>
      <c r="MP55" s="791"/>
      <c r="MQ55" s="792">
        <v>40</v>
      </c>
      <c r="MR55" s="793"/>
      <c r="MS55" s="791"/>
      <c r="MT55" s="792">
        <v>40</v>
      </c>
      <c r="MU55" s="793"/>
      <c r="MV55" s="1296">
        <v>39</v>
      </c>
      <c r="MW55" s="1297"/>
      <c r="MX55" s="1348"/>
      <c r="MY55" s="1296">
        <v>38</v>
      </c>
      <c r="MZ55" s="1297"/>
      <c r="NA55" s="1348"/>
      <c r="NB55" s="791"/>
      <c r="NC55" s="792">
        <v>0</v>
      </c>
      <c r="ND55" s="793"/>
      <c r="NE55" s="1296" t="s">
        <v>20</v>
      </c>
      <c r="NF55" s="1297"/>
      <c r="NG55" s="1348"/>
      <c r="NH55" s="1296">
        <v>38</v>
      </c>
      <c r="NI55" s="1297"/>
      <c r="NJ55" s="1348"/>
      <c r="NK55" s="1296">
        <v>37</v>
      </c>
      <c r="NL55" s="1297"/>
      <c r="NM55" s="1348"/>
      <c r="NN55" s="1296">
        <v>35</v>
      </c>
      <c r="NO55" s="1297"/>
      <c r="NP55" s="1348"/>
      <c r="NQ55" s="1296">
        <v>36</v>
      </c>
      <c r="NR55" s="1297"/>
      <c r="NS55" s="1348"/>
      <c r="NT55" s="1296">
        <v>36</v>
      </c>
      <c r="NU55" s="1297"/>
      <c r="NV55" s="1348"/>
      <c r="NW55" s="1296" t="s">
        <v>20</v>
      </c>
      <c r="NX55" s="1297"/>
      <c r="NY55" s="1348"/>
      <c r="NZ55" s="1296" t="s">
        <v>20</v>
      </c>
      <c r="OA55" s="1297"/>
      <c r="OB55" s="1348"/>
      <c r="OC55" s="1296" t="s">
        <v>20</v>
      </c>
      <c r="OD55" s="1297"/>
      <c r="OE55" s="1348"/>
      <c r="OF55" s="1296">
        <v>38</v>
      </c>
      <c r="OG55" s="1297"/>
      <c r="OH55" s="1348"/>
      <c r="OI55" s="1296">
        <v>38</v>
      </c>
      <c r="OJ55" s="1297"/>
      <c r="OK55" s="1348"/>
      <c r="OL55" s="1296">
        <v>36</v>
      </c>
      <c r="OM55" s="1297"/>
      <c r="ON55" s="1348"/>
      <c r="OO55" s="1296">
        <v>40</v>
      </c>
      <c r="OP55" s="1297"/>
      <c r="OQ55" s="1348"/>
      <c r="OR55" s="1296" t="s">
        <v>20</v>
      </c>
      <c r="OS55" s="1297"/>
      <c r="OT55" s="1348"/>
      <c r="OU55" s="1296" t="s">
        <v>20</v>
      </c>
      <c r="OV55" s="1297"/>
      <c r="OW55" s="1348"/>
      <c r="OX55" s="1296" t="s">
        <v>20</v>
      </c>
      <c r="OY55" s="1297"/>
      <c r="OZ55" s="1348"/>
      <c r="PA55" s="1296">
        <v>41</v>
      </c>
      <c r="PB55" s="1297"/>
      <c r="PC55" s="1348"/>
      <c r="PD55" s="1296">
        <v>41</v>
      </c>
      <c r="PE55" s="1297"/>
      <c r="PF55" s="1348"/>
      <c r="PG55" s="1296">
        <v>41</v>
      </c>
      <c r="PH55" s="1297"/>
      <c r="PI55" s="1348"/>
      <c r="PJ55" s="1296" t="s">
        <v>20</v>
      </c>
      <c r="PK55" s="1297"/>
      <c r="PL55" s="1348"/>
      <c r="PM55" s="1296" t="s">
        <v>20</v>
      </c>
      <c r="PN55" s="1297"/>
      <c r="PO55" s="1348"/>
      <c r="PP55" s="1296" t="s">
        <v>20</v>
      </c>
      <c r="PQ55" s="1297"/>
      <c r="PR55" s="1348"/>
      <c r="PS55" s="1296">
        <v>41</v>
      </c>
      <c r="PT55" s="1297"/>
      <c r="PU55" s="1348"/>
      <c r="PV55" s="1296">
        <v>0</v>
      </c>
      <c r="PW55" s="1297"/>
      <c r="PX55" s="1348"/>
      <c r="PY55" s="1296">
        <v>40</v>
      </c>
      <c r="PZ55" s="1297"/>
      <c r="QA55" s="1348"/>
      <c r="QB55" s="1296">
        <v>41</v>
      </c>
      <c r="QC55" s="1297"/>
      <c r="QD55" s="1348"/>
      <c r="QE55" s="1296">
        <v>39</v>
      </c>
      <c r="QF55" s="1297"/>
      <c r="QG55" s="1348"/>
      <c r="QH55" s="1296">
        <v>32</v>
      </c>
      <c r="QI55" s="1297"/>
      <c r="QJ55" s="1348"/>
      <c r="QK55" s="1296" t="s">
        <v>20</v>
      </c>
      <c r="QL55" s="1297"/>
      <c r="QM55" s="1348"/>
      <c r="QN55" s="1296">
        <v>38</v>
      </c>
      <c r="QO55" s="1297"/>
      <c r="QP55" s="1348"/>
      <c r="QQ55" s="1296">
        <v>38</v>
      </c>
      <c r="QR55" s="1297"/>
      <c r="QS55" s="1348"/>
      <c r="QT55" s="1296">
        <v>38</v>
      </c>
      <c r="QU55" s="1297"/>
      <c r="QV55" s="1348"/>
      <c r="QW55" s="1296">
        <v>36</v>
      </c>
      <c r="QX55" s="1297"/>
      <c r="QY55" s="1348"/>
      <c r="QZ55" s="1296">
        <v>37</v>
      </c>
      <c r="RA55" s="1297"/>
      <c r="RB55" s="1348"/>
      <c r="RC55" s="1296" t="s">
        <v>20</v>
      </c>
      <c r="RD55" s="1297"/>
      <c r="RE55" s="1348"/>
      <c r="RF55" s="1296" t="s">
        <v>20</v>
      </c>
      <c r="RG55" s="1297"/>
      <c r="RH55" s="1348"/>
      <c r="RI55" s="1296">
        <v>34</v>
      </c>
      <c r="RJ55" s="1297"/>
      <c r="RK55" s="1348"/>
      <c r="RL55" s="1296">
        <v>37</v>
      </c>
      <c r="RM55" s="1297"/>
      <c r="RN55" s="1348"/>
      <c r="RO55" s="1296">
        <v>36</v>
      </c>
      <c r="RP55" s="1297"/>
      <c r="RQ55" s="1348"/>
      <c r="RR55" s="1296">
        <v>35</v>
      </c>
      <c r="RS55" s="1297"/>
      <c r="RT55" s="1348"/>
      <c r="RU55" s="1296">
        <v>34</v>
      </c>
      <c r="RV55" s="1297"/>
      <c r="RW55" s="1348"/>
      <c r="RX55" s="1296" t="s">
        <v>20</v>
      </c>
      <c r="RY55" s="1297"/>
      <c r="RZ55" s="1348"/>
      <c r="SA55" s="1296" t="s">
        <v>20</v>
      </c>
      <c r="SB55" s="1297"/>
      <c r="SC55" s="1348"/>
      <c r="SD55" s="1296" t="s">
        <v>20</v>
      </c>
      <c r="SE55" s="1297"/>
      <c r="SF55" s="1348"/>
      <c r="SG55" s="1296">
        <v>39</v>
      </c>
      <c r="SH55" s="1297"/>
      <c r="SI55" s="1348"/>
      <c r="SJ55" s="1296">
        <v>38</v>
      </c>
      <c r="SK55" s="1297"/>
      <c r="SL55" s="1348"/>
      <c r="SM55" s="1296">
        <v>37</v>
      </c>
      <c r="SN55" s="1297"/>
      <c r="SO55" s="1348"/>
      <c r="SP55" s="1296">
        <v>38</v>
      </c>
      <c r="SQ55" s="1297"/>
      <c r="SR55" s="1348"/>
      <c r="SS55" s="1296">
        <v>32</v>
      </c>
      <c r="ST55" s="1297"/>
      <c r="SU55" s="1348"/>
      <c r="SV55" s="1296">
        <v>27</v>
      </c>
      <c r="SW55" s="1297"/>
      <c r="SX55" s="1348"/>
      <c r="SY55" s="1296">
        <v>36</v>
      </c>
      <c r="SZ55" s="1297"/>
      <c r="TA55" s="1348"/>
      <c r="TB55" s="1296">
        <v>35</v>
      </c>
      <c r="TC55" s="1297"/>
      <c r="TD55" s="1348"/>
      <c r="TE55" s="1296">
        <v>36</v>
      </c>
      <c r="TF55" s="1297"/>
      <c r="TG55" s="1348"/>
      <c r="TH55" s="1296">
        <v>36</v>
      </c>
      <c r="TI55" s="1297"/>
      <c r="TJ55" s="1348"/>
      <c r="TK55" s="1296">
        <v>35</v>
      </c>
      <c r="TL55" s="1297"/>
      <c r="TM55" s="1348"/>
      <c r="TN55" s="1296">
        <v>30</v>
      </c>
      <c r="TO55" s="1297"/>
      <c r="TP55" s="1348"/>
      <c r="TQ55" s="1296">
        <v>25</v>
      </c>
      <c r="TR55" s="1297"/>
      <c r="TS55" s="1348"/>
      <c r="TT55" s="1296">
        <v>37</v>
      </c>
      <c r="TU55" s="1297"/>
      <c r="TV55" s="1348"/>
      <c r="TW55" s="1296">
        <v>37</v>
      </c>
      <c r="TX55" s="1297"/>
      <c r="TY55" s="1348"/>
      <c r="TZ55" s="1395">
        <v>37</v>
      </c>
      <c r="UA55" s="1396"/>
      <c r="UB55" s="1397"/>
      <c r="UC55" s="1395">
        <v>37</v>
      </c>
      <c r="UD55" s="1396"/>
      <c r="UE55" s="1397"/>
      <c r="UF55" s="1395">
        <v>36</v>
      </c>
      <c r="UG55" s="1396"/>
      <c r="UH55" s="1397"/>
      <c r="UI55" s="1296" t="s">
        <v>20</v>
      </c>
      <c r="UJ55" s="1297"/>
      <c r="UK55" s="1348"/>
      <c r="UL55" s="1296" t="s">
        <v>20</v>
      </c>
      <c r="UM55" s="1297"/>
      <c r="UN55" s="1348"/>
      <c r="UO55" s="1296">
        <v>35</v>
      </c>
      <c r="UP55" s="1297"/>
      <c r="UQ55" s="1348"/>
      <c r="UR55" s="1296">
        <v>38</v>
      </c>
      <c r="US55" s="1297"/>
      <c r="UT55" s="1348"/>
      <c r="UU55" s="1296">
        <v>38</v>
      </c>
      <c r="UV55" s="1297"/>
      <c r="UW55" s="1348"/>
      <c r="UX55" s="1296">
        <v>37</v>
      </c>
      <c r="UY55" s="1297"/>
      <c r="UZ55" s="1348"/>
      <c r="VA55" s="1296">
        <v>38</v>
      </c>
      <c r="VB55" s="1297"/>
      <c r="VC55" s="1348"/>
      <c r="VD55" s="1296" t="s">
        <v>20</v>
      </c>
      <c r="VE55" s="1297"/>
      <c r="VF55" s="1348"/>
      <c r="VG55" s="1296" t="s">
        <v>20</v>
      </c>
      <c r="VH55" s="1297"/>
      <c r="VI55" s="1348"/>
      <c r="VJ55" s="1296">
        <v>37</v>
      </c>
      <c r="VK55" s="1297"/>
      <c r="VL55" s="1348"/>
      <c r="VM55" s="1296">
        <v>37</v>
      </c>
      <c r="VN55" s="1297"/>
      <c r="VO55" s="1348"/>
      <c r="VP55" s="1296">
        <v>37</v>
      </c>
      <c r="VQ55" s="1297"/>
      <c r="VR55" s="1348"/>
      <c r="VS55" s="1296">
        <v>37</v>
      </c>
      <c r="VT55" s="1297"/>
      <c r="VU55" s="1348"/>
      <c r="VV55" s="1296">
        <v>37</v>
      </c>
      <c r="VW55" s="1297"/>
      <c r="VX55" s="1348"/>
      <c r="VY55" s="1296" t="s">
        <v>20</v>
      </c>
      <c r="VZ55" s="1297"/>
      <c r="WA55" s="1348"/>
      <c r="WB55" s="1296" t="s">
        <v>20</v>
      </c>
      <c r="WC55" s="1297"/>
      <c r="WD55" s="1348"/>
      <c r="WE55" s="1296">
        <v>37</v>
      </c>
      <c r="WF55" s="1297"/>
      <c r="WG55" s="1348"/>
      <c r="WH55" s="1296">
        <v>37</v>
      </c>
      <c r="WI55" s="1297"/>
      <c r="WJ55" s="1348"/>
      <c r="WK55" s="1296">
        <v>38</v>
      </c>
      <c r="WL55" s="1297"/>
      <c r="WM55" s="1348"/>
      <c r="WN55" s="1296">
        <v>38</v>
      </c>
      <c r="WO55" s="1297"/>
      <c r="WP55" s="1348"/>
      <c r="WQ55" s="1384">
        <v>38</v>
      </c>
      <c r="WR55" s="1385"/>
      <c r="WS55" s="1386"/>
      <c r="WT55" s="1296" t="s">
        <v>20</v>
      </c>
      <c r="WU55" s="1297"/>
      <c r="WV55" s="1348"/>
      <c r="WW55" s="1296" t="s">
        <v>20</v>
      </c>
      <c r="WX55" s="1297"/>
      <c r="WY55" s="1348"/>
      <c r="WZ55" s="1296">
        <v>38</v>
      </c>
      <c r="XA55" s="1297"/>
      <c r="XB55" s="1348"/>
      <c r="XC55" s="1296">
        <v>38</v>
      </c>
      <c r="XD55" s="1297"/>
      <c r="XE55" s="1348"/>
      <c r="XF55" s="1296">
        <v>38</v>
      </c>
      <c r="XG55" s="1297"/>
      <c r="XH55" s="1348"/>
      <c r="XI55" s="1296">
        <v>38</v>
      </c>
      <c r="XJ55" s="1297"/>
      <c r="XK55" s="1348"/>
      <c r="XL55" s="1384">
        <v>38</v>
      </c>
      <c r="XM55" s="1385"/>
      <c r="XN55" s="1386"/>
      <c r="XO55" s="1296" t="s">
        <v>20</v>
      </c>
      <c r="XP55" s="1297"/>
      <c r="XQ55" s="1348"/>
      <c r="XR55" s="1296" t="s">
        <v>20</v>
      </c>
      <c r="XS55" s="1297"/>
      <c r="XT55" s="1348"/>
      <c r="XU55" s="1296">
        <v>35</v>
      </c>
      <c r="XV55" s="1297"/>
      <c r="XW55" s="1348"/>
      <c r="XX55" s="1296">
        <v>36</v>
      </c>
      <c r="XY55" s="1297"/>
      <c r="XZ55" s="1348"/>
      <c r="YA55" s="1296">
        <v>36</v>
      </c>
      <c r="YB55" s="1297"/>
      <c r="YC55" s="1348"/>
      <c r="YD55" s="1296">
        <v>35</v>
      </c>
      <c r="YE55" s="1297"/>
      <c r="YF55" s="1348"/>
      <c r="YG55" s="1296">
        <v>34</v>
      </c>
      <c r="YH55" s="1297"/>
      <c r="YI55" s="1348"/>
      <c r="YJ55" s="1296" t="s">
        <v>20</v>
      </c>
      <c r="YK55" s="1297"/>
      <c r="YL55" s="1348"/>
      <c r="YM55" s="1296" t="s">
        <v>20</v>
      </c>
      <c r="YN55" s="1297"/>
      <c r="YO55" s="1348"/>
      <c r="YP55" s="1296">
        <v>36</v>
      </c>
      <c r="YQ55" s="1297"/>
      <c r="YR55" s="1348"/>
      <c r="YS55" s="1296">
        <v>37</v>
      </c>
      <c r="YT55" s="1297"/>
      <c r="YU55" s="1348"/>
      <c r="YV55" s="1296">
        <v>37</v>
      </c>
      <c r="YW55" s="1297"/>
      <c r="YX55" s="1348"/>
      <c r="YY55" s="1296">
        <v>36</v>
      </c>
      <c r="YZ55" s="1297"/>
      <c r="ZA55" s="1348"/>
      <c r="ZB55" s="1296">
        <v>36</v>
      </c>
      <c r="ZC55" s="1297"/>
      <c r="ZD55" s="1348"/>
      <c r="ZE55" s="1296" t="s">
        <v>20</v>
      </c>
      <c r="ZF55" s="1297"/>
      <c r="ZG55" s="1348"/>
      <c r="ZH55" s="1296" t="s">
        <v>20</v>
      </c>
      <c r="ZI55" s="1297"/>
      <c r="ZJ55" s="1348"/>
      <c r="ZK55" s="1296">
        <v>34</v>
      </c>
      <c r="ZL55" s="1297"/>
      <c r="ZM55" s="1348"/>
      <c r="ZN55" s="1296">
        <v>35</v>
      </c>
      <c r="ZO55" s="1297"/>
      <c r="ZP55" s="1348"/>
      <c r="ZQ55" s="1296">
        <v>35</v>
      </c>
      <c r="ZR55" s="1297"/>
      <c r="ZS55" s="1348"/>
      <c r="ZT55" s="1296">
        <v>35</v>
      </c>
      <c r="ZU55" s="1297"/>
      <c r="ZV55" s="1348"/>
      <c r="ZW55" s="1296">
        <v>35</v>
      </c>
      <c r="ZX55" s="1297"/>
      <c r="ZY55" s="1348"/>
      <c r="ZZ55" s="1296">
        <v>24</v>
      </c>
      <c r="AAA55" s="1297"/>
      <c r="AAB55" s="1348"/>
      <c r="AAC55" s="1296" t="s">
        <v>20</v>
      </c>
      <c r="AAD55" s="1297"/>
      <c r="AAE55" s="1348"/>
      <c r="AAF55" s="1296">
        <v>34</v>
      </c>
      <c r="AAG55" s="1297"/>
      <c r="AAH55" s="1348"/>
      <c r="AAI55" s="1296">
        <v>35</v>
      </c>
      <c r="AAJ55" s="1297"/>
      <c r="AAK55" s="1348"/>
      <c r="AAL55" s="1296">
        <v>33</v>
      </c>
      <c r="AAM55" s="1297"/>
      <c r="AAN55" s="1348"/>
      <c r="AAO55" s="1296">
        <v>32</v>
      </c>
      <c r="AAP55" s="1297"/>
      <c r="AAQ55" s="1348"/>
      <c r="AAR55" s="1296">
        <v>33</v>
      </c>
      <c r="AAS55" s="1297"/>
      <c r="AAT55" s="1348"/>
      <c r="AAU55" s="1296">
        <v>21</v>
      </c>
      <c r="AAV55" s="1297"/>
      <c r="AAW55" s="1348"/>
      <c r="AAX55" s="1296" t="s">
        <v>20</v>
      </c>
      <c r="AAY55" s="1297"/>
      <c r="AAZ55" s="1348"/>
      <c r="ABA55" s="1296">
        <v>35</v>
      </c>
      <c r="ABB55" s="1297"/>
      <c r="ABC55" s="1348"/>
      <c r="ABD55" s="1296">
        <v>36</v>
      </c>
      <c r="ABE55" s="1297"/>
      <c r="ABF55" s="1348"/>
      <c r="ABG55" s="1296">
        <v>35</v>
      </c>
      <c r="ABH55" s="1297"/>
      <c r="ABI55" s="1348"/>
      <c r="ABJ55" s="1296">
        <v>36</v>
      </c>
      <c r="ABK55" s="1297"/>
      <c r="ABL55" s="1348"/>
      <c r="ABM55" s="1296">
        <v>35</v>
      </c>
      <c r="ABN55" s="1297"/>
      <c r="ABO55" s="1348"/>
      <c r="ABP55" s="1296">
        <v>26</v>
      </c>
      <c r="ABQ55" s="1297"/>
      <c r="ABR55" s="1348"/>
      <c r="ABS55" s="1296" t="s">
        <v>20</v>
      </c>
      <c r="ABT55" s="1297"/>
      <c r="ABU55" s="1348"/>
      <c r="ABV55" s="1296">
        <v>36</v>
      </c>
      <c r="ABW55" s="1297"/>
      <c r="ABX55" s="1348"/>
      <c r="ABY55" s="1296">
        <v>36</v>
      </c>
      <c r="ABZ55" s="1297"/>
      <c r="ACA55" s="1348"/>
      <c r="ACB55" s="1296">
        <v>36</v>
      </c>
      <c r="ACC55" s="1297"/>
      <c r="ACD55" s="1348"/>
      <c r="ACE55" s="1296">
        <v>37</v>
      </c>
      <c r="ACF55" s="1297"/>
      <c r="ACG55" s="1348"/>
      <c r="ACH55" s="1296">
        <v>30</v>
      </c>
      <c r="ACI55" s="1297"/>
      <c r="ACJ55" s="1348"/>
      <c r="ACK55" s="1296" t="s">
        <v>20</v>
      </c>
      <c r="ACL55" s="1297"/>
      <c r="ACM55" s="1348"/>
      <c r="ACN55" s="1296" t="s">
        <v>20</v>
      </c>
      <c r="ACO55" s="1297"/>
      <c r="ACP55" s="1348"/>
      <c r="ACQ55" s="1296">
        <v>36</v>
      </c>
      <c r="ACR55" s="1297"/>
      <c r="ACS55" s="1348"/>
      <c r="ACT55" s="1296">
        <v>38</v>
      </c>
      <c r="ACU55" s="1297"/>
      <c r="ACV55" s="1348"/>
      <c r="ACW55" s="1296">
        <v>38</v>
      </c>
      <c r="ACX55" s="1297"/>
      <c r="ACY55" s="1348"/>
      <c r="ACZ55" s="1296">
        <v>38</v>
      </c>
      <c r="ADA55" s="1297"/>
      <c r="ADB55" s="1348"/>
      <c r="ADC55" s="1296">
        <v>38</v>
      </c>
      <c r="ADD55" s="1297"/>
      <c r="ADE55" s="1348"/>
      <c r="ADF55" s="1296" t="s">
        <v>20</v>
      </c>
      <c r="ADG55" s="1297"/>
      <c r="ADH55" s="1348"/>
      <c r="ADI55" s="1296" t="s">
        <v>20</v>
      </c>
      <c r="ADJ55" s="1297"/>
      <c r="ADK55" s="1348"/>
      <c r="ADL55" s="1296">
        <v>36</v>
      </c>
      <c r="ADM55" s="1297"/>
      <c r="ADN55" s="1348"/>
      <c r="ADO55" s="1296">
        <v>35</v>
      </c>
      <c r="ADP55" s="1297"/>
      <c r="ADQ55" s="1348"/>
      <c r="ADR55" s="1296">
        <v>35</v>
      </c>
      <c r="ADS55" s="1297"/>
      <c r="ADT55" s="1348"/>
      <c r="ADU55" s="1296">
        <v>36</v>
      </c>
      <c r="ADV55" s="1297"/>
      <c r="ADW55" s="1348"/>
      <c r="ADX55" s="1296">
        <v>34</v>
      </c>
      <c r="ADY55" s="1297"/>
      <c r="ADZ55" s="1348"/>
      <c r="AEA55" s="1296" t="s">
        <v>20</v>
      </c>
      <c r="AEB55" s="1297"/>
      <c r="AEC55" s="1348"/>
      <c r="AED55" s="1296">
        <v>29</v>
      </c>
      <c r="AEE55" s="1297"/>
      <c r="AEF55" s="1348"/>
      <c r="AEG55" s="1296">
        <v>34</v>
      </c>
      <c r="AEH55" s="1297"/>
      <c r="AEI55" s="1348"/>
      <c r="AEJ55" s="1296">
        <v>37</v>
      </c>
      <c r="AEK55" s="1297"/>
      <c r="AEL55" s="1348"/>
      <c r="AEM55" s="1296">
        <v>37</v>
      </c>
      <c r="AEN55" s="1297"/>
      <c r="AEO55" s="1348"/>
      <c r="AEP55" s="1296">
        <v>37</v>
      </c>
      <c r="AEQ55" s="1297"/>
      <c r="AER55" s="1348"/>
      <c r="AES55" s="1296">
        <v>38</v>
      </c>
      <c r="AET55" s="1297"/>
      <c r="AEU55" s="1348"/>
      <c r="AEV55" s="1296" t="s">
        <v>20</v>
      </c>
      <c r="AEW55" s="1297"/>
      <c r="AEX55" s="1348"/>
      <c r="AEY55" s="1296" t="s">
        <v>20</v>
      </c>
      <c r="AEZ55" s="1297"/>
      <c r="AFA55" s="1348"/>
      <c r="AFB55" s="1296">
        <v>38</v>
      </c>
      <c r="AFC55" s="1297"/>
      <c r="AFD55" s="1348"/>
      <c r="AFE55" s="1296">
        <v>38</v>
      </c>
      <c r="AFF55" s="1297"/>
      <c r="AFG55" s="1348"/>
      <c r="AFH55" s="1296">
        <v>37</v>
      </c>
      <c r="AFI55" s="1297"/>
      <c r="AFJ55" s="1348"/>
      <c r="AFK55" s="1296">
        <v>39</v>
      </c>
      <c r="AFL55" s="1297"/>
      <c r="AFM55" s="1348"/>
      <c r="AFN55" s="1296">
        <v>38</v>
      </c>
      <c r="AFO55" s="1297"/>
      <c r="AFP55" s="1348"/>
      <c r="AFQ55" s="1296" t="s">
        <v>20</v>
      </c>
      <c r="AFR55" s="1297"/>
      <c r="AFS55" s="1348"/>
      <c r="AFT55" s="1296" t="s">
        <v>20</v>
      </c>
      <c r="AFU55" s="1297"/>
      <c r="AFV55" s="1348"/>
      <c r="AFW55" s="1296">
        <v>40</v>
      </c>
      <c r="AFX55" s="1297"/>
      <c r="AFY55" s="1348"/>
      <c r="AFZ55" s="1296">
        <v>40</v>
      </c>
      <c r="AGA55" s="1297"/>
      <c r="AGB55" s="1348"/>
      <c r="AGC55" s="1296">
        <v>41</v>
      </c>
      <c r="AGD55" s="1297"/>
      <c r="AGE55" s="1348"/>
      <c r="AGF55" s="1296">
        <v>41</v>
      </c>
      <c r="AGG55" s="1297"/>
      <c r="AGH55" s="1348"/>
      <c r="AGI55" s="1296">
        <v>41</v>
      </c>
      <c r="AGJ55" s="1297"/>
      <c r="AGK55" s="1348"/>
      <c r="AGL55" s="1296" t="s">
        <v>20</v>
      </c>
      <c r="AGM55" s="1297"/>
      <c r="AGN55" s="1348"/>
      <c r="AGO55" s="1296">
        <v>31</v>
      </c>
      <c r="AGP55" s="1297"/>
      <c r="AGQ55" s="1348"/>
      <c r="AGR55" s="1296">
        <v>40</v>
      </c>
      <c r="AGS55" s="1297"/>
      <c r="AGT55" s="1348"/>
      <c r="AGU55" s="1296">
        <v>41</v>
      </c>
      <c r="AGV55" s="1297"/>
      <c r="AGW55" s="1348"/>
      <c r="AGX55" s="1296">
        <v>40</v>
      </c>
      <c r="AGY55" s="1297"/>
      <c r="AGZ55" s="1348"/>
      <c r="AHA55" s="1296">
        <v>42</v>
      </c>
      <c r="AHB55" s="1297"/>
      <c r="AHC55" s="1348"/>
      <c r="AHD55" s="1296">
        <v>42</v>
      </c>
      <c r="AHE55" s="1297"/>
      <c r="AHF55" s="1348"/>
      <c r="AHG55" s="1296">
        <v>27</v>
      </c>
      <c r="AHH55" s="1297"/>
      <c r="AHI55" s="1348"/>
      <c r="AHJ55" s="1296" t="s">
        <v>20</v>
      </c>
      <c r="AHK55" s="1297"/>
      <c r="AHL55" s="1348"/>
      <c r="AHM55" s="1296" t="s">
        <v>20</v>
      </c>
      <c r="AHN55" s="1297"/>
      <c r="AHO55" s="1348"/>
      <c r="AHP55" s="1296">
        <v>41</v>
      </c>
      <c r="AHQ55" s="1297"/>
      <c r="AHR55" s="1348"/>
      <c r="AHS55" s="1296">
        <v>41</v>
      </c>
      <c r="AHT55" s="1297"/>
      <c r="AHU55" s="1348"/>
      <c r="AHV55" s="1296">
        <v>41</v>
      </c>
      <c r="AHW55" s="1297"/>
      <c r="AHX55" s="1348"/>
      <c r="AHY55" s="1296">
        <v>40</v>
      </c>
      <c r="AHZ55" s="1297"/>
      <c r="AIA55" s="1348"/>
      <c r="AIB55" s="1296" t="s">
        <v>20</v>
      </c>
      <c r="AIC55" s="1297"/>
      <c r="AID55" s="1297"/>
      <c r="AIE55" s="1296">
        <v>28</v>
      </c>
      <c r="AIF55" s="1297"/>
      <c r="AIG55" s="1348"/>
      <c r="AIH55" s="1296">
        <v>41</v>
      </c>
      <c r="AII55" s="1297"/>
      <c r="AIJ55" s="1348"/>
      <c r="AIK55" s="1296">
        <v>38</v>
      </c>
      <c r="AIL55" s="1297"/>
      <c r="AIM55" s="1348"/>
      <c r="AIN55" s="1296">
        <v>38</v>
      </c>
      <c r="AIO55" s="1297"/>
      <c r="AIP55" s="1348"/>
      <c r="AIQ55" s="1296">
        <v>39</v>
      </c>
      <c r="AIR55" s="1297"/>
      <c r="AIS55" s="1297"/>
      <c r="AIT55" s="1296">
        <v>39</v>
      </c>
      <c r="AIU55" s="1297"/>
      <c r="AIV55" s="1348"/>
      <c r="AIW55" s="1296">
        <v>18</v>
      </c>
      <c r="AIX55" s="1297"/>
      <c r="AIY55" s="1297"/>
      <c r="AIZ55" s="1296" t="s">
        <v>20</v>
      </c>
      <c r="AJA55" s="1297"/>
      <c r="AJB55" s="1348"/>
      <c r="AJC55" s="1296" t="s">
        <v>20</v>
      </c>
      <c r="AJD55" s="1297"/>
      <c r="AJE55" s="1348"/>
      <c r="AJF55" s="1296">
        <v>41</v>
      </c>
      <c r="AJG55" s="1297"/>
      <c r="AJH55" s="1348"/>
      <c r="AJI55" s="1296">
        <v>40</v>
      </c>
      <c r="AJJ55" s="1297"/>
      <c r="AJK55" s="1348"/>
      <c r="AJL55" s="1296">
        <v>40</v>
      </c>
      <c r="AJM55" s="1297"/>
      <c r="AJN55" s="1297"/>
      <c r="AJO55" s="1296">
        <v>39</v>
      </c>
      <c r="AJP55" s="1297"/>
      <c r="AJQ55" s="1348"/>
      <c r="AJR55" s="1296">
        <v>25</v>
      </c>
      <c r="AJS55" s="1297"/>
      <c r="AJT55" s="1297"/>
      <c r="AJU55" s="1296">
        <v>30</v>
      </c>
      <c r="AJV55" s="1297"/>
      <c r="AJW55" s="1348"/>
      <c r="AJX55" s="1296">
        <v>40</v>
      </c>
      <c r="AJY55" s="1297"/>
      <c r="AJZ55" s="1348"/>
      <c r="AKA55" s="1296">
        <v>40</v>
      </c>
      <c r="AKB55" s="1297"/>
      <c r="AKC55" s="1348"/>
      <c r="AKD55" s="1296">
        <v>40</v>
      </c>
      <c r="AKE55" s="1297"/>
      <c r="AKF55" s="1348"/>
      <c r="AKG55" s="1296">
        <v>42</v>
      </c>
      <c r="AKH55" s="1297"/>
      <c r="AKI55" s="1297"/>
      <c r="AKJ55" s="1296">
        <v>42</v>
      </c>
      <c r="AKK55" s="1297"/>
      <c r="AKL55" s="1348"/>
      <c r="AKM55" s="1296">
        <v>26</v>
      </c>
      <c r="AKN55" s="1297"/>
      <c r="AKO55" s="1297"/>
      <c r="AKP55" s="1296">
        <v>34</v>
      </c>
      <c r="AKQ55" s="1297"/>
      <c r="AKR55" s="1348"/>
      <c r="AKS55" s="1296">
        <v>41</v>
      </c>
      <c r="AKT55" s="1297"/>
      <c r="AKU55" s="1348"/>
      <c r="AKV55" s="1296">
        <v>42</v>
      </c>
      <c r="AKW55" s="1297"/>
      <c r="AKX55" s="1348"/>
      <c r="AKY55" s="1296" t="s">
        <v>20</v>
      </c>
      <c r="AKZ55" s="1297"/>
      <c r="ALA55" s="1348"/>
      <c r="ALB55" s="1296" t="s">
        <v>20</v>
      </c>
      <c r="ALC55" s="1297"/>
      <c r="ALD55" s="1297"/>
      <c r="ALE55" s="1296">
        <v>40</v>
      </c>
      <c r="ALF55" s="1297"/>
      <c r="ALG55" s="1348"/>
      <c r="ALH55" s="1296">
        <v>26</v>
      </c>
      <c r="ALI55" s="1297"/>
      <c r="ALJ55" s="1297"/>
      <c r="ALK55" s="1296">
        <v>34</v>
      </c>
      <c r="ALL55" s="1297"/>
      <c r="ALM55" s="1348"/>
      <c r="ALN55" s="1296">
        <v>42</v>
      </c>
      <c r="ALO55" s="1297"/>
      <c r="ALP55" s="1348"/>
      <c r="ALQ55" s="1296">
        <v>40</v>
      </c>
      <c r="ALR55" s="1297"/>
      <c r="ALS55" s="1348"/>
      <c r="ALT55" s="1296" t="s">
        <v>20</v>
      </c>
      <c r="ALU55" s="1297"/>
      <c r="ALV55" s="1348"/>
      <c r="ALW55" s="1296" t="s">
        <v>20</v>
      </c>
      <c r="ALX55" s="1297"/>
      <c r="ALY55" s="1297"/>
      <c r="ALZ55" s="1296">
        <v>41</v>
      </c>
      <c r="AMA55" s="1297"/>
      <c r="AMB55" s="1348"/>
      <c r="AMC55" s="1296">
        <v>23</v>
      </c>
      <c r="AMD55" s="1297"/>
      <c r="AME55" s="1297"/>
      <c r="AMF55" s="1296" t="s">
        <v>20</v>
      </c>
      <c r="AMG55" s="1297"/>
      <c r="AMH55" s="1348"/>
      <c r="AMI55" s="1296">
        <v>38</v>
      </c>
      <c r="AMJ55" s="1297"/>
      <c r="AMK55" s="1348"/>
      <c r="AML55" s="1296">
        <v>38</v>
      </c>
      <c r="AMM55" s="1297"/>
      <c r="AMN55" s="1348"/>
      <c r="AMO55" s="1296">
        <v>37</v>
      </c>
      <c r="AMP55" s="1297"/>
      <c r="AMQ55" s="1348"/>
      <c r="AMR55" s="1296">
        <v>37</v>
      </c>
      <c r="AMS55" s="1297"/>
      <c r="AMT55" s="1297"/>
      <c r="AMU55" s="1296">
        <v>37</v>
      </c>
      <c r="AMV55" s="1297"/>
      <c r="AMW55" s="1348"/>
      <c r="AMX55" s="1296">
        <v>26</v>
      </c>
      <c r="AMY55" s="1297"/>
      <c r="AMZ55" s="1297"/>
      <c r="ANA55" s="1296">
        <v>30</v>
      </c>
      <c r="ANB55" s="1297"/>
      <c r="ANC55" s="1348"/>
      <c r="AND55" s="1296">
        <v>39</v>
      </c>
      <c r="ANE55" s="1297"/>
      <c r="ANF55" s="1348"/>
      <c r="ANG55" s="1296">
        <v>36</v>
      </c>
      <c r="ANH55" s="1297"/>
      <c r="ANI55" s="1348"/>
      <c r="ANJ55" s="1296">
        <v>36</v>
      </c>
      <c r="ANK55" s="1297"/>
      <c r="ANL55" s="1348"/>
      <c r="ANM55" s="1296">
        <v>35</v>
      </c>
      <c r="ANN55" s="1297"/>
      <c r="ANO55" s="1297"/>
      <c r="ANP55" s="1296">
        <v>35</v>
      </c>
      <c r="ANQ55" s="1297"/>
      <c r="ANR55" s="1348"/>
      <c r="ANS55" s="1296">
        <v>23</v>
      </c>
      <c r="ANT55" s="1297"/>
      <c r="ANU55" s="1297"/>
      <c r="ANV55" s="1296" t="s">
        <v>20</v>
      </c>
      <c r="ANW55" s="1297"/>
      <c r="ANX55" s="1348"/>
      <c r="ANY55" s="1296">
        <v>36</v>
      </c>
      <c r="ANZ55" s="1297"/>
      <c r="AOA55" s="1348"/>
      <c r="AOB55" s="1296">
        <v>35</v>
      </c>
      <c r="AOC55" s="1297"/>
      <c r="AOD55" s="1348"/>
      <c r="AOE55" s="1296">
        <v>35</v>
      </c>
      <c r="AOF55" s="1297"/>
      <c r="AOG55" s="1348"/>
      <c r="AOH55" s="1296">
        <v>35</v>
      </c>
      <c r="AOI55" s="1297"/>
      <c r="AOJ55" s="1297"/>
      <c r="AOK55" s="1296">
        <v>34</v>
      </c>
      <c r="AOL55" s="1297"/>
      <c r="AOM55" s="1348"/>
      <c r="AON55" s="1296">
        <v>23</v>
      </c>
      <c r="AOO55" s="1297"/>
      <c r="AOP55" s="1297"/>
      <c r="AOQ55" s="1296">
        <v>24</v>
      </c>
      <c r="AOR55" s="1297"/>
      <c r="AOS55" s="1348"/>
      <c r="AOT55" s="1296">
        <v>35</v>
      </c>
      <c r="AOU55" s="1297"/>
      <c r="AOV55" s="1348"/>
      <c r="AOW55" s="1296">
        <v>35</v>
      </c>
      <c r="AOX55" s="1297"/>
      <c r="AOY55" s="1348"/>
      <c r="AOZ55" s="1296">
        <v>35</v>
      </c>
      <c r="APA55" s="1297"/>
      <c r="APB55" s="1348"/>
      <c r="APC55" s="1296">
        <v>36</v>
      </c>
      <c r="APD55" s="1297"/>
      <c r="APE55" s="1297"/>
      <c r="APF55" s="1296">
        <v>36</v>
      </c>
      <c r="APG55" s="1297"/>
      <c r="APH55" s="1348"/>
      <c r="API55" s="1296" t="s">
        <v>20</v>
      </c>
      <c r="APJ55" s="1297"/>
      <c r="APK55" s="1297"/>
      <c r="APL55" s="1296" t="s">
        <v>20</v>
      </c>
      <c r="APM55" s="1297"/>
      <c r="APN55" s="1348"/>
      <c r="APO55" s="1296">
        <v>39</v>
      </c>
      <c r="APP55" s="1297"/>
      <c r="APQ55" s="1348"/>
      <c r="APR55" s="1296">
        <v>40</v>
      </c>
      <c r="APS55" s="1297"/>
      <c r="APT55" s="1348"/>
      <c r="APU55" s="1296">
        <v>39</v>
      </c>
      <c r="APV55" s="1297"/>
      <c r="APW55" s="1348"/>
      <c r="APX55" s="1296">
        <v>40</v>
      </c>
      <c r="APY55" s="1297"/>
      <c r="APZ55" s="1297"/>
      <c r="AQA55" s="1296">
        <v>40</v>
      </c>
      <c r="AQB55" s="1297"/>
      <c r="AQC55" s="1348"/>
      <c r="AQD55" s="1296">
        <v>25</v>
      </c>
      <c r="AQE55" s="1297"/>
      <c r="AQF55" s="1348"/>
      <c r="AQG55" s="1296">
        <v>31</v>
      </c>
      <c r="AQH55" s="1297"/>
      <c r="AQI55" s="1348"/>
      <c r="AQJ55" s="1296">
        <v>39</v>
      </c>
      <c r="AQK55" s="1297"/>
      <c r="AQL55" s="1348"/>
      <c r="AQM55" s="1296">
        <v>40</v>
      </c>
      <c r="AQN55" s="1297"/>
      <c r="AQO55" s="1297"/>
      <c r="AQP55" s="1296">
        <v>38</v>
      </c>
      <c r="AQQ55" s="1297"/>
      <c r="AQR55" s="1297"/>
      <c r="AQS55" s="1296">
        <v>40</v>
      </c>
      <c r="AQT55" s="1297"/>
      <c r="AQU55" s="1348"/>
      <c r="AQV55" s="1297">
        <v>41</v>
      </c>
      <c r="AQW55" s="1297"/>
      <c r="AQX55" s="1348"/>
      <c r="AQY55" s="1296">
        <v>26</v>
      </c>
      <c r="AQZ55" s="1297"/>
      <c r="ARA55" s="1348"/>
      <c r="ARB55" s="1296" t="s">
        <v>20</v>
      </c>
      <c r="ARC55" s="1297"/>
      <c r="ARD55" s="1348"/>
      <c r="ARE55" s="1296" t="s">
        <v>20</v>
      </c>
      <c r="ARF55" s="1297"/>
      <c r="ARG55" s="1348"/>
      <c r="ARH55" s="1296">
        <v>34</v>
      </c>
      <c r="ARI55" s="1297"/>
      <c r="ARJ55" s="1297"/>
      <c r="ARK55" s="1296">
        <v>40</v>
      </c>
      <c r="ARL55" s="1297"/>
      <c r="ARM55" s="1348"/>
      <c r="ARN55" s="1296">
        <v>38</v>
      </c>
      <c r="ARO55" s="1297"/>
      <c r="ARP55" s="1297"/>
      <c r="ARQ55" s="1296">
        <v>40</v>
      </c>
      <c r="ARR55" s="1297"/>
      <c r="ARS55" s="1348"/>
      <c r="ART55" s="1296">
        <v>27</v>
      </c>
      <c r="ARU55" s="1297"/>
      <c r="ARV55" s="1348"/>
      <c r="ARW55" s="1296">
        <v>26</v>
      </c>
      <c r="ARX55" s="1297"/>
      <c r="ARY55" s="1348"/>
      <c r="ARZ55" s="1296">
        <v>38</v>
      </c>
      <c r="ASA55" s="1297"/>
      <c r="ASB55" s="1348"/>
      <c r="ASC55" s="1296">
        <v>36</v>
      </c>
      <c r="ASD55" s="1297"/>
      <c r="ASE55" s="1297"/>
      <c r="ASF55" s="1296">
        <v>40</v>
      </c>
      <c r="ASG55" s="1297"/>
      <c r="ASH55" s="1348"/>
      <c r="ASI55" s="1296">
        <v>40</v>
      </c>
      <c r="ASJ55" s="1297"/>
      <c r="ASK55" s="1297"/>
      <c r="ASL55" s="1296">
        <v>38</v>
      </c>
      <c r="ASM55" s="1297"/>
      <c r="ASN55" s="1348"/>
      <c r="ASO55" s="1296" t="s">
        <v>20</v>
      </c>
      <c r="ASP55" s="1297"/>
      <c r="ASQ55" s="1297"/>
      <c r="ASR55" s="1296" t="s">
        <v>20</v>
      </c>
      <c r="ASS55" s="1297"/>
      <c r="AST55" s="1348"/>
      <c r="ASU55" s="1296">
        <v>40</v>
      </c>
      <c r="ASV55" s="1297"/>
      <c r="ASW55" s="1348"/>
      <c r="ASX55" s="1296">
        <v>40</v>
      </c>
      <c r="ASY55" s="1297"/>
      <c r="ASZ55" s="1297"/>
      <c r="ATA55" s="1296">
        <v>41</v>
      </c>
      <c r="ATB55" s="1297"/>
      <c r="ATC55" s="1348"/>
      <c r="ATD55" s="1296">
        <v>41</v>
      </c>
      <c r="ATE55" s="1297"/>
      <c r="ATF55" s="1297"/>
      <c r="ATG55" s="1296">
        <v>41</v>
      </c>
      <c r="ATH55" s="1297"/>
      <c r="ATI55" s="1348"/>
      <c r="ATJ55" s="1296" t="s">
        <v>20</v>
      </c>
      <c r="ATK55" s="1297"/>
      <c r="ATL55" s="1348"/>
      <c r="ATM55" s="1296" t="s">
        <v>20</v>
      </c>
      <c r="ATN55" s="1297"/>
      <c r="ATO55" s="1348"/>
      <c r="ATP55" s="1296">
        <v>41</v>
      </c>
      <c r="ATQ55" s="1297"/>
      <c r="ATR55" s="1348"/>
      <c r="ATS55" s="1296">
        <v>39</v>
      </c>
      <c r="ATT55" s="1297"/>
      <c r="ATU55" s="1348"/>
      <c r="ATV55" s="1297">
        <v>39</v>
      </c>
      <c r="ATW55" s="1297"/>
      <c r="ATX55" s="1348"/>
      <c r="ATY55" s="1296">
        <v>39</v>
      </c>
      <c r="ATZ55" s="1297"/>
      <c r="AUA55" s="1297"/>
      <c r="AUB55" s="1296">
        <v>38</v>
      </c>
      <c r="AUC55" s="1297"/>
      <c r="AUD55" s="1348"/>
      <c r="AUE55" s="1296" t="s">
        <v>20</v>
      </c>
      <c r="AUF55" s="1297"/>
      <c r="AUG55" s="1348"/>
      <c r="AUH55" s="1296">
        <v>21</v>
      </c>
      <c r="AUI55" s="1297"/>
      <c r="AUJ55" s="1348"/>
      <c r="AUK55" s="1296">
        <v>36</v>
      </c>
      <c r="AUL55" s="1297"/>
      <c r="AUM55" s="1297"/>
      <c r="AUN55" s="1296">
        <v>35</v>
      </c>
      <c r="AUO55" s="1297"/>
      <c r="AUP55" s="1297"/>
      <c r="AUQ55" s="1296">
        <v>35</v>
      </c>
      <c r="AUR55" s="1297"/>
      <c r="AUS55" s="1297"/>
      <c r="AUT55" s="1296">
        <v>35</v>
      </c>
      <c r="AUU55" s="1297"/>
      <c r="AUV55" s="1297"/>
      <c r="AUW55" s="1296">
        <v>36</v>
      </c>
      <c r="AUX55" s="1297"/>
      <c r="AUY55" s="1297"/>
      <c r="AUZ55" s="1296">
        <v>24</v>
      </c>
      <c r="AVA55" s="1297"/>
      <c r="AVB55" s="1297"/>
      <c r="AVC55" s="1296">
        <v>26</v>
      </c>
      <c r="AVD55" s="1297"/>
      <c r="AVE55" s="1297"/>
      <c r="AVF55" s="1296" t="s">
        <v>20</v>
      </c>
      <c r="AVG55" s="1297"/>
      <c r="AVH55" s="1297"/>
      <c r="AVI55" s="1296" t="s">
        <v>20</v>
      </c>
      <c r="AVJ55" s="1297"/>
      <c r="AVK55" s="1297"/>
      <c r="AVL55" s="1296" t="s">
        <v>20</v>
      </c>
      <c r="AVM55" s="1297"/>
      <c r="AVN55" s="1297"/>
      <c r="AVO55" s="1296" t="s">
        <v>20</v>
      </c>
      <c r="AVP55" s="1297"/>
      <c r="AVQ55" s="1297"/>
      <c r="AVR55" s="1296" t="s">
        <v>20</v>
      </c>
      <c r="AVS55" s="1297"/>
      <c r="AVT55" s="1297"/>
      <c r="AVU55" s="1296" t="s">
        <v>20</v>
      </c>
      <c r="AVV55" s="1297"/>
      <c r="AVW55" s="1297"/>
      <c r="AVX55" s="1296" t="s">
        <v>20</v>
      </c>
      <c r="AVY55" s="1297"/>
      <c r="AVZ55" s="1297"/>
      <c r="AWA55" s="1296" t="s">
        <v>20</v>
      </c>
      <c r="AWB55" s="1297"/>
      <c r="AWC55" s="1297"/>
      <c r="AWD55" s="1296" t="s">
        <v>20</v>
      </c>
      <c r="AWE55" s="1297"/>
      <c r="AWF55" s="1297"/>
      <c r="AWG55" s="1296" t="s">
        <v>20</v>
      </c>
      <c r="AWH55" s="1297"/>
      <c r="AWI55" s="1297"/>
      <c r="AWJ55" s="1296" t="s">
        <v>20</v>
      </c>
      <c r="AWK55" s="1297"/>
      <c r="AWL55" s="1297"/>
      <c r="AWM55" s="1296" t="s">
        <v>20</v>
      </c>
      <c r="AWN55" s="1297"/>
      <c r="AWO55" s="1348"/>
      <c r="AWP55" s="1297" t="s">
        <v>20</v>
      </c>
      <c r="AWQ55" s="1297"/>
      <c r="AWR55" s="1348"/>
      <c r="AWS55" s="1296" t="s">
        <v>20</v>
      </c>
      <c r="AWT55" s="1297"/>
      <c r="AWU55" s="1348"/>
      <c r="AWV55" s="1296" t="s">
        <v>20</v>
      </c>
      <c r="AWW55" s="1297"/>
      <c r="AWX55" s="1348"/>
      <c r="AWY55" s="1296" t="s">
        <v>20</v>
      </c>
      <c r="AWZ55" s="1297"/>
      <c r="AXA55" s="1297"/>
      <c r="AXB55" s="1296" t="s">
        <v>20</v>
      </c>
      <c r="AXC55" s="1297"/>
      <c r="AXD55" s="1348"/>
      <c r="AXE55" s="1296" t="s">
        <v>20</v>
      </c>
      <c r="AXF55" s="1297"/>
      <c r="AXG55" s="1297"/>
      <c r="AXH55" s="1296" t="s">
        <v>20</v>
      </c>
      <c r="AXI55" s="1297"/>
      <c r="AXJ55" s="1348"/>
      <c r="AXK55" s="1296" t="s">
        <v>20</v>
      </c>
      <c r="AXL55" s="1297"/>
      <c r="AXM55" s="1348"/>
      <c r="AXN55" s="1296" t="s">
        <v>20</v>
      </c>
      <c r="AXO55" s="1297"/>
      <c r="AXP55" s="1348"/>
      <c r="AXQ55" s="1296" t="s">
        <v>20</v>
      </c>
      <c r="AXR55" s="1297"/>
      <c r="AXS55" s="1348"/>
      <c r="AXT55" s="1296" t="s">
        <v>20</v>
      </c>
      <c r="AXU55" s="1297"/>
      <c r="AXV55" s="1297"/>
      <c r="AXW55" s="1296" t="s">
        <v>20</v>
      </c>
      <c r="AXX55" s="1297"/>
      <c r="AXY55" s="1348"/>
      <c r="AXZ55" s="1296" t="s">
        <v>20</v>
      </c>
      <c r="AYA55" s="1297"/>
      <c r="AYB55" s="1297"/>
      <c r="AYC55" s="1296" t="s">
        <v>20</v>
      </c>
      <c r="AYD55" s="1297"/>
      <c r="AYE55" s="1348"/>
      <c r="AYF55" s="1296" t="s">
        <v>20</v>
      </c>
      <c r="AYG55" s="1297"/>
      <c r="AYH55" s="1348"/>
      <c r="AYI55" s="1296" t="s">
        <v>20</v>
      </c>
      <c r="AYJ55" s="1297"/>
      <c r="AYK55" s="1348"/>
      <c r="AYL55" s="1296" t="s">
        <v>20</v>
      </c>
      <c r="AYM55" s="1297"/>
      <c r="AYN55" s="1348"/>
      <c r="AYO55" s="1296" t="s">
        <v>20</v>
      </c>
      <c r="AYP55" s="1297"/>
      <c r="AYQ55" s="1297"/>
      <c r="AYR55" s="1296" t="s">
        <v>20</v>
      </c>
      <c r="AYS55" s="1297"/>
      <c r="AYT55" s="1348"/>
      <c r="AYU55" s="1296" t="s">
        <v>20</v>
      </c>
      <c r="AYV55" s="1297"/>
      <c r="AYW55" s="1297"/>
      <c r="AYX55" s="1296" t="s">
        <v>20</v>
      </c>
      <c r="AYY55" s="1297"/>
      <c r="AYZ55" s="1348"/>
      <c r="AZA55" s="1296" t="s">
        <v>20</v>
      </c>
      <c r="AZB55" s="1297"/>
      <c r="AZC55" s="1348"/>
      <c r="AZD55" s="1296" t="s">
        <v>20</v>
      </c>
      <c r="AZE55" s="1297"/>
      <c r="AZF55" s="1348"/>
      <c r="AZG55" s="1296" t="s">
        <v>20</v>
      </c>
      <c r="AZH55" s="1297"/>
      <c r="AZI55" s="1348"/>
      <c r="AZJ55" s="1296" t="s">
        <v>20</v>
      </c>
      <c r="AZK55" s="1297"/>
      <c r="AZL55" s="1297"/>
      <c r="AZM55" s="1296" t="s">
        <v>20</v>
      </c>
      <c r="AZN55" s="1297"/>
      <c r="AZO55" s="1348"/>
      <c r="AZP55" s="1296" t="s">
        <v>20</v>
      </c>
      <c r="AZQ55" s="1297"/>
      <c r="AZR55" s="1297"/>
      <c r="AZS55" s="1296" t="s">
        <v>20</v>
      </c>
      <c r="AZT55" s="1297"/>
      <c r="AZU55" s="1348"/>
      <c r="AZV55" s="1296" t="s">
        <v>20</v>
      </c>
      <c r="AZW55" s="1297"/>
      <c r="AZX55" s="1348"/>
      <c r="AZY55" s="1296" t="s">
        <v>20</v>
      </c>
      <c r="AZZ55" s="1297"/>
      <c r="BAA55" s="1348"/>
      <c r="BAB55" s="1296" t="s">
        <v>20</v>
      </c>
      <c r="BAC55" s="1297"/>
      <c r="BAD55" s="1348"/>
      <c r="BAE55" s="1296" t="s">
        <v>20</v>
      </c>
      <c r="BAF55" s="1297"/>
      <c r="BAG55" s="1297"/>
      <c r="BAH55" s="1296" t="s">
        <v>20</v>
      </c>
      <c r="BAI55" s="1297"/>
      <c r="BAJ55" s="1348"/>
    </row>
    <row r="56" spans="1:1388" s="16" customFormat="1" ht="13.5" customHeight="1">
      <c r="B56" s="5" t="s">
        <v>272</v>
      </c>
      <c r="E56" s="13" t="s">
        <v>336</v>
      </c>
      <c r="F56" s="1285" t="s">
        <v>20</v>
      </c>
      <c r="G56" s="1285"/>
      <c r="H56" s="1287"/>
      <c r="I56" s="1285" t="s">
        <v>20</v>
      </c>
      <c r="J56" s="1285"/>
      <c r="K56" s="1287"/>
      <c r="L56" s="1286" t="s">
        <v>20</v>
      </c>
      <c r="M56" s="1285"/>
      <c r="N56" s="1287"/>
      <c r="O56" s="1286" t="s">
        <v>20</v>
      </c>
      <c r="P56" s="1285"/>
      <c r="Q56" s="1287"/>
      <c r="R56" s="1286" t="s">
        <v>20</v>
      </c>
      <c r="S56" s="1285"/>
      <c r="T56" s="1287"/>
      <c r="U56" s="1286" t="s">
        <v>20</v>
      </c>
      <c r="V56" s="1285"/>
      <c r="W56" s="1287"/>
      <c r="X56" s="1286" t="s">
        <v>20</v>
      </c>
      <c r="Y56" s="1285"/>
      <c r="Z56" s="1287"/>
      <c r="AA56" s="1286" t="s">
        <v>20</v>
      </c>
      <c r="AB56" s="1285"/>
      <c r="AC56" s="1287"/>
      <c r="AD56" s="1286" t="s">
        <v>20</v>
      </c>
      <c r="AE56" s="1285"/>
      <c r="AF56" s="1287"/>
      <c r="AG56" s="1286" t="s">
        <v>20</v>
      </c>
      <c r="AH56" s="1285"/>
      <c r="AI56" s="1287"/>
      <c r="AJ56" s="1286" t="s">
        <v>20</v>
      </c>
      <c r="AK56" s="1285"/>
      <c r="AL56" s="1287"/>
      <c r="AM56" s="1286" t="s">
        <v>20</v>
      </c>
      <c r="AN56" s="1285"/>
      <c r="AO56" s="1287"/>
      <c r="AP56" s="1286" t="s">
        <v>20</v>
      </c>
      <c r="AQ56" s="1285"/>
      <c r="AR56" s="1287"/>
      <c r="AS56" s="1286" t="s">
        <v>20</v>
      </c>
      <c r="AT56" s="1285"/>
      <c r="AU56" s="1287"/>
      <c r="AV56" s="1286" t="s">
        <v>20</v>
      </c>
      <c r="AW56" s="1285"/>
      <c r="AX56" s="1287"/>
      <c r="AY56" s="1286" t="s">
        <v>20</v>
      </c>
      <c r="AZ56" s="1285"/>
      <c r="BA56" s="1287"/>
      <c r="BB56" s="1286" t="s">
        <v>20</v>
      </c>
      <c r="BC56" s="1285"/>
      <c r="BD56" s="1287"/>
      <c r="BE56" s="1286" t="s">
        <v>20</v>
      </c>
      <c r="BF56" s="1285"/>
      <c r="BG56" s="1287"/>
      <c r="BH56" s="1286" t="s">
        <v>20</v>
      </c>
      <c r="BI56" s="1285"/>
      <c r="BJ56" s="1287"/>
      <c r="BK56" s="1286" t="s">
        <v>20</v>
      </c>
      <c r="BL56" s="1285"/>
      <c r="BM56" s="1287"/>
      <c r="BN56" s="1286" t="s">
        <v>20</v>
      </c>
      <c r="BO56" s="1285"/>
      <c r="BP56" s="1287"/>
      <c r="BQ56" s="1286" t="s">
        <v>20</v>
      </c>
      <c r="BR56" s="1285"/>
      <c r="BS56" s="1287"/>
      <c r="BT56" s="1286" t="s">
        <v>20</v>
      </c>
      <c r="BU56" s="1285"/>
      <c r="BV56" s="1287"/>
      <c r="BW56" s="1286" t="s">
        <v>20</v>
      </c>
      <c r="BX56" s="1285"/>
      <c r="BY56" s="1287"/>
      <c r="BZ56" s="1286" t="s">
        <v>20</v>
      </c>
      <c r="CA56" s="1285"/>
      <c r="CB56" s="1287"/>
      <c r="CC56" s="1286">
        <v>2</v>
      </c>
      <c r="CD56" s="1285"/>
      <c r="CE56" s="1287"/>
      <c r="CF56" s="1286">
        <v>1</v>
      </c>
      <c r="CG56" s="1285"/>
      <c r="CH56" s="1287"/>
      <c r="CI56" s="1286" t="s">
        <v>20</v>
      </c>
      <c r="CJ56" s="1285"/>
      <c r="CK56" s="1287"/>
      <c r="CL56" s="1286" t="s">
        <v>20</v>
      </c>
      <c r="CM56" s="1285"/>
      <c r="CN56" s="1287"/>
      <c r="CO56" s="1286" t="s">
        <v>20</v>
      </c>
      <c r="CP56" s="1285"/>
      <c r="CQ56" s="1287"/>
      <c r="CR56" s="1286" t="s">
        <v>20</v>
      </c>
      <c r="CS56" s="1285"/>
      <c r="CT56" s="1287"/>
      <c r="CU56" s="1286" t="s">
        <v>20</v>
      </c>
      <c r="CV56" s="1285"/>
      <c r="CW56" s="1287"/>
      <c r="CX56" s="1286" t="s">
        <v>20</v>
      </c>
      <c r="CY56" s="1285"/>
      <c r="CZ56" s="1287"/>
      <c r="DA56" s="1286" t="s">
        <v>20</v>
      </c>
      <c r="DB56" s="1285"/>
      <c r="DC56" s="1287"/>
      <c r="DD56" s="1286">
        <v>1</v>
      </c>
      <c r="DE56" s="1285"/>
      <c r="DF56" s="1287"/>
      <c r="DG56" s="1286" t="s">
        <v>20</v>
      </c>
      <c r="DH56" s="1285"/>
      <c r="DI56" s="1287"/>
      <c r="DJ56" s="1286" t="s">
        <v>20</v>
      </c>
      <c r="DK56" s="1285"/>
      <c r="DL56" s="1287"/>
      <c r="DM56" s="1286" t="s">
        <v>20</v>
      </c>
      <c r="DN56" s="1285"/>
      <c r="DO56" s="1287"/>
      <c r="DP56" s="1286" t="s">
        <v>20</v>
      </c>
      <c r="DQ56" s="1285"/>
      <c r="DR56" s="1287"/>
      <c r="DS56" s="1286" t="s">
        <v>20</v>
      </c>
      <c r="DT56" s="1285"/>
      <c r="DU56" s="1287"/>
      <c r="DV56" s="1286" t="s">
        <v>20</v>
      </c>
      <c r="DW56" s="1285"/>
      <c r="DX56" s="1287"/>
      <c r="DY56" s="1286" t="s">
        <v>20</v>
      </c>
      <c r="DZ56" s="1285"/>
      <c r="EA56" s="1287"/>
      <c r="EB56" s="1286" t="s">
        <v>20</v>
      </c>
      <c r="EC56" s="1285"/>
      <c r="ED56" s="1287"/>
      <c r="EE56" s="1286" t="s">
        <v>20</v>
      </c>
      <c r="EF56" s="1285"/>
      <c r="EG56" s="1287"/>
      <c r="EH56" s="1286" t="s">
        <v>20</v>
      </c>
      <c r="EI56" s="1285"/>
      <c r="EJ56" s="1287"/>
      <c r="EK56" s="1286" t="s">
        <v>20</v>
      </c>
      <c r="EL56" s="1285"/>
      <c r="EM56" s="1287"/>
      <c r="EN56" s="1286" t="s">
        <v>20</v>
      </c>
      <c r="EO56" s="1285"/>
      <c r="EP56" s="1287"/>
      <c r="EQ56" s="1286">
        <v>1</v>
      </c>
      <c r="ER56" s="1285"/>
      <c r="ES56" s="1287"/>
      <c r="ET56" s="1286" t="s">
        <v>20</v>
      </c>
      <c r="EU56" s="1285"/>
      <c r="EV56" s="1287"/>
      <c r="EW56" s="1286" t="s">
        <v>20</v>
      </c>
      <c r="EX56" s="1285"/>
      <c r="EY56" s="1287"/>
      <c r="EZ56" s="1286" t="s">
        <v>20</v>
      </c>
      <c r="FA56" s="1285"/>
      <c r="FB56" s="1287"/>
      <c r="FC56" s="1286" t="s">
        <v>20</v>
      </c>
      <c r="FD56" s="1285"/>
      <c r="FE56" s="1287"/>
      <c r="FF56" s="1286" t="s">
        <v>20</v>
      </c>
      <c r="FG56" s="1285"/>
      <c r="FH56" s="1287"/>
      <c r="FI56" s="1286" t="s">
        <v>20</v>
      </c>
      <c r="FJ56" s="1285"/>
      <c r="FK56" s="1287"/>
      <c r="FL56" s="1286" t="s">
        <v>20</v>
      </c>
      <c r="FM56" s="1285"/>
      <c r="FN56" s="1287"/>
      <c r="FO56" s="1286" t="s">
        <v>20</v>
      </c>
      <c r="FP56" s="1285"/>
      <c r="FQ56" s="1287"/>
      <c r="FR56" s="1286" t="s">
        <v>20</v>
      </c>
      <c r="FS56" s="1285"/>
      <c r="FT56" s="1287"/>
      <c r="FU56" s="1286" t="s">
        <v>20</v>
      </c>
      <c r="FV56" s="1285"/>
      <c r="FW56" s="1287"/>
      <c r="FX56" s="1286" t="s">
        <v>20</v>
      </c>
      <c r="FY56" s="1285"/>
      <c r="FZ56" s="1287"/>
      <c r="GA56" s="1286">
        <v>1</v>
      </c>
      <c r="GB56" s="1285"/>
      <c r="GC56" s="1287"/>
      <c r="GD56" s="1286" t="s">
        <v>20</v>
      </c>
      <c r="GE56" s="1285"/>
      <c r="GF56" s="1287"/>
      <c r="GG56" s="1286" t="s">
        <v>20</v>
      </c>
      <c r="GH56" s="1285"/>
      <c r="GI56" s="1287"/>
      <c r="GJ56" s="1286" t="s">
        <v>20</v>
      </c>
      <c r="GK56" s="1285"/>
      <c r="GL56" s="1287"/>
      <c r="GM56" s="1286" t="s">
        <v>20</v>
      </c>
      <c r="GN56" s="1285"/>
      <c r="GO56" s="1287"/>
      <c r="GP56" s="1286" t="s">
        <v>20</v>
      </c>
      <c r="GQ56" s="1285"/>
      <c r="GR56" s="1287"/>
      <c r="GS56" s="1286" t="s">
        <v>20</v>
      </c>
      <c r="GT56" s="1285"/>
      <c r="GU56" s="1287"/>
      <c r="GV56" s="1286" t="s">
        <v>20</v>
      </c>
      <c r="GW56" s="1285"/>
      <c r="GX56" s="1287"/>
      <c r="GY56" s="1286" t="s">
        <v>20</v>
      </c>
      <c r="GZ56" s="1285"/>
      <c r="HA56" s="1287"/>
      <c r="HB56" s="1286" t="s">
        <v>20</v>
      </c>
      <c r="HC56" s="1285"/>
      <c r="HD56" s="1287"/>
      <c r="HE56" s="1286" t="s">
        <v>20</v>
      </c>
      <c r="HF56" s="1285"/>
      <c r="HG56" s="1287"/>
      <c r="HH56" s="1286" t="s">
        <v>20</v>
      </c>
      <c r="HI56" s="1285"/>
      <c r="HJ56" s="1287"/>
      <c r="HK56" s="1286" t="s">
        <v>20</v>
      </c>
      <c r="HL56" s="1285"/>
      <c r="HM56" s="1287"/>
      <c r="HN56" s="1286" t="s">
        <v>20</v>
      </c>
      <c r="HO56" s="1285"/>
      <c r="HP56" s="1287"/>
      <c r="HQ56" s="1286" t="s">
        <v>20</v>
      </c>
      <c r="HR56" s="1285"/>
      <c r="HS56" s="1287"/>
      <c r="HT56" s="1286" t="s">
        <v>20</v>
      </c>
      <c r="HU56" s="1285"/>
      <c r="HV56" s="1287"/>
      <c r="HW56" s="1286" t="s">
        <v>20</v>
      </c>
      <c r="HX56" s="1285"/>
      <c r="HY56" s="1287"/>
      <c r="HZ56" s="1286" t="s">
        <v>20</v>
      </c>
      <c r="IA56" s="1285"/>
      <c r="IB56" s="1287"/>
      <c r="IC56" s="1286" t="s">
        <v>20</v>
      </c>
      <c r="ID56" s="1285"/>
      <c r="IE56" s="1287"/>
      <c r="IF56" s="1286" t="s">
        <v>20</v>
      </c>
      <c r="IG56" s="1285"/>
      <c r="IH56" s="1287"/>
      <c r="II56" s="1286" t="s">
        <v>20</v>
      </c>
      <c r="IJ56" s="1285"/>
      <c r="IK56" s="1287"/>
      <c r="IL56" s="1286" t="s">
        <v>20</v>
      </c>
      <c r="IM56" s="1285"/>
      <c r="IN56" s="1287"/>
      <c r="IO56" s="1286" t="s">
        <v>20</v>
      </c>
      <c r="IP56" s="1285"/>
      <c r="IQ56" s="1287"/>
      <c r="IR56" s="1286" t="s">
        <v>20</v>
      </c>
      <c r="IS56" s="1285"/>
      <c r="IT56" s="1287"/>
      <c r="IU56" s="1286" t="s">
        <v>20</v>
      </c>
      <c r="IV56" s="1285"/>
      <c r="IW56" s="1287"/>
      <c r="IX56" s="1286" t="s">
        <v>20</v>
      </c>
      <c r="IY56" s="1285"/>
      <c r="IZ56" s="1287"/>
      <c r="JA56" s="1286" t="s">
        <v>20</v>
      </c>
      <c r="JB56" s="1285"/>
      <c r="JC56" s="1287"/>
      <c r="JD56" s="1286" t="s">
        <v>20</v>
      </c>
      <c r="JE56" s="1285"/>
      <c r="JF56" s="1287"/>
      <c r="JG56" s="1286" t="s">
        <v>20</v>
      </c>
      <c r="JH56" s="1285"/>
      <c r="JI56" s="1287"/>
      <c r="JJ56" s="1286" t="s">
        <v>20</v>
      </c>
      <c r="JK56" s="1285"/>
      <c r="JL56" s="1287"/>
      <c r="JM56" s="1286" t="s">
        <v>20</v>
      </c>
      <c r="JN56" s="1285"/>
      <c r="JO56" s="1287"/>
      <c r="JP56" s="1286" t="s">
        <v>20</v>
      </c>
      <c r="JQ56" s="1285"/>
      <c r="JR56" s="1287"/>
      <c r="JS56" s="1286" t="s">
        <v>20</v>
      </c>
      <c r="JT56" s="1285"/>
      <c r="JU56" s="1287"/>
      <c r="JV56" s="1286" t="s">
        <v>20</v>
      </c>
      <c r="JW56" s="1285"/>
      <c r="JX56" s="1287"/>
      <c r="JY56" s="1286" t="s">
        <v>20</v>
      </c>
      <c r="JZ56" s="1285"/>
      <c r="KA56" s="1287"/>
      <c r="KB56" s="1286" t="s">
        <v>20</v>
      </c>
      <c r="KC56" s="1285"/>
      <c r="KD56" s="1287"/>
      <c r="KE56" s="1286" t="s">
        <v>20</v>
      </c>
      <c r="KF56" s="1285"/>
      <c r="KG56" s="1287"/>
      <c r="KH56" s="1286" t="s">
        <v>20</v>
      </c>
      <c r="KI56" s="1285"/>
      <c r="KJ56" s="1287"/>
      <c r="KK56" s="1286" t="s">
        <v>20</v>
      </c>
      <c r="KL56" s="1285"/>
      <c r="KM56" s="1287"/>
      <c r="KN56" s="1286" t="s">
        <v>20</v>
      </c>
      <c r="KO56" s="1285"/>
      <c r="KP56" s="1287"/>
      <c r="KQ56" s="1286" t="s">
        <v>20</v>
      </c>
      <c r="KR56" s="1285"/>
      <c r="KS56" s="1287"/>
      <c r="KT56" s="1286" t="s">
        <v>20</v>
      </c>
      <c r="KU56" s="1285"/>
      <c r="KV56" s="1287"/>
      <c r="KW56" s="1286" t="s">
        <v>20</v>
      </c>
      <c r="KX56" s="1285"/>
      <c r="KY56" s="1287"/>
      <c r="KZ56" s="1286" t="s">
        <v>20</v>
      </c>
      <c r="LA56" s="1285"/>
      <c r="LB56" s="1287"/>
      <c r="LC56" s="1286" t="s">
        <v>20</v>
      </c>
      <c r="LD56" s="1285"/>
      <c r="LE56" s="1287"/>
      <c r="LF56" s="1286" t="s">
        <v>20</v>
      </c>
      <c r="LG56" s="1285"/>
      <c r="LH56" s="1287"/>
      <c r="LI56" s="1286" t="s">
        <v>20</v>
      </c>
      <c r="LJ56" s="1285"/>
      <c r="LK56" s="1287"/>
      <c r="LL56" s="1286" t="s">
        <v>20</v>
      </c>
      <c r="LM56" s="1285"/>
      <c r="LN56" s="1287"/>
      <c r="LO56" s="1286" t="s">
        <v>20</v>
      </c>
      <c r="LP56" s="1285"/>
      <c r="LQ56" s="1287"/>
      <c r="LR56" s="1286" t="s">
        <v>20</v>
      </c>
      <c r="LS56" s="1285"/>
      <c r="LT56" s="1287"/>
      <c r="LU56" s="1286" t="s">
        <v>20</v>
      </c>
      <c r="LV56" s="1285"/>
      <c r="LW56" s="1287"/>
      <c r="LX56" s="1286" t="s">
        <v>20</v>
      </c>
      <c r="LY56" s="1285"/>
      <c r="LZ56" s="1287"/>
      <c r="MA56" s="1286" t="s">
        <v>20</v>
      </c>
      <c r="MB56" s="1285"/>
      <c r="MC56" s="1287"/>
      <c r="MD56" s="1286">
        <v>2</v>
      </c>
      <c r="ME56" s="1285"/>
      <c r="MF56" s="1287"/>
      <c r="MG56" s="1286" t="s">
        <v>20</v>
      </c>
      <c r="MH56" s="1285"/>
      <c r="MI56" s="1287"/>
      <c r="MJ56" s="1286" t="s">
        <v>20</v>
      </c>
      <c r="MK56" s="1285"/>
      <c r="ML56" s="1287"/>
      <c r="MM56" s="1286" t="s">
        <v>20</v>
      </c>
      <c r="MN56" s="1285"/>
      <c r="MO56" s="1287"/>
      <c r="MP56" s="1286" t="s">
        <v>20</v>
      </c>
      <c r="MQ56" s="1285"/>
      <c r="MR56" s="1287"/>
      <c r="MS56" s="1286" t="s">
        <v>20</v>
      </c>
      <c r="MT56" s="1285"/>
      <c r="MU56" s="1287"/>
      <c r="MV56" s="1286" t="s">
        <v>20</v>
      </c>
      <c r="MW56" s="1285"/>
      <c r="MX56" s="1287"/>
      <c r="MY56" s="1286" t="s">
        <v>20</v>
      </c>
      <c r="MZ56" s="1285"/>
      <c r="NA56" s="1287"/>
      <c r="NB56" s="1286" t="s">
        <v>20</v>
      </c>
      <c r="NC56" s="1285"/>
      <c r="ND56" s="1287"/>
      <c r="NE56" s="1286" t="s">
        <v>20</v>
      </c>
      <c r="NF56" s="1285"/>
      <c r="NG56" s="1287"/>
      <c r="NH56" s="1286" t="s">
        <v>20</v>
      </c>
      <c r="NI56" s="1285"/>
      <c r="NJ56" s="1287"/>
      <c r="NK56" s="1286" t="s">
        <v>20</v>
      </c>
      <c r="NL56" s="1285"/>
      <c r="NM56" s="1287"/>
      <c r="NN56" s="1286" t="s">
        <v>20</v>
      </c>
      <c r="NO56" s="1285"/>
      <c r="NP56" s="1287"/>
      <c r="NQ56" s="1286" t="s">
        <v>20</v>
      </c>
      <c r="NR56" s="1285"/>
      <c r="NS56" s="1287"/>
      <c r="NT56" s="1286" t="s">
        <v>20</v>
      </c>
      <c r="NU56" s="1285"/>
      <c r="NV56" s="1287"/>
      <c r="NW56" s="1286" t="s">
        <v>20</v>
      </c>
      <c r="NX56" s="1285"/>
      <c r="NY56" s="1287"/>
      <c r="NZ56" s="1286" t="s">
        <v>20</v>
      </c>
      <c r="OA56" s="1285"/>
      <c r="OB56" s="1287"/>
      <c r="OC56" s="1286" t="s">
        <v>20</v>
      </c>
      <c r="OD56" s="1285"/>
      <c r="OE56" s="1287"/>
      <c r="OF56" s="1286" t="s">
        <v>20</v>
      </c>
      <c r="OG56" s="1285"/>
      <c r="OH56" s="1287"/>
      <c r="OI56" s="1286" t="s">
        <v>20</v>
      </c>
      <c r="OJ56" s="1285"/>
      <c r="OK56" s="1287"/>
      <c r="OL56" s="1286" t="s">
        <v>20</v>
      </c>
      <c r="OM56" s="1285"/>
      <c r="ON56" s="1287"/>
      <c r="OO56" s="1286" t="s">
        <v>20</v>
      </c>
      <c r="OP56" s="1285"/>
      <c r="OQ56" s="1287"/>
      <c r="OR56" s="1286" t="s">
        <v>20</v>
      </c>
      <c r="OS56" s="1285"/>
      <c r="OT56" s="1287"/>
      <c r="OU56" s="1286" t="s">
        <v>20</v>
      </c>
      <c r="OV56" s="1285"/>
      <c r="OW56" s="1287"/>
      <c r="OX56" s="1286" t="s">
        <v>20</v>
      </c>
      <c r="OY56" s="1285"/>
      <c r="OZ56" s="1287"/>
      <c r="PA56" s="1286" t="s">
        <v>20</v>
      </c>
      <c r="PB56" s="1285"/>
      <c r="PC56" s="1287"/>
      <c r="PD56" s="1286" t="s">
        <v>20</v>
      </c>
      <c r="PE56" s="1285"/>
      <c r="PF56" s="1287"/>
      <c r="PG56" s="1286" t="s">
        <v>20</v>
      </c>
      <c r="PH56" s="1285"/>
      <c r="PI56" s="1287"/>
      <c r="PJ56" s="1286" t="s">
        <v>20</v>
      </c>
      <c r="PK56" s="1285"/>
      <c r="PL56" s="1287"/>
      <c r="PM56" s="1286" t="s">
        <v>20</v>
      </c>
      <c r="PN56" s="1285"/>
      <c r="PO56" s="1287"/>
      <c r="PP56" s="1286" t="s">
        <v>20</v>
      </c>
      <c r="PQ56" s="1285"/>
      <c r="PR56" s="1287"/>
      <c r="PS56" s="1286" t="s">
        <v>20</v>
      </c>
      <c r="PT56" s="1285"/>
      <c r="PU56" s="1287"/>
      <c r="PV56" s="1286" t="s">
        <v>20</v>
      </c>
      <c r="PW56" s="1285"/>
      <c r="PX56" s="1287"/>
      <c r="PY56" s="1286" t="s">
        <v>20</v>
      </c>
      <c r="PZ56" s="1285"/>
      <c r="QA56" s="1287"/>
      <c r="QB56" s="1286" t="s">
        <v>20</v>
      </c>
      <c r="QC56" s="1285"/>
      <c r="QD56" s="1287"/>
      <c r="QE56" s="1286" t="s">
        <v>20</v>
      </c>
      <c r="QF56" s="1285"/>
      <c r="QG56" s="1287"/>
      <c r="QH56" s="1286" t="s">
        <v>20</v>
      </c>
      <c r="QI56" s="1285"/>
      <c r="QJ56" s="1287"/>
      <c r="QK56" s="1286" t="s">
        <v>20</v>
      </c>
      <c r="QL56" s="1285"/>
      <c r="QM56" s="1287"/>
      <c r="QN56" s="1286" t="s">
        <v>20</v>
      </c>
      <c r="QO56" s="1285"/>
      <c r="QP56" s="1287"/>
      <c r="QQ56" s="1286" t="s">
        <v>20</v>
      </c>
      <c r="QR56" s="1285"/>
      <c r="QS56" s="1287"/>
      <c r="QT56" s="1286" t="s">
        <v>20</v>
      </c>
      <c r="QU56" s="1285"/>
      <c r="QV56" s="1287"/>
      <c r="QW56" s="1286" t="s">
        <v>20</v>
      </c>
      <c r="QX56" s="1285"/>
      <c r="QY56" s="1287"/>
      <c r="QZ56" s="1286"/>
      <c r="RA56" s="1285"/>
      <c r="RB56" s="1287"/>
      <c r="RC56" s="1286" t="s">
        <v>20</v>
      </c>
      <c r="RD56" s="1285"/>
      <c r="RE56" s="1287"/>
      <c r="RF56" s="1286" t="s">
        <v>20</v>
      </c>
      <c r="RG56" s="1285"/>
      <c r="RH56" s="1287"/>
      <c r="RI56" s="1286" t="s">
        <v>20</v>
      </c>
      <c r="RJ56" s="1285"/>
      <c r="RK56" s="1287"/>
      <c r="RL56" s="1286" t="s">
        <v>20</v>
      </c>
      <c r="RM56" s="1285"/>
      <c r="RN56" s="1287"/>
      <c r="RO56" s="1286" t="s">
        <v>20</v>
      </c>
      <c r="RP56" s="1285"/>
      <c r="RQ56" s="1287"/>
      <c r="RR56" s="1286" t="s">
        <v>20</v>
      </c>
      <c r="RS56" s="1285"/>
      <c r="RT56" s="1287"/>
      <c r="RU56" s="1286" t="s">
        <v>20</v>
      </c>
      <c r="RV56" s="1285"/>
      <c r="RW56" s="1287"/>
      <c r="RX56" s="1286" t="s">
        <v>20</v>
      </c>
      <c r="RY56" s="1285"/>
      <c r="RZ56" s="1287"/>
      <c r="SA56" s="1286" t="s">
        <v>20</v>
      </c>
      <c r="SB56" s="1285"/>
      <c r="SC56" s="1287"/>
      <c r="SD56" s="1286" t="s">
        <v>20</v>
      </c>
      <c r="SE56" s="1285"/>
      <c r="SF56" s="1287"/>
      <c r="SG56" s="1286" t="s">
        <v>20</v>
      </c>
      <c r="SH56" s="1285"/>
      <c r="SI56" s="1287"/>
      <c r="SJ56" s="1286" t="s">
        <v>20</v>
      </c>
      <c r="SK56" s="1285"/>
      <c r="SL56" s="1287"/>
      <c r="SM56" s="1286" t="s">
        <v>20</v>
      </c>
      <c r="SN56" s="1285"/>
      <c r="SO56" s="1287"/>
      <c r="SP56" s="1286" t="s">
        <v>20</v>
      </c>
      <c r="SQ56" s="1285"/>
      <c r="SR56" s="1287"/>
      <c r="SS56" s="1286" t="s">
        <v>20</v>
      </c>
      <c r="ST56" s="1285"/>
      <c r="SU56" s="1287"/>
      <c r="SV56" s="1286" t="s">
        <v>20</v>
      </c>
      <c r="SW56" s="1285"/>
      <c r="SX56" s="1287"/>
      <c r="SY56" s="1286" t="s">
        <v>20</v>
      </c>
      <c r="SZ56" s="1285"/>
      <c r="TA56" s="1287"/>
      <c r="TB56" s="1286" t="s">
        <v>20</v>
      </c>
      <c r="TC56" s="1285"/>
      <c r="TD56" s="1287"/>
      <c r="TE56" s="1286" t="s">
        <v>20</v>
      </c>
      <c r="TF56" s="1285"/>
      <c r="TG56" s="1287"/>
      <c r="TH56" s="1286" t="s">
        <v>20</v>
      </c>
      <c r="TI56" s="1285"/>
      <c r="TJ56" s="1287"/>
      <c r="TK56" s="1286" t="s">
        <v>20</v>
      </c>
      <c r="TL56" s="1285"/>
      <c r="TM56" s="1287"/>
      <c r="TN56" s="1286" t="s">
        <v>20</v>
      </c>
      <c r="TO56" s="1285"/>
      <c r="TP56" s="1287"/>
      <c r="TQ56" s="1286" t="s">
        <v>20</v>
      </c>
      <c r="TR56" s="1285"/>
      <c r="TS56" s="1287"/>
      <c r="TT56" s="1286" t="s">
        <v>20</v>
      </c>
      <c r="TU56" s="1285"/>
      <c r="TV56" s="1287"/>
      <c r="TW56" s="1286" t="s">
        <v>20</v>
      </c>
      <c r="TX56" s="1285"/>
      <c r="TY56" s="1287"/>
      <c r="TZ56" s="1286" t="s">
        <v>20</v>
      </c>
      <c r="UA56" s="1285"/>
      <c r="UB56" s="1287"/>
      <c r="UC56" s="1286" t="s">
        <v>20</v>
      </c>
      <c r="UD56" s="1285"/>
      <c r="UE56" s="1287"/>
      <c r="UF56" s="1286" t="s">
        <v>20</v>
      </c>
      <c r="UG56" s="1285"/>
      <c r="UH56" s="1287"/>
      <c r="UI56" s="1286" t="s">
        <v>20</v>
      </c>
      <c r="UJ56" s="1285"/>
      <c r="UK56" s="1287"/>
      <c r="UL56" s="1286" t="s">
        <v>20</v>
      </c>
      <c r="UM56" s="1285"/>
      <c r="UN56" s="1287"/>
      <c r="UO56" s="1286" t="s">
        <v>20</v>
      </c>
      <c r="UP56" s="1285"/>
      <c r="UQ56" s="1287"/>
      <c r="UR56" s="1286" t="s">
        <v>20</v>
      </c>
      <c r="US56" s="1285"/>
      <c r="UT56" s="1287"/>
      <c r="UU56" s="1286" t="s">
        <v>20</v>
      </c>
      <c r="UV56" s="1285"/>
      <c r="UW56" s="1287"/>
      <c r="UX56" s="1286" t="s">
        <v>20</v>
      </c>
      <c r="UY56" s="1285"/>
      <c r="UZ56" s="1287"/>
      <c r="VA56" s="1286" t="s">
        <v>20</v>
      </c>
      <c r="VB56" s="1285"/>
      <c r="VC56" s="1287"/>
      <c r="VD56" s="1286" t="s">
        <v>20</v>
      </c>
      <c r="VE56" s="1285"/>
      <c r="VF56" s="1287"/>
      <c r="VG56" s="1286" t="s">
        <v>20</v>
      </c>
      <c r="VH56" s="1285"/>
      <c r="VI56" s="1287"/>
      <c r="VJ56" s="1286" t="s">
        <v>20</v>
      </c>
      <c r="VK56" s="1285"/>
      <c r="VL56" s="1287"/>
      <c r="VM56" s="1286" t="s">
        <v>20</v>
      </c>
      <c r="VN56" s="1285"/>
      <c r="VO56" s="1287"/>
      <c r="VP56" s="1286" t="s">
        <v>20</v>
      </c>
      <c r="VQ56" s="1285"/>
      <c r="VR56" s="1287"/>
      <c r="VS56" s="1286" t="s">
        <v>20</v>
      </c>
      <c r="VT56" s="1285"/>
      <c r="VU56" s="1287"/>
      <c r="VV56" s="1286" t="s">
        <v>20</v>
      </c>
      <c r="VW56" s="1285"/>
      <c r="VX56" s="1287"/>
      <c r="VY56" s="1286" t="s">
        <v>20</v>
      </c>
      <c r="VZ56" s="1285"/>
      <c r="WA56" s="1287"/>
      <c r="WB56" s="1286" t="s">
        <v>20</v>
      </c>
      <c r="WC56" s="1285"/>
      <c r="WD56" s="1287"/>
      <c r="WE56" s="1286" t="s">
        <v>20</v>
      </c>
      <c r="WF56" s="1285"/>
      <c r="WG56" s="1287"/>
      <c r="WH56" s="1286" t="s">
        <v>20</v>
      </c>
      <c r="WI56" s="1285"/>
      <c r="WJ56" s="1287"/>
      <c r="WK56" s="1286" t="s">
        <v>20</v>
      </c>
      <c r="WL56" s="1285"/>
      <c r="WM56" s="1287"/>
      <c r="WN56" s="1286" t="s">
        <v>20</v>
      </c>
      <c r="WO56" s="1285"/>
      <c r="WP56" s="1287"/>
      <c r="WQ56" s="1286" t="s">
        <v>20</v>
      </c>
      <c r="WR56" s="1285"/>
      <c r="WS56" s="1287"/>
      <c r="WT56" s="1286" t="s">
        <v>20</v>
      </c>
      <c r="WU56" s="1285"/>
      <c r="WV56" s="1287"/>
      <c r="WW56" s="1286" t="s">
        <v>20</v>
      </c>
      <c r="WX56" s="1285"/>
      <c r="WY56" s="1287"/>
      <c r="WZ56" s="1286" t="s">
        <v>20</v>
      </c>
      <c r="XA56" s="1285"/>
      <c r="XB56" s="1287"/>
      <c r="XC56" s="1286" t="s">
        <v>20</v>
      </c>
      <c r="XD56" s="1285"/>
      <c r="XE56" s="1287"/>
      <c r="XF56" s="1286" t="s">
        <v>20</v>
      </c>
      <c r="XG56" s="1285"/>
      <c r="XH56" s="1287"/>
      <c r="XI56" s="1286" t="s">
        <v>20</v>
      </c>
      <c r="XJ56" s="1285"/>
      <c r="XK56" s="1287"/>
      <c r="XL56" s="1286" t="s">
        <v>20</v>
      </c>
      <c r="XM56" s="1285"/>
      <c r="XN56" s="1287"/>
      <c r="XO56" s="1286" t="s">
        <v>20</v>
      </c>
      <c r="XP56" s="1285"/>
      <c r="XQ56" s="1287"/>
      <c r="XR56" s="1286" t="s">
        <v>20</v>
      </c>
      <c r="XS56" s="1285"/>
      <c r="XT56" s="1287"/>
      <c r="XU56" s="1286" t="s">
        <v>20</v>
      </c>
      <c r="XV56" s="1285"/>
      <c r="XW56" s="1287"/>
      <c r="XX56" s="1286" t="s">
        <v>20</v>
      </c>
      <c r="XY56" s="1285"/>
      <c r="XZ56" s="1287"/>
      <c r="YA56" s="1286" t="s">
        <v>20</v>
      </c>
      <c r="YB56" s="1285"/>
      <c r="YC56" s="1287"/>
      <c r="YD56" s="1286" t="s">
        <v>20</v>
      </c>
      <c r="YE56" s="1285"/>
      <c r="YF56" s="1287"/>
      <c r="YG56" s="1286" t="s">
        <v>20</v>
      </c>
      <c r="YH56" s="1285"/>
      <c r="YI56" s="1287"/>
      <c r="YJ56" s="1286" t="s">
        <v>20</v>
      </c>
      <c r="YK56" s="1285"/>
      <c r="YL56" s="1287"/>
      <c r="YM56" s="1286" t="s">
        <v>20</v>
      </c>
      <c r="YN56" s="1285"/>
      <c r="YO56" s="1287"/>
      <c r="YP56" s="1286" t="s">
        <v>20</v>
      </c>
      <c r="YQ56" s="1285"/>
      <c r="YR56" s="1287"/>
      <c r="YS56" s="1286" t="s">
        <v>20</v>
      </c>
      <c r="YT56" s="1285"/>
      <c r="YU56" s="1287"/>
      <c r="YV56" s="1286" t="s">
        <v>20</v>
      </c>
      <c r="YW56" s="1285"/>
      <c r="YX56" s="1287"/>
      <c r="YY56" s="1286" t="s">
        <v>20</v>
      </c>
      <c r="YZ56" s="1285"/>
      <c r="ZA56" s="1287"/>
      <c r="ZB56" s="1286" t="s">
        <v>20</v>
      </c>
      <c r="ZC56" s="1285"/>
      <c r="ZD56" s="1287"/>
      <c r="ZE56" s="1286" t="s">
        <v>20</v>
      </c>
      <c r="ZF56" s="1285"/>
      <c r="ZG56" s="1287"/>
      <c r="ZH56" s="1286" t="s">
        <v>20</v>
      </c>
      <c r="ZI56" s="1285"/>
      <c r="ZJ56" s="1287"/>
      <c r="ZK56" s="1286" t="s">
        <v>20</v>
      </c>
      <c r="ZL56" s="1285"/>
      <c r="ZM56" s="1287"/>
      <c r="ZN56" s="1286" t="s">
        <v>20</v>
      </c>
      <c r="ZO56" s="1285"/>
      <c r="ZP56" s="1287"/>
      <c r="ZQ56" s="1286" t="s">
        <v>20</v>
      </c>
      <c r="ZR56" s="1285"/>
      <c r="ZS56" s="1287"/>
      <c r="ZT56" s="1286" t="s">
        <v>20</v>
      </c>
      <c r="ZU56" s="1285"/>
      <c r="ZV56" s="1287"/>
      <c r="ZW56" s="1286" t="s">
        <v>20</v>
      </c>
      <c r="ZX56" s="1285"/>
      <c r="ZY56" s="1287"/>
      <c r="ZZ56" s="1286" t="s">
        <v>20</v>
      </c>
      <c r="AAA56" s="1285"/>
      <c r="AAB56" s="1287"/>
      <c r="AAC56" s="1286" t="s">
        <v>20</v>
      </c>
      <c r="AAD56" s="1285"/>
      <c r="AAE56" s="1287"/>
      <c r="AAF56" s="1286" t="s">
        <v>20</v>
      </c>
      <c r="AAG56" s="1285"/>
      <c r="AAH56" s="1287"/>
      <c r="AAI56" s="1286" t="s">
        <v>20</v>
      </c>
      <c r="AAJ56" s="1285"/>
      <c r="AAK56" s="1287"/>
      <c r="AAL56" s="1286" t="s">
        <v>20</v>
      </c>
      <c r="AAM56" s="1285"/>
      <c r="AAN56" s="1287"/>
      <c r="AAO56" s="1286" t="s">
        <v>20</v>
      </c>
      <c r="AAP56" s="1285"/>
      <c r="AAQ56" s="1287"/>
      <c r="AAR56" s="1286" t="s">
        <v>20</v>
      </c>
      <c r="AAS56" s="1285"/>
      <c r="AAT56" s="1287"/>
      <c r="AAU56" s="1286" t="s">
        <v>20</v>
      </c>
      <c r="AAV56" s="1285"/>
      <c r="AAW56" s="1287"/>
      <c r="AAX56" s="1286" t="s">
        <v>20</v>
      </c>
      <c r="AAY56" s="1285"/>
      <c r="AAZ56" s="1287"/>
      <c r="ABA56" s="1286" t="s">
        <v>20</v>
      </c>
      <c r="ABB56" s="1285"/>
      <c r="ABC56" s="1287"/>
      <c r="ABD56" s="1286" t="s">
        <v>20</v>
      </c>
      <c r="ABE56" s="1285"/>
      <c r="ABF56" s="1287"/>
      <c r="ABG56" s="1286" t="s">
        <v>20</v>
      </c>
      <c r="ABH56" s="1285"/>
      <c r="ABI56" s="1287"/>
      <c r="ABJ56" s="1286" t="s">
        <v>20</v>
      </c>
      <c r="ABK56" s="1285"/>
      <c r="ABL56" s="1287"/>
      <c r="ABM56" s="1286" t="s">
        <v>20</v>
      </c>
      <c r="ABN56" s="1285"/>
      <c r="ABO56" s="1287"/>
      <c r="ABP56" s="1286" t="s">
        <v>20</v>
      </c>
      <c r="ABQ56" s="1285"/>
      <c r="ABR56" s="1287"/>
      <c r="ABS56" s="1286" t="s">
        <v>20</v>
      </c>
      <c r="ABT56" s="1285"/>
      <c r="ABU56" s="1287"/>
      <c r="ABV56" s="1286" t="s">
        <v>20</v>
      </c>
      <c r="ABW56" s="1285"/>
      <c r="ABX56" s="1287"/>
      <c r="ABY56" s="1286" t="s">
        <v>20</v>
      </c>
      <c r="ABZ56" s="1285"/>
      <c r="ACA56" s="1287"/>
      <c r="ACB56" s="1286" t="s">
        <v>20</v>
      </c>
      <c r="ACC56" s="1285"/>
      <c r="ACD56" s="1287"/>
      <c r="ACE56" s="1286" t="s">
        <v>20</v>
      </c>
      <c r="ACF56" s="1285"/>
      <c r="ACG56" s="1287"/>
      <c r="ACH56" s="1286" t="s">
        <v>20</v>
      </c>
      <c r="ACI56" s="1285"/>
      <c r="ACJ56" s="1287"/>
      <c r="ACK56" s="1286" t="s">
        <v>20</v>
      </c>
      <c r="ACL56" s="1285"/>
      <c r="ACM56" s="1287"/>
      <c r="ACN56" s="1286" t="s">
        <v>20</v>
      </c>
      <c r="ACO56" s="1285"/>
      <c r="ACP56" s="1287"/>
      <c r="ACQ56" s="1286" t="s">
        <v>20</v>
      </c>
      <c r="ACR56" s="1285"/>
      <c r="ACS56" s="1287"/>
      <c r="ACT56" s="1286" t="s">
        <v>20</v>
      </c>
      <c r="ACU56" s="1285"/>
      <c r="ACV56" s="1287"/>
      <c r="ACW56" s="1286" t="s">
        <v>20</v>
      </c>
      <c r="ACX56" s="1285"/>
      <c r="ACY56" s="1287"/>
      <c r="ACZ56" s="1286" t="s">
        <v>20</v>
      </c>
      <c r="ADA56" s="1285"/>
      <c r="ADB56" s="1287"/>
      <c r="ADC56" s="1286" t="s">
        <v>20</v>
      </c>
      <c r="ADD56" s="1285"/>
      <c r="ADE56" s="1287"/>
      <c r="ADF56" s="1286" t="s">
        <v>20</v>
      </c>
      <c r="ADG56" s="1285"/>
      <c r="ADH56" s="1287"/>
      <c r="ADI56" s="1286" t="s">
        <v>20</v>
      </c>
      <c r="ADJ56" s="1285"/>
      <c r="ADK56" s="1287"/>
      <c r="ADL56" s="1286" t="s">
        <v>20</v>
      </c>
      <c r="ADM56" s="1285"/>
      <c r="ADN56" s="1287"/>
      <c r="ADO56" s="1286" t="s">
        <v>20</v>
      </c>
      <c r="ADP56" s="1285"/>
      <c r="ADQ56" s="1287"/>
      <c r="ADR56" s="1286" t="s">
        <v>20</v>
      </c>
      <c r="ADS56" s="1285"/>
      <c r="ADT56" s="1287"/>
      <c r="ADU56" s="1286" t="s">
        <v>20</v>
      </c>
      <c r="ADV56" s="1285"/>
      <c r="ADW56" s="1287"/>
      <c r="ADX56" s="1286" t="s">
        <v>20</v>
      </c>
      <c r="ADY56" s="1285"/>
      <c r="ADZ56" s="1287"/>
      <c r="AEA56" s="1286" t="s">
        <v>20</v>
      </c>
      <c r="AEB56" s="1285"/>
      <c r="AEC56" s="1287"/>
      <c r="AED56" s="1286" t="s">
        <v>20</v>
      </c>
      <c r="AEE56" s="1285"/>
      <c r="AEF56" s="1287"/>
      <c r="AEG56" s="1286" t="s">
        <v>20</v>
      </c>
      <c r="AEH56" s="1285"/>
      <c r="AEI56" s="1287"/>
      <c r="AEJ56" s="1286" t="s">
        <v>20</v>
      </c>
      <c r="AEK56" s="1285"/>
      <c r="AEL56" s="1287"/>
      <c r="AEM56" s="1286" t="s">
        <v>20</v>
      </c>
      <c r="AEN56" s="1285"/>
      <c r="AEO56" s="1287"/>
      <c r="AEP56" s="1286" t="s">
        <v>20</v>
      </c>
      <c r="AEQ56" s="1285"/>
      <c r="AER56" s="1287"/>
      <c r="AES56" s="1286" t="s">
        <v>20</v>
      </c>
      <c r="AET56" s="1285"/>
      <c r="AEU56" s="1287"/>
      <c r="AEV56" s="1286" t="s">
        <v>20</v>
      </c>
      <c r="AEW56" s="1285"/>
      <c r="AEX56" s="1287"/>
      <c r="AEY56" s="1286" t="s">
        <v>20</v>
      </c>
      <c r="AEZ56" s="1285"/>
      <c r="AFA56" s="1287"/>
      <c r="AFB56" s="1286" t="s">
        <v>20</v>
      </c>
      <c r="AFC56" s="1285"/>
      <c r="AFD56" s="1287"/>
      <c r="AFE56" s="1286" t="s">
        <v>20</v>
      </c>
      <c r="AFF56" s="1285"/>
      <c r="AFG56" s="1287"/>
      <c r="AFH56" s="1286" t="s">
        <v>20</v>
      </c>
      <c r="AFI56" s="1285"/>
      <c r="AFJ56" s="1287"/>
      <c r="AFK56" s="1286" t="s">
        <v>20</v>
      </c>
      <c r="AFL56" s="1285"/>
      <c r="AFM56" s="1287"/>
      <c r="AFN56" s="1286" t="s">
        <v>20</v>
      </c>
      <c r="AFO56" s="1285"/>
      <c r="AFP56" s="1287"/>
      <c r="AFQ56" s="1286" t="s">
        <v>20</v>
      </c>
      <c r="AFR56" s="1285"/>
      <c r="AFS56" s="1287"/>
      <c r="AFT56" s="1286" t="s">
        <v>20</v>
      </c>
      <c r="AFU56" s="1285"/>
      <c r="AFV56" s="1287"/>
      <c r="AFW56" s="1286" t="s">
        <v>20</v>
      </c>
      <c r="AFX56" s="1285"/>
      <c r="AFY56" s="1287"/>
      <c r="AFZ56" s="1286" t="s">
        <v>20</v>
      </c>
      <c r="AGA56" s="1285"/>
      <c r="AGB56" s="1287"/>
      <c r="AGC56" s="1286" t="s">
        <v>20</v>
      </c>
      <c r="AGD56" s="1285"/>
      <c r="AGE56" s="1287"/>
      <c r="AGF56" s="1286" t="s">
        <v>20</v>
      </c>
      <c r="AGG56" s="1285"/>
      <c r="AGH56" s="1287"/>
      <c r="AGI56" s="1286" t="s">
        <v>20</v>
      </c>
      <c r="AGJ56" s="1285"/>
      <c r="AGK56" s="1287"/>
      <c r="AGL56" s="1286" t="s">
        <v>20</v>
      </c>
      <c r="AGM56" s="1285"/>
      <c r="AGN56" s="1287"/>
      <c r="AGO56" s="1286" t="s">
        <v>20</v>
      </c>
      <c r="AGP56" s="1285"/>
      <c r="AGQ56" s="1287"/>
      <c r="AGR56" s="1286" t="s">
        <v>20</v>
      </c>
      <c r="AGS56" s="1285"/>
      <c r="AGT56" s="1287"/>
      <c r="AGU56" s="1286" t="s">
        <v>20</v>
      </c>
      <c r="AGV56" s="1285"/>
      <c r="AGW56" s="1287"/>
      <c r="AGX56" s="1286" t="s">
        <v>20</v>
      </c>
      <c r="AGY56" s="1285"/>
      <c r="AGZ56" s="1287"/>
      <c r="AHA56" s="1286" t="s">
        <v>20</v>
      </c>
      <c r="AHB56" s="1285"/>
      <c r="AHC56" s="1287"/>
      <c r="AHD56" s="1286" t="s">
        <v>20</v>
      </c>
      <c r="AHE56" s="1285"/>
      <c r="AHF56" s="1287"/>
      <c r="AHG56" s="1286" t="s">
        <v>20</v>
      </c>
      <c r="AHH56" s="1285"/>
      <c r="AHI56" s="1287"/>
      <c r="AHJ56" s="1286" t="s">
        <v>20</v>
      </c>
      <c r="AHK56" s="1285"/>
      <c r="AHL56" s="1287"/>
      <c r="AHM56" s="1286" t="s">
        <v>20</v>
      </c>
      <c r="AHN56" s="1285"/>
      <c r="AHO56" s="1287"/>
      <c r="AHP56" s="1286" t="s">
        <v>20</v>
      </c>
      <c r="AHQ56" s="1285"/>
      <c r="AHR56" s="1287"/>
      <c r="AHS56" s="1286" t="s">
        <v>20</v>
      </c>
      <c r="AHT56" s="1285"/>
      <c r="AHU56" s="1287"/>
      <c r="AHV56" s="1286" t="s">
        <v>20</v>
      </c>
      <c r="AHW56" s="1285"/>
      <c r="AHX56" s="1287"/>
      <c r="AHY56" s="1286" t="s">
        <v>20</v>
      </c>
      <c r="AHZ56" s="1285"/>
      <c r="AIA56" s="1287"/>
      <c r="AIB56" s="1286" t="s">
        <v>20</v>
      </c>
      <c r="AIC56" s="1285"/>
      <c r="AID56" s="1285"/>
      <c r="AIE56" s="1286" t="s">
        <v>20</v>
      </c>
      <c r="AIF56" s="1285"/>
      <c r="AIG56" s="1287"/>
      <c r="AIH56" s="1286" t="s">
        <v>20</v>
      </c>
      <c r="AII56" s="1285"/>
      <c r="AIJ56" s="1287"/>
      <c r="AIK56" s="1286" t="s">
        <v>20</v>
      </c>
      <c r="AIL56" s="1285"/>
      <c r="AIM56" s="1287"/>
      <c r="AIN56" s="1286" t="s">
        <v>20</v>
      </c>
      <c r="AIO56" s="1285"/>
      <c r="AIP56" s="1287"/>
      <c r="AIQ56" s="1286" t="s">
        <v>20</v>
      </c>
      <c r="AIR56" s="1285"/>
      <c r="AIS56" s="1285"/>
      <c r="AIT56" s="1286" t="s">
        <v>20</v>
      </c>
      <c r="AIU56" s="1285"/>
      <c r="AIV56" s="1287"/>
      <c r="AIW56" s="1286" t="s">
        <v>20</v>
      </c>
      <c r="AIX56" s="1285"/>
      <c r="AIY56" s="1285"/>
      <c r="AIZ56" s="1286" t="s">
        <v>20</v>
      </c>
      <c r="AJA56" s="1285"/>
      <c r="AJB56" s="1287"/>
      <c r="AJC56" s="1286" t="s">
        <v>20</v>
      </c>
      <c r="AJD56" s="1285"/>
      <c r="AJE56" s="1287"/>
      <c r="AJF56" s="1286" t="s">
        <v>20</v>
      </c>
      <c r="AJG56" s="1285"/>
      <c r="AJH56" s="1287"/>
      <c r="AJI56" s="1286" t="s">
        <v>20</v>
      </c>
      <c r="AJJ56" s="1285"/>
      <c r="AJK56" s="1287"/>
      <c r="AJL56" s="1286" t="s">
        <v>20</v>
      </c>
      <c r="AJM56" s="1285"/>
      <c r="AJN56" s="1285"/>
      <c r="AJO56" s="1286" t="s">
        <v>20</v>
      </c>
      <c r="AJP56" s="1285"/>
      <c r="AJQ56" s="1287"/>
      <c r="AJR56" s="1286" t="s">
        <v>20</v>
      </c>
      <c r="AJS56" s="1285"/>
      <c r="AJT56" s="1285"/>
      <c r="AJU56" s="1286" t="s">
        <v>20</v>
      </c>
      <c r="AJV56" s="1285"/>
      <c r="AJW56" s="1287"/>
      <c r="AJX56" s="1286" t="s">
        <v>20</v>
      </c>
      <c r="AJY56" s="1285"/>
      <c r="AJZ56" s="1287"/>
      <c r="AKA56" s="1286" t="s">
        <v>20</v>
      </c>
      <c r="AKB56" s="1285"/>
      <c r="AKC56" s="1287"/>
      <c r="AKD56" s="1286" t="s">
        <v>20</v>
      </c>
      <c r="AKE56" s="1285"/>
      <c r="AKF56" s="1287"/>
      <c r="AKG56" s="1286" t="s">
        <v>20</v>
      </c>
      <c r="AKH56" s="1285"/>
      <c r="AKI56" s="1285"/>
      <c r="AKJ56" s="1286" t="s">
        <v>20</v>
      </c>
      <c r="AKK56" s="1285"/>
      <c r="AKL56" s="1287"/>
      <c r="AKM56" s="1286" t="s">
        <v>20</v>
      </c>
      <c r="AKN56" s="1285"/>
      <c r="AKO56" s="1285"/>
      <c r="AKP56" s="1286" t="s">
        <v>20</v>
      </c>
      <c r="AKQ56" s="1285"/>
      <c r="AKR56" s="1287"/>
      <c r="AKS56" s="1286" t="s">
        <v>20</v>
      </c>
      <c r="AKT56" s="1285"/>
      <c r="AKU56" s="1287"/>
      <c r="AKV56" s="1286" t="s">
        <v>20</v>
      </c>
      <c r="AKW56" s="1285"/>
      <c r="AKX56" s="1287"/>
      <c r="AKY56" s="1286" t="s">
        <v>20</v>
      </c>
      <c r="AKZ56" s="1285"/>
      <c r="ALA56" s="1287"/>
      <c r="ALB56" s="1286" t="s">
        <v>20</v>
      </c>
      <c r="ALC56" s="1285"/>
      <c r="ALD56" s="1285"/>
      <c r="ALE56" s="1286" t="s">
        <v>20</v>
      </c>
      <c r="ALF56" s="1285"/>
      <c r="ALG56" s="1287"/>
      <c r="ALH56" s="1286" t="s">
        <v>20</v>
      </c>
      <c r="ALI56" s="1285"/>
      <c r="ALJ56" s="1285"/>
      <c r="ALK56" s="1286" t="s">
        <v>20</v>
      </c>
      <c r="ALL56" s="1285"/>
      <c r="ALM56" s="1287"/>
      <c r="ALN56" s="1286" t="s">
        <v>20</v>
      </c>
      <c r="ALO56" s="1285"/>
      <c r="ALP56" s="1287"/>
      <c r="ALQ56" s="1286" t="s">
        <v>20</v>
      </c>
      <c r="ALR56" s="1285"/>
      <c r="ALS56" s="1287"/>
      <c r="ALT56" s="1286" t="s">
        <v>20</v>
      </c>
      <c r="ALU56" s="1285"/>
      <c r="ALV56" s="1287"/>
      <c r="ALW56" s="1286" t="s">
        <v>20</v>
      </c>
      <c r="ALX56" s="1285"/>
      <c r="ALY56" s="1285"/>
      <c r="ALZ56" s="1286" t="s">
        <v>20</v>
      </c>
      <c r="AMA56" s="1285"/>
      <c r="AMB56" s="1287"/>
      <c r="AMC56" s="1286" t="s">
        <v>20</v>
      </c>
      <c r="AMD56" s="1285"/>
      <c r="AME56" s="1285"/>
      <c r="AMF56" s="1286" t="s">
        <v>20</v>
      </c>
      <c r="AMG56" s="1285"/>
      <c r="AMH56" s="1287"/>
      <c r="AMI56" s="1286" t="s">
        <v>20</v>
      </c>
      <c r="AMJ56" s="1285"/>
      <c r="AMK56" s="1287"/>
      <c r="AML56" s="1286" t="s">
        <v>20</v>
      </c>
      <c r="AMM56" s="1285"/>
      <c r="AMN56" s="1287"/>
      <c r="AMO56" s="1286" t="s">
        <v>20</v>
      </c>
      <c r="AMP56" s="1285"/>
      <c r="AMQ56" s="1287"/>
      <c r="AMR56" s="1286" t="s">
        <v>20</v>
      </c>
      <c r="AMS56" s="1285"/>
      <c r="AMT56" s="1285"/>
      <c r="AMU56" s="1286" t="s">
        <v>20</v>
      </c>
      <c r="AMV56" s="1285"/>
      <c r="AMW56" s="1287"/>
      <c r="AMX56" s="1286" t="s">
        <v>20</v>
      </c>
      <c r="AMY56" s="1285"/>
      <c r="AMZ56" s="1285"/>
      <c r="ANA56" s="1286" t="s">
        <v>20</v>
      </c>
      <c r="ANB56" s="1285"/>
      <c r="ANC56" s="1287"/>
      <c r="AND56" s="1286" t="s">
        <v>20</v>
      </c>
      <c r="ANE56" s="1285"/>
      <c r="ANF56" s="1287"/>
      <c r="ANG56" s="1286" t="s">
        <v>20</v>
      </c>
      <c r="ANH56" s="1285"/>
      <c r="ANI56" s="1287"/>
      <c r="ANJ56" s="1286">
        <v>1</v>
      </c>
      <c r="ANK56" s="1285"/>
      <c r="ANL56" s="1287"/>
      <c r="ANM56" s="1286">
        <v>2</v>
      </c>
      <c r="ANN56" s="1285"/>
      <c r="ANO56" s="1287"/>
      <c r="ANP56" s="1286" t="s">
        <v>20</v>
      </c>
      <c r="ANQ56" s="1285"/>
      <c r="ANR56" s="1287"/>
      <c r="ANS56" s="1286" t="s">
        <v>20</v>
      </c>
      <c r="ANT56" s="1285"/>
      <c r="ANU56" s="1285"/>
      <c r="ANV56" s="1286" t="s">
        <v>20</v>
      </c>
      <c r="ANW56" s="1285"/>
      <c r="ANX56" s="1287"/>
      <c r="ANY56" s="1286" t="s">
        <v>20</v>
      </c>
      <c r="ANZ56" s="1285"/>
      <c r="AOA56" s="1287"/>
      <c r="AOB56" s="1286" t="s">
        <v>20</v>
      </c>
      <c r="AOC56" s="1285"/>
      <c r="AOD56" s="1287"/>
      <c r="AOE56" s="1286" t="s">
        <v>20</v>
      </c>
      <c r="AOF56" s="1285"/>
      <c r="AOG56" s="1287"/>
      <c r="AOH56" s="1286" t="s">
        <v>20</v>
      </c>
      <c r="AOI56" s="1285"/>
      <c r="AOJ56" s="1285"/>
      <c r="AOK56" s="1286" t="s">
        <v>20</v>
      </c>
      <c r="AOL56" s="1285"/>
      <c r="AOM56" s="1287"/>
      <c r="AON56" s="1286" t="s">
        <v>20</v>
      </c>
      <c r="AOO56" s="1285"/>
      <c r="AOP56" s="1285"/>
      <c r="AOQ56" s="1286" t="s">
        <v>20</v>
      </c>
      <c r="AOR56" s="1285"/>
      <c r="AOS56" s="1287"/>
      <c r="AOT56" s="1286" t="s">
        <v>20</v>
      </c>
      <c r="AOU56" s="1285"/>
      <c r="AOV56" s="1287"/>
      <c r="AOW56" s="1286" t="s">
        <v>20</v>
      </c>
      <c r="AOX56" s="1285"/>
      <c r="AOY56" s="1287"/>
      <c r="AOZ56" s="1286">
        <v>1</v>
      </c>
      <c r="APA56" s="1285"/>
      <c r="APB56" s="1287"/>
      <c r="APC56" s="1286" t="s">
        <v>20</v>
      </c>
      <c r="APD56" s="1285"/>
      <c r="APE56" s="1285"/>
      <c r="APF56" s="1286" t="s">
        <v>20</v>
      </c>
      <c r="APG56" s="1285"/>
      <c r="APH56" s="1287"/>
      <c r="API56" s="1286" t="s">
        <v>20</v>
      </c>
      <c r="APJ56" s="1285"/>
      <c r="APK56" s="1285"/>
      <c r="APL56" s="1286" t="s">
        <v>20</v>
      </c>
      <c r="APM56" s="1285"/>
      <c r="APN56" s="1287"/>
      <c r="APO56" s="1286" t="s">
        <v>20</v>
      </c>
      <c r="APP56" s="1285"/>
      <c r="APQ56" s="1287"/>
      <c r="APR56" s="1286" t="s">
        <v>20</v>
      </c>
      <c r="APS56" s="1285"/>
      <c r="APT56" s="1287"/>
      <c r="APU56" s="1286" t="s">
        <v>20</v>
      </c>
      <c r="APV56" s="1285"/>
      <c r="APW56" s="1287"/>
      <c r="APX56" s="1286">
        <v>1</v>
      </c>
      <c r="APY56" s="1285"/>
      <c r="APZ56" s="1285"/>
      <c r="AQA56" s="1286" t="s">
        <v>20</v>
      </c>
      <c r="AQB56" s="1285"/>
      <c r="AQC56" s="1287"/>
      <c r="AQD56" s="1286" t="s">
        <v>20</v>
      </c>
      <c r="AQE56" s="1285"/>
      <c r="AQF56" s="1287"/>
      <c r="AQG56" s="1286" t="s">
        <v>20</v>
      </c>
      <c r="AQH56" s="1285"/>
      <c r="AQI56" s="1287"/>
      <c r="AQJ56" s="1286" t="s">
        <v>20</v>
      </c>
      <c r="AQK56" s="1285"/>
      <c r="AQL56" s="1287"/>
      <c r="AQM56" s="1286" t="s">
        <v>20</v>
      </c>
      <c r="AQN56" s="1285"/>
      <c r="AQO56" s="1285"/>
      <c r="AQP56" s="1286" t="s">
        <v>20</v>
      </c>
      <c r="AQQ56" s="1285"/>
      <c r="AQR56" s="1285"/>
      <c r="AQS56" s="1286" t="s">
        <v>20</v>
      </c>
      <c r="AQT56" s="1285"/>
      <c r="AQU56" s="1287"/>
      <c r="AQV56" s="1285" t="s">
        <v>20</v>
      </c>
      <c r="AQW56" s="1285"/>
      <c r="AQX56" s="1287"/>
      <c r="AQY56" s="1286" t="s">
        <v>20</v>
      </c>
      <c r="AQZ56" s="1285"/>
      <c r="ARA56" s="1287"/>
      <c r="ARB56" s="1286" t="s">
        <v>20</v>
      </c>
      <c r="ARC56" s="1285"/>
      <c r="ARD56" s="1287"/>
      <c r="ARE56" s="1286" t="s">
        <v>20</v>
      </c>
      <c r="ARF56" s="1285"/>
      <c r="ARG56" s="1287"/>
      <c r="ARH56" s="1286" t="s">
        <v>20</v>
      </c>
      <c r="ARI56" s="1285"/>
      <c r="ARJ56" s="1285"/>
      <c r="ARK56" s="1286" t="s">
        <v>20</v>
      </c>
      <c r="ARL56" s="1285"/>
      <c r="ARM56" s="1287"/>
      <c r="ARN56" s="1286" t="s">
        <v>20</v>
      </c>
      <c r="ARO56" s="1285"/>
      <c r="ARP56" s="1285"/>
      <c r="ARQ56" s="1286" t="s">
        <v>20</v>
      </c>
      <c r="ARR56" s="1285"/>
      <c r="ARS56" s="1287"/>
      <c r="ART56" s="1286" t="s">
        <v>20</v>
      </c>
      <c r="ARU56" s="1285"/>
      <c r="ARV56" s="1287"/>
      <c r="ARW56" s="1286" t="s">
        <v>20</v>
      </c>
      <c r="ARX56" s="1285"/>
      <c r="ARY56" s="1287"/>
      <c r="ARZ56" s="1286" t="s">
        <v>20</v>
      </c>
      <c r="ASA56" s="1285"/>
      <c r="ASB56" s="1287"/>
      <c r="ASC56" s="1286" t="s">
        <v>20</v>
      </c>
      <c r="ASD56" s="1285"/>
      <c r="ASE56" s="1285"/>
      <c r="ASF56" s="1286" t="s">
        <v>20</v>
      </c>
      <c r="ASG56" s="1285"/>
      <c r="ASH56" s="1287"/>
      <c r="ASI56" s="1286" t="s">
        <v>20</v>
      </c>
      <c r="ASJ56" s="1285"/>
      <c r="ASK56" s="1285"/>
      <c r="ASL56" s="1286" t="s">
        <v>20</v>
      </c>
      <c r="ASM56" s="1285"/>
      <c r="ASN56" s="1287"/>
      <c r="ASO56" s="1286" t="s">
        <v>20</v>
      </c>
      <c r="ASP56" s="1285"/>
      <c r="ASQ56" s="1285"/>
      <c r="ASR56" s="1286" t="s">
        <v>20</v>
      </c>
      <c r="ASS56" s="1285"/>
      <c r="AST56" s="1287"/>
      <c r="ASU56" s="1286" t="s">
        <v>20</v>
      </c>
      <c r="ASV56" s="1285"/>
      <c r="ASW56" s="1287"/>
      <c r="ASX56" s="1286" t="s">
        <v>20</v>
      </c>
      <c r="ASY56" s="1285"/>
      <c r="ASZ56" s="1285"/>
      <c r="ATA56" s="1286" t="s">
        <v>20</v>
      </c>
      <c r="ATB56" s="1285"/>
      <c r="ATC56" s="1287"/>
      <c r="ATD56" s="1286" t="s">
        <v>20</v>
      </c>
      <c r="ATE56" s="1285"/>
      <c r="ATF56" s="1285"/>
      <c r="ATG56" s="1286" t="s">
        <v>20</v>
      </c>
      <c r="ATH56" s="1285"/>
      <c r="ATI56" s="1287"/>
      <c r="ATJ56" s="1286" t="s">
        <v>20</v>
      </c>
      <c r="ATK56" s="1285"/>
      <c r="ATL56" s="1287"/>
      <c r="ATM56" s="1286" t="s">
        <v>20</v>
      </c>
      <c r="ATN56" s="1285"/>
      <c r="ATO56" s="1287"/>
      <c r="ATP56" s="1286" t="s">
        <v>20</v>
      </c>
      <c r="ATQ56" s="1285"/>
      <c r="ATR56" s="1287"/>
      <c r="ATS56" s="1286" t="s">
        <v>20</v>
      </c>
      <c r="ATT56" s="1285"/>
      <c r="ATU56" s="1287"/>
      <c r="ATV56" s="1285" t="s">
        <v>20</v>
      </c>
      <c r="ATW56" s="1285"/>
      <c r="ATX56" s="1287"/>
      <c r="ATY56" s="1286" t="s">
        <v>20</v>
      </c>
      <c r="ATZ56" s="1285"/>
      <c r="AUA56" s="1285"/>
      <c r="AUB56" s="1286" t="s">
        <v>20</v>
      </c>
      <c r="AUC56" s="1285"/>
      <c r="AUD56" s="1287"/>
      <c r="AUE56" s="1286" t="s">
        <v>20</v>
      </c>
      <c r="AUF56" s="1285"/>
      <c r="AUG56" s="1287"/>
      <c r="AUH56" s="1286" t="s">
        <v>20</v>
      </c>
      <c r="AUI56" s="1285"/>
      <c r="AUJ56" s="1287"/>
      <c r="AUK56" s="1286" t="s">
        <v>20</v>
      </c>
      <c r="AUL56" s="1285"/>
      <c r="AUM56" s="1285"/>
      <c r="AUN56" s="1286" t="s">
        <v>20</v>
      </c>
      <c r="AUO56" s="1285"/>
      <c r="AUP56" s="1285"/>
      <c r="AUQ56" s="1286" t="s">
        <v>20</v>
      </c>
      <c r="AUR56" s="1285"/>
      <c r="AUS56" s="1285"/>
      <c r="AUT56" s="1286" t="s">
        <v>20</v>
      </c>
      <c r="AUU56" s="1285"/>
      <c r="AUV56" s="1285"/>
      <c r="AUW56" s="1286" t="s">
        <v>20</v>
      </c>
      <c r="AUX56" s="1285"/>
      <c r="AUY56" s="1285"/>
      <c r="AUZ56" s="1286" t="s">
        <v>20</v>
      </c>
      <c r="AVA56" s="1285"/>
      <c r="AVB56" s="1285"/>
      <c r="AVC56" s="1286" t="s">
        <v>20</v>
      </c>
      <c r="AVD56" s="1285"/>
      <c r="AVE56" s="1285"/>
      <c r="AVF56" s="1286" t="s">
        <v>20</v>
      </c>
      <c r="AVG56" s="1285"/>
      <c r="AVH56" s="1285"/>
      <c r="AVI56" s="1286" t="s">
        <v>20</v>
      </c>
      <c r="AVJ56" s="1285"/>
      <c r="AVK56" s="1285"/>
      <c r="AVL56" s="1286" t="s">
        <v>20</v>
      </c>
      <c r="AVM56" s="1285"/>
      <c r="AVN56" s="1285"/>
      <c r="AVO56" s="1286" t="s">
        <v>20</v>
      </c>
      <c r="AVP56" s="1285"/>
      <c r="AVQ56" s="1285"/>
      <c r="AVR56" s="1286" t="s">
        <v>20</v>
      </c>
      <c r="AVS56" s="1285"/>
      <c r="AVT56" s="1285"/>
      <c r="AVU56" s="1286" t="s">
        <v>20</v>
      </c>
      <c r="AVV56" s="1285"/>
      <c r="AVW56" s="1285"/>
      <c r="AVX56" s="1286" t="s">
        <v>20</v>
      </c>
      <c r="AVY56" s="1285"/>
      <c r="AVZ56" s="1285"/>
      <c r="AWA56" s="1286" t="s">
        <v>20</v>
      </c>
      <c r="AWB56" s="1285"/>
      <c r="AWC56" s="1285"/>
      <c r="AWD56" s="1286" t="s">
        <v>20</v>
      </c>
      <c r="AWE56" s="1285"/>
      <c r="AWF56" s="1285"/>
      <c r="AWG56" s="1286" t="s">
        <v>20</v>
      </c>
      <c r="AWH56" s="1285"/>
      <c r="AWI56" s="1285"/>
      <c r="AWJ56" s="1286" t="s">
        <v>20</v>
      </c>
      <c r="AWK56" s="1285"/>
      <c r="AWL56" s="1285"/>
      <c r="AWM56" s="1286" t="s">
        <v>20</v>
      </c>
      <c r="AWN56" s="1285"/>
      <c r="AWO56" s="1287"/>
      <c r="AWP56" s="1285" t="s">
        <v>20</v>
      </c>
      <c r="AWQ56" s="1285"/>
      <c r="AWR56" s="1287"/>
      <c r="AWS56" s="1286" t="s">
        <v>20</v>
      </c>
      <c r="AWT56" s="1285"/>
      <c r="AWU56" s="1287"/>
      <c r="AWV56" s="1286" t="s">
        <v>20</v>
      </c>
      <c r="AWW56" s="1285"/>
      <c r="AWX56" s="1287"/>
      <c r="AWY56" s="1286" t="s">
        <v>20</v>
      </c>
      <c r="AWZ56" s="1285"/>
      <c r="AXA56" s="1285"/>
      <c r="AXB56" s="1286" t="s">
        <v>20</v>
      </c>
      <c r="AXC56" s="1285"/>
      <c r="AXD56" s="1287"/>
      <c r="AXE56" s="1286" t="s">
        <v>20</v>
      </c>
      <c r="AXF56" s="1285"/>
      <c r="AXG56" s="1285"/>
      <c r="AXH56" s="1286" t="s">
        <v>20</v>
      </c>
      <c r="AXI56" s="1285"/>
      <c r="AXJ56" s="1287"/>
      <c r="AXK56" s="1286" t="s">
        <v>20</v>
      </c>
      <c r="AXL56" s="1285"/>
      <c r="AXM56" s="1287"/>
      <c r="AXN56" s="1286" t="s">
        <v>20</v>
      </c>
      <c r="AXO56" s="1285"/>
      <c r="AXP56" s="1287"/>
      <c r="AXQ56" s="1286" t="s">
        <v>20</v>
      </c>
      <c r="AXR56" s="1285"/>
      <c r="AXS56" s="1287"/>
      <c r="AXT56" s="1286" t="s">
        <v>20</v>
      </c>
      <c r="AXU56" s="1285"/>
      <c r="AXV56" s="1285"/>
      <c r="AXW56" s="1286" t="s">
        <v>20</v>
      </c>
      <c r="AXX56" s="1285"/>
      <c r="AXY56" s="1287"/>
      <c r="AXZ56" s="1286" t="s">
        <v>20</v>
      </c>
      <c r="AYA56" s="1285"/>
      <c r="AYB56" s="1285"/>
      <c r="AYC56" s="1286" t="s">
        <v>20</v>
      </c>
      <c r="AYD56" s="1285"/>
      <c r="AYE56" s="1287"/>
      <c r="AYF56" s="1286" t="s">
        <v>20</v>
      </c>
      <c r="AYG56" s="1285"/>
      <c r="AYH56" s="1287"/>
      <c r="AYI56" s="1286" t="s">
        <v>20</v>
      </c>
      <c r="AYJ56" s="1285"/>
      <c r="AYK56" s="1287"/>
      <c r="AYL56" s="1286" t="s">
        <v>20</v>
      </c>
      <c r="AYM56" s="1285"/>
      <c r="AYN56" s="1287"/>
      <c r="AYO56" s="1286" t="s">
        <v>20</v>
      </c>
      <c r="AYP56" s="1285"/>
      <c r="AYQ56" s="1285"/>
      <c r="AYR56" s="1286" t="s">
        <v>20</v>
      </c>
      <c r="AYS56" s="1285"/>
      <c r="AYT56" s="1287"/>
      <c r="AYU56" s="1286" t="s">
        <v>20</v>
      </c>
      <c r="AYV56" s="1285"/>
      <c r="AYW56" s="1285"/>
      <c r="AYX56" s="1286" t="s">
        <v>20</v>
      </c>
      <c r="AYY56" s="1285"/>
      <c r="AYZ56" s="1287"/>
      <c r="AZA56" s="1286" t="s">
        <v>20</v>
      </c>
      <c r="AZB56" s="1285"/>
      <c r="AZC56" s="1287"/>
      <c r="AZD56" s="1286" t="s">
        <v>20</v>
      </c>
      <c r="AZE56" s="1285"/>
      <c r="AZF56" s="1287"/>
      <c r="AZG56" s="1286" t="s">
        <v>20</v>
      </c>
      <c r="AZH56" s="1285"/>
      <c r="AZI56" s="1287"/>
      <c r="AZJ56" s="1286" t="s">
        <v>20</v>
      </c>
      <c r="AZK56" s="1285"/>
      <c r="AZL56" s="1285"/>
      <c r="AZM56" s="1286" t="s">
        <v>20</v>
      </c>
      <c r="AZN56" s="1285"/>
      <c r="AZO56" s="1287"/>
      <c r="AZP56" s="1286" t="s">
        <v>20</v>
      </c>
      <c r="AZQ56" s="1285"/>
      <c r="AZR56" s="1285"/>
      <c r="AZS56" s="1286" t="s">
        <v>20</v>
      </c>
      <c r="AZT56" s="1285"/>
      <c r="AZU56" s="1287"/>
      <c r="AZV56" s="1286" t="s">
        <v>20</v>
      </c>
      <c r="AZW56" s="1285"/>
      <c r="AZX56" s="1287"/>
      <c r="AZY56" s="1286" t="s">
        <v>20</v>
      </c>
      <c r="AZZ56" s="1285"/>
      <c r="BAA56" s="1287"/>
      <c r="BAB56" s="1286" t="s">
        <v>20</v>
      </c>
      <c r="BAC56" s="1285"/>
      <c r="BAD56" s="1287"/>
      <c r="BAE56" s="1286" t="s">
        <v>20</v>
      </c>
      <c r="BAF56" s="1285"/>
      <c r="BAG56" s="1285"/>
      <c r="BAH56" s="1286" t="s">
        <v>20</v>
      </c>
      <c r="BAI56" s="1285"/>
      <c r="BAJ56" s="1287"/>
    </row>
    <row r="57" spans="1:1388" s="16" customFormat="1" ht="13.5" customHeight="1">
      <c r="B57" s="5" t="s">
        <v>273</v>
      </c>
      <c r="E57" s="13" t="s">
        <v>336</v>
      </c>
      <c r="F57" s="1285" t="s">
        <v>20</v>
      </c>
      <c r="G57" s="1285"/>
      <c r="H57" s="1287"/>
      <c r="I57" s="1285" t="s">
        <v>20</v>
      </c>
      <c r="J57" s="1285"/>
      <c r="K57" s="1287"/>
      <c r="L57" s="1286" t="s">
        <v>20</v>
      </c>
      <c r="M57" s="1285"/>
      <c r="N57" s="1287"/>
      <c r="O57" s="1286" t="s">
        <v>20</v>
      </c>
      <c r="P57" s="1285"/>
      <c r="Q57" s="1287"/>
      <c r="R57" s="1286" t="s">
        <v>20</v>
      </c>
      <c r="S57" s="1285"/>
      <c r="T57" s="1287"/>
      <c r="U57" s="1286" t="s">
        <v>20</v>
      </c>
      <c r="V57" s="1285"/>
      <c r="W57" s="1287"/>
      <c r="X57" s="1286" t="s">
        <v>20</v>
      </c>
      <c r="Y57" s="1285"/>
      <c r="Z57" s="1287"/>
      <c r="AA57" s="1286" t="s">
        <v>20</v>
      </c>
      <c r="AB57" s="1285"/>
      <c r="AC57" s="1287"/>
      <c r="AD57" s="1286" t="s">
        <v>20</v>
      </c>
      <c r="AE57" s="1285"/>
      <c r="AF57" s="1287"/>
      <c r="AG57" s="1286" t="s">
        <v>20</v>
      </c>
      <c r="AH57" s="1285"/>
      <c r="AI57" s="1287"/>
      <c r="AJ57" s="1286" t="s">
        <v>20</v>
      </c>
      <c r="AK57" s="1285"/>
      <c r="AL57" s="1287"/>
      <c r="AM57" s="1286" t="s">
        <v>20</v>
      </c>
      <c r="AN57" s="1285"/>
      <c r="AO57" s="1287"/>
      <c r="AP57" s="1286" t="s">
        <v>20</v>
      </c>
      <c r="AQ57" s="1285"/>
      <c r="AR57" s="1287"/>
      <c r="AS57" s="1286" t="s">
        <v>20</v>
      </c>
      <c r="AT57" s="1285"/>
      <c r="AU57" s="1287"/>
      <c r="AV57" s="1286" t="s">
        <v>20</v>
      </c>
      <c r="AW57" s="1285"/>
      <c r="AX57" s="1287"/>
      <c r="AY57" s="1286" t="s">
        <v>20</v>
      </c>
      <c r="AZ57" s="1285"/>
      <c r="BA57" s="1287"/>
      <c r="BB57" s="1286" t="s">
        <v>20</v>
      </c>
      <c r="BC57" s="1285"/>
      <c r="BD57" s="1287"/>
      <c r="BE57" s="1286" t="s">
        <v>20</v>
      </c>
      <c r="BF57" s="1285"/>
      <c r="BG57" s="1287"/>
      <c r="BH57" s="1286" t="s">
        <v>20</v>
      </c>
      <c r="BI57" s="1285"/>
      <c r="BJ57" s="1287"/>
      <c r="BK57" s="1286" t="s">
        <v>20</v>
      </c>
      <c r="BL57" s="1285"/>
      <c r="BM57" s="1287"/>
      <c r="BN57" s="1286" t="s">
        <v>20</v>
      </c>
      <c r="BO57" s="1285"/>
      <c r="BP57" s="1287"/>
      <c r="BQ57" s="1286" t="s">
        <v>20</v>
      </c>
      <c r="BR57" s="1285"/>
      <c r="BS57" s="1287"/>
      <c r="BT57" s="1286" t="s">
        <v>20</v>
      </c>
      <c r="BU57" s="1285"/>
      <c r="BV57" s="1287"/>
      <c r="BW57" s="1286" t="s">
        <v>20</v>
      </c>
      <c r="BX57" s="1285"/>
      <c r="BY57" s="1287"/>
      <c r="BZ57" s="1286">
        <v>3</v>
      </c>
      <c r="CA57" s="1285"/>
      <c r="CB57" s="1287"/>
      <c r="CC57" s="1286" t="s">
        <v>20</v>
      </c>
      <c r="CD57" s="1285"/>
      <c r="CE57" s="1287"/>
      <c r="CF57" s="1286" t="s">
        <v>20</v>
      </c>
      <c r="CG57" s="1285"/>
      <c r="CH57" s="1287"/>
      <c r="CI57" s="1286" t="s">
        <v>20</v>
      </c>
      <c r="CJ57" s="1285"/>
      <c r="CK57" s="1287"/>
      <c r="CL57" s="1286" t="s">
        <v>20</v>
      </c>
      <c r="CM57" s="1285"/>
      <c r="CN57" s="1287"/>
      <c r="CO57" s="1286" t="s">
        <v>20</v>
      </c>
      <c r="CP57" s="1285"/>
      <c r="CQ57" s="1287"/>
      <c r="CR57" s="1286" t="s">
        <v>20</v>
      </c>
      <c r="CS57" s="1285"/>
      <c r="CT57" s="1287"/>
      <c r="CU57" s="1286" t="s">
        <v>20</v>
      </c>
      <c r="CV57" s="1285"/>
      <c r="CW57" s="1287"/>
      <c r="CX57" s="1286" t="s">
        <v>20</v>
      </c>
      <c r="CY57" s="1285"/>
      <c r="CZ57" s="1287"/>
      <c r="DA57" s="1286">
        <v>3</v>
      </c>
      <c r="DB57" s="1285"/>
      <c r="DC57" s="1287"/>
      <c r="DD57" s="1286" t="s">
        <v>20</v>
      </c>
      <c r="DE57" s="1285"/>
      <c r="DF57" s="1287"/>
      <c r="DG57" s="1286" t="s">
        <v>20</v>
      </c>
      <c r="DH57" s="1285"/>
      <c r="DI57" s="1287"/>
      <c r="DJ57" s="1286" t="s">
        <v>20</v>
      </c>
      <c r="DK57" s="1285"/>
      <c r="DL57" s="1287"/>
      <c r="DM57" s="1286" t="s">
        <v>20</v>
      </c>
      <c r="DN57" s="1285"/>
      <c r="DO57" s="1287"/>
      <c r="DP57" s="1286" t="s">
        <v>20</v>
      </c>
      <c r="DQ57" s="1285"/>
      <c r="DR57" s="1287"/>
      <c r="DS57" s="1286" t="s">
        <v>20</v>
      </c>
      <c r="DT57" s="1285"/>
      <c r="DU57" s="1287"/>
      <c r="DV57" s="1286" t="s">
        <v>20</v>
      </c>
      <c r="DW57" s="1285"/>
      <c r="DX57" s="1287"/>
      <c r="DY57" s="1286" t="s">
        <v>20</v>
      </c>
      <c r="DZ57" s="1285"/>
      <c r="EA57" s="1287"/>
      <c r="EB57" s="1286">
        <v>1</v>
      </c>
      <c r="EC57" s="1285"/>
      <c r="ED57" s="1287"/>
      <c r="EE57" s="1286" t="s">
        <v>20</v>
      </c>
      <c r="EF57" s="1285"/>
      <c r="EG57" s="1287"/>
      <c r="EH57" s="1286" t="s">
        <v>20</v>
      </c>
      <c r="EI57" s="1285"/>
      <c r="EJ57" s="1287"/>
      <c r="EK57" s="1286" t="s">
        <v>20</v>
      </c>
      <c r="EL57" s="1285"/>
      <c r="EM57" s="1287"/>
      <c r="EN57" s="1286">
        <v>3</v>
      </c>
      <c r="EO57" s="1285"/>
      <c r="EP57" s="1287"/>
      <c r="EQ57" s="1286">
        <v>1</v>
      </c>
      <c r="ER57" s="1285"/>
      <c r="ES57" s="1287"/>
      <c r="ET57" s="1286" t="s">
        <v>20</v>
      </c>
      <c r="EU57" s="1285"/>
      <c r="EV57" s="1287"/>
      <c r="EW57" s="1286">
        <v>1</v>
      </c>
      <c r="EX57" s="1285"/>
      <c r="EY57" s="1287"/>
      <c r="EZ57" s="1286" t="s">
        <v>20</v>
      </c>
      <c r="FA57" s="1285"/>
      <c r="FB57" s="1287"/>
      <c r="FC57" s="1286" t="s">
        <v>20</v>
      </c>
      <c r="FD57" s="1285"/>
      <c r="FE57" s="1287"/>
      <c r="FF57" s="1286" t="s">
        <v>20</v>
      </c>
      <c r="FG57" s="1285"/>
      <c r="FH57" s="1287"/>
      <c r="FI57" s="1286" t="s">
        <v>20</v>
      </c>
      <c r="FJ57" s="1285"/>
      <c r="FK57" s="1287"/>
      <c r="FL57" s="1286">
        <v>10</v>
      </c>
      <c r="FM57" s="1285"/>
      <c r="FN57" s="1287"/>
      <c r="FO57" s="1286">
        <v>1</v>
      </c>
      <c r="FP57" s="1285"/>
      <c r="FQ57" s="1287"/>
      <c r="FR57" s="1286">
        <v>6</v>
      </c>
      <c r="FS57" s="1285"/>
      <c r="FT57" s="1287"/>
      <c r="FU57" s="1286" t="s">
        <v>20</v>
      </c>
      <c r="FV57" s="1285"/>
      <c r="FW57" s="1287"/>
      <c r="FX57" s="1286" t="s">
        <v>20</v>
      </c>
      <c r="FY57" s="1285"/>
      <c r="FZ57" s="1287"/>
      <c r="GA57" s="1286" t="s">
        <v>20</v>
      </c>
      <c r="GB57" s="1285"/>
      <c r="GC57" s="1287"/>
      <c r="GD57" s="1286">
        <v>3</v>
      </c>
      <c r="GE57" s="1285"/>
      <c r="GF57" s="1287"/>
      <c r="GG57" s="1286" t="s">
        <v>20</v>
      </c>
      <c r="GH57" s="1285"/>
      <c r="GI57" s="1287"/>
      <c r="GJ57" s="1286" t="s">
        <v>20</v>
      </c>
      <c r="GK57" s="1285"/>
      <c r="GL57" s="1287"/>
      <c r="GM57" s="1286" t="s">
        <v>20</v>
      </c>
      <c r="GN57" s="1285"/>
      <c r="GO57" s="1287"/>
      <c r="GP57" s="1286" t="s">
        <v>20</v>
      </c>
      <c r="GQ57" s="1285"/>
      <c r="GR57" s="1287"/>
      <c r="GS57" s="1286" t="s">
        <v>20</v>
      </c>
      <c r="GT57" s="1285"/>
      <c r="GU57" s="1287"/>
      <c r="GV57" s="1286" t="s">
        <v>20</v>
      </c>
      <c r="GW57" s="1285"/>
      <c r="GX57" s="1287"/>
      <c r="GY57" s="1286" t="s">
        <v>20</v>
      </c>
      <c r="GZ57" s="1285"/>
      <c r="HA57" s="1287"/>
      <c r="HB57" s="1286" t="s">
        <v>20</v>
      </c>
      <c r="HC57" s="1285"/>
      <c r="HD57" s="1287"/>
      <c r="HE57" s="1286">
        <v>3</v>
      </c>
      <c r="HF57" s="1285"/>
      <c r="HG57" s="1287"/>
      <c r="HH57" s="1286" t="s">
        <v>20</v>
      </c>
      <c r="HI57" s="1285"/>
      <c r="HJ57" s="1287"/>
      <c r="HK57" s="1286" t="s">
        <v>20</v>
      </c>
      <c r="HL57" s="1285"/>
      <c r="HM57" s="1287"/>
      <c r="HN57" s="1286" t="s">
        <v>20</v>
      </c>
      <c r="HO57" s="1285"/>
      <c r="HP57" s="1287"/>
      <c r="HQ57" s="1286" t="s">
        <v>20</v>
      </c>
      <c r="HR57" s="1285"/>
      <c r="HS57" s="1287"/>
      <c r="HT57" s="1286" t="s">
        <v>20</v>
      </c>
      <c r="HU57" s="1285"/>
      <c r="HV57" s="1287"/>
      <c r="HW57" s="1286" t="s">
        <v>20</v>
      </c>
      <c r="HX57" s="1285"/>
      <c r="HY57" s="1287"/>
      <c r="HZ57" s="1286" t="s">
        <v>20</v>
      </c>
      <c r="IA57" s="1285"/>
      <c r="IB57" s="1287"/>
      <c r="IC57" s="1286" t="s">
        <v>20</v>
      </c>
      <c r="ID57" s="1285"/>
      <c r="IE57" s="1287"/>
      <c r="IF57" s="1286" t="s">
        <v>20</v>
      </c>
      <c r="IG57" s="1285"/>
      <c r="IH57" s="1287"/>
      <c r="II57" s="1286" t="s">
        <v>20</v>
      </c>
      <c r="IJ57" s="1285"/>
      <c r="IK57" s="1287"/>
      <c r="IL57" s="1286" t="s">
        <v>20</v>
      </c>
      <c r="IM57" s="1285"/>
      <c r="IN57" s="1287"/>
      <c r="IO57" s="1286">
        <v>1</v>
      </c>
      <c r="IP57" s="1285"/>
      <c r="IQ57" s="1287"/>
      <c r="IR57" s="1286" t="s">
        <v>20</v>
      </c>
      <c r="IS57" s="1285"/>
      <c r="IT57" s="1287"/>
      <c r="IU57" s="1286">
        <v>1</v>
      </c>
      <c r="IV57" s="1285"/>
      <c r="IW57" s="1287"/>
      <c r="IX57" s="1286" t="s">
        <v>20</v>
      </c>
      <c r="IY57" s="1285"/>
      <c r="IZ57" s="1287"/>
      <c r="JA57" s="1286" t="s">
        <v>20</v>
      </c>
      <c r="JB57" s="1285"/>
      <c r="JC57" s="1287"/>
      <c r="JD57" s="1286" t="s">
        <v>20</v>
      </c>
      <c r="JE57" s="1285"/>
      <c r="JF57" s="1287"/>
      <c r="JG57" s="1286" t="s">
        <v>20</v>
      </c>
      <c r="JH57" s="1285"/>
      <c r="JI57" s="1287"/>
      <c r="JJ57" s="1286" t="s">
        <v>20</v>
      </c>
      <c r="JK57" s="1285"/>
      <c r="JL57" s="1287"/>
      <c r="JM57" s="1286">
        <v>5</v>
      </c>
      <c r="JN57" s="1285"/>
      <c r="JO57" s="1287"/>
      <c r="JP57" s="1286" t="s">
        <v>20</v>
      </c>
      <c r="JQ57" s="1285"/>
      <c r="JR57" s="1287"/>
      <c r="JS57" s="1286" t="s">
        <v>20</v>
      </c>
      <c r="JT57" s="1285"/>
      <c r="JU57" s="1287"/>
      <c r="JV57" s="1286" t="s">
        <v>20</v>
      </c>
      <c r="JW57" s="1285"/>
      <c r="JX57" s="1287"/>
      <c r="JY57" s="1286" t="s">
        <v>20</v>
      </c>
      <c r="JZ57" s="1285"/>
      <c r="KA57" s="1287"/>
      <c r="KB57" s="1286" t="s">
        <v>20</v>
      </c>
      <c r="KC57" s="1285"/>
      <c r="KD57" s="1287"/>
      <c r="KE57" s="1286" t="s">
        <v>20</v>
      </c>
      <c r="KF57" s="1285"/>
      <c r="KG57" s="1287"/>
      <c r="KH57" s="1286" t="s">
        <v>20</v>
      </c>
      <c r="KI57" s="1285"/>
      <c r="KJ57" s="1287"/>
      <c r="KK57" s="1286" t="s">
        <v>20</v>
      </c>
      <c r="KL57" s="1285"/>
      <c r="KM57" s="1287"/>
      <c r="KN57" s="1286" t="s">
        <v>20</v>
      </c>
      <c r="KO57" s="1285"/>
      <c r="KP57" s="1287"/>
      <c r="KQ57" s="1286" t="s">
        <v>20</v>
      </c>
      <c r="KR57" s="1285"/>
      <c r="KS57" s="1287"/>
      <c r="KT57" s="1286" t="s">
        <v>20</v>
      </c>
      <c r="KU57" s="1285"/>
      <c r="KV57" s="1287"/>
      <c r="KW57" s="1286" t="s">
        <v>20</v>
      </c>
      <c r="KX57" s="1285"/>
      <c r="KY57" s="1287"/>
      <c r="KZ57" s="1286" t="s">
        <v>20</v>
      </c>
      <c r="LA57" s="1285"/>
      <c r="LB57" s="1287"/>
      <c r="LC57" s="1286" t="s">
        <v>20</v>
      </c>
      <c r="LD57" s="1285"/>
      <c r="LE57" s="1287"/>
      <c r="LF57" s="1286" t="s">
        <v>20</v>
      </c>
      <c r="LG57" s="1285"/>
      <c r="LH57" s="1287"/>
      <c r="LI57" s="1286" t="s">
        <v>20</v>
      </c>
      <c r="LJ57" s="1285"/>
      <c r="LK57" s="1287"/>
      <c r="LL57" s="1286" t="s">
        <v>20</v>
      </c>
      <c r="LM57" s="1285"/>
      <c r="LN57" s="1287"/>
      <c r="LO57" s="1286" t="s">
        <v>20</v>
      </c>
      <c r="LP57" s="1285"/>
      <c r="LQ57" s="1287"/>
      <c r="LR57" s="1286" t="s">
        <v>20</v>
      </c>
      <c r="LS57" s="1285"/>
      <c r="LT57" s="1287"/>
      <c r="LU57" s="1286" t="s">
        <v>20</v>
      </c>
      <c r="LV57" s="1285"/>
      <c r="LW57" s="1287"/>
      <c r="LX57" s="1286" t="s">
        <v>20</v>
      </c>
      <c r="LY57" s="1285"/>
      <c r="LZ57" s="1287"/>
      <c r="MA57" s="1286">
        <v>8</v>
      </c>
      <c r="MB57" s="1285"/>
      <c r="MC57" s="1287"/>
      <c r="MD57" s="1286" t="s">
        <v>20</v>
      </c>
      <c r="ME57" s="1285"/>
      <c r="MF57" s="1287"/>
      <c r="MG57" s="1286" t="s">
        <v>20</v>
      </c>
      <c r="MH57" s="1285"/>
      <c r="MI57" s="1287"/>
      <c r="MJ57" s="1286" t="s">
        <v>20</v>
      </c>
      <c r="MK57" s="1285"/>
      <c r="ML57" s="1287"/>
      <c r="MM57" s="1286" t="s">
        <v>20</v>
      </c>
      <c r="MN57" s="1285"/>
      <c r="MO57" s="1287"/>
      <c r="MP57" s="1286" t="s">
        <v>20</v>
      </c>
      <c r="MQ57" s="1285"/>
      <c r="MR57" s="1287"/>
      <c r="MS57" s="1286" t="s">
        <v>20</v>
      </c>
      <c r="MT57" s="1285"/>
      <c r="MU57" s="1287"/>
      <c r="MV57" s="1286" t="s">
        <v>20</v>
      </c>
      <c r="MW57" s="1285"/>
      <c r="MX57" s="1287"/>
      <c r="MY57" s="1286" t="s">
        <v>20</v>
      </c>
      <c r="MZ57" s="1285"/>
      <c r="NA57" s="1287"/>
      <c r="NB57" s="1286" t="s">
        <v>20</v>
      </c>
      <c r="NC57" s="1285"/>
      <c r="ND57" s="1287"/>
      <c r="NE57" s="1286" t="s">
        <v>20</v>
      </c>
      <c r="NF57" s="1285"/>
      <c r="NG57" s="1287"/>
      <c r="NH57" s="1286">
        <v>1</v>
      </c>
      <c r="NI57" s="1285"/>
      <c r="NJ57" s="1287"/>
      <c r="NK57" s="1286" t="s">
        <v>20</v>
      </c>
      <c r="NL57" s="1285"/>
      <c r="NM57" s="1287"/>
      <c r="NN57" s="1286" t="s">
        <v>20</v>
      </c>
      <c r="NO57" s="1285"/>
      <c r="NP57" s="1287"/>
      <c r="NQ57" s="1286" t="s">
        <v>20</v>
      </c>
      <c r="NR57" s="1285"/>
      <c r="NS57" s="1287"/>
      <c r="NT57" s="1286" t="s">
        <v>20</v>
      </c>
      <c r="NU57" s="1285"/>
      <c r="NV57" s="1287"/>
      <c r="NW57" s="1286" t="s">
        <v>20</v>
      </c>
      <c r="NX57" s="1285"/>
      <c r="NY57" s="1287"/>
      <c r="NZ57" s="1286" t="s">
        <v>20</v>
      </c>
      <c r="OA57" s="1285"/>
      <c r="OB57" s="1287"/>
      <c r="OC57" s="1286" t="s">
        <v>20</v>
      </c>
      <c r="OD57" s="1285"/>
      <c r="OE57" s="1287"/>
      <c r="OF57" s="1286" t="s">
        <v>20</v>
      </c>
      <c r="OG57" s="1285"/>
      <c r="OH57" s="1287"/>
      <c r="OI57" s="1286" t="s">
        <v>20</v>
      </c>
      <c r="OJ57" s="1285"/>
      <c r="OK57" s="1287"/>
      <c r="OL57" s="1286" t="s">
        <v>20</v>
      </c>
      <c r="OM57" s="1285"/>
      <c r="ON57" s="1287"/>
      <c r="OO57" s="1286" t="s">
        <v>20</v>
      </c>
      <c r="OP57" s="1285"/>
      <c r="OQ57" s="1287"/>
      <c r="OR57" s="1286" t="s">
        <v>20</v>
      </c>
      <c r="OS57" s="1285"/>
      <c r="OT57" s="1287"/>
      <c r="OU57" s="1286" t="s">
        <v>20</v>
      </c>
      <c r="OV57" s="1285"/>
      <c r="OW57" s="1287"/>
      <c r="OX57" s="1286" t="s">
        <v>20</v>
      </c>
      <c r="OY57" s="1285"/>
      <c r="OZ57" s="1287"/>
      <c r="PA57" s="1286" t="s">
        <v>20</v>
      </c>
      <c r="PB57" s="1285"/>
      <c r="PC57" s="1287"/>
      <c r="PD57" s="1286" t="s">
        <v>20</v>
      </c>
      <c r="PE57" s="1285"/>
      <c r="PF57" s="1287"/>
      <c r="PG57" s="1286" t="s">
        <v>20</v>
      </c>
      <c r="PH57" s="1285"/>
      <c r="PI57" s="1287"/>
      <c r="PJ57" s="1286" t="s">
        <v>20</v>
      </c>
      <c r="PK57" s="1285"/>
      <c r="PL57" s="1287"/>
      <c r="PM57" s="1286" t="s">
        <v>20</v>
      </c>
      <c r="PN57" s="1285"/>
      <c r="PO57" s="1287"/>
      <c r="PP57" s="1286" t="s">
        <v>20</v>
      </c>
      <c r="PQ57" s="1285"/>
      <c r="PR57" s="1287"/>
      <c r="PS57" s="1286" t="s">
        <v>20</v>
      </c>
      <c r="PT57" s="1285"/>
      <c r="PU57" s="1287"/>
      <c r="PV57" s="1286" t="s">
        <v>20</v>
      </c>
      <c r="PW57" s="1285"/>
      <c r="PX57" s="1287"/>
      <c r="PY57" s="1286" t="s">
        <v>20</v>
      </c>
      <c r="PZ57" s="1285"/>
      <c r="QA57" s="1287"/>
      <c r="QB57" s="1286" t="s">
        <v>20</v>
      </c>
      <c r="QC57" s="1285"/>
      <c r="QD57" s="1287"/>
      <c r="QE57" s="1286">
        <v>1</v>
      </c>
      <c r="QF57" s="1285"/>
      <c r="QG57" s="1287"/>
      <c r="QH57" s="1286">
        <v>1</v>
      </c>
      <c r="QI57" s="1285"/>
      <c r="QJ57" s="1287"/>
      <c r="QK57" s="1286" t="s">
        <v>20</v>
      </c>
      <c r="QL57" s="1285"/>
      <c r="QM57" s="1287"/>
      <c r="QN57" s="1286" t="s">
        <v>20</v>
      </c>
      <c r="QO57" s="1285"/>
      <c r="QP57" s="1287"/>
      <c r="QQ57" s="1286">
        <v>3</v>
      </c>
      <c r="QR57" s="1285"/>
      <c r="QS57" s="1287"/>
      <c r="QT57" s="1286" t="s">
        <v>20</v>
      </c>
      <c r="QU57" s="1285"/>
      <c r="QV57" s="1287"/>
      <c r="QW57" s="1286" t="s">
        <v>20</v>
      </c>
      <c r="QX57" s="1285"/>
      <c r="QY57" s="1287"/>
      <c r="QZ57" s="1286"/>
      <c r="RA57" s="1285"/>
      <c r="RB57" s="1287"/>
      <c r="RC57" s="1286" t="s">
        <v>20</v>
      </c>
      <c r="RD57" s="1285"/>
      <c r="RE57" s="1287"/>
      <c r="RF57" s="1286" t="s">
        <v>20</v>
      </c>
      <c r="RG57" s="1285"/>
      <c r="RH57" s="1287"/>
      <c r="RI57" s="1286" t="s">
        <v>20</v>
      </c>
      <c r="RJ57" s="1285"/>
      <c r="RK57" s="1287"/>
      <c r="RL57" s="1286" t="s">
        <v>20</v>
      </c>
      <c r="RM57" s="1285"/>
      <c r="RN57" s="1287"/>
      <c r="RO57" s="1286" t="s">
        <v>20</v>
      </c>
      <c r="RP57" s="1285"/>
      <c r="RQ57" s="1287"/>
      <c r="RR57" s="1286" t="s">
        <v>20</v>
      </c>
      <c r="RS57" s="1285"/>
      <c r="RT57" s="1287"/>
      <c r="RU57" s="1286" t="s">
        <v>20</v>
      </c>
      <c r="RV57" s="1285"/>
      <c r="RW57" s="1287"/>
      <c r="RX57" s="1286" t="s">
        <v>20</v>
      </c>
      <c r="RY57" s="1285"/>
      <c r="RZ57" s="1287"/>
      <c r="SA57" s="1286" t="s">
        <v>20</v>
      </c>
      <c r="SB57" s="1285"/>
      <c r="SC57" s="1287"/>
      <c r="SD57" s="1286" t="s">
        <v>20</v>
      </c>
      <c r="SE57" s="1285"/>
      <c r="SF57" s="1287"/>
      <c r="SG57" s="1286" t="s">
        <v>20</v>
      </c>
      <c r="SH57" s="1285"/>
      <c r="SI57" s="1287"/>
      <c r="SJ57" s="1286" t="s">
        <v>20</v>
      </c>
      <c r="SK57" s="1285"/>
      <c r="SL57" s="1287"/>
      <c r="SM57" s="1286" t="s">
        <v>20</v>
      </c>
      <c r="SN57" s="1285"/>
      <c r="SO57" s="1287"/>
      <c r="SP57" s="1286">
        <v>1</v>
      </c>
      <c r="SQ57" s="1285"/>
      <c r="SR57" s="1287"/>
      <c r="SS57" s="1286" t="s">
        <v>20</v>
      </c>
      <c r="ST57" s="1285"/>
      <c r="SU57" s="1287"/>
      <c r="SV57" s="1286" t="s">
        <v>20</v>
      </c>
      <c r="SW57" s="1285"/>
      <c r="SX57" s="1287"/>
      <c r="SY57" s="1286" t="s">
        <v>20</v>
      </c>
      <c r="SZ57" s="1285"/>
      <c r="TA57" s="1287"/>
      <c r="TB57" s="1286">
        <v>12</v>
      </c>
      <c r="TC57" s="1285"/>
      <c r="TD57" s="1287"/>
      <c r="TE57" s="1286" t="s">
        <v>20</v>
      </c>
      <c r="TF57" s="1285"/>
      <c r="TG57" s="1287"/>
      <c r="TH57" s="1286">
        <v>2</v>
      </c>
      <c r="TI57" s="1285"/>
      <c r="TJ57" s="1287"/>
      <c r="TK57" s="1286" t="s">
        <v>20</v>
      </c>
      <c r="TL57" s="1285"/>
      <c r="TM57" s="1287"/>
      <c r="TN57" s="1286" t="s">
        <v>20</v>
      </c>
      <c r="TO57" s="1285"/>
      <c r="TP57" s="1287"/>
      <c r="TQ57" s="1286" t="s">
        <v>20</v>
      </c>
      <c r="TR57" s="1285"/>
      <c r="TS57" s="1287"/>
      <c r="TT57" s="1286" t="s">
        <v>20</v>
      </c>
      <c r="TU57" s="1285"/>
      <c r="TV57" s="1287"/>
      <c r="TW57" s="1286" t="s">
        <v>20</v>
      </c>
      <c r="TX57" s="1285"/>
      <c r="TY57" s="1287"/>
      <c r="TZ57" s="1286" t="s">
        <v>20</v>
      </c>
      <c r="UA57" s="1285"/>
      <c r="UB57" s="1287"/>
      <c r="UC57" s="1286" t="s">
        <v>20</v>
      </c>
      <c r="UD57" s="1285"/>
      <c r="UE57" s="1287"/>
      <c r="UF57" s="1286">
        <v>2</v>
      </c>
      <c r="UG57" s="1285"/>
      <c r="UH57" s="1287"/>
      <c r="UI57" s="1286" t="s">
        <v>20</v>
      </c>
      <c r="UJ57" s="1285"/>
      <c r="UK57" s="1287"/>
      <c r="UL57" s="1286" t="s">
        <v>20</v>
      </c>
      <c r="UM57" s="1285"/>
      <c r="UN57" s="1287"/>
      <c r="UO57" s="1286" t="s">
        <v>20</v>
      </c>
      <c r="UP57" s="1285"/>
      <c r="UQ57" s="1287"/>
      <c r="UR57" s="1286" t="s">
        <v>20</v>
      </c>
      <c r="US57" s="1285"/>
      <c r="UT57" s="1287"/>
      <c r="UU57" s="1286">
        <v>1</v>
      </c>
      <c r="UV57" s="1285"/>
      <c r="UW57" s="1287"/>
      <c r="UX57" s="1286" t="s">
        <v>20</v>
      </c>
      <c r="UY57" s="1285"/>
      <c r="UZ57" s="1287"/>
      <c r="VA57" s="1286">
        <v>6</v>
      </c>
      <c r="VB57" s="1285"/>
      <c r="VC57" s="1287"/>
      <c r="VD57" s="1286" t="s">
        <v>20</v>
      </c>
      <c r="VE57" s="1285"/>
      <c r="VF57" s="1287"/>
      <c r="VG57" s="1286" t="s">
        <v>20</v>
      </c>
      <c r="VH57" s="1285"/>
      <c r="VI57" s="1287"/>
      <c r="VJ57" s="1286" t="s">
        <v>20</v>
      </c>
      <c r="VK57" s="1285"/>
      <c r="VL57" s="1287"/>
      <c r="VM57" s="1286" t="s">
        <v>20</v>
      </c>
      <c r="VN57" s="1285"/>
      <c r="VO57" s="1287"/>
      <c r="VP57" s="1286" t="s">
        <v>20</v>
      </c>
      <c r="VQ57" s="1285"/>
      <c r="VR57" s="1287"/>
      <c r="VS57" s="1286" t="s">
        <v>20</v>
      </c>
      <c r="VT57" s="1285"/>
      <c r="VU57" s="1287"/>
      <c r="VV57" s="1286">
        <v>3</v>
      </c>
      <c r="VW57" s="1285"/>
      <c r="VX57" s="1287"/>
      <c r="VY57" s="1286" t="s">
        <v>20</v>
      </c>
      <c r="VZ57" s="1285"/>
      <c r="WA57" s="1287"/>
      <c r="WB57" s="1286" t="s">
        <v>20</v>
      </c>
      <c r="WC57" s="1285"/>
      <c r="WD57" s="1287"/>
      <c r="WE57" s="1286" t="s">
        <v>20</v>
      </c>
      <c r="WF57" s="1285"/>
      <c r="WG57" s="1287"/>
      <c r="WH57" s="1286" t="s">
        <v>20</v>
      </c>
      <c r="WI57" s="1285"/>
      <c r="WJ57" s="1287"/>
      <c r="WK57" s="1286" t="s">
        <v>20</v>
      </c>
      <c r="WL57" s="1285"/>
      <c r="WM57" s="1287"/>
      <c r="WN57" s="1286" t="s">
        <v>20</v>
      </c>
      <c r="WO57" s="1285"/>
      <c r="WP57" s="1287"/>
      <c r="WQ57" s="1286" t="s">
        <v>20</v>
      </c>
      <c r="WR57" s="1285"/>
      <c r="WS57" s="1287"/>
      <c r="WT57" s="1286" t="s">
        <v>20</v>
      </c>
      <c r="WU57" s="1285"/>
      <c r="WV57" s="1287"/>
      <c r="WW57" s="1286" t="s">
        <v>20</v>
      </c>
      <c r="WX57" s="1285"/>
      <c r="WY57" s="1287"/>
      <c r="WZ57" s="1286" t="s">
        <v>20</v>
      </c>
      <c r="XA57" s="1285"/>
      <c r="XB57" s="1287"/>
      <c r="XC57" s="1286" t="s">
        <v>20</v>
      </c>
      <c r="XD57" s="1285"/>
      <c r="XE57" s="1287"/>
      <c r="XF57" s="1286" t="s">
        <v>20</v>
      </c>
      <c r="XG57" s="1285"/>
      <c r="XH57" s="1287"/>
      <c r="XI57" s="1286" t="s">
        <v>20</v>
      </c>
      <c r="XJ57" s="1285"/>
      <c r="XK57" s="1287"/>
      <c r="XL57" s="1286" t="s">
        <v>20</v>
      </c>
      <c r="XM57" s="1285"/>
      <c r="XN57" s="1287"/>
      <c r="XO57" s="1286" t="s">
        <v>20</v>
      </c>
      <c r="XP57" s="1285"/>
      <c r="XQ57" s="1287"/>
      <c r="XR57" s="1286" t="s">
        <v>20</v>
      </c>
      <c r="XS57" s="1285"/>
      <c r="XT57" s="1287"/>
      <c r="XU57" s="1286" t="s">
        <v>20</v>
      </c>
      <c r="XV57" s="1285"/>
      <c r="XW57" s="1287"/>
      <c r="XX57" s="1286" t="s">
        <v>20</v>
      </c>
      <c r="XY57" s="1285"/>
      <c r="XZ57" s="1287"/>
      <c r="YA57" s="1286" t="s">
        <v>20</v>
      </c>
      <c r="YB57" s="1285"/>
      <c r="YC57" s="1287"/>
      <c r="YD57" s="1286" t="s">
        <v>20</v>
      </c>
      <c r="YE57" s="1285"/>
      <c r="YF57" s="1287"/>
      <c r="YG57" s="1286">
        <v>2</v>
      </c>
      <c r="YH57" s="1285"/>
      <c r="YI57" s="1287"/>
      <c r="YJ57" s="1286" t="s">
        <v>20</v>
      </c>
      <c r="YK57" s="1285"/>
      <c r="YL57" s="1287"/>
      <c r="YM57" s="1286" t="s">
        <v>20</v>
      </c>
      <c r="YN57" s="1285"/>
      <c r="YO57" s="1287"/>
      <c r="YP57" s="1286" t="s">
        <v>20</v>
      </c>
      <c r="YQ57" s="1285"/>
      <c r="YR57" s="1287"/>
      <c r="YS57" s="1286">
        <v>1</v>
      </c>
      <c r="YT57" s="1285"/>
      <c r="YU57" s="1287"/>
      <c r="YV57" s="1286" t="s">
        <v>20</v>
      </c>
      <c r="YW57" s="1285"/>
      <c r="YX57" s="1287"/>
      <c r="YY57" s="1286" t="s">
        <v>20</v>
      </c>
      <c r="YZ57" s="1285"/>
      <c r="ZA57" s="1287"/>
      <c r="ZB57" s="1286" t="s">
        <v>20</v>
      </c>
      <c r="ZC57" s="1285"/>
      <c r="ZD57" s="1287"/>
      <c r="ZE57" s="1286" t="s">
        <v>20</v>
      </c>
      <c r="ZF57" s="1285"/>
      <c r="ZG57" s="1287"/>
      <c r="ZH57" s="1286" t="s">
        <v>20</v>
      </c>
      <c r="ZI57" s="1285"/>
      <c r="ZJ57" s="1287"/>
      <c r="ZK57" s="1286" t="s">
        <v>20</v>
      </c>
      <c r="ZL57" s="1285"/>
      <c r="ZM57" s="1287"/>
      <c r="ZN57" s="1286" t="s">
        <v>20</v>
      </c>
      <c r="ZO57" s="1285"/>
      <c r="ZP57" s="1287"/>
      <c r="ZQ57" s="1286" t="s">
        <v>20</v>
      </c>
      <c r="ZR57" s="1285"/>
      <c r="ZS57" s="1287"/>
      <c r="ZT57" s="1286" t="s">
        <v>20</v>
      </c>
      <c r="ZU57" s="1285"/>
      <c r="ZV57" s="1287"/>
      <c r="ZW57" s="1286" t="s">
        <v>20</v>
      </c>
      <c r="ZX57" s="1285"/>
      <c r="ZY57" s="1287"/>
      <c r="ZZ57" s="1286" t="s">
        <v>20</v>
      </c>
      <c r="AAA57" s="1285"/>
      <c r="AAB57" s="1287"/>
      <c r="AAC57" s="1286" t="s">
        <v>20</v>
      </c>
      <c r="AAD57" s="1285"/>
      <c r="AAE57" s="1287"/>
      <c r="AAF57" s="1286" t="s">
        <v>20</v>
      </c>
      <c r="AAG57" s="1285"/>
      <c r="AAH57" s="1287"/>
      <c r="AAI57" s="1286" t="s">
        <v>20</v>
      </c>
      <c r="AAJ57" s="1285"/>
      <c r="AAK57" s="1287"/>
      <c r="AAL57" s="1286" t="s">
        <v>20</v>
      </c>
      <c r="AAM57" s="1285"/>
      <c r="AAN57" s="1287"/>
      <c r="AAO57" s="1286" t="s">
        <v>20</v>
      </c>
      <c r="AAP57" s="1285"/>
      <c r="AAQ57" s="1287"/>
      <c r="AAR57" s="1286">
        <v>4</v>
      </c>
      <c r="AAS57" s="1285"/>
      <c r="AAT57" s="1287"/>
      <c r="AAU57" s="1286" t="s">
        <v>20</v>
      </c>
      <c r="AAV57" s="1285"/>
      <c r="AAW57" s="1287"/>
      <c r="AAX57" s="1286" t="s">
        <v>20</v>
      </c>
      <c r="AAY57" s="1285"/>
      <c r="AAZ57" s="1287"/>
      <c r="ABA57" s="1286" t="s">
        <v>20</v>
      </c>
      <c r="ABB57" s="1285"/>
      <c r="ABC57" s="1287"/>
      <c r="ABD57" s="1286" t="s">
        <v>20</v>
      </c>
      <c r="ABE57" s="1285"/>
      <c r="ABF57" s="1287"/>
      <c r="ABG57" s="1286" t="s">
        <v>20</v>
      </c>
      <c r="ABH57" s="1285"/>
      <c r="ABI57" s="1287"/>
      <c r="ABJ57" s="1286" t="s">
        <v>20</v>
      </c>
      <c r="ABK57" s="1285"/>
      <c r="ABL57" s="1287"/>
      <c r="ABM57" s="1286" t="s">
        <v>20</v>
      </c>
      <c r="ABN57" s="1285"/>
      <c r="ABO57" s="1287"/>
      <c r="ABP57" s="1286" t="s">
        <v>20</v>
      </c>
      <c r="ABQ57" s="1285"/>
      <c r="ABR57" s="1287"/>
      <c r="ABS57" s="1286" t="s">
        <v>20</v>
      </c>
      <c r="ABT57" s="1285"/>
      <c r="ABU57" s="1287"/>
      <c r="ABV57" s="1286" t="s">
        <v>20</v>
      </c>
      <c r="ABW57" s="1285"/>
      <c r="ABX57" s="1287"/>
      <c r="ABY57" s="1286" t="s">
        <v>20</v>
      </c>
      <c r="ABZ57" s="1285"/>
      <c r="ACA57" s="1287"/>
      <c r="ACB57" s="1286">
        <v>1</v>
      </c>
      <c r="ACC57" s="1285"/>
      <c r="ACD57" s="1287"/>
      <c r="ACE57" s="1286" t="s">
        <v>20</v>
      </c>
      <c r="ACF57" s="1285"/>
      <c r="ACG57" s="1287"/>
      <c r="ACH57" s="1286" t="s">
        <v>20</v>
      </c>
      <c r="ACI57" s="1285"/>
      <c r="ACJ57" s="1287"/>
      <c r="ACK57" s="1286" t="s">
        <v>20</v>
      </c>
      <c r="ACL57" s="1285"/>
      <c r="ACM57" s="1287"/>
      <c r="ACN57" s="1286" t="s">
        <v>20</v>
      </c>
      <c r="ACO57" s="1285"/>
      <c r="ACP57" s="1287"/>
      <c r="ACQ57" s="1286" t="s">
        <v>20</v>
      </c>
      <c r="ACR57" s="1285"/>
      <c r="ACS57" s="1287"/>
      <c r="ACT57" s="1286" t="s">
        <v>20</v>
      </c>
      <c r="ACU57" s="1285"/>
      <c r="ACV57" s="1287"/>
      <c r="ACW57" s="1286" t="s">
        <v>20</v>
      </c>
      <c r="ACX57" s="1285"/>
      <c r="ACY57" s="1287"/>
      <c r="ACZ57" s="1286" t="s">
        <v>20</v>
      </c>
      <c r="ADA57" s="1285"/>
      <c r="ADB57" s="1287"/>
      <c r="ADC57" s="1286" t="s">
        <v>20</v>
      </c>
      <c r="ADD57" s="1285"/>
      <c r="ADE57" s="1287"/>
      <c r="ADF57" s="1286" t="s">
        <v>20</v>
      </c>
      <c r="ADG57" s="1285"/>
      <c r="ADH57" s="1287"/>
      <c r="ADI57" s="1286" t="s">
        <v>20</v>
      </c>
      <c r="ADJ57" s="1285"/>
      <c r="ADK57" s="1287"/>
      <c r="ADL57" s="1286" t="s">
        <v>20</v>
      </c>
      <c r="ADM57" s="1285"/>
      <c r="ADN57" s="1287"/>
      <c r="ADO57" s="1286" t="s">
        <v>20</v>
      </c>
      <c r="ADP57" s="1285"/>
      <c r="ADQ57" s="1287"/>
      <c r="ADR57" s="1286" t="s">
        <v>20</v>
      </c>
      <c r="ADS57" s="1285"/>
      <c r="ADT57" s="1287"/>
      <c r="ADU57" s="1286" t="s">
        <v>20</v>
      </c>
      <c r="ADV57" s="1285"/>
      <c r="ADW57" s="1287"/>
      <c r="ADX57" s="1286" t="s">
        <v>20</v>
      </c>
      <c r="ADY57" s="1285"/>
      <c r="ADZ57" s="1287"/>
      <c r="AEA57" s="1286" t="s">
        <v>20</v>
      </c>
      <c r="AEB57" s="1285"/>
      <c r="AEC57" s="1287"/>
      <c r="AED57" s="1286" t="s">
        <v>20</v>
      </c>
      <c r="AEE57" s="1285"/>
      <c r="AEF57" s="1287"/>
      <c r="AEG57" s="1286" t="s">
        <v>20</v>
      </c>
      <c r="AEH57" s="1285"/>
      <c r="AEI57" s="1287"/>
      <c r="AEJ57" s="1286" t="s">
        <v>20</v>
      </c>
      <c r="AEK57" s="1285"/>
      <c r="AEL57" s="1287"/>
      <c r="AEM57" s="1286" t="s">
        <v>20</v>
      </c>
      <c r="AEN57" s="1285"/>
      <c r="AEO57" s="1287"/>
      <c r="AEP57" s="1286" t="s">
        <v>20</v>
      </c>
      <c r="AEQ57" s="1285"/>
      <c r="AER57" s="1287"/>
      <c r="AES57" s="1286" t="s">
        <v>20</v>
      </c>
      <c r="AET57" s="1285"/>
      <c r="AEU57" s="1287"/>
      <c r="AEV57" s="1286" t="s">
        <v>20</v>
      </c>
      <c r="AEW57" s="1285"/>
      <c r="AEX57" s="1287"/>
      <c r="AEY57" s="1286" t="s">
        <v>20</v>
      </c>
      <c r="AEZ57" s="1285"/>
      <c r="AFA57" s="1287"/>
      <c r="AFB57" s="1286" t="s">
        <v>20</v>
      </c>
      <c r="AFC57" s="1285"/>
      <c r="AFD57" s="1287"/>
      <c r="AFE57" s="1286" t="s">
        <v>20</v>
      </c>
      <c r="AFF57" s="1285"/>
      <c r="AFG57" s="1287"/>
      <c r="AFH57" s="1286" t="s">
        <v>20</v>
      </c>
      <c r="AFI57" s="1285"/>
      <c r="AFJ57" s="1287"/>
      <c r="AFK57" s="1286" t="s">
        <v>20</v>
      </c>
      <c r="AFL57" s="1285"/>
      <c r="AFM57" s="1287"/>
      <c r="AFN57" s="1286" t="s">
        <v>20</v>
      </c>
      <c r="AFO57" s="1285"/>
      <c r="AFP57" s="1287"/>
      <c r="AFQ57" s="1286" t="s">
        <v>20</v>
      </c>
      <c r="AFR57" s="1285"/>
      <c r="AFS57" s="1287"/>
      <c r="AFT57" s="1286" t="s">
        <v>20</v>
      </c>
      <c r="AFU57" s="1285"/>
      <c r="AFV57" s="1287"/>
      <c r="AFW57" s="1286" t="s">
        <v>20</v>
      </c>
      <c r="AFX57" s="1285"/>
      <c r="AFY57" s="1287"/>
      <c r="AFZ57" s="1286" t="s">
        <v>20</v>
      </c>
      <c r="AGA57" s="1285"/>
      <c r="AGB57" s="1287"/>
      <c r="AGC57" s="1286" t="s">
        <v>20</v>
      </c>
      <c r="AGD57" s="1285"/>
      <c r="AGE57" s="1287"/>
      <c r="AGF57" s="1286" t="s">
        <v>20</v>
      </c>
      <c r="AGG57" s="1285"/>
      <c r="AGH57" s="1287"/>
      <c r="AGI57" s="1286" t="s">
        <v>20</v>
      </c>
      <c r="AGJ57" s="1285"/>
      <c r="AGK57" s="1287"/>
      <c r="AGL57" s="1286" t="s">
        <v>20</v>
      </c>
      <c r="AGM57" s="1285"/>
      <c r="AGN57" s="1287"/>
      <c r="AGO57" s="1286" t="s">
        <v>20</v>
      </c>
      <c r="AGP57" s="1285"/>
      <c r="AGQ57" s="1287"/>
      <c r="AGR57" s="1286" t="s">
        <v>20</v>
      </c>
      <c r="AGS57" s="1285"/>
      <c r="AGT57" s="1287"/>
      <c r="AGU57" s="1286" t="s">
        <v>20</v>
      </c>
      <c r="AGV57" s="1285"/>
      <c r="AGW57" s="1287"/>
      <c r="AGX57" s="1286" t="s">
        <v>20</v>
      </c>
      <c r="AGY57" s="1285"/>
      <c r="AGZ57" s="1287"/>
      <c r="AHA57" s="1286" t="s">
        <v>20</v>
      </c>
      <c r="AHB57" s="1285"/>
      <c r="AHC57" s="1287"/>
      <c r="AHD57" s="1286" t="s">
        <v>20</v>
      </c>
      <c r="AHE57" s="1285"/>
      <c r="AHF57" s="1287"/>
      <c r="AHG57" s="1286" t="s">
        <v>20</v>
      </c>
      <c r="AHH57" s="1285"/>
      <c r="AHI57" s="1287"/>
      <c r="AHJ57" s="1286" t="s">
        <v>20</v>
      </c>
      <c r="AHK57" s="1285"/>
      <c r="AHL57" s="1287"/>
      <c r="AHM57" s="1286" t="s">
        <v>20</v>
      </c>
      <c r="AHN57" s="1285"/>
      <c r="AHO57" s="1287"/>
      <c r="AHP57" s="1286" t="s">
        <v>20</v>
      </c>
      <c r="AHQ57" s="1285"/>
      <c r="AHR57" s="1287"/>
      <c r="AHS57" s="1286" t="s">
        <v>20</v>
      </c>
      <c r="AHT57" s="1285"/>
      <c r="AHU57" s="1287"/>
      <c r="AHV57" s="1286" t="s">
        <v>20</v>
      </c>
      <c r="AHW57" s="1285"/>
      <c r="AHX57" s="1287"/>
      <c r="AHY57" s="1286" t="s">
        <v>20</v>
      </c>
      <c r="AHZ57" s="1285"/>
      <c r="AIA57" s="1287"/>
      <c r="AIB57" s="1286" t="s">
        <v>20</v>
      </c>
      <c r="AIC57" s="1285"/>
      <c r="AID57" s="1285"/>
      <c r="AIE57" s="1286" t="s">
        <v>20</v>
      </c>
      <c r="AIF57" s="1285"/>
      <c r="AIG57" s="1287"/>
      <c r="AIH57" s="1286" t="s">
        <v>20</v>
      </c>
      <c r="AII57" s="1285"/>
      <c r="AIJ57" s="1287"/>
      <c r="AIK57" s="1286" t="s">
        <v>20</v>
      </c>
      <c r="AIL57" s="1285"/>
      <c r="AIM57" s="1287"/>
      <c r="AIN57" s="1286" t="s">
        <v>20</v>
      </c>
      <c r="AIO57" s="1285"/>
      <c r="AIP57" s="1287"/>
      <c r="AIQ57" s="1286" t="s">
        <v>20</v>
      </c>
      <c r="AIR57" s="1285"/>
      <c r="AIS57" s="1285"/>
      <c r="AIT57" s="1286" t="s">
        <v>20</v>
      </c>
      <c r="AIU57" s="1285"/>
      <c r="AIV57" s="1287"/>
      <c r="AIW57" s="1286" t="s">
        <v>20</v>
      </c>
      <c r="AIX57" s="1285"/>
      <c r="AIY57" s="1285"/>
      <c r="AIZ57" s="1286" t="s">
        <v>20</v>
      </c>
      <c r="AJA57" s="1285"/>
      <c r="AJB57" s="1287"/>
      <c r="AJC57" s="1286" t="s">
        <v>20</v>
      </c>
      <c r="AJD57" s="1285"/>
      <c r="AJE57" s="1287"/>
      <c r="AJF57" s="1286" t="s">
        <v>20</v>
      </c>
      <c r="AJG57" s="1285"/>
      <c r="AJH57" s="1287"/>
      <c r="AJI57" s="1286" t="s">
        <v>20</v>
      </c>
      <c r="AJJ57" s="1285"/>
      <c r="AJK57" s="1287"/>
      <c r="AJL57" s="1286" t="s">
        <v>20</v>
      </c>
      <c r="AJM57" s="1285"/>
      <c r="AJN57" s="1285"/>
      <c r="AJO57" s="1286" t="s">
        <v>20</v>
      </c>
      <c r="AJP57" s="1285"/>
      <c r="AJQ57" s="1287"/>
      <c r="AJR57" s="1286" t="s">
        <v>20</v>
      </c>
      <c r="AJS57" s="1285"/>
      <c r="AJT57" s="1285"/>
      <c r="AJU57" s="1286" t="s">
        <v>20</v>
      </c>
      <c r="AJV57" s="1285"/>
      <c r="AJW57" s="1287"/>
      <c r="AJX57" s="1286" t="s">
        <v>20</v>
      </c>
      <c r="AJY57" s="1285"/>
      <c r="AJZ57" s="1287"/>
      <c r="AKA57" s="1286" t="s">
        <v>20</v>
      </c>
      <c r="AKB57" s="1285"/>
      <c r="AKC57" s="1287"/>
      <c r="AKD57" s="1286" t="s">
        <v>20</v>
      </c>
      <c r="AKE57" s="1285"/>
      <c r="AKF57" s="1287"/>
      <c r="AKG57" s="1286" t="s">
        <v>20</v>
      </c>
      <c r="AKH57" s="1285"/>
      <c r="AKI57" s="1285"/>
      <c r="AKJ57" s="1286" t="s">
        <v>20</v>
      </c>
      <c r="AKK57" s="1285"/>
      <c r="AKL57" s="1287"/>
      <c r="AKM57" s="1286" t="s">
        <v>20</v>
      </c>
      <c r="AKN57" s="1285"/>
      <c r="AKO57" s="1285"/>
      <c r="AKP57" s="1286" t="s">
        <v>20</v>
      </c>
      <c r="AKQ57" s="1285"/>
      <c r="AKR57" s="1287"/>
      <c r="AKS57" s="1286" t="s">
        <v>20</v>
      </c>
      <c r="AKT57" s="1285"/>
      <c r="AKU57" s="1287"/>
      <c r="AKV57" s="1286" t="s">
        <v>20</v>
      </c>
      <c r="AKW57" s="1285"/>
      <c r="AKX57" s="1287"/>
      <c r="AKY57" s="1286" t="s">
        <v>20</v>
      </c>
      <c r="AKZ57" s="1285"/>
      <c r="ALA57" s="1287"/>
      <c r="ALB57" s="1286" t="s">
        <v>20</v>
      </c>
      <c r="ALC57" s="1285"/>
      <c r="ALD57" s="1285"/>
      <c r="ALE57" s="1286" t="s">
        <v>20</v>
      </c>
      <c r="ALF57" s="1285"/>
      <c r="ALG57" s="1287"/>
      <c r="ALH57" s="1286" t="s">
        <v>20</v>
      </c>
      <c r="ALI57" s="1285"/>
      <c r="ALJ57" s="1285"/>
      <c r="ALK57" s="1286" t="s">
        <v>20</v>
      </c>
      <c r="ALL57" s="1285"/>
      <c r="ALM57" s="1287"/>
      <c r="ALN57" s="1286" t="s">
        <v>20</v>
      </c>
      <c r="ALO57" s="1285"/>
      <c r="ALP57" s="1287"/>
      <c r="ALQ57" s="1286" t="s">
        <v>20</v>
      </c>
      <c r="ALR57" s="1285"/>
      <c r="ALS57" s="1287"/>
      <c r="ALT57" s="1286" t="s">
        <v>20</v>
      </c>
      <c r="ALU57" s="1285"/>
      <c r="ALV57" s="1287"/>
      <c r="ALW57" s="1286" t="s">
        <v>20</v>
      </c>
      <c r="ALX57" s="1285"/>
      <c r="ALY57" s="1285"/>
      <c r="ALZ57" s="1286" t="s">
        <v>20</v>
      </c>
      <c r="AMA57" s="1285"/>
      <c r="AMB57" s="1287"/>
      <c r="AMC57" s="1286" t="s">
        <v>20</v>
      </c>
      <c r="AMD57" s="1285"/>
      <c r="AME57" s="1285"/>
      <c r="AMF57" s="1286" t="s">
        <v>20</v>
      </c>
      <c r="AMG57" s="1285"/>
      <c r="AMH57" s="1287"/>
      <c r="AMI57" s="1286" t="s">
        <v>20</v>
      </c>
      <c r="AMJ57" s="1285"/>
      <c r="AMK57" s="1287"/>
      <c r="AML57" s="1286" t="s">
        <v>20</v>
      </c>
      <c r="AMM57" s="1285"/>
      <c r="AMN57" s="1287"/>
      <c r="AMO57" s="1286" t="s">
        <v>20</v>
      </c>
      <c r="AMP57" s="1285"/>
      <c r="AMQ57" s="1287"/>
      <c r="AMR57" s="1286" t="s">
        <v>20</v>
      </c>
      <c r="AMS57" s="1285"/>
      <c r="AMT57" s="1285"/>
      <c r="AMU57" s="1286" t="s">
        <v>20</v>
      </c>
      <c r="AMV57" s="1285"/>
      <c r="AMW57" s="1287"/>
      <c r="AMX57" s="1286" t="s">
        <v>20</v>
      </c>
      <c r="AMY57" s="1285"/>
      <c r="AMZ57" s="1285"/>
      <c r="ANA57" s="1286" t="s">
        <v>20</v>
      </c>
      <c r="ANB57" s="1285"/>
      <c r="ANC57" s="1287"/>
      <c r="AND57" s="1286" t="s">
        <v>20</v>
      </c>
      <c r="ANE57" s="1285"/>
      <c r="ANF57" s="1287"/>
      <c r="ANG57" s="1286">
        <v>1</v>
      </c>
      <c r="ANH57" s="1285"/>
      <c r="ANI57" s="1287"/>
      <c r="ANJ57" s="1286" t="s">
        <v>20</v>
      </c>
      <c r="ANK57" s="1285"/>
      <c r="ANL57" s="1287"/>
      <c r="ANM57" s="1286" t="s">
        <v>20</v>
      </c>
      <c r="ANN57" s="1285"/>
      <c r="ANO57" s="1285"/>
      <c r="ANP57" s="1286" t="s">
        <v>20</v>
      </c>
      <c r="ANQ57" s="1285"/>
      <c r="ANR57" s="1287"/>
      <c r="ANS57" s="1286" t="s">
        <v>20</v>
      </c>
      <c r="ANT57" s="1285"/>
      <c r="ANU57" s="1285"/>
      <c r="ANV57" s="1286" t="s">
        <v>20</v>
      </c>
      <c r="ANW57" s="1285"/>
      <c r="ANX57" s="1287"/>
      <c r="ANY57" s="1286" t="s">
        <v>20</v>
      </c>
      <c r="ANZ57" s="1285"/>
      <c r="AOA57" s="1287"/>
      <c r="AOB57" s="1286" t="s">
        <v>20</v>
      </c>
      <c r="AOC57" s="1285"/>
      <c r="AOD57" s="1287"/>
      <c r="AOE57" s="1286" t="s">
        <v>20</v>
      </c>
      <c r="AOF57" s="1285"/>
      <c r="AOG57" s="1287"/>
      <c r="AOH57" s="1286" t="s">
        <v>20</v>
      </c>
      <c r="AOI57" s="1285"/>
      <c r="AOJ57" s="1285"/>
      <c r="AOK57" s="1286" t="s">
        <v>20</v>
      </c>
      <c r="AOL57" s="1285"/>
      <c r="AOM57" s="1287"/>
      <c r="AON57" s="1286" t="s">
        <v>20</v>
      </c>
      <c r="AOO57" s="1285"/>
      <c r="AOP57" s="1285"/>
      <c r="AOQ57" s="1286" t="s">
        <v>20</v>
      </c>
      <c r="AOR57" s="1285"/>
      <c r="AOS57" s="1287"/>
      <c r="AOT57" s="1286" t="s">
        <v>20</v>
      </c>
      <c r="AOU57" s="1285"/>
      <c r="AOV57" s="1287"/>
      <c r="AOW57" s="1286" t="s">
        <v>20</v>
      </c>
      <c r="AOX57" s="1285"/>
      <c r="AOY57" s="1287"/>
      <c r="AOZ57" s="1286" t="s">
        <v>20</v>
      </c>
      <c r="APA57" s="1285"/>
      <c r="APB57" s="1287"/>
      <c r="APC57" s="1286" t="s">
        <v>20</v>
      </c>
      <c r="APD57" s="1285"/>
      <c r="APE57" s="1285"/>
      <c r="APF57" s="1286" t="s">
        <v>20</v>
      </c>
      <c r="APG57" s="1285"/>
      <c r="APH57" s="1287"/>
      <c r="API57" s="1286" t="s">
        <v>20</v>
      </c>
      <c r="APJ57" s="1285"/>
      <c r="APK57" s="1285"/>
      <c r="APL57" s="1286" t="s">
        <v>20</v>
      </c>
      <c r="APM57" s="1285"/>
      <c r="APN57" s="1287"/>
      <c r="APO57" s="1286" t="s">
        <v>20</v>
      </c>
      <c r="APP57" s="1285"/>
      <c r="APQ57" s="1287"/>
      <c r="APR57" s="1286">
        <v>2</v>
      </c>
      <c r="APS57" s="1285"/>
      <c r="APT57" s="1287"/>
      <c r="APU57" s="1286">
        <v>1</v>
      </c>
      <c r="APV57" s="1285"/>
      <c r="APW57" s="1287"/>
      <c r="APX57" s="1286" t="s">
        <v>20</v>
      </c>
      <c r="APY57" s="1285"/>
      <c r="APZ57" s="1285"/>
      <c r="AQA57" s="1286" t="s">
        <v>20</v>
      </c>
      <c r="AQB57" s="1285"/>
      <c r="AQC57" s="1287"/>
      <c r="AQD57" s="1286" t="s">
        <v>20</v>
      </c>
      <c r="AQE57" s="1285"/>
      <c r="AQF57" s="1287"/>
      <c r="AQG57" s="1286" t="s">
        <v>20</v>
      </c>
      <c r="AQH57" s="1285"/>
      <c r="AQI57" s="1287"/>
      <c r="AQJ57" s="1286">
        <v>1</v>
      </c>
      <c r="AQK57" s="1285"/>
      <c r="AQL57" s="1287"/>
      <c r="AQM57" s="1286" t="s">
        <v>20</v>
      </c>
      <c r="AQN57" s="1285"/>
      <c r="AQO57" s="1285"/>
      <c r="AQP57" s="1286" t="s">
        <v>20</v>
      </c>
      <c r="AQQ57" s="1285"/>
      <c r="AQR57" s="1285"/>
      <c r="AQS57" s="1286" t="s">
        <v>20</v>
      </c>
      <c r="AQT57" s="1285"/>
      <c r="AQU57" s="1287"/>
      <c r="AQV57" s="1285" t="s">
        <v>20</v>
      </c>
      <c r="AQW57" s="1285"/>
      <c r="AQX57" s="1287"/>
      <c r="AQY57" s="1286" t="s">
        <v>20</v>
      </c>
      <c r="AQZ57" s="1285"/>
      <c r="ARA57" s="1287"/>
      <c r="ARB57" s="1286" t="s">
        <v>20</v>
      </c>
      <c r="ARC57" s="1285"/>
      <c r="ARD57" s="1287"/>
      <c r="ARE57" s="1286" t="s">
        <v>20</v>
      </c>
      <c r="ARF57" s="1285"/>
      <c r="ARG57" s="1287"/>
      <c r="ARH57" s="1286" t="s">
        <v>20</v>
      </c>
      <c r="ARI57" s="1285"/>
      <c r="ARJ57" s="1285"/>
      <c r="ARK57" s="1286" t="s">
        <v>20</v>
      </c>
      <c r="ARL57" s="1285"/>
      <c r="ARM57" s="1287"/>
      <c r="ARN57" s="1286" t="s">
        <v>20</v>
      </c>
      <c r="ARO57" s="1285"/>
      <c r="ARP57" s="1285"/>
      <c r="ARQ57" s="1286" t="s">
        <v>20</v>
      </c>
      <c r="ARR57" s="1285"/>
      <c r="ARS57" s="1287"/>
      <c r="ART57" s="1286" t="s">
        <v>20</v>
      </c>
      <c r="ARU57" s="1285"/>
      <c r="ARV57" s="1287"/>
      <c r="ARW57" s="1286" t="s">
        <v>20</v>
      </c>
      <c r="ARX57" s="1285"/>
      <c r="ARY57" s="1287"/>
      <c r="ARZ57" s="1286" t="s">
        <v>20</v>
      </c>
      <c r="ASA57" s="1285"/>
      <c r="ASB57" s="1287"/>
      <c r="ASC57" s="1286" t="s">
        <v>20</v>
      </c>
      <c r="ASD57" s="1285"/>
      <c r="ASE57" s="1285"/>
      <c r="ASF57" s="1286" t="s">
        <v>20</v>
      </c>
      <c r="ASG57" s="1285"/>
      <c r="ASH57" s="1287"/>
      <c r="ASI57" s="1286" t="s">
        <v>20</v>
      </c>
      <c r="ASJ57" s="1285"/>
      <c r="ASK57" s="1285"/>
      <c r="ASL57" s="1286">
        <v>14</v>
      </c>
      <c r="ASM57" s="1285"/>
      <c r="ASN57" s="1287"/>
      <c r="ASO57" s="1286" t="s">
        <v>20</v>
      </c>
      <c r="ASP57" s="1285"/>
      <c r="ASQ57" s="1285"/>
      <c r="ASR57" s="1286" t="s">
        <v>20</v>
      </c>
      <c r="ASS57" s="1285"/>
      <c r="AST57" s="1287"/>
      <c r="ASU57" s="1286" t="s">
        <v>20</v>
      </c>
      <c r="ASV57" s="1285"/>
      <c r="ASW57" s="1287"/>
      <c r="ASX57" s="1286" t="s">
        <v>20</v>
      </c>
      <c r="ASY57" s="1285"/>
      <c r="ASZ57" s="1285"/>
      <c r="ATA57" s="1286">
        <v>1</v>
      </c>
      <c r="ATB57" s="1285"/>
      <c r="ATC57" s="1287"/>
      <c r="ATD57" s="1286" t="s">
        <v>20</v>
      </c>
      <c r="ATE57" s="1285"/>
      <c r="ATF57" s="1285"/>
      <c r="ATG57" s="1286" t="s">
        <v>20</v>
      </c>
      <c r="ATH57" s="1285"/>
      <c r="ATI57" s="1287"/>
      <c r="ATJ57" s="1286" t="s">
        <v>20</v>
      </c>
      <c r="ATK57" s="1285"/>
      <c r="ATL57" s="1287"/>
      <c r="ATM57" s="1286" t="s">
        <v>20</v>
      </c>
      <c r="ATN57" s="1285"/>
      <c r="ATO57" s="1287"/>
      <c r="ATP57" s="1286" t="s">
        <v>20</v>
      </c>
      <c r="ATQ57" s="1285"/>
      <c r="ATR57" s="1287"/>
      <c r="ATS57" s="1286" t="s">
        <v>20</v>
      </c>
      <c r="ATT57" s="1285"/>
      <c r="ATU57" s="1287"/>
      <c r="ATV57" s="1285" t="s">
        <v>20</v>
      </c>
      <c r="ATW57" s="1285"/>
      <c r="ATX57" s="1287"/>
      <c r="ATY57" s="1286" t="s">
        <v>20</v>
      </c>
      <c r="ATZ57" s="1285"/>
      <c r="AUA57" s="1285"/>
      <c r="AUB57" s="1286">
        <v>2</v>
      </c>
      <c r="AUC57" s="1285"/>
      <c r="AUD57" s="1287"/>
      <c r="AUE57" s="1286" t="s">
        <v>20</v>
      </c>
      <c r="AUF57" s="1285"/>
      <c r="AUG57" s="1287"/>
      <c r="AUH57" s="1286" t="s">
        <v>20</v>
      </c>
      <c r="AUI57" s="1285"/>
      <c r="AUJ57" s="1287"/>
      <c r="AUK57" s="1286" t="s">
        <v>20</v>
      </c>
      <c r="AUL57" s="1285"/>
      <c r="AUM57" s="1285"/>
      <c r="AUN57" s="1286" t="s">
        <v>20</v>
      </c>
      <c r="AUO57" s="1285"/>
      <c r="AUP57" s="1285"/>
      <c r="AUQ57" s="1286" t="s">
        <v>20</v>
      </c>
      <c r="AUR57" s="1285"/>
      <c r="AUS57" s="1285"/>
      <c r="AUT57" s="1286" t="s">
        <v>20</v>
      </c>
      <c r="AUU57" s="1285"/>
      <c r="AUV57" s="1285"/>
      <c r="AUW57" s="1286" t="s">
        <v>20</v>
      </c>
      <c r="AUX57" s="1285"/>
      <c r="AUY57" s="1285"/>
      <c r="AUZ57" s="1286" t="s">
        <v>20</v>
      </c>
      <c r="AVA57" s="1285"/>
      <c r="AVB57" s="1285"/>
      <c r="AVC57" s="1286" t="s">
        <v>20</v>
      </c>
      <c r="AVD57" s="1285"/>
      <c r="AVE57" s="1285"/>
      <c r="AVF57" s="1286" t="s">
        <v>20</v>
      </c>
      <c r="AVG57" s="1285"/>
      <c r="AVH57" s="1285"/>
      <c r="AVI57" s="1286" t="s">
        <v>20</v>
      </c>
      <c r="AVJ57" s="1285"/>
      <c r="AVK57" s="1285"/>
      <c r="AVL57" s="1286" t="s">
        <v>20</v>
      </c>
      <c r="AVM57" s="1285"/>
      <c r="AVN57" s="1285"/>
      <c r="AVO57" s="1286" t="s">
        <v>20</v>
      </c>
      <c r="AVP57" s="1285"/>
      <c r="AVQ57" s="1285"/>
      <c r="AVR57" s="1286" t="s">
        <v>20</v>
      </c>
      <c r="AVS57" s="1285"/>
      <c r="AVT57" s="1285"/>
      <c r="AVU57" s="1286" t="s">
        <v>20</v>
      </c>
      <c r="AVV57" s="1285"/>
      <c r="AVW57" s="1285"/>
      <c r="AVX57" s="1286" t="s">
        <v>20</v>
      </c>
      <c r="AVY57" s="1285"/>
      <c r="AVZ57" s="1285"/>
      <c r="AWA57" s="1286" t="s">
        <v>20</v>
      </c>
      <c r="AWB57" s="1285"/>
      <c r="AWC57" s="1285"/>
      <c r="AWD57" s="1286" t="s">
        <v>20</v>
      </c>
      <c r="AWE57" s="1285"/>
      <c r="AWF57" s="1285"/>
      <c r="AWG57" s="1286" t="s">
        <v>20</v>
      </c>
      <c r="AWH57" s="1285"/>
      <c r="AWI57" s="1285"/>
      <c r="AWJ57" s="1286" t="s">
        <v>20</v>
      </c>
      <c r="AWK57" s="1285"/>
      <c r="AWL57" s="1285"/>
      <c r="AWM57" s="1286" t="s">
        <v>20</v>
      </c>
      <c r="AWN57" s="1285"/>
      <c r="AWO57" s="1287"/>
      <c r="AWP57" s="1285" t="s">
        <v>20</v>
      </c>
      <c r="AWQ57" s="1285"/>
      <c r="AWR57" s="1287"/>
      <c r="AWS57" s="1286" t="s">
        <v>20</v>
      </c>
      <c r="AWT57" s="1285"/>
      <c r="AWU57" s="1287"/>
      <c r="AWV57" s="1286" t="s">
        <v>20</v>
      </c>
      <c r="AWW57" s="1285"/>
      <c r="AWX57" s="1287"/>
      <c r="AWY57" s="1286" t="s">
        <v>20</v>
      </c>
      <c r="AWZ57" s="1285"/>
      <c r="AXA57" s="1285"/>
      <c r="AXB57" s="1286" t="s">
        <v>20</v>
      </c>
      <c r="AXC57" s="1285"/>
      <c r="AXD57" s="1287"/>
      <c r="AXE57" s="1286" t="s">
        <v>20</v>
      </c>
      <c r="AXF57" s="1285"/>
      <c r="AXG57" s="1285"/>
      <c r="AXH57" s="1286" t="s">
        <v>20</v>
      </c>
      <c r="AXI57" s="1285"/>
      <c r="AXJ57" s="1287"/>
      <c r="AXK57" s="1286" t="s">
        <v>20</v>
      </c>
      <c r="AXL57" s="1285"/>
      <c r="AXM57" s="1287"/>
      <c r="AXN57" s="1286" t="s">
        <v>20</v>
      </c>
      <c r="AXO57" s="1285"/>
      <c r="AXP57" s="1287"/>
      <c r="AXQ57" s="1286" t="s">
        <v>20</v>
      </c>
      <c r="AXR57" s="1285"/>
      <c r="AXS57" s="1287"/>
      <c r="AXT57" s="1286" t="s">
        <v>20</v>
      </c>
      <c r="AXU57" s="1285"/>
      <c r="AXV57" s="1285"/>
      <c r="AXW57" s="1286" t="s">
        <v>20</v>
      </c>
      <c r="AXX57" s="1285"/>
      <c r="AXY57" s="1287"/>
      <c r="AXZ57" s="1286" t="s">
        <v>20</v>
      </c>
      <c r="AYA57" s="1285"/>
      <c r="AYB57" s="1285"/>
      <c r="AYC57" s="1286" t="s">
        <v>20</v>
      </c>
      <c r="AYD57" s="1285"/>
      <c r="AYE57" s="1287"/>
      <c r="AYF57" s="1286" t="s">
        <v>20</v>
      </c>
      <c r="AYG57" s="1285"/>
      <c r="AYH57" s="1287"/>
      <c r="AYI57" s="1286" t="s">
        <v>20</v>
      </c>
      <c r="AYJ57" s="1285"/>
      <c r="AYK57" s="1287"/>
      <c r="AYL57" s="1286" t="s">
        <v>20</v>
      </c>
      <c r="AYM57" s="1285"/>
      <c r="AYN57" s="1287"/>
      <c r="AYO57" s="1286" t="s">
        <v>20</v>
      </c>
      <c r="AYP57" s="1285"/>
      <c r="AYQ57" s="1285"/>
      <c r="AYR57" s="1286" t="s">
        <v>20</v>
      </c>
      <c r="AYS57" s="1285"/>
      <c r="AYT57" s="1287"/>
      <c r="AYU57" s="1286" t="s">
        <v>20</v>
      </c>
      <c r="AYV57" s="1285"/>
      <c r="AYW57" s="1285"/>
      <c r="AYX57" s="1286" t="s">
        <v>20</v>
      </c>
      <c r="AYY57" s="1285"/>
      <c r="AYZ57" s="1287"/>
      <c r="AZA57" s="1286" t="s">
        <v>20</v>
      </c>
      <c r="AZB57" s="1285"/>
      <c r="AZC57" s="1287"/>
      <c r="AZD57" s="1286" t="s">
        <v>20</v>
      </c>
      <c r="AZE57" s="1285"/>
      <c r="AZF57" s="1287"/>
      <c r="AZG57" s="1286" t="s">
        <v>20</v>
      </c>
      <c r="AZH57" s="1285"/>
      <c r="AZI57" s="1287"/>
      <c r="AZJ57" s="1286" t="s">
        <v>20</v>
      </c>
      <c r="AZK57" s="1285"/>
      <c r="AZL57" s="1285"/>
      <c r="AZM57" s="1286" t="s">
        <v>20</v>
      </c>
      <c r="AZN57" s="1285"/>
      <c r="AZO57" s="1287"/>
      <c r="AZP57" s="1286" t="s">
        <v>20</v>
      </c>
      <c r="AZQ57" s="1285"/>
      <c r="AZR57" s="1285"/>
      <c r="AZS57" s="1286" t="s">
        <v>20</v>
      </c>
      <c r="AZT57" s="1285"/>
      <c r="AZU57" s="1287"/>
      <c r="AZV57" s="1286" t="s">
        <v>20</v>
      </c>
      <c r="AZW57" s="1285"/>
      <c r="AZX57" s="1287"/>
      <c r="AZY57" s="1286" t="s">
        <v>20</v>
      </c>
      <c r="AZZ57" s="1285"/>
      <c r="BAA57" s="1287"/>
      <c r="BAB57" s="1286" t="s">
        <v>20</v>
      </c>
      <c r="BAC57" s="1285"/>
      <c r="BAD57" s="1287"/>
      <c r="BAE57" s="1286" t="s">
        <v>20</v>
      </c>
      <c r="BAF57" s="1285"/>
      <c r="BAG57" s="1285"/>
      <c r="BAH57" s="1286" t="s">
        <v>20</v>
      </c>
      <c r="BAI57" s="1285"/>
      <c r="BAJ57" s="1287"/>
    </row>
    <row r="58" spans="1:1388" s="16" customFormat="1" ht="13.5" customHeight="1">
      <c r="B58" s="796" t="s">
        <v>274</v>
      </c>
      <c r="C58" s="794"/>
      <c r="D58" s="794"/>
      <c r="E58" s="759" t="s">
        <v>336</v>
      </c>
      <c r="F58" s="1297" t="s">
        <v>20</v>
      </c>
      <c r="G58" s="1297"/>
      <c r="H58" s="1348"/>
      <c r="I58" s="1296" t="s">
        <v>20</v>
      </c>
      <c r="J58" s="1297"/>
      <c r="K58" s="1348"/>
      <c r="L58" s="1296" t="s">
        <v>20</v>
      </c>
      <c r="M58" s="1297"/>
      <c r="N58" s="1348"/>
      <c r="O58" s="1296" t="s">
        <v>20</v>
      </c>
      <c r="P58" s="1297"/>
      <c r="Q58" s="1348"/>
      <c r="R58" s="1296" t="s">
        <v>20</v>
      </c>
      <c r="S58" s="1297"/>
      <c r="T58" s="1348"/>
      <c r="U58" s="1296" t="s">
        <v>20</v>
      </c>
      <c r="V58" s="1297"/>
      <c r="W58" s="1348"/>
      <c r="X58" s="1296" t="s">
        <v>20</v>
      </c>
      <c r="Y58" s="1297"/>
      <c r="Z58" s="1348"/>
      <c r="AA58" s="1296" t="s">
        <v>20</v>
      </c>
      <c r="AB58" s="1297"/>
      <c r="AC58" s="1348"/>
      <c r="AD58" s="1296" t="s">
        <v>20</v>
      </c>
      <c r="AE58" s="1297"/>
      <c r="AF58" s="1348"/>
      <c r="AG58" s="1296" t="s">
        <v>20</v>
      </c>
      <c r="AH58" s="1297"/>
      <c r="AI58" s="1348"/>
      <c r="AJ58" s="1296" t="s">
        <v>20</v>
      </c>
      <c r="AK58" s="1297"/>
      <c r="AL58" s="1348"/>
      <c r="AM58" s="1296" t="s">
        <v>20</v>
      </c>
      <c r="AN58" s="1297"/>
      <c r="AO58" s="1348"/>
      <c r="AP58" s="1296" t="s">
        <v>20</v>
      </c>
      <c r="AQ58" s="1297"/>
      <c r="AR58" s="1348"/>
      <c r="AS58" s="1296" t="s">
        <v>20</v>
      </c>
      <c r="AT58" s="1297"/>
      <c r="AU58" s="1348"/>
      <c r="AV58" s="1296" t="s">
        <v>20</v>
      </c>
      <c r="AW58" s="1297"/>
      <c r="AX58" s="1348"/>
      <c r="AY58" s="1296" t="s">
        <v>20</v>
      </c>
      <c r="AZ58" s="1297"/>
      <c r="BA58" s="1348"/>
      <c r="BB58" s="1296" t="s">
        <v>20</v>
      </c>
      <c r="BC58" s="1297"/>
      <c r="BD58" s="1348"/>
      <c r="BE58" s="1296" t="s">
        <v>20</v>
      </c>
      <c r="BF58" s="1297"/>
      <c r="BG58" s="1348"/>
      <c r="BH58" s="1296" t="s">
        <v>20</v>
      </c>
      <c r="BI58" s="1297"/>
      <c r="BJ58" s="1348"/>
      <c r="BK58" s="1296" t="s">
        <v>20</v>
      </c>
      <c r="BL58" s="1297"/>
      <c r="BM58" s="1348"/>
      <c r="BN58" s="1296" t="s">
        <v>20</v>
      </c>
      <c r="BO58" s="1297"/>
      <c r="BP58" s="1348"/>
      <c r="BQ58" s="1296" t="s">
        <v>20</v>
      </c>
      <c r="BR58" s="1297"/>
      <c r="BS58" s="1348"/>
      <c r="BT58" s="1296" t="s">
        <v>20</v>
      </c>
      <c r="BU58" s="1297"/>
      <c r="BV58" s="1348"/>
      <c r="BW58" s="1296" t="s">
        <v>20</v>
      </c>
      <c r="BX58" s="1297"/>
      <c r="BY58" s="1348"/>
      <c r="BZ58" s="1296" t="s">
        <v>20</v>
      </c>
      <c r="CA58" s="1297"/>
      <c r="CB58" s="1348"/>
      <c r="CC58" s="1296" t="s">
        <v>20</v>
      </c>
      <c r="CD58" s="1297"/>
      <c r="CE58" s="1348"/>
      <c r="CF58" s="1296" t="s">
        <v>20</v>
      </c>
      <c r="CG58" s="1297"/>
      <c r="CH58" s="1348"/>
      <c r="CI58" s="1296" t="s">
        <v>20</v>
      </c>
      <c r="CJ58" s="1297"/>
      <c r="CK58" s="1348"/>
      <c r="CL58" s="1296" t="s">
        <v>20</v>
      </c>
      <c r="CM58" s="1297"/>
      <c r="CN58" s="1348"/>
      <c r="CO58" s="1296" t="s">
        <v>20</v>
      </c>
      <c r="CP58" s="1297"/>
      <c r="CQ58" s="1348"/>
      <c r="CR58" s="1296" t="s">
        <v>20</v>
      </c>
      <c r="CS58" s="1297"/>
      <c r="CT58" s="1348"/>
      <c r="CU58" s="1296" t="s">
        <v>20</v>
      </c>
      <c r="CV58" s="1297"/>
      <c r="CW58" s="1348"/>
      <c r="CX58" s="1296" t="s">
        <v>20</v>
      </c>
      <c r="CY58" s="1297"/>
      <c r="CZ58" s="1348"/>
      <c r="DA58" s="1296" t="s">
        <v>20</v>
      </c>
      <c r="DB58" s="1297"/>
      <c r="DC58" s="1348"/>
      <c r="DD58" s="1296" t="s">
        <v>20</v>
      </c>
      <c r="DE58" s="1297"/>
      <c r="DF58" s="1348"/>
      <c r="DG58" s="1296" t="s">
        <v>20</v>
      </c>
      <c r="DH58" s="1297"/>
      <c r="DI58" s="1348"/>
      <c r="DJ58" s="1296" t="s">
        <v>20</v>
      </c>
      <c r="DK58" s="1297"/>
      <c r="DL58" s="1348"/>
      <c r="DM58" s="1296" t="s">
        <v>20</v>
      </c>
      <c r="DN58" s="1297"/>
      <c r="DO58" s="1348"/>
      <c r="DP58" s="1296" t="s">
        <v>20</v>
      </c>
      <c r="DQ58" s="1297"/>
      <c r="DR58" s="1348"/>
      <c r="DS58" s="1296" t="s">
        <v>20</v>
      </c>
      <c r="DT58" s="1297"/>
      <c r="DU58" s="1348"/>
      <c r="DV58" s="1296" t="s">
        <v>20</v>
      </c>
      <c r="DW58" s="1297"/>
      <c r="DX58" s="1348"/>
      <c r="DY58" s="1296" t="s">
        <v>20</v>
      </c>
      <c r="DZ58" s="1297"/>
      <c r="EA58" s="1348"/>
      <c r="EB58" s="1296" t="s">
        <v>20</v>
      </c>
      <c r="EC58" s="1297"/>
      <c r="ED58" s="1348"/>
      <c r="EE58" s="1296" t="s">
        <v>20</v>
      </c>
      <c r="EF58" s="1297"/>
      <c r="EG58" s="1348"/>
      <c r="EH58" s="1296" t="s">
        <v>20</v>
      </c>
      <c r="EI58" s="1297"/>
      <c r="EJ58" s="1348"/>
      <c r="EK58" s="1296" t="s">
        <v>20</v>
      </c>
      <c r="EL58" s="1297"/>
      <c r="EM58" s="1348"/>
      <c r="EN58" s="1296" t="s">
        <v>20</v>
      </c>
      <c r="EO58" s="1297"/>
      <c r="EP58" s="1348"/>
      <c r="EQ58" s="1296" t="s">
        <v>20</v>
      </c>
      <c r="ER58" s="1297"/>
      <c r="ES58" s="1348"/>
      <c r="ET58" s="1296" t="s">
        <v>20</v>
      </c>
      <c r="EU58" s="1297"/>
      <c r="EV58" s="1348"/>
      <c r="EW58" s="1296" t="s">
        <v>20</v>
      </c>
      <c r="EX58" s="1297"/>
      <c r="EY58" s="1348"/>
      <c r="EZ58" s="1296" t="s">
        <v>20</v>
      </c>
      <c r="FA58" s="1297"/>
      <c r="FB58" s="1348"/>
      <c r="FC58" s="1296" t="s">
        <v>20</v>
      </c>
      <c r="FD58" s="1297"/>
      <c r="FE58" s="1348"/>
      <c r="FF58" s="1296" t="s">
        <v>20</v>
      </c>
      <c r="FG58" s="1297"/>
      <c r="FH58" s="1348"/>
      <c r="FI58" s="1296" t="s">
        <v>20</v>
      </c>
      <c r="FJ58" s="1297"/>
      <c r="FK58" s="1348"/>
      <c r="FL58" s="1296" t="s">
        <v>20</v>
      </c>
      <c r="FM58" s="1297"/>
      <c r="FN58" s="1348"/>
      <c r="FO58" s="1296" t="s">
        <v>20</v>
      </c>
      <c r="FP58" s="1297"/>
      <c r="FQ58" s="1348"/>
      <c r="FR58" s="1296" t="s">
        <v>20</v>
      </c>
      <c r="FS58" s="1297"/>
      <c r="FT58" s="1348"/>
      <c r="FU58" s="1296" t="s">
        <v>20</v>
      </c>
      <c r="FV58" s="1297"/>
      <c r="FW58" s="1348"/>
      <c r="FX58" s="1296" t="s">
        <v>20</v>
      </c>
      <c r="FY58" s="1297"/>
      <c r="FZ58" s="1348"/>
      <c r="GA58" s="1296" t="s">
        <v>20</v>
      </c>
      <c r="GB58" s="1297"/>
      <c r="GC58" s="1348"/>
      <c r="GD58" s="1296" t="s">
        <v>20</v>
      </c>
      <c r="GE58" s="1297"/>
      <c r="GF58" s="1348"/>
      <c r="GG58" s="1296" t="s">
        <v>20</v>
      </c>
      <c r="GH58" s="1297"/>
      <c r="GI58" s="1348"/>
      <c r="GJ58" s="1296" t="s">
        <v>20</v>
      </c>
      <c r="GK58" s="1297"/>
      <c r="GL58" s="1348"/>
      <c r="GM58" s="1296" t="s">
        <v>20</v>
      </c>
      <c r="GN58" s="1297"/>
      <c r="GO58" s="1348"/>
      <c r="GP58" s="1296" t="s">
        <v>20</v>
      </c>
      <c r="GQ58" s="1297"/>
      <c r="GR58" s="1348"/>
      <c r="GS58" s="1296" t="s">
        <v>20</v>
      </c>
      <c r="GT58" s="1297"/>
      <c r="GU58" s="1348"/>
      <c r="GV58" s="1296" t="s">
        <v>20</v>
      </c>
      <c r="GW58" s="1297"/>
      <c r="GX58" s="1348"/>
      <c r="GY58" s="1296" t="s">
        <v>20</v>
      </c>
      <c r="GZ58" s="1297"/>
      <c r="HA58" s="1348"/>
      <c r="HB58" s="1296" t="s">
        <v>20</v>
      </c>
      <c r="HC58" s="1297"/>
      <c r="HD58" s="1348"/>
      <c r="HE58" s="1296" t="s">
        <v>20</v>
      </c>
      <c r="HF58" s="1297"/>
      <c r="HG58" s="1348"/>
      <c r="HH58" s="1296" t="s">
        <v>20</v>
      </c>
      <c r="HI58" s="1297"/>
      <c r="HJ58" s="1348"/>
      <c r="HK58" s="1296" t="s">
        <v>20</v>
      </c>
      <c r="HL58" s="1297"/>
      <c r="HM58" s="1348"/>
      <c r="HN58" s="1296" t="s">
        <v>20</v>
      </c>
      <c r="HO58" s="1297"/>
      <c r="HP58" s="1348"/>
      <c r="HQ58" s="1296" t="s">
        <v>20</v>
      </c>
      <c r="HR58" s="1297"/>
      <c r="HS58" s="1348"/>
      <c r="HT58" s="1296" t="s">
        <v>20</v>
      </c>
      <c r="HU58" s="1297"/>
      <c r="HV58" s="1348"/>
      <c r="HW58" s="1296" t="s">
        <v>20</v>
      </c>
      <c r="HX58" s="1297"/>
      <c r="HY58" s="1348"/>
      <c r="HZ58" s="1296" t="s">
        <v>20</v>
      </c>
      <c r="IA58" s="1297"/>
      <c r="IB58" s="1348"/>
      <c r="IC58" s="1296" t="s">
        <v>20</v>
      </c>
      <c r="ID58" s="1297"/>
      <c r="IE58" s="1348"/>
      <c r="IF58" s="1296" t="s">
        <v>20</v>
      </c>
      <c r="IG58" s="1297"/>
      <c r="IH58" s="1348"/>
      <c r="II58" s="1296" t="s">
        <v>20</v>
      </c>
      <c r="IJ58" s="1297"/>
      <c r="IK58" s="1348"/>
      <c r="IL58" s="1296" t="s">
        <v>20</v>
      </c>
      <c r="IM58" s="1297"/>
      <c r="IN58" s="1348"/>
      <c r="IO58" s="1296" t="s">
        <v>20</v>
      </c>
      <c r="IP58" s="1297"/>
      <c r="IQ58" s="1348"/>
      <c r="IR58" s="1296" t="s">
        <v>20</v>
      </c>
      <c r="IS58" s="1297"/>
      <c r="IT58" s="1348"/>
      <c r="IU58" s="1296" t="s">
        <v>20</v>
      </c>
      <c r="IV58" s="1297"/>
      <c r="IW58" s="1348"/>
      <c r="IX58" s="1296" t="s">
        <v>20</v>
      </c>
      <c r="IY58" s="1297"/>
      <c r="IZ58" s="1348"/>
      <c r="JA58" s="1296" t="s">
        <v>20</v>
      </c>
      <c r="JB58" s="1297"/>
      <c r="JC58" s="1348"/>
      <c r="JD58" s="1296" t="s">
        <v>20</v>
      </c>
      <c r="JE58" s="1297"/>
      <c r="JF58" s="1348"/>
      <c r="JG58" s="1296" t="s">
        <v>20</v>
      </c>
      <c r="JH58" s="1297"/>
      <c r="JI58" s="1348"/>
      <c r="JJ58" s="1296" t="s">
        <v>20</v>
      </c>
      <c r="JK58" s="1297"/>
      <c r="JL58" s="1348"/>
      <c r="JM58" s="1296" t="s">
        <v>20</v>
      </c>
      <c r="JN58" s="1297"/>
      <c r="JO58" s="1348"/>
      <c r="JP58" s="1296" t="s">
        <v>20</v>
      </c>
      <c r="JQ58" s="1297"/>
      <c r="JR58" s="1348"/>
      <c r="JS58" s="1296" t="s">
        <v>20</v>
      </c>
      <c r="JT58" s="1297"/>
      <c r="JU58" s="1348"/>
      <c r="JV58" s="1296" t="s">
        <v>20</v>
      </c>
      <c r="JW58" s="1297"/>
      <c r="JX58" s="1348"/>
      <c r="JY58" s="1296" t="s">
        <v>20</v>
      </c>
      <c r="JZ58" s="1297"/>
      <c r="KA58" s="1348"/>
      <c r="KB58" s="1296" t="s">
        <v>20</v>
      </c>
      <c r="KC58" s="1297"/>
      <c r="KD58" s="1348"/>
      <c r="KE58" s="1296" t="s">
        <v>20</v>
      </c>
      <c r="KF58" s="1297"/>
      <c r="KG58" s="1348"/>
      <c r="KH58" s="1296" t="s">
        <v>20</v>
      </c>
      <c r="KI58" s="1297"/>
      <c r="KJ58" s="1348"/>
      <c r="KK58" s="1296" t="s">
        <v>20</v>
      </c>
      <c r="KL58" s="1297"/>
      <c r="KM58" s="1348"/>
      <c r="KN58" s="1296" t="s">
        <v>20</v>
      </c>
      <c r="KO58" s="1297"/>
      <c r="KP58" s="1348"/>
      <c r="KQ58" s="1296" t="s">
        <v>20</v>
      </c>
      <c r="KR58" s="1297"/>
      <c r="KS58" s="1348"/>
      <c r="KT58" s="1296" t="s">
        <v>20</v>
      </c>
      <c r="KU58" s="1297"/>
      <c r="KV58" s="1348"/>
      <c r="KW58" s="1296" t="s">
        <v>20</v>
      </c>
      <c r="KX58" s="1297"/>
      <c r="KY58" s="1348"/>
      <c r="KZ58" s="1296" t="s">
        <v>20</v>
      </c>
      <c r="LA58" s="1297"/>
      <c r="LB58" s="1348"/>
      <c r="LC58" s="1296" t="s">
        <v>20</v>
      </c>
      <c r="LD58" s="1297"/>
      <c r="LE58" s="1348"/>
      <c r="LF58" s="1296" t="s">
        <v>20</v>
      </c>
      <c r="LG58" s="1297"/>
      <c r="LH58" s="1348"/>
      <c r="LI58" s="1296" t="s">
        <v>20</v>
      </c>
      <c r="LJ58" s="1297"/>
      <c r="LK58" s="1348"/>
      <c r="LL58" s="1296" t="s">
        <v>20</v>
      </c>
      <c r="LM58" s="1297"/>
      <c r="LN58" s="1348"/>
      <c r="LO58" s="1296" t="s">
        <v>20</v>
      </c>
      <c r="LP58" s="1297"/>
      <c r="LQ58" s="1348"/>
      <c r="LR58" s="1296" t="s">
        <v>20</v>
      </c>
      <c r="LS58" s="1297"/>
      <c r="LT58" s="1348"/>
      <c r="LU58" s="1296" t="s">
        <v>20</v>
      </c>
      <c r="LV58" s="1297"/>
      <c r="LW58" s="1348"/>
      <c r="LX58" s="1296" t="s">
        <v>20</v>
      </c>
      <c r="LY58" s="1297"/>
      <c r="LZ58" s="1348"/>
      <c r="MA58" s="1296" t="s">
        <v>20</v>
      </c>
      <c r="MB58" s="1297"/>
      <c r="MC58" s="1348"/>
      <c r="MD58" s="1296" t="s">
        <v>20</v>
      </c>
      <c r="ME58" s="1297"/>
      <c r="MF58" s="1348"/>
      <c r="MG58" s="1296" t="s">
        <v>20</v>
      </c>
      <c r="MH58" s="1297"/>
      <c r="MI58" s="1348"/>
      <c r="MJ58" s="1296" t="s">
        <v>20</v>
      </c>
      <c r="MK58" s="1297"/>
      <c r="ML58" s="1348"/>
      <c r="MM58" s="1296" t="s">
        <v>20</v>
      </c>
      <c r="MN58" s="1297"/>
      <c r="MO58" s="1348"/>
      <c r="MP58" s="1296" t="s">
        <v>20</v>
      </c>
      <c r="MQ58" s="1297"/>
      <c r="MR58" s="1348"/>
      <c r="MS58" s="1296" t="s">
        <v>20</v>
      </c>
      <c r="MT58" s="1297"/>
      <c r="MU58" s="1348"/>
      <c r="MV58" s="1296" t="s">
        <v>20</v>
      </c>
      <c r="MW58" s="1297"/>
      <c r="MX58" s="1348"/>
      <c r="MY58" s="1296" t="s">
        <v>20</v>
      </c>
      <c r="MZ58" s="1297"/>
      <c r="NA58" s="1348"/>
      <c r="NB58" s="1296" t="s">
        <v>20</v>
      </c>
      <c r="NC58" s="1297"/>
      <c r="ND58" s="1348"/>
      <c r="NE58" s="1296" t="s">
        <v>20</v>
      </c>
      <c r="NF58" s="1297"/>
      <c r="NG58" s="1348"/>
      <c r="NH58" s="1296" t="s">
        <v>20</v>
      </c>
      <c r="NI58" s="1297"/>
      <c r="NJ58" s="1348"/>
      <c r="NK58" s="1296" t="s">
        <v>20</v>
      </c>
      <c r="NL58" s="1297"/>
      <c r="NM58" s="1348"/>
      <c r="NN58" s="1296" t="s">
        <v>20</v>
      </c>
      <c r="NO58" s="1297"/>
      <c r="NP58" s="1348"/>
      <c r="NQ58" s="1296" t="s">
        <v>20</v>
      </c>
      <c r="NR58" s="1297"/>
      <c r="NS58" s="1348"/>
      <c r="NT58" s="1296" t="s">
        <v>20</v>
      </c>
      <c r="NU58" s="1297"/>
      <c r="NV58" s="1348"/>
      <c r="NW58" s="1296" t="s">
        <v>20</v>
      </c>
      <c r="NX58" s="1297"/>
      <c r="NY58" s="1348"/>
      <c r="NZ58" s="1296" t="s">
        <v>20</v>
      </c>
      <c r="OA58" s="1297"/>
      <c r="OB58" s="1348"/>
      <c r="OC58" s="1296" t="s">
        <v>20</v>
      </c>
      <c r="OD58" s="1297"/>
      <c r="OE58" s="1348"/>
      <c r="OF58" s="1296" t="s">
        <v>20</v>
      </c>
      <c r="OG58" s="1297"/>
      <c r="OH58" s="1348"/>
      <c r="OI58" s="1296" t="s">
        <v>20</v>
      </c>
      <c r="OJ58" s="1297"/>
      <c r="OK58" s="1348"/>
      <c r="OL58" s="1296" t="s">
        <v>20</v>
      </c>
      <c r="OM58" s="1297"/>
      <c r="ON58" s="1348"/>
      <c r="OO58" s="1296" t="s">
        <v>20</v>
      </c>
      <c r="OP58" s="1297"/>
      <c r="OQ58" s="1348"/>
      <c r="OR58" s="1296" t="s">
        <v>20</v>
      </c>
      <c r="OS58" s="1297"/>
      <c r="OT58" s="1348"/>
      <c r="OU58" s="1296" t="s">
        <v>20</v>
      </c>
      <c r="OV58" s="1297"/>
      <c r="OW58" s="1348"/>
      <c r="OX58" s="1296" t="s">
        <v>20</v>
      </c>
      <c r="OY58" s="1297"/>
      <c r="OZ58" s="1348"/>
      <c r="PA58" s="1296" t="s">
        <v>20</v>
      </c>
      <c r="PB58" s="1297"/>
      <c r="PC58" s="1348"/>
      <c r="PD58" s="1296" t="s">
        <v>20</v>
      </c>
      <c r="PE58" s="1297"/>
      <c r="PF58" s="1348"/>
      <c r="PG58" s="1296" t="s">
        <v>20</v>
      </c>
      <c r="PH58" s="1297"/>
      <c r="PI58" s="1348"/>
      <c r="PJ58" s="1296" t="s">
        <v>20</v>
      </c>
      <c r="PK58" s="1297"/>
      <c r="PL58" s="1348"/>
      <c r="PM58" s="1296" t="s">
        <v>20</v>
      </c>
      <c r="PN58" s="1297"/>
      <c r="PO58" s="1348"/>
      <c r="PP58" s="1296" t="s">
        <v>20</v>
      </c>
      <c r="PQ58" s="1297"/>
      <c r="PR58" s="1348"/>
      <c r="PS58" s="1296" t="s">
        <v>20</v>
      </c>
      <c r="PT58" s="1297"/>
      <c r="PU58" s="1348"/>
      <c r="PV58" s="1296" t="s">
        <v>20</v>
      </c>
      <c r="PW58" s="1297"/>
      <c r="PX58" s="1348"/>
      <c r="PY58" s="1296" t="s">
        <v>20</v>
      </c>
      <c r="PZ58" s="1297"/>
      <c r="QA58" s="1348"/>
      <c r="QB58" s="1296" t="s">
        <v>20</v>
      </c>
      <c r="QC58" s="1297"/>
      <c r="QD58" s="1348"/>
      <c r="QE58" s="1296" t="s">
        <v>20</v>
      </c>
      <c r="QF58" s="1297"/>
      <c r="QG58" s="1348"/>
      <c r="QH58" s="1296" t="s">
        <v>20</v>
      </c>
      <c r="QI58" s="1297"/>
      <c r="QJ58" s="1348"/>
      <c r="QK58" s="1296" t="s">
        <v>20</v>
      </c>
      <c r="QL58" s="1297"/>
      <c r="QM58" s="1348"/>
      <c r="QN58" s="1296" t="s">
        <v>20</v>
      </c>
      <c r="QO58" s="1297"/>
      <c r="QP58" s="1348"/>
      <c r="QQ58" s="1296" t="s">
        <v>20</v>
      </c>
      <c r="QR58" s="1297"/>
      <c r="QS58" s="1348"/>
      <c r="QT58" s="1296" t="s">
        <v>20</v>
      </c>
      <c r="QU58" s="1297"/>
      <c r="QV58" s="1348"/>
      <c r="QW58" s="1296" t="s">
        <v>20</v>
      </c>
      <c r="QX58" s="1297"/>
      <c r="QY58" s="1348"/>
      <c r="QZ58" s="1296" t="s">
        <v>20</v>
      </c>
      <c r="RA58" s="1297"/>
      <c r="RB58" s="1348"/>
      <c r="RC58" s="1296" t="s">
        <v>20</v>
      </c>
      <c r="RD58" s="1297"/>
      <c r="RE58" s="1348"/>
      <c r="RF58" s="1296" t="s">
        <v>20</v>
      </c>
      <c r="RG58" s="1297"/>
      <c r="RH58" s="1348"/>
      <c r="RI58" s="1296" t="s">
        <v>20</v>
      </c>
      <c r="RJ58" s="1297"/>
      <c r="RK58" s="1348"/>
      <c r="RL58" s="1296" t="s">
        <v>20</v>
      </c>
      <c r="RM58" s="1297"/>
      <c r="RN58" s="1348"/>
      <c r="RO58" s="1296" t="s">
        <v>20</v>
      </c>
      <c r="RP58" s="1297"/>
      <c r="RQ58" s="1348"/>
      <c r="RR58" s="1296" t="s">
        <v>20</v>
      </c>
      <c r="RS58" s="1297"/>
      <c r="RT58" s="1348"/>
      <c r="RU58" s="1296" t="s">
        <v>20</v>
      </c>
      <c r="RV58" s="1297"/>
      <c r="RW58" s="1348"/>
      <c r="RX58" s="1296" t="s">
        <v>20</v>
      </c>
      <c r="RY58" s="1297"/>
      <c r="RZ58" s="1348"/>
      <c r="SA58" s="1296" t="s">
        <v>20</v>
      </c>
      <c r="SB58" s="1297"/>
      <c r="SC58" s="1348"/>
      <c r="SD58" s="1296" t="s">
        <v>20</v>
      </c>
      <c r="SE58" s="1297"/>
      <c r="SF58" s="1348"/>
      <c r="SG58" s="1296" t="s">
        <v>20</v>
      </c>
      <c r="SH58" s="1297"/>
      <c r="SI58" s="1348"/>
      <c r="SJ58" s="1296" t="s">
        <v>20</v>
      </c>
      <c r="SK58" s="1297"/>
      <c r="SL58" s="1348"/>
      <c r="SM58" s="1296" t="s">
        <v>20</v>
      </c>
      <c r="SN58" s="1297"/>
      <c r="SO58" s="1348"/>
      <c r="SP58" s="1296" t="s">
        <v>20</v>
      </c>
      <c r="SQ58" s="1297"/>
      <c r="SR58" s="1348"/>
      <c r="SS58" s="1296" t="s">
        <v>20</v>
      </c>
      <c r="ST58" s="1297"/>
      <c r="SU58" s="1348"/>
      <c r="SV58" s="1296" t="s">
        <v>20</v>
      </c>
      <c r="SW58" s="1297"/>
      <c r="SX58" s="1348"/>
      <c r="SY58" s="1296" t="s">
        <v>20</v>
      </c>
      <c r="SZ58" s="1297"/>
      <c r="TA58" s="1348"/>
      <c r="TB58" s="1296" t="s">
        <v>20</v>
      </c>
      <c r="TC58" s="1297"/>
      <c r="TD58" s="1348"/>
      <c r="TE58" s="1296" t="s">
        <v>20</v>
      </c>
      <c r="TF58" s="1297"/>
      <c r="TG58" s="1348"/>
      <c r="TH58" s="1296" t="s">
        <v>20</v>
      </c>
      <c r="TI58" s="1297"/>
      <c r="TJ58" s="1348"/>
      <c r="TK58" s="1296" t="s">
        <v>20</v>
      </c>
      <c r="TL58" s="1297"/>
      <c r="TM58" s="1348"/>
      <c r="TN58" s="1296" t="s">
        <v>20</v>
      </c>
      <c r="TO58" s="1297"/>
      <c r="TP58" s="1348"/>
      <c r="TQ58" s="1296" t="s">
        <v>20</v>
      </c>
      <c r="TR58" s="1297"/>
      <c r="TS58" s="1348"/>
      <c r="TT58" s="1296" t="s">
        <v>20</v>
      </c>
      <c r="TU58" s="1297"/>
      <c r="TV58" s="1348"/>
      <c r="TW58" s="1296" t="s">
        <v>20</v>
      </c>
      <c r="TX58" s="1297"/>
      <c r="TY58" s="1348"/>
      <c r="TZ58" s="1296" t="s">
        <v>20</v>
      </c>
      <c r="UA58" s="1297"/>
      <c r="UB58" s="1348"/>
      <c r="UC58" s="1296" t="s">
        <v>20</v>
      </c>
      <c r="UD58" s="1297"/>
      <c r="UE58" s="1348"/>
      <c r="UF58" s="1296" t="s">
        <v>20</v>
      </c>
      <c r="UG58" s="1297"/>
      <c r="UH58" s="1348"/>
      <c r="UI58" s="1296" t="s">
        <v>20</v>
      </c>
      <c r="UJ58" s="1297"/>
      <c r="UK58" s="1348"/>
      <c r="UL58" s="1296" t="s">
        <v>20</v>
      </c>
      <c r="UM58" s="1297"/>
      <c r="UN58" s="1348"/>
      <c r="UO58" s="1296" t="s">
        <v>20</v>
      </c>
      <c r="UP58" s="1297"/>
      <c r="UQ58" s="1348"/>
      <c r="UR58" s="1296" t="s">
        <v>20</v>
      </c>
      <c r="US58" s="1297"/>
      <c r="UT58" s="1348"/>
      <c r="UU58" s="1296" t="s">
        <v>20</v>
      </c>
      <c r="UV58" s="1297"/>
      <c r="UW58" s="1348"/>
      <c r="UX58" s="1296" t="s">
        <v>20</v>
      </c>
      <c r="UY58" s="1297"/>
      <c r="UZ58" s="1348"/>
      <c r="VA58" s="1296" t="s">
        <v>20</v>
      </c>
      <c r="VB58" s="1297"/>
      <c r="VC58" s="1348"/>
      <c r="VD58" s="1296" t="s">
        <v>20</v>
      </c>
      <c r="VE58" s="1297"/>
      <c r="VF58" s="1348"/>
      <c r="VG58" s="1296" t="s">
        <v>20</v>
      </c>
      <c r="VH58" s="1297"/>
      <c r="VI58" s="1348"/>
      <c r="VJ58" s="1296" t="s">
        <v>20</v>
      </c>
      <c r="VK58" s="1297"/>
      <c r="VL58" s="1348"/>
      <c r="VM58" s="1296" t="s">
        <v>20</v>
      </c>
      <c r="VN58" s="1297"/>
      <c r="VO58" s="1348"/>
      <c r="VP58" s="1296" t="s">
        <v>20</v>
      </c>
      <c r="VQ58" s="1297"/>
      <c r="VR58" s="1348"/>
      <c r="VS58" s="1296" t="s">
        <v>20</v>
      </c>
      <c r="VT58" s="1297"/>
      <c r="VU58" s="1348"/>
      <c r="VV58" s="1296" t="s">
        <v>20</v>
      </c>
      <c r="VW58" s="1297"/>
      <c r="VX58" s="1348"/>
      <c r="VY58" s="1296">
        <v>1</v>
      </c>
      <c r="VZ58" s="1297"/>
      <c r="WA58" s="1348"/>
      <c r="WB58" s="1296" t="s">
        <v>20</v>
      </c>
      <c r="WC58" s="1297"/>
      <c r="WD58" s="1348"/>
      <c r="WE58" s="1296" t="s">
        <v>20</v>
      </c>
      <c r="WF58" s="1297"/>
      <c r="WG58" s="1348"/>
      <c r="WH58" s="1296" t="s">
        <v>20</v>
      </c>
      <c r="WI58" s="1297"/>
      <c r="WJ58" s="1348"/>
      <c r="WK58" s="1296">
        <v>1</v>
      </c>
      <c r="WL58" s="1297"/>
      <c r="WM58" s="1348"/>
      <c r="WN58" s="1296" t="s">
        <v>20</v>
      </c>
      <c r="WO58" s="1297"/>
      <c r="WP58" s="1348"/>
      <c r="WQ58" s="1296" t="s">
        <v>20</v>
      </c>
      <c r="WR58" s="1297"/>
      <c r="WS58" s="1348"/>
      <c r="WT58" s="1296" t="s">
        <v>20</v>
      </c>
      <c r="WU58" s="1297"/>
      <c r="WV58" s="1348"/>
      <c r="WW58" s="1296" t="s">
        <v>20</v>
      </c>
      <c r="WX58" s="1297"/>
      <c r="WY58" s="1348"/>
      <c r="WZ58" s="1296" t="s">
        <v>20</v>
      </c>
      <c r="XA58" s="1297"/>
      <c r="XB58" s="1348"/>
      <c r="XC58" s="1296" t="s">
        <v>20</v>
      </c>
      <c r="XD58" s="1297"/>
      <c r="XE58" s="1348"/>
      <c r="XF58" s="1296" t="s">
        <v>20</v>
      </c>
      <c r="XG58" s="1297"/>
      <c r="XH58" s="1348"/>
      <c r="XI58" s="1296" t="s">
        <v>20</v>
      </c>
      <c r="XJ58" s="1297"/>
      <c r="XK58" s="1348"/>
      <c r="XL58" s="1296" t="s">
        <v>20</v>
      </c>
      <c r="XM58" s="1297"/>
      <c r="XN58" s="1348"/>
      <c r="XO58" s="1296" t="s">
        <v>20</v>
      </c>
      <c r="XP58" s="1297"/>
      <c r="XQ58" s="1348"/>
      <c r="XR58" s="1296" t="s">
        <v>20</v>
      </c>
      <c r="XS58" s="1297"/>
      <c r="XT58" s="1348"/>
      <c r="XU58" s="1296" t="s">
        <v>20</v>
      </c>
      <c r="XV58" s="1297"/>
      <c r="XW58" s="1348"/>
      <c r="XX58" s="1296" t="s">
        <v>20</v>
      </c>
      <c r="XY58" s="1297"/>
      <c r="XZ58" s="1348"/>
      <c r="YA58" s="1296" t="s">
        <v>20</v>
      </c>
      <c r="YB58" s="1297"/>
      <c r="YC58" s="1348"/>
      <c r="YD58" s="1296" t="s">
        <v>20</v>
      </c>
      <c r="YE58" s="1297"/>
      <c r="YF58" s="1348"/>
      <c r="YG58" s="1296" t="s">
        <v>20</v>
      </c>
      <c r="YH58" s="1297"/>
      <c r="YI58" s="1348"/>
      <c r="YJ58" s="1296" t="s">
        <v>20</v>
      </c>
      <c r="YK58" s="1297"/>
      <c r="YL58" s="1348"/>
      <c r="YM58" s="1296" t="s">
        <v>20</v>
      </c>
      <c r="YN58" s="1297"/>
      <c r="YO58" s="1348"/>
      <c r="YP58" s="1296" t="s">
        <v>20</v>
      </c>
      <c r="YQ58" s="1297"/>
      <c r="YR58" s="1348"/>
      <c r="YS58" s="1296" t="s">
        <v>20</v>
      </c>
      <c r="YT58" s="1297"/>
      <c r="YU58" s="1348"/>
      <c r="YV58" s="1296" t="s">
        <v>20</v>
      </c>
      <c r="YW58" s="1297"/>
      <c r="YX58" s="1348"/>
      <c r="YY58" s="1296" t="s">
        <v>20</v>
      </c>
      <c r="YZ58" s="1297"/>
      <c r="ZA58" s="1348"/>
      <c r="ZB58" s="1296" t="s">
        <v>20</v>
      </c>
      <c r="ZC58" s="1297"/>
      <c r="ZD58" s="1348"/>
      <c r="ZE58" s="1296" t="s">
        <v>20</v>
      </c>
      <c r="ZF58" s="1297"/>
      <c r="ZG58" s="1348"/>
      <c r="ZH58" s="1296" t="s">
        <v>20</v>
      </c>
      <c r="ZI58" s="1297"/>
      <c r="ZJ58" s="1348"/>
      <c r="ZK58" s="1296" t="s">
        <v>20</v>
      </c>
      <c r="ZL58" s="1297"/>
      <c r="ZM58" s="1348"/>
      <c r="ZN58" s="1296" t="s">
        <v>20</v>
      </c>
      <c r="ZO58" s="1297"/>
      <c r="ZP58" s="1348"/>
      <c r="ZQ58" s="1296">
        <v>2</v>
      </c>
      <c r="ZR58" s="1297"/>
      <c r="ZS58" s="1348"/>
      <c r="ZT58" s="1296" t="s">
        <v>20</v>
      </c>
      <c r="ZU58" s="1297"/>
      <c r="ZV58" s="1348"/>
      <c r="ZW58" s="1296" t="s">
        <v>20</v>
      </c>
      <c r="ZX58" s="1297"/>
      <c r="ZY58" s="1348"/>
      <c r="ZZ58" s="1296" t="s">
        <v>20</v>
      </c>
      <c r="AAA58" s="1297"/>
      <c r="AAB58" s="1348"/>
      <c r="AAC58" s="1296" t="s">
        <v>20</v>
      </c>
      <c r="AAD58" s="1297"/>
      <c r="AAE58" s="1348"/>
      <c r="AAF58" s="1296" t="s">
        <v>20</v>
      </c>
      <c r="AAG58" s="1297"/>
      <c r="AAH58" s="1348"/>
      <c r="AAI58" s="1296" t="s">
        <v>20</v>
      </c>
      <c r="AAJ58" s="1297"/>
      <c r="AAK58" s="1348"/>
      <c r="AAL58" s="1296" t="s">
        <v>20</v>
      </c>
      <c r="AAM58" s="1297"/>
      <c r="AAN58" s="1348"/>
      <c r="AAO58" s="1296" t="s">
        <v>20</v>
      </c>
      <c r="AAP58" s="1297"/>
      <c r="AAQ58" s="1348"/>
      <c r="AAR58" s="1296" t="s">
        <v>20</v>
      </c>
      <c r="AAS58" s="1297"/>
      <c r="AAT58" s="1348"/>
      <c r="AAU58" s="1296" t="s">
        <v>20</v>
      </c>
      <c r="AAV58" s="1297"/>
      <c r="AAW58" s="1348"/>
      <c r="AAX58" s="1296" t="s">
        <v>20</v>
      </c>
      <c r="AAY58" s="1297"/>
      <c r="AAZ58" s="1348"/>
      <c r="ABA58" s="1296" t="s">
        <v>20</v>
      </c>
      <c r="ABB58" s="1297"/>
      <c r="ABC58" s="1348"/>
      <c r="ABD58" s="1296" t="s">
        <v>20</v>
      </c>
      <c r="ABE58" s="1297"/>
      <c r="ABF58" s="1348"/>
      <c r="ABG58" s="1296" t="s">
        <v>20</v>
      </c>
      <c r="ABH58" s="1297"/>
      <c r="ABI58" s="1348"/>
      <c r="ABJ58" s="1296" t="s">
        <v>20</v>
      </c>
      <c r="ABK58" s="1297"/>
      <c r="ABL58" s="1348"/>
      <c r="ABM58" s="1296" t="s">
        <v>20</v>
      </c>
      <c r="ABN58" s="1297"/>
      <c r="ABO58" s="1348"/>
      <c r="ABP58" s="1296" t="s">
        <v>20</v>
      </c>
      <c r="ABQ58" s="1297"/>
      <c r="ABR58" s="1348"/>
      <c r="ABS58" s="1296" t="s">
        <v>20</v>
      </c>
      <c r="ABT58" s="1297"/>
      <c r="ABU58" s="1348"/>
      <c r="ABV58" s="1296" t="s">
        <v>20</v>
      </c>
      <c r="ABW58" s="1297"/>
      <c r="ABX58" s="1348"/>
      <c r="ABY58" s="1296">
        <v>1</v>
      </c>
      <c r="ABZ58" s="1297"/>
      <c r="ACA58" s="1348"/>
      <c r="ACB58" s="1296" t="s">
        <v>20</v>
      </c>
      <c r="ACC58" s="1297"/>
      <c r="ACD58" s="1348"/>
      <c r="ACE58" s="1296">
        <v>1</v>
      </c>
      <c r="ACF58" s="1297"/>
      <c r="ACG58" s="1348"/>
      <c r="ACH58" s="1296" t="s">
        <v>20</v>
      </c>
      <c r="ACI58" s="1297"/>
      <c r="ACJ58" s="1348"/>
      <c r="ACK58" s="1296" t="s">
        <v>20</v>
      </c>
      <c r="ACL58" s="1297"/>
      <c r="ACM58" s="1348"/>
      <c r="ACN58" s="1296" t="s">
        <v>20</v>
      </c>
      <c r="ACO58" s="1297"/>
      <c r="ACP58" s="1348"/>
      <c r="ACQ58" s="1296">
        <v>1</v>
      </c>
      <c r="ACR58" s="1297"/>
      <c r="ACS58" s="1348"/>
      <c r="ACT58" s="1296" t="s">
        <v>20</v>
      </c>
      <c r="ACU58" s="1297"/>
      <c r="ACV58" s="1348"/>
      <c r="ACW58" s="1296" t="s">
        <v>20</v>
      </c>
      <c r="ACX58" s="1297"/>
      <c r="ACY58" s="1348"/>
      <c r="ACZ58" s="1296">
        <v>1</v>
      </c>
      <c r="ADA58" s="1297"/>
      <c r="ADB58" s="1348"/>
      <c r="ADC58" s="1296" t="s">
        <v>20</v>
      </c>
      <c r="ADD58" s="1297"/>
      <c r="ADE58" s="1348"/>
      <c r="ADF58" s="1296" t="s">
        <v>20</v>
      </c>
      <c r="ADG58" s="1297"/>
      <c r="ADH58" s="1348"/>
      <c r="ADI58" s="1296" t="s">
        <v>20</v>
      </c>
      <c r="ADJ58" s="1297"/>
      <c r="ADK58" s="1348"/>
      <c r="ADL58" s="1296" t="s">
        <v>20</v>
      </c>
      <c r="ADM58" s="1297"/>
      <c r="ADN58" s="1348"/>
      <c r="ADO58" s="1296" t="s">
        <v>20</v>
      </c>
      <c r="ADP58" s="1297"/>
      <c r="ADQ58" s="1348"/>
      <c r="ADR58" s="1296">
        <v>2</v>
      </c>
      <c r="ADS58" s="1297"/>
      <c r="ADT58" s="1348"/>
      <c r="ADU58" s="1296" t="s">
        <v>20</v>
      </c>
      <c r="ADV58" s="1297"/>
      <c r="ADW58" s="1348"/>
      <c r="ADX58" s="1296">
        <v>1</v>
      </c>
      <c r="ADY58" s="1297"/>
      <c r="ADZ58" s="1348"/>
      <c r="AEA58" s="1296" t="s">
        <v>20</v>
      </c>
      <c r="AEB58" s="1297"/>
      <c r="AEC58" s="1348"/>
      <c r="AED58" s="1296" t="s">
        <v>20</v>
      </c>
      <c r="AEE58" s="1297"/>
      <c r="AEF58" s="1348"/>
      <c r="AEG58" s="1296" t="s">
        <v>20</v>
      </c>
      <c r="AEH58" s="1297"/>
      <c r="AEI58" s="1348"/>
      <c r="AEJ58" s="1296" t="s">
        <v>20</v>
      </c>
      <c r="AEK58" s="1297"/>
      <c r="AEL58" s="1348"/>
      <c r="AEM58" s="1296" t="s">
        <v>20</v>
      </c>
      <c r="AEN58" s="1297"/>
      <c r="AEO58" s="1348"/>
      <c r="AEP58" s="1296" t="s">
        <v>20</v>
      </c>
      <c r="AEQ58" s="1297"/>
      <c r="AER58" s="1348"/>
      <c r="AES58" s="1296" t="s">
        <v>20</v>
      </c>
      <c r="AET58" s="1297"/>
      <c r="AEU58" s="1348"/>
      <c r="AEV58" s="1296" t="s">
        <v>20</v>
      </c>
      <c r="AEW58" s="1297"/>
      <c r="AEX58" s="1348"/>
      <c r="AEY58" s="1296" t="s">
        <v>20</v>
      </c>
      <c r="AEZ58" s="1297"/>
      <c r="AFA58" s="1348"/>
      <c r="AFB58" s="1296" t="s">
        <v>20</v>
      </c>
      <c r="AFC58" s="1297"/>
      <c r="AFD58" s="1348"/>
      <c r="AFE58" s="1296" t="s">
        <v>20</v>
      </c>
      <c r="AFF58" s="1297"/>
      <c r="AFG58" s="1348"/>
      <c r="AFH58" s="1296" t="s">
        <v>20</v>
      </c>
      <c r="AFI58" s="1297"/>
      <c r="AFJ58" s="1348"/>
      <c r="AFK58" s="1296" t="s">
        <v>20</v>
      </c>
      <c r="AFL58" s="1297"/>
      <c r="AFM58" s="1348"/>
      <c r="AFN58" s="1296">
        <v>2</v>
      </c>
      <c r="AFO58" s="1297"/>
      <c r="AFP58" s="1348"/>
      <c r="AFQ58" s="1296" t="s">
        <v>20</v>
      </c>
      <c r="AFR58" s="1297"/>
      <c r="AFS58" s="1348"/>
      <c r="AFT58" s="1296" t="s">
        <v>20</v>
      </c>
      <c r="AFU58" s="1297"/>
      <c r="AFV58" s="1348"/>
      <c r="AFW58" s="1296" t="s">
        <v>20</v>
      </c>
      <c r="AFX58" s="1297"/>
      <c r="AFY58" s="1348"/>
      <c r="AFZ58" s="1296" t="s">
        <v>20</v>
      </c>
      <c r="AGA58" s="1297"/>
      <c r="AGB58" s="1348"/>
      <c r="AGC58" s="1296" t="s">
        <v>20</v>
      </c>
      <c r="AGD58" s="1297"/>
      <c r="AGE58" s="1348"/>
      <c r="AGF58" s="1296">
        <v>2</v>
      </c>
      <c r="AGG58" s="1297"/>
      <c r="AGH58" s="1348"/>
      <c r="AGI58" s="1296" t="s">
        <v>20</v>
      </c>
      <c r="AGJ58" s="1297"/>
      <c r="AGK58" s="1348"/>
      <c r="AGL58" s="1296" t="s">
        <v>20</v>
      </c>
      <c r="AGM58" s="1297"/>
      <c r="AGN58" s="1348"/>
      <c r="AGO58" s="1296" t="s">
        <v>20</v>
      </c>
      <c r="AGP58" s="1297"/>
      <c r="AGQ58" s="1348"/>
      <c r="AGR58" s="1296" t="s">
        <v>20</v>
      </c>
      <c r="AGS58" s="1297"/>
      <c r="AGT58" s="1348"/>
      <c r="AGU58" s="1296" t="s">
        <v>20</v>
      </c>
      <c r="AGV58" s="1297"/>
      <c r="AGW58" s="1348"/>
      <c r="AGX58" s="1296" t="s">
        <v>20</v>
      </c>
      <c r="AGY58" s="1297"/>
      <c r="AGZ58" s="1348"/>
      <c r="AHA58" s="1296" t="s">
        <v>20</v>
      </c>
      <c r="AHB58" s="1297"/>
      <c r="AHC58" s="1348"/>
      <c r="AHD58" s="1296" t="s">
        <v>20</v>
      </c>
      <c r="AHE58" s="1297"/>
      <c r="AHF58" s="1348"/>
      <c r="AHG58" s="1296" t="s">
        <v>20</v>
      </c>
      <c r="AHH58" s="1297"/>
      <c r="AHI58" s="1348"/>
      <c r="AHJ58" s="1296" t="s">
        <v>20</v>
      </c>
      <c r="AHK58" s="1297"/>
      <c r="AHL58" s="1348"/>
      <c r="AHM58" s="1296" t="s">
        <v>20</v>
      </c>
      <c r="AHN58" s="1297"/>
      <c r="AHO58" s="1348"/>
      <c r="AHP58" s="1296" t="s">
        <v>20</v>
      </c>
      <c r="AHQ58" s="1297"/>
      <c r="AHR58" s="1348"/>
      <c r="AHS58" s="1296" t="s">
        <v>20</v>
      </c>
      <c r="AHT58" s="1297"/>
      <c r="AHU58" s="1348"/>
      <c r="AHV58" s="1296">
        <v>1</v>
      </c>
      <c r="AHW58" s="1297"/>
      <c r="AHX58" s="1348"/>
      <c r="AHY58" s="1296" t="s">
        <v>20</v>
      </c>
      <c r="AHZ58" s="1297"/>
      <c r="AIA58" s="1348"/>
      <c r="AIB58" s="1296" t="s">
        <v>20</v>
      </c>
      <c r="AIC58" s="1297"/>
      <c r="AID58" s="1297"/>
      <c r="AIE58" s="1296" t="s">
        <v>20</v>
      </c>
      <c r="AIF58" s="1297"/>
      <c r="AIG58" s="1348"/>
      <c r="AIH58" s="1296" t="s">
        <v>20</v>
      </c>
      <c r="AII58" s="1297"/>
      <c r="AIJ58" s="1348"/>
      <c r="AIK58" s="1296" t="s">
        <v>20</v>
      </c>
      <c r="AIL58" s="1297"/>
      <c r="AIM58" s="1348"/>
      <c r="AIN58" s="1296" t="s">
        <v>20</v>
      </c>
      <c r="AIO58" s="1297"/>
      <c r="AIP58" s="1348"/>
      <c r="AIQ58" s="1296" t="s">
        <v>20</v>
      </c>
      <c r="AIR58" s="1297"/>
      <c r="AIS58" s="1297"/>
      <c r="AIT58" s="1296" t="s">
        <v>20</v>
      </c>
      <c r="AIU58" s="1297"/>
      <c r="AIV58" s="1348"/>
      <c r="AIW58" s="1296" t="s">
        <v>20</v>
      </c>
      <c r="AIX58" s="1297"/>
      <c r="AIY58" s="1297"/>
      <c r="AIZ58" s="1296" t="s">
        <v>20</v>
      </c>
      <c r="AJA58" s="1297"/>
      <c r="AJB58" s="1348"/>
      <c r="AJC58" s="1296" t="s">
        <v>20</v>
      </c>
      <c r="AJD58" s="1297"/>
      <c r="AJE58" s="1348"/>
      <c r="AJF58" s="1296" t="s">
        <v>20</v>
      </c>
      <c r="AJG58" s="1297"/>
      <c r="AJH58" s="1348"/>
      <c r="AJI58" s="1296" t="s">
        <v>20</v>
      </c>
      <c r="AJJ58" s="1297"/>
      <c r="AJK58" s="1348"/>
      <c r="AJL58" s="1296" t="s">
        <v>20</v>
      </c>
      <c r="AJM58" s="1297"/>
      <c r="AJN58" s="1297"/>
      <c r="AJO58" s="1296">
        <v>2</v>
      </c>
      <c r="AJP58" s="1297"/>
      <c r="AJQ58" s="1348"/>
      <c r="AJR58" s="1296" t="s">
        <v>20</v>
      </c>
      <c r="AJS58" s="1297"/>
      <c r="AJT58" s="1297"/>
      <c r="AJU58" s="1296" t="s">
        <v>20</v>
      </c>
      <c r="AJV58" s="1297"/>
      <c r="AJW58" s="1348"/>
      <c r="AJX58" s="1296" t="s">
        <v>20</v>
      </c>
      <c r="AJY58" s="1297"/>
      <c r="AJZ58" s="1348"/>
      <c r="AKA58" s="1296">
        <v>1</v>
      </c>
      <c r="AKB58" s="1297"/>
      <c r="AKC58" s="1348"/>
      <c r="AKD58" s="1296" t="s">
        <v>20</v>
      </c>
      <c r="AKE58" s="1297"/>
      <c r="AKF58" s="1348"/>
      <c r="AKG58" s="1296" t="s">
        <v>20</v>
      </c>
      <c r="AKH58" s="1297"/>
      <c r="AKI58" s="1297"/>
      <c r="AKJ58" s="1296" t="s">
        <v>20</v>
      </c>
      <c r="AKK58" s="1297"/>
      <c r="AKL58" s="1348"/>
      <c r="AKM58" s="1296" t="s">
        <v>20</v>
      </c>
      <c r="AKN58" s="1297"/>
      <c r="AKO58" s="1297"/>
      <c r="AKP58" s="1296" t="s">
        <v>20</v>
      </c>
      <c r="AKQ58" s="1297"/>
      <c r="AKR58" s="1348"/>
      <c r="AKS58" s="1296" t="s">
        <v>20</v>
      </c>
      <c r="AKT58" s="1297"/>
      <c r="AKU58" s="1348"/>
      <c r="AKV58" s="1296" t="s">
        <v>20</v>
      </c>
      <c r="AKW58" s="1297"/>
      <c r="AKX58" s="1348"/>
      <c r="AKY58" s="1296" t="s">
        <v>20</v>
      </c>
      <c r="AKZ58" s="1297"/>
      <c r="ALA58" s="1348"/>
      <c r="ALB58" s="1296" t="s">
        <v>20</v>
      </c>
      <c r="ALC58" s="1297"/>
      <c r="ALD58" s="1297"/>
      <c r="ALE58" s="1296" t="s">
        <v>20</v>
      </c>
      <c r="ALF58" s="1297"/>
      <c r="ALG58" s="1348"/>
      <c r="ALH58" s="1296" t="s">
        <v>20</v>
      </c>
      <c r="ALI58" s="1297"/>
      <c r="ALJ58" s="1297"/>
      <c r="ALK58" s="1296" t="s">
        <v>20</v>
      </c>
      <c r="ALL58" s="1297"/>
      <c r="ALM58" s="1348"/>
      <c r="ALN58" s="1296" t="s">
        <v>20</v>
      </c>
      <c r="ALO58" s="1297"/>
      <c r="ALP58" s="1348"/>
      <c r="ALQ58" s="1296" t="s">
        <v>20</v>
      </c>
      <c r="ALR58" s="1297"/>
      <c r="ALS58" s="1348"/>
      <c r="ALT58" s="1296" t="s">
        <v>20</v>
      </c>
      <c r="ALU58" s="1297"/>
      <c r="ALV58" s="1348"/>
      <c r="ALW58" s="1296" t="s">
        <v>20</v>
      </c>
      <c r="ALX58" s="1297"/>
      <c r="ALY58" s="1297"/>
      <c r="ALZ58" s="1296" t="s">
        <v>20</v>
      </c>
      <c r="AMA58" s="1297"/>
      <c r="AMB58" s="1348"/>
      <c r="AMC58" s="1296" t="s">
        <v>20</v>
      </c>
      <c r="AMD58" s="1297"/>
      <c r="AME58" s="1297"/>
      <c r="AMF58" s="1296" t="s">
        <v>20</v>
      </c>
      <c r="AMG58" s="1297"/>
      <c r="AMH58" s="1348"/>
      <c r="AMI58" s="1296" t="s">
        <v>20</v>
      </c>
      <c r="AMJ58" s="1297"/>
      <c r="AMK58" s="1348"/>
      <c r="AML58" s="1296" t="s">
        <v>20</v>
      </c>
      <c r="AMM58" s="1297"/>
      <c r="AMN58" s="1348"/>
      <c r="AMO58" s="1296" t="s">
        <v>20</v>
      </c>
      <c r="AMP58" s="1297"/>
      <c r="AMQ58" s="1348"/>
      <c r="AMR58" s="1296" t="s">
        <v>20</v>
      </c>
      <c r="AMS58" s="1297"/>
      <c r="AMT58" s="1297"/>
      <c r="AMU58" s="1296" t="s">
        <v>20</v>
      </c>
      <c r="AMV58" s="1297"/>
      <c r="AMW58" s="1348"/>
      <c r="AMX58" s="1296" t="s">
        <v>20</v>
      </c>
      <c r="AMY58" s="1297"/>
      <c r="AMZ58" s="1297"/>
      <c r="ANA58" s="1296" t="s">
        <v>20</v>
      </c>
      <c r="ANB58" s="1297"/>
      <c r="ANC58" s="1348"/>
      <c r="AND58" s="1296" t="s">
        <v>20</v>
      </c>
      <c r="ANE58" s="1297"/>
      <c r="ANF58" s="1348"/>
      <c r="ANG58" s="1296" t="s">
        <v>20</v>
      </c>
      <c r="ANH58" s="1297"/>
      <c r="ANI58" s="1348"/>
      <c r="ANJ58" s="1296" t="s">
        <v>20</v>
      </c>
      <c r="ANK58" s="1297"/>
      <c r="ANL58" s="1348"/>
      <c r="ANM58" s="1296" t="s">
        <v>20</v>
      </c>
      <c r="ANN58" s="1297"/>
      <c r="ANO58" s="1297"/>
      <c r="ANP58" s="1296" t="s">
        <v>20</v>
      </c>
      <c r="ANQ58" s="1297"/>
      <c r="ANR58" s="1348"/>
      <c r="ANS58" s="1296" t="s">
        <v>20</v>
      </c>
      <c r="ANT58" s="1297"/>
      <c r="ANU58" s="1297"/>
      <c r="ANV58" s="1296" t="s">
        <v>20</v>
      </c>
      <c r="ANW58" s="1297"/>
      <c r="ANX58" s="1348"/>
      <c r="ANY58" s="1296">
        <v>1</v>
      </c>
      <c r="ANZ58" s="1297"/>
      <c r="AOA58" s="1348"/>
      <c r="AOB58" s="1296" t="s">
        <v>20</v>
      </c>
      <c r="AOC58" s="1297"/>
      <c r="AOD58" s="1348"/>
      <c r="AOE58" s="1296">
        <v>1</v>
      </c>
      <c r="AOF58" s="1297"/>
      <c r="AOG58" s="1348"/>
      <c r="AOH58" s="1296" t="s">
        <v>20</v>
      </c>
      <c r="AOI58" s="1297"/>
      <c r="AOJ58" s="1297"/>
      <c r="AOK58" s="1296">
        <v>1</v>
      </c>
      <c r="AOL58" s="1297"/>
      <c r="AOM58" s="1348"/>
      <c r="AON58" s="1296" t="s">
        <v>20</v>
      </c>
      <c r="AOO58" s="1297"/>
      <c r="AOP58" s="1297"/>
      <c r="AOQ58" s="1296" t="s">
        <v>20</v>
      </c>
      <c r="AOR58" s="1297"/>
      <c r="AOS58" s="1348"/>
      <c r="AOT58" s="1296" t="s">
        <v>20</v>
      </c>
      <c r="AOU58" s="1297"/>
      <c r="AOV58" s="1348"/>
      <c r="AOW58" s="1296" t="s">
        <v>20</v>
      </c>
      <c r="AOX58" s="1297"/>
      <c r="AOY58" s="1348"/>
      <c r="AOZ58" s="1296">
        <v>2</v>
      </c>
      <c r="APA58" s="1297"/>
      <c r="APB58" s="1348"/>
      <c r="APC58" s="1296" t="s">
        <v>20</v>
      </c>
      <c r="APD58" s="1297"/>
      <c r="APE58" s="1297"/>
      <c r="APF58" s="1296" t="s">
        <v>20</v>
      </c>
      <c r="APG58" s="1297"/>
      <c r="APH58" s="1348"/>
      <c r="API58" s="1296" t="s">
        <v>20</v>
      </c>
      <c r="APJ58" s="1297"/>
      <c r="APK58" s="1297"/>
      <c r="APL58" s="1296" t="s">
        <v>20</v>
      </c>
      <c r="APM58" s="1297"/>
      <c r="APN58" s="1348"/>
      <c r="APO58" s="1296" t="s">
        <v>20</v>
      </c>
      <c r="APP58" s="1297"/>
      <c r="APQ58" s="1348"/>
      <c r="APR58" s="1296" t="s">
        <v>20</v>
      </c>
      <c r="APS58" s="1297"/>
      <c r="APT58" s="1348"/>
      <c r="APU58" s="1296" t="s">
        <v>20</v>
      </c>
      <c r="APV58" s="1297"/>
      <c r="APW58" s="1348"/>
      <c r="APX58" s="1296" t="s">
        <v>20</v>
      </c>
      <c r="APY58" s="1297"/>
      <c r="APZ58" s="1297"/>
      <c r="AQA58" s="1296" t="s">
        <v>20</v>
      </c>
      <c r="AQB58" s="1297"/>
      <c r="AQC58" s="1348"/>
      <c r="AQD58" s="1296" t="s">
        <v>20</v>
      </c>
      <c r="AQE58" s="1297"/>
      <c r="AQF58" s="1348"/>
      <c r="AQG58" s="1296" t="s">
        <v>20</v>
      </c>
      <c r="AQH58" s="1297"/>
      <c r="AQI58" s="1348"/>
      <c r="AQJ58" s="1296" t="s">
        <v>20</v>
      </c>
      <c r="AQK58" s="1297"/>
      <c r="AQL58" s="1348"/>
      <c r="AQM58" s="1296" t="s">
        <v>20</v>
      </c>
      <c r="AQN58" s="1297"/>
      <c r="AQO58" s="1297"/>
      <c r="AQP58" s="1296" t="s">
        <v>20</v>
      </c>
      <c r="AQQ58" s="1297"/>
      <c r="AQR58" s="1297"/>
      <c r="AQS58" s="1296" t="s">
        <v>20</v>
      </c>
      <c r="AQT58" s="1297"/>
      <c r="AQU58" s="1348"/>
      <c r="AQV58" s="1297" t="s">
        <v>20</v>
      </c>
      <c r="AQW58" s="1297"/>
      <c r="AQX58" s="1348"/>
      <c r="AQY58" s="1296" t="s">
        <v>20</v>
      </c>
      <c r="AQZ58" s="1297"/>
      <c r="ARA58" s="1348"/>
      <c r="ARB58" s="1296" t="s">
        <v>20</v>
      </c>
      <c r="ARC58" s="1297"/>
      <c r="ARD58" s="1348"/>
      <c r="ARE58" s="1296" t="s">
        <v>20</v>
      </c>
      <c r="ARF58" s="1297"/>
      <c r="ARG58" s="1348"/>
      <c r="ARH58" s="1296" t="s">
        <v>20</v>
      </c>
      <c r="ARI58" s="1297"/>
      <c r="ARJ58" s="1297"/>
      <c r="ARK58" s="1296" t="s">
        <v>20</v>
      </c>
      <c r="ARL58" s="1297"/>
      <c r="ARM58" s="1348"/>
      <c r="ARN58" s="1296" t="s">
        <v>20</v>
      </c>
      <c r="ARO58" s="1297"/>
      <c r="ARP58" s="1297"/>
      <c r="ARQ58" s="1296" t="s">
        <v>20</v>
      </c>
      <c r="ARR58" s="1297"/>
      <c r="ARS58" s="1348"/>
      <c r="ART58" s="1296" t="s">
        <v>20</v>
      </c>
      <c r="ARU58" s="1297"/>
      <c r="ARV58" s="1348"/>
      <c r="ARW58" s="1296" t="s">
        <v>20</v>
      </c>
      <c r="ARX58" s="1297"/>
      <c r="ARY58" s="1348"/>
      <c r="ARZ58" s="1296" t="s">
        <v>20</v>
      </c>
      <c r="ASA58" s="1297"/>
      <c r="ASB58" s="1348"/>
      <c r="ASC58" s="1296" t="s">
        <v>20</v>
      </c>
      <c r="ASD58" s="1297"/>
      <c r="ASE58" s="1297"/>
      <c r="ASF58" s="1296" t="s">
        <v>20</v>
      </c>
      <c r="ASG58" s="1297"/>
      <c r="ASH58" s="1348"/>
      <c r="ASI58" s="1296" t="s">
        <v>20</v>
      </c>
      <c r="ASJ58" s="1297"/>
      <c r="ASK58" s="1297"/>
      <c r="ASL58" s="1296" t="s">
        <v>20</v>
      </c>
      <c r="ASM58" s="1297"/>
      <c r="ASN58" s="1348"/>
      <c r="ASO58" s="1296" t="s">
        <v>20</v>
      </c>
      <c r="ASP58" s="1297"/>
      <c r="ASQ58" s="1297"/>
      <c r="ASR58" s="1296" t="s">
        <v>20</v>
      </c>
      <c r="ASS58" s="1297"/>
      <c r="AST58" s="1348"/>
      <c r="ASU58" s="1296" t="s">
        <v>20</v>
      </c>
      <c r="ASV58" s="1297"/>
      <c r="ASW58" s="1348"/>
      <c r="ASX58" s="1296" t="s">
        <v>20</v>
      </c>
      <c r="ASY58" s="1297"/>
      <c r="ASZ58" s="1297"/>
      <c r="ATA58" s="1296">
        <v>1</v>
      </c>
      <c r="ATB58" s="1297"/>
      <c r="ATC58" s="1348"/>
      <c r="ATD58" s="1296" t="s">
        <v>20</v>
      </c>
      <c r="ATE58" s="1297"/>
      <c r="ATF58" s="1297"/>
      <c r="ATG58" s="1296" t="s">
        <v>20</v>
      </c>
      <c r="ATH58" s="1297"/>
      <c r="ATI58" s="1348"/>
      <c r="ATJ58" s="1296" t="s">
        <v>20</v>
      </c>
      <c r="ATK58" s="1297"/>
      <c r="ATL58" s="1348"/>
      <c r="ATM58" s="1296" t="s">
        <v>20</v>
      </c>
      <c r="ATN58" s="1297"/>
      <c r="ATO58" s="1348"/>
      <c r="ATP58" s="1296" t="s">
        <v>20</v>
      </c>
      <c r="ATQ58" s="1297"/>
      <c r="ATR58" s="1348"/>
      <c r="ATS58" s="1296" t="s">
        <v>20</v>
      </c>
      <c r="ATT58" s="1297"/>
      <c r="ATU58" s="1348"/>
      <c r="ATV58" s="1297" t="s">
        <v>20</v>
      </c>
      <c r="ATW58" s="1297"/>
      <c r="ATX58" s="1348"/>
      <c r="ATY58" s="1296">
        <v>3</v>
      </c>
      <c r="ATZ58" s="1297"/>
      <c r="AUA58" s="1297"/>
      <c r="AUB58" s="1296">
        <v>1</v>
      </c>
      <c r="AUC58" s="1297"/>
      <c r="AUD58" s="1348"/>
      <c r="AUE58" s="1296" t="s">
        <v>20</v>
      </c>
      <c r="AUF58" s="1297"/>
      <c r="AUG58" s="1348"/>
      <c r="AUH58" s="1296" t="s">
        <v>20</v>
      </c>
      <c r="AUI58" s="1297"/>
      <c r="AUJ58" s="1348"/>
      <c r="AUK58" s="1296" t="s">
        <v>20</v>
      </c>
      <c r="AUL58" s="1297"/>
      <c r="AUM58" s="1297"/>
      <c r="AUN58" s="1296" t="s">
        <v>20</v>
      </c>
      <c r="AUO58" s="1297"/>
      <c r="AUP58" s="1297"/>
      <c r="AUQ58" s="1296" t="s">
        <v>20</v>
      </c>
      <c r="AUR58" s="1297"/>
      <c r="AUS58" s="1297"/>
      <c r="AUT58" s="1296" t="s">
        <v>20</v>
      </c>
      <c r="AUU58" s="1297"/>
      <c r="AUV58" s="1297"/>
      <c r="AUW58" s="1296" t="s">
        <v>20</v>
      </c>
      <c r="AUX58" s="1297"/>
      <c r="AUY58" s="1297"/>
      <c r="AUZ58" s="1296" t="s">
        <v>20</v>
      </c>
      <c r="AVA58" s="1297"/>
      <c r="AVB58" s="1297"/>
      <c r="AVC58" s="1296" t="s">
        <v>20</v>
      </c>
      <c r="AVD58" s="1297"/>
      <c r="AVE58" s="1297"/>
      <c r="AVF58" s="1296" t="s">
        <v>20</v>
      </c>
      <c r="AVG58" s="1297"/>
      <c r="AVH58" s="1297"/>
      <c r="AVI58" s="1296" t="s">
        <v>20</v>
      </c>
      <c r="AVJ58" s="1297"/>
      <c r="AVK58" s="1297"/>
      <c r="AVL58" s="1296" t="s">
        <v>20</v>
      </c>
      <c r="AVM58" s="1297"/>
      <c r="AVN58" s="1297"/>
      <c r="AVO58" s="1296" t="s">
        <v>20</v>
      </c>
      <c r="AVP58" s="1297"/>
      <c r="AVQ58" s="1297"/>
      <c r="AVR58" s="1296" t="s">
        <v>20</v>
      </c>
      <c r="AVS58" s="1297"/>
      <c r="AVT58" s="1297"/>
      <c r="AVU58" s="1296" t="s">
        <v>20</v>
      </c>
      <c r="AVV58" s="1297"/>
      <c r="AVW58" s="1297"/>
      <c r="AVX58" s="1296" t="s">
        <v>20</v>
      </c>
      <c r="AVY58" s="1297"/>
      <c r="AVZ58" s="1297"/>
      <c r="AWA58" s="1296" t="s">
        <v>20</v>
      </c>
      <c r="AWB58" s="1297"/>
      <c r="AWC58" s="1297"/>
      <c r="AWD58" s="1296" t="s">
        <v>20</v>
      </c>
      <c r="AWE58" s="1297"/>
      <c r="AWF58" s="1297"/>
      <c r="AWG58" s="1296" t="s">
        <v>20</v>
      </c>
      <c r="AWH58" s="1297"/>
      <c r="AWI58" s="1297"/>
      <c r="AWJ58" s="1296" t="s">
        <v>20</v>
      </c>
      <c r="AWK58" s="1297"/>
      <c r="AWL58" s="1297"/>
      <c r="AWM58" s="1296" t="s">
        <v>20</v>
      </c>
      <c r="AWN58" s="1297"/>
      <c r="AWO58" s="1348"/>
      <c r="AWP58" s="1297" t="s">
        <v>20</v>
      </c>
      <c r="AWQ58" s="1297"/>
      <c r="AWR58" s="1348"/>
      <c r="AWS58" s="1296" t="s">
        <v>20</v>
      </c>
      <c r="AWT58" s="1297"/>
      <c r="AWU58" s="1348"/>
      <c r="AWV58" s="1296" t="s">
        <v>20</v>
      </c>
      <c r="AWW58" s="1297"/>
      <c r="AWX58" s="1348"/>
      <c r="AWY58" s="1296" t="s">
        <v>20</v>
      </c>
      <c r="AWZ58" s="1297"/>
      <c r="AXA58" s="1297"/>
      <c r="AXB58" s="1296" t="s">
        <v>20</v>
      </c>
      <c r="AXC58" s="1297"/>
      <c r="AXD58" s="1348"/>
      <c r="AXE58" s="1296" t="s">
        <v>20</v>
      </c>
      <c r="AXF58" s="1297"/>
      <c r="AXG58" s="1297"/>
      <c r="AXH58" s="1296" t="s">
        <v>20</v>
      </c>
      <c r="AXI58" s="1297"/>
      <c r="AXJ58" s="1348"/>
      <c r="AXK58" s="1296" t="s">
        <v>20</v>
      </c>
      <c r="AXL58" s="1297"/>
      <c r="AXM58" s="1348"/>
      <c r="AXN58" s="1296" t="s">
        <v>20</v>
      </c>
      <c r="AXO58" s="1297"/>
      <c r="AXP58" s="1348"/>
      <c r="AXQ58" s="1296" t="s">
        <v>20</v>
      </c>
      <c r="AXR58" s="1297"/>
      <c r="AXS58" s="1348"/>
      <c r="AXT58" s="1296" t="s">
        <v>20</v>
      </c>
      <c r="AXU58" s="1297"/>
      <c r="AXV58" s="1297"/>
      <c r="AXW58" s="1296" t="s">
        <v>20</v>
      </c>
      <c r="AXX58" s="1297"/>
      <c r="AXY58" s="1348"/>
      <c r="AXZ58" s="1296" t="s">
        <v>20</v>
      </c>
      <c r="AYA58" s="1297"/>
      <c r="AYB58" s="1297"/>
      <c r="AYC58" s="1296" t="s">
        <v>20</v>
      </c>
      <c r="AYD58" s="1297"/>
      <c r="AYE58" s="1348"/>
      <c r="AYF58" s="1296" t="s">
        <v>20</v>
      </c>
      <c r="AYG58" s="1297"/>
      <c r="AYH58" s="1348"/>
      <c r="AYI58" s="1296" t="s">
        <v>20</v>
      </c>
      <c r="AYJ58" s="1297"/>
      <c r="AYK58" s="1348"/>
      <c r="AYL58" s="1296" t="s">
        <v>20</v>
      </c>
      <c r="AYM58" s="1297"/>
      <c r="AYN58" s="1348"/>
      <c r="AYO58" s="1296" t="s">
        <v>20</v>
      </c>
      <c r="AYP58" s="1297"/>
      <c r="AYQ58" s="1297"/>
      <c r="AYR58" s="1296" t="s">
        <v>20</v>
      </c>
      <c r="AYS58" s="1297"/>
      <c r="AYT58" s="1348"/>
      <c r="AYU58" s="1296" t="s">
        <v>20</v>
      </c>
      <c r="AYV58" s="1297"/>
      <c r="AYW58" s="1297"/>
      <c r="AYX58" s="1296" t="s">
        <v>20</v>
      </c>
      <c r="AYY58" s="1297"/>
      <c r="AYZ58" s="1348"/>
      <c r="AZA58" s="1296" t="s">
        <v>20</v>
      </c>
      <c r="AZB58" s="1297"/>
      <c r="AZC58" s="1348"/>
      <c r="AZD58" s="1296" t="s">
        <v>20</v>
      </c>
      <c r="AZE58" s="1297"/>
      <c r="AZF58" s="1348"/>
      <c r="AZG58" s="1296" t="s">
        <v>20</v>
      </c>
      <c r="AZH58" s="1297"/>
      <c r="AZI58" s="1348"/>
      <c r="AZJ58" s="1296" t="s">
        <v>20</v>
      </c>
      <c r="AZK58" s="1297"/>
      <c r="AZL58" s="1297"/>
      <c r="AZM58" s="1296" t="s">
        <v>20</v>
      </c>
      <c r="AZN58" s="1297"/>
      <c r="AZO58" s="1348"/>
      <c r="AZP58" s="1296" t="s">
        <v>20</v>
      </c>
      <c r="AZQ58" s="1297"/>
      <c r="AZR58" s="1297"/>
      <c r="AZS58" s="1296" t="s">
        <v>20</v>
      </c>
      <c r="AZT58" s="1297"/>
      <c r="AZU58" s="1348"/>
      <c r="AZV58" s="1296" t="s">
        <v>20</v>
      </c>
      <c r="AZW58" s="1297"/>
      <c r="AZX58" s="1348"/>
      <c r="AZY58" s="1296" t="s">
        <v>20</v>
      </c>
      <c r="AZZ58" s="1297"/>
      <c r="BAA58" s="1348"/>
      <c r="BAB58" s="1296" t="s">
        <v>20</v>
      </c>
      <c r="BAC58" s="1297"/>
      <c r="BAD58" s="1348"/>
      <c r="BAE58" s="1296" t="s">
        <v>20</v>
      </c>
      <c r="BAF58" s="1297"/>
      <c r="BAG58" s="1297"/>
      <c r="BAH58" s="1296" t="s">
        <v>20</v>
      </c>
      <c r="BAI58" s="1297"/>
      <c r="BAJ58" s="1348"/>
    </row>
    <row r="59" spans="1:1388" s="16" customFormat="1" ht="13.5" customHeight="1">
      <c r="B59" s="5" t="s">
        <v>275</v>
      </c>
      <c r="E59" s="13" t="s">
        <v>336</v>
      </c>
      <c r="F59" s="1285" t="s">
        <v>20</v>
      </c>
      <c r="G59" s="1285"/>
      <c r="H59" s="1287"/>
      <c r="I59" s="1285" t="s">
        <v>20</v>
      </c>
      <c r="J59" s="1285"/>
      <c r="K59" s="1287"/>
      <c r="L59" s="1286" t="s">
        <v>20</v>
      </c>
      <c r="M59" s="1285"/>
      <c r="N59" s="1287"/>
      <c r="O59" s="1286" t="s">
        <v>20</v>
      </c>
      <c r="P59" s="1285"/>
      <c r="Q59" s="1287"/>
      <c r="R59" s="1286" t="s">
        <v>20</v>
      </c>
      <c r="S59" s="1285"/>
      <c r="T59" s="1287"/>
      <c r="U59" s="1286" t="s">
        <v>20</v>
      </c>
      <c r="V59" s="1285"/>
      <c r="W59" s="1287"/>
      <c r="X59" s="1286" t="s">
        <v>20</v>
      </c>
      <c r="Y59" s="1285"/>
      <c r="Z59" s="1287"/>
      <c r="AA59" s="1286" t="s">
        <v>20</v>
      </c>
      <c r="AB59" s="1285"/>
      <c r="AC59" s="1287"/>
      <c r="AD59" s="1286" t="s">
        <v>20</v>
      </c>
      <c r="AE59" s="1285"/>
      <c r="AF59" s="1287"/>
      <c r="AG59" s="1286" t="s">
        <v>20</v>
      </c>
      <c r="AH59" s="1285"/>
      <c r="AI59" s="1287"/>
      <c r="AJ59" s="1286" t="s">
        <v>20</v>
      </c>
      <c r="AK59" s="1285"/>
      <c r="AL59" s="1287"/>
      <c r="AM59" s="1286" t="s">
        <v>20</v>
      </c>
      <c r="AN59" s="1285"/>
      <c r="AO59" s="1287"/>
      <c r="AP59" s="1286" t="s">
        <v>20</v>
      </c>
      <c r="AQ59" s="1285"/>
      <c r="AR59" s="1287"/>
      <c r="AS59" s="1286" t="s">
        <v>20</v>
      </c>
      <c r="AT59" s="1285"/>
      <c r="AU59" s="1287"/>
      <c r="AV59" s="1286" t="s">
        <v>20</v>
      </c>
      <c r="AW59" s="1285"/>
      <c r="AX59" s="1287"/>
      <c r="AY59" s="1286" t="s">
        <v>20</v>
      </c>
      <c r="AZ59" s="1285"/>
      <c r="BA59" s="1287"/>
      <c r="BB59" s="1286" t="s">
        <v>20</v>
      </c>
      <c r="BC59" s="1285"/>
      <c r="BD59" s="1287"/>
      <c r="BE59" s="1286" t="s">
        <v>20</v>
      </c>
      <c r="BF59" s="1285"/>
      <c r="BG59" s="1287"/>
      <c r="BH59" s="1286" t="s">
        <v>20</v>
      </c>
      <c r="BI59" s="1285"/>
      <c r="BJ59" s="1287"/>
      <c r="BK59" s="1286" t="s">
        <v>20</v>
      </c>
      <c r="BL59" s="1285"/>
      <c r="BM59" s="1287"/>
      <c r="BN59" s="1286" t="s">
        <v>20</v>
      </c>
      <c r="BO59" s="1285"/>
      <c r="BP59" s="1287"/>
      <c r="BQ59" s="1286" t="s">
        <v>20</v>
      </c>
      <c r="BR59" s="1285"/>
      <c r="BS59" s="1287"/>
      <c r="BT59" s="1286" t="s">
        <v>20</v>
      </c>
      <c r="BU59" s="1285"/>
      <c r="BV59" s="1287"/>
      <c r="BW59" s="1286" t="s">
        <v>20</v>
      </c>
      <c r="BX59" s="1285"/>
      <c r="BY59" s="1287"/>
      <c r="BZ59" s="1286" t="s">
        <v>20</v>
      </c>
      <c r="CA59" s="1285"/>
      <c r="CB59" s="1287"/>
      <c r="CC59" s="1286" t="s">
        <v>20</v>
      </c>
      <c r="CD59" s="1285"/>
      <c r="CE59" s="1287"/>
      <c r="CF59" s="1286" t="s">
        <v>20</v>
      </c>
      <c r="CG59" s="1285"/>
      <c r="CH59" s="1287"/>
      <c r="CI59" s="1286" t="s">
        <v>20</v>
      </c>
      <c r="CJ59" s="1285"/>
      <c r="CK59" s="1287"/>
      <c r="CL59" s="1286" t="s">
        <v>20</v>
      </c>
      <c r="CM59" s="1285"/>
      <c r="CN59" s="1287"/>
      <c r="CO59" s="1286" t="s">
        <v>20</v>
      </c>
      <c r="CP59" s="1285"/>
      <c r="CQ59" s="1287"/>
      <c r="CR59" s="1286" t="s">
        <v>20</v>
      </c>
      <c r="CS59" s="1285"/>
      <c r="CT59" s="1287"/>
      <c r="CU59" s="1286" t="s">
        <v>20</v>
      </c>
      <c r="CV59" s="1285"/>
      <c r="CW59" s="1287"/>
      <c r="CX59" s="1286" t="s">
        <v>20</v>
      </c>
      <c r="CY59" s="1285"/>
      <c r="CZ59" s="1287"/>
      <c r="DA59" s="1286" t="s">
        <v>20</v>
      </c>
      <c r="DB59" s="1285"/>
      <c r="DC59" s="1287"/>
      <c r="DD59" s="1286" t="s">
        <v>20</v>
      </c>
      <c r="DE59" s="1285"/>
      <c r="DF59" s="1287"/>
      <c r="DG59" s="1286" t="s">
        <v>20</v>
      </c>
      <c r="DH59" s="1285"/>
      <c r="DI59" s="1287"/>
      <c r="DJ59" s="1286" t="s">
        <v>20</v>
      </c>
      <c r="DK59" s="1285"/>
      <c r="DL59" s="1287"/>
      <c r="DM59" s="1286" t="s">
        <v>20</v>
      </c>
      <c r="DN59" s="1285"/>
      <c r="DO59" s="1287"/>
      <c r="DP59" s="1286" t="s">
        <v>20</v>
      </c>
      <c r="DQ59" s="1285"/>
      <c r="DR59" s="1287"/>
      <c r="DS59" s="1286" t="s">
        <v>20</v>
      </c>
      <c r="DT59" s="1285"/>
      <c r="DU59" s="1287"/>
      <c r="DV59" s="1286" t="s">
        <v>20</v>
      </c>
      <c r="DW59" s="1285"/>
      <c r="DX59" s="1287"/>
      <c r="DY59" s="1286" t="s">
        <v>20</v>
      </c>
      <c r="DZ59" s="1285"/>
      <c r="EA59" s="1287"/>
      <c r="EB59" s="1286" t="s">
        <v>20</v>
      </c>
      <c r="EC59" s="1285"/>
      <c r="ED59" s="1287"/>
      <c r="EE59" s="1286" t="s">
        <v>20</v>
      </c>
      <c r="EF59" s="1285"/>
      <c r="EG59" s="1287"/>
      <c r="EH59" s="1286" t="s">
        <v>20</v>
      </c>
      <c r="EI59" s="1285"/>
      <c r="EJ59" s="1287"/>
      <c r="EK59" s="1286" t="s">
        <v>20</v>
      </c>
      <c r="EL59" s="1285"/>
      <c r="EM59" s="1287"/>
      <c r="EN59" s="1286" t="s">
        <v>20</v>
      </c>
      <c r="EO59" s="1285"/>
      <c r="EP59" s="1287"/>
      <c r="EQ59" s="1286" t="s">
        <v>20</v>
      </c>
      <c r="ER59" s="1285"/>
      <c r="ES59" s="1287"/>
      <c r="ET59" s="1286" t="s">
        <v>20</v>
      </c>
      <c r="EU59" s="1285"/>
      <c r="EV59" s="1287"/>
      <c r="EW59" s="1286" t="s">
        <v>20</v>
      </c>
      <c r="EX59" s="1285"/>
      <c r="EY59" s="1287"/>
      <c r="EZ59" s="1286" t="s">
        <v>20</v>
      </c>
      <c r="FA59" s="1285"/>
      <c r="FB59" s="1287"/>
      <c r="FC59" s="1286" t="s">
        <v>20</v>
      </c>
      <c r="FD59" s="1285"/>
      <c r="FE59" s="1287"/>
      <c r="FF59" s="1286" t="s">
        <v>20</v>
      </c>
      <c r="FG59" s="1285"/>
      <c r="FH59" s="1287"/>
      <c r="FI59" s="1286" t="s">
        <v>20</v>
      </c>
      <c r="FJ59" s="1285"/>
      <c r="FK59" s="1287"/>
      <c r="FL59" s="1286" t="s">
        <v>20</v>
      </c>
      <c r="FM59" s="1285"/>
      <c r="FN59" s="1287"/>
      <c r="FO59" s="1286" t="s">
        <v>20</v>
      </c>
      <c r="FP59" s="1285"/>
      <c r="FQ59" s="1287"/>
      <c r="FR59" s="1286" t="s">
        <v>20</v>
      </c>
      <c r="FS59" s="1285"/>
      <c r="FT59" s="1287"/>
      <c r="FU59" s="1286" t="s">
        <v>20</v>
      </c>
      <c r="FV59" s="1285"/>
      <c r="FW59" s="1287"/>
      <c r="FX59" s="1286" t="s">
        <v>20</v>
      </c>
      <c r="FY59" s="1285"/>
      <c r="FZ59" s="1287"/>
      <c r="GA59" s="1286" t="s">
        <v>20</v>
      </c>
      <c r="GB59" s="1285"/>
      <c r="GC59" s="1287"/>
      <c r="GD59" s="1286" t="s">
        <v>20</v>
      </c>
      <c r="GE59" s="1285"/>
      <c r="GF59" s="1287"/>
      <c r="GG59" s="1286" t="s">
        <v>20</v>
      </c>
      <c r="GH59" s="1285"/>
      <c r="GI59" s="1287"/>
      <c r="GJ59" s="1286" t="s">
        <v>20</v>
      </c>
      <c r="GK59" s="1285"/>
      <c r="GL59" s="1287"/>
      <c r="GM59" s="1286" t="s">
        <v>20</v>
      </c>
      <c r="GN59" s="1285"/>
      <c r="GO59" s="1287"/>
      <c r="GP59" s="1286" t="s">
        <v>20</v>
      </c>
      <c r="GQ59" s="1285"/>
      <c r="GR59" s="1287"/>
      <c r="GS59" s="1286" t="s">
        <v>20</v>
      </c>
      <c r="GT59" s="1285"/>
      <c r="GU59" s="1287"/>
      <c r="GV59" s="1286" t="s">
        <v>20</v>
      </c>
      <c r="GW59" s="1285"/>
      <c r="GX59" s="1287"/>
      <c r="GY59" s="1286" t="s">
        <v>20</v>
      </c>
      <c r="GZ59" s="1285"/>
      <c r="HA59" s="1287"/>
      <c r="HB59" s="1286">
        <v>1</v>
      </c>
      <c r="HC59" s="1285"/>
      <c r="HD59" s="1287"/>
      <c r="HE59" s="1286" t="s">
        <v>20</v>
      </c>
      <c r="HF59" s="1285"/>
      <c r="HG59" s="1287"/>
      <c r="HH59" s="1286" t="s">
        <v>20</v>
      </c>
      <c r="HI59" s="1285"/>
      <c r="HJ59" s="1287"/>
      <c r="HK59" s="1286" t="s">
        <v>20</v>
      </c>
      <c r="HL59" s="1285"/>
      <c r="HM59" s="1287"/>
      <c r="HN59" s="1286" t="s">
        <v>20</v>
      </c>
      <c r="HO59" s="1285"/>
      <c r="HP59" s="1287"/>
      <c r="HQ59" s="1286" t="s">
        <v>20</v>
      </c>
      <c r="HR59" s="1285"/>
      <c r="HS59" s="1287"/>
      <c r="HT59" s="1286" t="s">
        <v>20</v>
      </c>
      <c r="HU59" s="1285"/>
      <c r="HV59" s="1287"/>
      <c r="HW59" s="1286" t="s">
        <v>20</v>
      </c>
      <c r="HX59" s="1285"/>
      <c r="HY59" s="1287"/>
      <c r="HZ59" s="1286" t="s">
        <v>20</v>
      </c>
      <c r="IA59" s="1285"/>
      <c r="IB59" s="1287"/>
      <c r="IC59" s="1286" t="s">
        <v>20</v>
      </c>
      <c r="ID59" s="1285"/>
      <c r="IE59" s="1287"/>
      <c r="IF59" s="1286" t="s">
        <v>20</v>
      </c>
      <c r="IG59" s="1285"/>
      <c r="IH59" s="1287"/>
      <c r="II59" s="1286" t="s">
        <v>20</v>
      </c>
      <c r="IJ59" s="1285"/>
      <c r="IK59" s="1287"/>
      <c r="IL59" s="1286" t="s">
        <v>20</v>
      </c>
      <c r="IM59" s="1285"/>
      <c r="IN59" s="1287"/>
      <c r="IO59" s="1286" t="s">
        <v>20</v>
      </c>
      <c r="IP59" s="1285"/>
      <c r="IQ59" s="1287"/>
      <c r="IR59" s="1286" t="s">
        <v>20</v>
      </c>
      <c r="IS59" s="1285"/>
      <c r="IT59" s="1287"/>
      <c r="IU59" s="1286" t="s">
        <v>20</v>
      </c>
      <c r="IV59" s="1285"/>
      <c r="IW59" s="1287"/>
      <c r="IX59" s="1286" t="s">
        <v>20</v>
      </c>
      <c r="IY59" s="1285"/>
      <c r="IZ59" s="1287"/>
      <c r="JA59" s="1286" t="s">
        <v>20</v>
      </c>
      <c r="JB59" s="1285"/>
      <c r="JC59" s="1287"/>
      <c r="JD59" s="1286" t="s">
        <v>20</v>
      </c>
      <c r="JE59" s="1285"/>
      <c r="JF59" s="1287"/>
      <c r="JG59" s="1286" t="s">
        <v>20</v>
      </c>
      <c r="JH59" s="1285"/>
      <c r="JI59" s="1287"/>
      <c r="JJ59" s="1286" t="s">
        <v>20</v>
      </c>
      <c r="JK59" s="1285"/>
      <c r="JL59" s="1287"/>
      <c r="JM59" s="1286" t="s">
        <v>20</v>
      </c>
      <c r="JN59" s="1285"/>
      <c r="JO59" s="1287"/>
      <c r="JP59" s="1286" t="s">
        <v>20</v>
      </c>
      <c r="JQ59" s="1285"/>
      <c r="JR59" s="1287"/>
      <c r="JS59" s="1286" t="s">
        <v>20</v>
      </c>
      <c r="JT59" s="1285"/>
      <c r="JU59" s="1287"/>
      <c r="JV59" s="1286" t="s">
        <v>20</v>
      </c>
      <c r="JW59" s="1285"/>
      <c r="JX59" s="1287"/>
      <c r="JY59" s="1286" t="s">
        <v>20</v>
      </c>
      <c r="JZ59" s="1285"/>
      <c r="KA59" s="1287"/>
      <c r="KB59" s="1286" t="s">
        <v>20</v>
      </c>
      <c r="KC59" s="1285"/>
      <c r="KD59" s="1287"/>
      <c r="KE59" s="1286" t="s">
        <v>20</v>
      </c>
      <c r="KF59" s="1285"/>
      <c r="KG59" s="1287"/>
      <c r="KH59" s="1286">
        <v>1</v>
      </c>
      <c r="KI59" s="1285"/>
      <c r="KJ59" s="1287"/>
      <c r="KK59" s="1286" t="s">
        <v>20</v>
      </c>
      <c r="KL59" s="1285"/>
      <c r="KM59" s="1287"/>
      <c r="KN59" s="1286" t="s">
        <v>20</v>
      </c>
      <c r="KO59" s="1285"/>
      <c r="KP59" s="1287"/>
      <c r="KQ59" s="1286" t="s">
        <v>20</v>
      </c>
      <c r="KR59" s="1285"/>
      <c r="KS59" s="1287"/>
      <c r="KT59" s="1286" t="s">
        <v>20</v>
      </c>
      <c r="KU59" s="1285"/>
      <c r="KV59" s="1287"/>
      <c r="KW59" s="1286" t="s">
        <v>20</v>
      </c>
      <c r="KX59" s="1285"/>
      <c r="KY59" s="1287"/>
      <c r="KZ59" s="1286" t="s">
        <v>20</v>
      </c>
      <c r="LA59" s="1285"/>
      <c r="LB59" s="1287"/>
      <c r="LC59" s="1286" t="s">
        <v>20</v>
      </c>
      <c r="LD59" s="1285"/>
      <c r="LE59" s="1287"/>
      <c r="LF59" s="1286" t="s">
        <v>20</v>
      </c>
      <c r="LG59" s="1285"/>
      <c r="LH59" s="1287"/>
      <c r="LI59" s="1286" t="s">
        <v>20</v>
      </c>
      <c r="LJ59" s="1285"/>
      <c r="LK59" s="1287"/>
      <c r="LL59" s="1286" t="s">
        <v>20</v>
      </c>
      <c r="LM59" s="1285"/>
      <c r="LN59" s="1287"/>
      <c r="LO59" s="1286" t="s">
        <v>20</v>
      </c>
      <c r="LP59" s="1285"/>
      <c r="LQ59" s="1287"/>
      <c r="LR59" s="1286" t="s">
        <v>20</v>
      </c>
      <c r="LS59" s="1285"/>
      <c r="LT59" s="1287"/>
      <c r="LU59" s="1286" t="s">
        <v>20</v>
      </c>
      <c r="LV59" s="1285"/>
      <c r="LW59" s="1287"/>
      <c r="LX59" s="1286" t="s">
        <v>20</v>
      </c>
      <c r="LY59" s="1285"/>
      <c r="LZ59" s="1287"/>
      <c r="MA59" s="1286" t="s">
        <v>20</v>
      </c>
      <c r="MB59" s="1285"/>
      <c r="MC59" s="1287"/>
      <c r="MD59" s="1286">
        <v>1</v>
      </c>
      <c r="ME59" s="1285"/>
      <c r="MF59" s="1287"/>
      <c r="MG59" s="1286" t="s">
        <v>20</v>
      </c>
      <c r="MH59" s="1285"/>
      <c r="MI59" s="1287"/>
      <c r="MJ59" s="1286" t="s">
        <v>20</v>
      </c>
      <c r="MK59" s="1285"/>
      <c r="ML59" s="1287"/>
      <c r="MM59" s="1286" t="s">
        <v>20</v>
      </c>
      <c r="MN59" s="1285"/>
      <c r="MO59" s="1287"/>
      <c r="MP59" s="1286" t="s">
        <v>20</v>
      </c>
      <c r="MQ59" s="1285"/>
      <c r="MR59" s="1287"/>
      <c r="MS59" s="1286" t="s">
        <v>20</v>
      </c>
      <c r="MT59" s="1285"/>
      <c r="MU59" s="1287"/>
      <c r="MV59" s="1286">
        <v>1</v>
      </c>
      <c r="MW59" s="1285"/>
      <c r="MX59" s="1287"/>
      <c r="MY59" s="1286" t="s">
        <v>20</v>
      </c>
      <c r="MZ59" s="1285"/>
      <c r="NA59" s="1287"/>
      <c r="NB59" s="1286" t="s">
        <v>20</v>
      </c>
      <c r="NC59" s="1285"/>
      <c r="ND59" s="1287"/>
      <c r="NE59" s="1286" t="s">
        <v>20</v>
      </c>
      <c r="NF59" s="1285"/>
      <c r="NG59" s="1287"/>
      <c r="NH59" s="1286" t="s">
        <v>20</v>
      </c>
      <c r="NI59" s="1285"/>
      <c r="NJ59" s="1287"/>
      <c r="NK59" s="1286" t="s">
        <v>20</v>
      </c>
      <c r="NL59" s="1285"/>
      <c r="NM59" s="1287"/>
      <c r="NN59" s="1286" t="s">
        <v>20</v>
      </c>
      <c r="NO59" s="1285"/>
      <c r="NP59" s="1287"/>
      <c r="NQ59" s="1286" t="s">
        <v>20</v>
      </c>
      <c r="NR59" s="1285"/>
      <c r="NS59" s="1287"/>
      <c r="NT59" s="1286" t="s">
        <v>20</v>
      </c>
      <c r="NU59" s="1285"/>
      <c r="NV59" s="1287"/>
      <c r="NW59" s="1286" t="s">
        <v>20</v>
      </c>
      <c r="NX59" s="1285"/>
      <c r="NY59" s="1287"/>
      <c r="NZ59" s="1286" t="s">
        <v>20</v>
      </c>
      <c r="OA59" s="1285"/>
      <c r="OB59" s="1287"/>
      <c r="OC59" s="1286" t="s">
        <v>20</v>
      </c>
      <c r="OD59" s="1285"/>
      <c r="OE59" s="1287"/>
      <c r="OF59" s="1286" t="s">
        <v>20</v>
      </c>
      <c r="OG59" s="1285"/>
      <c r="OH59" s="1287"/>
      <c r="OI59" s="1286" t="s">
        <v>20</v>
      </c>
      <c r="OJ59" s="1285"/>
      <c r="OK59" s="1287"/>
      <c r="OL59" s="1286" t="s">
        <v>20</v>
      </c>
      <c r="OM59" s="1285"/>
      <c r="ON59" s="1287"/>
      <c r="OO59" s="1286" t="s">
        <v>20</v>
      </c>
      <c r="OP59" s="1285"/>
      <c r="OQ59" s="1287"/>
      <c r="OR59" s="1286" t="s">
        <v>20</v>
      </c>
      <c r="OS59" s="1285"/>
      <c r="OT59" s="1287"/>
      <c r="OU59" s="1286" t="s">
        <v>20</v>
      </c>
      <c r="OV59" s="1285"/>
      <c r="OW59" s="1287"/>
      <c r="OX59" s="1286" t="s">
        <v>20</v>
      </c>
      <c r="OY59" s="1285"/>
      <c r="OZ59" s="1287"/>
      <c r="PA59" s="1286">
        <v>1</v>
      </c>
      <c r="PB59" s="1285"/>
      <c r="PC59" s="1287"/>
      <c r="PD59" s="1286" t="s">
        <v>20</v>
      </c>
      <c r="PE59" s="1285"/>
      <c r="PF59" s="1287"/>
      <c r="PG59" s="1286" t="s">
        <v>20</v>
      </c>
      <c r="PH59" s="1285"/>
      <c r="PI59" s="1287"/>
      <c r="PJ59" s="1286" t="s">
        <v>20</v>
      </c>
      <c r="PK59" s="1285"/>
      <c r="PL59" s="1287"/>
      <c r="PM59" s="1286" t="s">
        <v>20</v>
      </c>
      <c r="PN59" s="1285"/>
      <c r="PO59" s="1287"/>
      <c r="PP59" s="1286" t="s">
        <v>20</v>
      </c>
      <c r="PQ59" s="1285"/>
      <c r="PR59" s="1287"/>
      <c r="PS59" s="1286" t="s">
        <v>20</v>
      </c>
      <c r="PT59" s="1285"/>
      <c r="PU59" s="1287"/>
      <c r="PV59" s="1286" t="s">
        <v>20</v>
      </c>
      <c r="PW59" s="1285"/>
      <c r="PX59" s="1287"/>
      <c r="PY59" s="1286" t="s">
        <v>20</v>
      </c>
      <c r="PZ59" s="1285"/>
      <c r="QA59" s="1287"/>
      <c r="QB59" s="1286" t="s">
        <v>20</v>
      </c>
      <c r="QC59" s="1285"/>
      <c r="QD59" s="1287"/>
      <c r="QE59" s="1286" t="s">
        <v>20</v>
      </c>
      <c r="QF59" s="1285"/>
      <c r="QG59" s="1287"/>
      <c r="QH59" s="1286" t="s">
        <v>20</v>
      </c>
      <c r="QI59" s="1285"/>
      <c r="QJ59" s="1287"/>
      <c r="QK59" s="1286" t="s">
        <v>20</v>
      </c>
      <c r="QL59" s="1285"/>
      <c r="QM59" s="1287"/>
      <c r="QN59" s="1286" t="s">
        <v>20</v>
      </c>
      <c r="QO59" s="1285"/>
      <c r="QP59" s="1287"/>
      <c r="QQ59" s="1286" t="s">
        <v>20</v>
      </c>
      <c r="QR59" s="1285"/>
      <c r="QS59" s="1287"/>
      <c r="QT59" s="1286" t="s">
        <v>20</v>
      </c>
      <c r="QU59" s="1285"/>
      <c r="QV59" s="1287"/>
      <c r="QW59" s="1286" t="s">
        <v>20</v>
      </c>
      <c r="QX59" s="1285"/>
      <c r="QY59" s="1287"/>
      <c r="QZ59" s="1286"/>
      <c r="RA59" s="1285"/>
      <c r="RB59" s="1287"/>
      <c r="RC59" s="1286" t="s">
        <v>20</v>
      </c>
      <c r="RD59" s="1285"/>
      <c r="RE59" s="1287"/>
      <c r="RF59" s="1286" t="s">
        <v>20</v>
      </c>
      <c r="RG59" s="1285"/>
      <c r="RH59" s="1287"/>
      <c r="RI59" s="1286" t="s">
        <v>20</v>
      </c>
      <c r="RJ59" s="1285"/>
      <c r="RK59" s="1287"/>
      <c r="RL59" s="1286">
        <v>1</v>
      </c>
      <c r="RM59" s="1285"/>
      <c r="RN59" s="1287"/>
      <c r="RO59" s="1286" t="s">
        <v>20</v>
      </c>
      <c r="RP59" s="1285"/>
      <c r="RQ59" s="1287"/>
      <c r="RR59" s="1286" t="s">
        <v>20</v>
      </c>
      <c r="RS59" s="1285"/>
      <c r="RT59" s="1287"/>
      <c r="RU59" s="1286" t="s">
        <v>20</v>
      </c>
      <c r="RV59" s="1285"/>
      <c r="RW59" s="1287"/>
      <c r="RX59" s="1286" t="s">
        <v>20</v>
      </c>
      <c r="RY59" s="1285"/>
      <c r="RZ59" s="1287"/>
      <c r="SA59" s="1286" t="s">
        <v>20</v>
      </c>
      <c r="SB59" s="1285"/>
      <c r="SC59" s="1287"/>
      <c r="SD59" s="1286" t="s">
        <v>20</v>
      </c>
      <c r="SE59" s="1285"/>
      <c r="SF59" s="1287"/>
      <c r="SG59" s="1286" t="s">
        <v>20</v>
      </c>
      <c r="SH59" s="1285"/>
      <c r="SI59" s="1287"/>
      <c r="SJ59" s="1286" t="s">
        <v>20</v>
      </c>
      <c r="SK59" s="1285"/>
      <c r="SL59" s="1287"/>
      <c r="SM59" s="1286" t="s">
        <v>20</v>
      </c>
      <c r="SN59" s="1285"/>
      <c r="SO59" s="1287"/>
      <c r="SP59" s="1286" t="s">
        <v>20</v>
      </c>
      <c r="SQ59" s="1285"/>
      <c r="SR59" s="1287"/>
      <c r="SS59" s="1286" t="s">
        <v>20</v>
      </c>
      <c r="ST59" s="1285"/>
      <c r="SU59" s="1287"/>
      <c r="SV59" s="1286" t="s">
        <v>20</v>
      </c>
      <c r="SW59" s="1285"/>
      <c r="SX59" s="1287"/>
      <c r="SY59" s="1286" t="s">
        <v>20</v>
      </c>
      <c r="SZ59" s="1285"/>
      <c r="TA59" s="1287"/>
      <c r="TB59" s="1286" t="s">
        <v>20</v>
      </c>
      <c r="TC59" s="1285"/>
      <c r="TD59" s="1287"/>
      <c r="TE59" s="1286" t="s">
        <v>20</v>
      </c>
      <c r="TF59" s="1285"/>
      <c r="TG59" s="1287"/>
      <c r="TH59" s="1286" t="s">
        <v>20</v>
      </c>
      <c r="TI59" s="1285"/>
      <c r="TJ59" s="1287"/>
      <c r="TK59" s="1286" t="s">
        <v>20</v>
      </c>
      <c r="TL59" s="1285"/>
      <c r="TM59" s="1287"/>
      <c r="TN59" s="1286" t="s">
        <v>20</v>
      </c>
      <c r="TO59" s="1285"/>
      <c r="TP59" s="1287"/>
      <c r="TQ59" s="1286" t="s">
        <v>20</v>
      </c>
      <c r="TR59" s="1285"/>
      <c r="TS59" s="1287"/>
      <c r="TT59" s="1286" t="s">
        <v>20</v>
      </c>
      <c r="TU59" s="1285"/>
      <c r="TV59" s="1287"/>
      <c r="TW59" s="1286" t="s">
        <v>20</v>
      </c>
      <c r="TX59" s="1285"/>
      <c r="TY59" s="1287"/>
      <c r="TZ59" s="1286" t="s">
        <v>20</v>
      </c>
      <c r="UA59" s="1285"/>
      <c r="UB59" s="1287"/>
      <c r="UC59" s="1286" t="s">
        <v>20</v>
      </c>
      <c r="UD59" s="1285"/>
      <c r="UE59" s="1287"/>
      <c r="UF59" s="1286" t="s">
        <v>20</v>
      </c>
      <c r="UG59" s="1285"/>
      <c r="UH59" s="1287"/>
      <c r="UI59" s="1286" t="s">
        <v>20</v>
      </c>
      <c r="UJ59" s="1285"/>
      <c r="UK59" s="1287"/>
      <c r="UL59" s="1286" t="s">
        <v>20</v>
      </c>
      <c r="UM59" s="1285"/>
      <c r="UN59" s="1287"/>
      <c r="UO59" s="1286" t="s">
        <v>20</v>
      </c>
      <c r="UP59" s="1285"/>
      <c r="UQ59" s="1287"/>
      <c r="UR59" s="1286" t="s">
        <v>20</v>
      </c>
      <c r="US59" s="1285"/>
      <c r="UT59" s="1287"/>
      <c r="UU59" s="1286" t="s">
        <v>20</v>
      </c>
      <c r="UV59" s="1285"/>
      <c r="UW59" s="1287"/>
      <c r="UX59" s="1286" t="s">
        <v>20</v>
      </c>
      <c r="UY59" s="1285"/>
      <c r="UZ59" s="1287"/>
      <c r="VA59" s="1286" t="s">
        <v>20</v>
      </c>
      <c r="VB59" s="1285"/>
      <c r="VC59" s="1287"/>
      <c r="VD59" s="1286" t="s">
        <v>20</v>
      </c>
      <c r="VE59" s="1285"/>
      <c r="VF59" s="1287"/>
      <c r="VG59" s="1286" t="s">
        <v>20</v>
      </c>
      <c r="VH59" s="1285"/>
      <c r="VI59" s="1287"/>
      <c r="VJ59" s="1286" t="s">
        <v>20</v>
      </c>
      <c r="VK59" s="1285"/>
      <c r="VL59" s="1287"/>
      <c r="VM59" s="1286" t="s">
        <v>20</v>
      </c>
      <c r="VN59" s="1285"/>
      <c r="VO59" s="1287"/>
      <c r="VP59" s="1286" t="s">
        <v>20</v>
      </c>
      <c r="VQ59" s="1285"/>
      <c r="VR59" s="1287"/>
      <c r="VS59" s="1286" t="s">
        <v>20</v>
      </c>
      <c r="VT59" s="1285"/>
      <c r="VU59" s="1287"/>
      <c r="VV59" s="1286" t="s">
        <v>20</v>
      </c>
      <c r="VW59" s="1285"/>
      <c r="VX59" s="1287"/>
      <c r="VY59" s="1286" t="s">
        <v>20</v>
      </c>
      <c r="VZ59" s="1285"/>
      <c r="WA59" s="1287"/>
      <c r="WB59" s="1286" t="s">
        <v>20</v>
      </c>
      <c r="WC59" s="1285"/>
      <c r="WD59" s="1287"/>
      <c r="WE59" s="1286" t="s">
        <v>20</v>
      </c>
      <c r="WF59" s="1285"/>
      <c r="WG59" s="1287"/>
      <c r="WH59" s="1286" t="s">
        <v>20</v>
      </c>
      <c r="WI59" s="1285"/>
      <c r="WJ59" s="1287"/>
      <c r="WK59" s="1286" t="s">
        <v>20</v>
      </c>
      <c r="WL59" s="1285"/>
      <c r="WM59" s="1287"/>
      <c r="WN59" s="1286" t="s">
        <v>20</v>
      </c>
      <c r="WO59" s="1285"/>
      <c r="WP59" s="1287"/>
      <c r="WQ59" s="1286" t="s">
        <v>20</v>
      </c>
      <c r="WR59" s="1285"/>
      <c r="WS59" s="1287"/>
      <c r="WT59" s="1286" t="s">
        <v>20</v>
      </c>
      <c r="WU59" s="1285"/>
      <c r="WV59" s="1287"/>
      <c r="WW59" s="1286" t="s">
        <v>20</v>
      </c>
      <c r="WX59" s="1285"/>
      <c r="WY59" s="1287"/>
      <c r="WZ59" s="1286">
        <v>1</v>
      </c>
      <c r="XA59" s="1285"/>
      <c r="XB59" s="1287"/>
      <c r="XC59" s="1286" t="s">
        <v>20</v>
      </c>
      <c r="XD59" s="1285"/>
      <c r="XE59" s="1287"/>
      <c r="XF59" s="1286">
        <v>1</v>
      </c>
      <c r="XG59" s="1285"/>
      <c r="XH59" s="1287"/>
      <c r="XI59" s="1286" t="s">
        <v>20</v>
      </c>
      <c r="XJ59" s="1285"/>
      <c r="XK59" s="1287"/>
      <c r="XL59" s="1286">
        <v>1</v>
      </c>
      <c r="XM59" s="1285"/>
      <c r="XN59" s="1287"/>
      <c r="XO59" s="1286" t="s">
        <v>20</v>
      </c>
      <c r="XP59" s="1285"/>
      <c r="XQ59" s="1287"/>
      <c r="XR59" s="1286" t="s">
        <v>20</v>
      </c>
      <c r="XS59" s="1285"/>
      <c r="XT59" s="1287"/>
      <c r="XU59" s="1286" t="s">
        <v>20</v>
      </c>
      <c r="XV59" s="1285"/>
      <c r="XW59" s="1287"/>
      <c r="XX59" s="1286" t="s">
        <v>20</v>
      </c>
      <c r="XY59" s="1285"/>
      <c r="XZ59" s="1287"/>
      <c r="YA59" s="1286" t="s">
        <v>20</v>
      </c>
      <c r="YB59" s="1285"/>
      <c r="YC59" s="1287"/>
      <c r="YD59" s="1286" t="s">
        <v>20</v>
      </c>
      <c r="YE59" s="1285"/>
      <c r="YF59" s="1287"/>
      <c r="YG59" s="1286" t="s">
        <v>20</v>
      </c>
      <c r="YH59" s="1285"/>
      <c r="YI59" s="1287"/>
      <c r="YJ59" s="1286" t="s">
        <v>20</v>
      </c>
      <c r="YK59" s="1285"/>
      <c r="YL59" s="1287"/>
      <c r="YM59" s="1286" t="s">
        <v>20</v>
      </c>
      <c r="YN59" s="1285"/>
      <c r="YO59" s="1287"/>
      <c r="YP59" s="1286" t="s">
        <v>20</v>
      </c>
      <c r="YQ59" s="1285"/>
      <c r="YR59" s="1287"/>
      <c r="YS59" s="1286" t="s">
        <v>20</v>
      </c>
      <c r="YT59" s="1285"/>
      <c r="YU59" s="1287"/>
      <c r="YV59" s="1286" t="s">
        <v>20</v>
      </c>
      <c r="YW59" s="1285"/>
      <c r="YX59" s="1287"/>
      <c r="YY59" s="1286">
        <v>1</v>
      </c>
      <c r="YZ59" s="1285"/>
      <c r="ZA59" s="1287"/>
      <c r="ZB59" s="1286" t="s">
        <v>20</v>
      </c>
      <c r="ZC59" s="1285"/>
      <c r="ZD59" s="1287"/>
      <c r="ZE59" s="1286" t="s">
        <v>20</v>
      </c>
      <c r="ZF59" s="1285"/>
      <c r="ZG59" s="1287"/>
      <c r="ZH59" s="1286" t="s">
        <v>20</v>
      </c>
      <c r="ZI59" s="1285"/>
      <c r="ZJ59" s="1287"/>
      <c r="ZK59" s="1286">
        <v>1</v>
      </c>
      <c r="ZL59" s="1285"/>
      <c r="ZM59" s="1287"/>
      <c r="ZN59" s="1286" t="s">
        <v>20</v>
      </c>
      <c r="ZO59" s="1285"/>
      <c r="ZP59" s="1287"/>
      <c r="ZQ59" s="1286" t="s">
        <v>20</v>
      </c>
      <c r="ZR59" s="1285"/>
      <c r="ZS59" s="1287"/>
      <c r="ZT59" s="1286" t="s">
        <v>20</v>
      </c>
      <c r="ZU59" s="1285"/>
      <c r="ZV59" s="1287"/>
      <c r="ZW59" s="1286" t="s">
        <v>20</v>
      </c>
      <c r="ZX59" s="1285"/>
      <c r="ZY59" s="1287"/>
      <c r="ZZ59" s="1286" t="s">
        <v>20</v>
      </c>
      <c r="AAA59" s="1285"/>
      <c r="AAB59" s="1287"/>
      <c r="AAC59" s="1286" t="s">
        <v>20</v>
      </c>
      <c r="AAD59" s="1285"/>
      <c r="AAE59" s="1287"/>
      <c r="AAF59" s="1286" t="s">
        <v>20</v>
      </c>
      <c r="AAG59" s="1285"/>
      <c r="AAH59" s="1287"/>
      <c r="AAI59" s="1286" t="s">
        <v>20</v>
      </c>
      <c r="AAJ59" s="1285"/>
      <c r="AAK59" s="1287"/>
      <c r="AAL59" s="1286" t="s">
        <v>20</v>
      </c>
      <c r="AAM59" s="1285"/>
      <c r="AAN59" s="1287"/>
      <c r="AAO59" s="1286" t="s">
        <v>20</v>
      </c>
      <c r="AAP59" s="1285"/>
      <c r="AAQ59" s="1287"/>
      <c r="AAR59" s="1286" t="s">
        <v>20</v>
      </c>
      <c r="AAS59" s="1285"/>
      <c r="AAT59" s="1287"/>
      <c r="AAU59" s="1286" t="s">
        <v>20</v>
      </c>
      <c r="AAV59" s="1285"/>
      <c r="AAW59" s="1287"/>
      <c r="AAX59" s="1286" t="s">
        <v>20</v>
      </c>
      <c r="AAY59" s="1285"/>
      <c r="AAZ59" s="1287"/>
      <c r="ABA59" s="1286" t="s">
        <v>20</v>
      </c>
      <c r="ABB59" s="1285"/>
      <c r="ABC59" s="1287"/>
      <c r="ABD59" s="1286" t="s">
        <v>20</v>
      </c>
      <c r="ABE59" s="1285"/>
      <c r="ABF59" s="1287"/>
      <c r="ABG59" s="1286" t="s">
        <v>20</v>
      </c>
      <c r="ABH59" s="1285"/>
      <c r="ABI59" s="1287"/>
      <c r="ABJ59" s="1286" t="s">
        <v>20</v>
      </c>
      <c r="ABK59" s="1285"/>
      <c r="ABL59" s="1287"/>
      <c r="ABM59" s="1286" t="s">
        <v>20</v>
      </c>
      <c r="ABN59" s="1285"/>
      <c r="ABO59" s="1287"/>
      <c r="ABP59" s="1286" t="s">
        <v>20</v>
      </c>
      <c r="ABQ59" s="1285"/>
      <c r="ABR59" s="1287"/>
      <c r="ABS59" s="1286" t="s">
        <v>20</v>
      </c>
      <c r="ABT59" s="1285"/>
      <c r="ABU59" s="1287"/>
      <c r="ABV59" s="1286" t="s">
        <v>20</v>
      </c>
      <c r="ABW59" s="1285"/>
      <c r="ABX59" s="1287"/>
      <c r="ABY59" s="1286" t="s">
        <v>20</v>
      </c>
      <c r="ABZ59" s="1285"/>
      <c r="ACA59" s="1287"/>
      <c r="ACB59" s="1286" t="s">
        <v>20</v>
      </c>
      <c r="ACC59" s="1285"/>
      <c r="ACD59" s="1287"/>
      <c r="ACE59" s="1286" t="s">
        <v>20</v>
      </c>
      <c r="ACF59" s="1285"/>
      <c r="ACG59" s="1287"/>
      <c r="ACH59" s="1286" t="s">
        <v>20</v>
      </c>
      <c r="ACI59" s="1285"/>
      <c r="ACJ59" s="1287"/>
      <c r="ACK59" s="1286" t="s">
        <v>20</v>
      </c>
      <c r="ACL59" s="1285"/>
      <c r="ACM59" s="1287"/>
      <c r="ACN59" s="1286" t="s">
        <v>20</v>
      </c>
      <c r="ACO59" s="1285"/>
      <c r="ACP59" s="1287"/>
      <c r="ACQ59" s="1286" t="s">
        <v>20</v>
      </c>
      <c r="ACR59" s="1285"/>
      <c r="ACS59" s="1287"/>
      <c r="ACT59" s="1286" t="s">
        <v>20</v>
      </c>
      <c r="ACU59" s="1285"/>
      <c r="ACV59" s="1287"/>
      <c r="ACW59" s="1286" t="s">
        <v>20</v>
      </c>
      <c r="ACX59" s="1285"/>
      <c r="ACY59" s="1287"/>
      <c r="ACZ59" s="1286" t="s">
        <v>20</v>
      </c>
      <c r="ADA59" s="1285"/>
      <c r="ADB59" s="1287"/>
      <c r="ADC59" s="1286">
        <v>1</v>
      </c>
      <c r="ADD59" s="1285"/>
      <c r="ADE59" s="1287"/>
      <c r="ADF59" s="1286" t="s">
        <v>20</v>
      </c>
      <c r="ADG59" s="1285"/>
      <c r="ADH59" s="1287"/>
      <c r="ADI59" s="1286" t="s">
        <v>20</v>
      </c>
      <c r="ADJ59" s="1285"/>
      <c r="ADK59" s="1287"/>
      <c r="ADL59" s="1286" t="s">
        <v>20</v>
      </c>
      <c r="ADM59" s="1285"/>
      <c r="ADN59" s="1287"/>
      <c r="ADO59" s="1286" t="s">
        <v>20</v>
      </c>
      <c r="ADP59" s="1285"/>
      <c r="ADQ59" s="1287"/>
      <c r="ADR59" s="1286" t="s">
        <v>20</v>
      </c>
      <c r="ADS59" s="1285"/>
      <c r="ADT59" s="1287"/>
      <c r="ADU59" s="1286" t="s">
        <v>20</v>
      </c>
      <c r="ADV59" s="1285"/>
      <c r="ADW59" s="1287"/>
      <c r="ADX59" s="1286" t="s">
        <v>20</v>
      </c>
      <c r="ADY59" s="1285"/>
      <c r="ADZ59" s="1287"/>
      <c r="AEA59" s="1286" t="s">
        <v>20</v>
      </c>
      <c r="AEB59" s="1285"/>
      <c r="AEC59" s="1287"/>
      <c r="AED59" s="1286" t="s">
        <v>20</v>
      </c>
      <c r="AEE59" s="1285"/>
      <c r="AEF59" s="1287"/>
      <c r="AEG59" s="1286" t="s">
        <v>20</v>
      </c>
      <c r="AEH59" s="1285"/>
      <c r="AEI59" s="1287"/>
      <c r="AEJ59" s="1286" t="s">
        <v>20</v>
      </c>
      <c r="AEK59" s="1285"/>
      <c r="AEL59" s="1287"/>
      <c r="AEM59" s="1286" t="s">
        <v>20</v>
      </c>
      <c r="AEN59" s="1285"/>
      <c r="AEO59" s="1287"/>
      <c r="AEP59" s="1286" t="s">
        <v>20</v>
      </c>
      <c r="AEQ59" s="1285"/>
      <c r="AER59" s="1287"/>
      <c r="AES59" s="1286" t="s">
        <v>20</v>
      </c>
      <c r="AET59" s="1285"/>
      <c r="AEU59" s="1287"/>
      <c r="AEV59" s="1286" t="s">
        <v>20</v>
      </c>
      <c r="AEW59" s="1285"/>
      <c r="AEX59" s="1287"/>
      <c r="AEY59" s="1286" t="s">
        <v>20</v>
      </c>
      <c r="AEZ59" s="1285"/>
      <c r="AFA59" s="1287"/>
      <c r="AFB59" s="1286" t="s">
        <v>20</v>
      </c>
      <c r="AFC59" s="1285"/>
      <c r="AFD59" s="1287"/>
      <c r="AFE59" s="1286" t="s">
        <v>20</v>
      </c>
      <c r="AFF59" s="1285"/>
      <c r="AFG59" s="1287"/>
      <c r="AFH59" s="1286" t="s">
        <v>20</v>
      </c>
      <c r="AFI59" s="1285"/>
      <c r="AFJ59" s="1287"/>
      <c r="AFK59" s="1286" t="s">
        <v>20</v>
      </c>
      <c r="AFL59" s="1285"/>
      <c r="AFM59" s="1287"/>
      <c r="AFN59" s="1286" t="s">
        <v>20</v>
      </c>
      <c r="AFO59" s="1285"/>
      <c r="AFP59" s="1287"/>
      <c r="AFQ59" s="1286" t="s">
        <v>20</v>
      </c>
      <c r="AFR59" s="1285"/>
      <c r="AFS59" s="1287"/>
      <c r="AFT59" s="1286" t="s">
        <v>20</v>
      </c>
      <c r="AFU59" s="1285"/>
      <c r="AFV59" s="1287"/>
      <c r="AFW59" s="1286" t="s">
        <v>20</v>
      </c>
      <c r="AFX59" s="1285"/>
      <c r="AFY59" s="1287"/>
      <c r="AFZ59" s="1286" t="s">
        <v>20</v>
      </c>
      <c r="AGA59" s="1285"/>
      <c r="AGB59" s="1287"/>
      <c r="AGC59" s="1286" t="s">
        <v>20</v>
      </c>
      <c r="AGD59" s="1285"/>
      <c r="AGE59" s="1287"/>
      <c r="AGF59" s="1286" t="s">
        <v>20</v>
      </c>
      <c r="AGG59" s="1285"/>
      <c r="AGH59" s="1287"/>
      <c r="AGI59" s="1286" t="s">
        <v>20</v>
      </c>
      <c r="AGJ59" s="1285"/>
      <c r="AGK59" s="1287"/>
      <c r="AGL59" s="1286" t="s">
        <v>20</v>
      </c>
      <c r="AGM59" s="1285"/>
      <c r="AGN59" s="1287"/>
      <c r="AGO59" s="1286" t="s">
        <v>20</v>
      </c>
      <c r="AGP59" s="1285"/>
      <c r="AGQ59" s="1287"/>
      <c r="AGR59" s="1286" t="s">
        <v>20</v>
      </c>
      <c r="AGS59" s="1285"/>
      <c r="AGT59" s="1287"/>
      <c r="AGU59" s="1286" t="s">
        <v>20</v>
      </c>
      <c r="AGV59" s="1285"/>
      <c r="AGW59" s="1287"/>
      <c r="AGX59" s="1286" t="s">
        <v>20</v>
      </c>
      <c r="AGY59" s="1285"/>
      <c r="AGZ59" s="1287"/>
      <c r="AHA59" s="1286" t="s">
        <v>20</v>
      </c>
      <c r="AHB59" s="1285"/>
      <c r="AHC59" s="1287"/>
      <c r="AHD59" s="1286" t="s">
        <v>20</v>
      </c>
      <c r="AHE59" s="1285"/>
      <c r="AHF59" s="1287"/>
      <c r="AHG59" s="1286" t="s">
        <v>20</v>
      </c>
      <c r="AHH59" s="1285"/>
      <c r="AHI59" s="1287"/>
      <c r="AHJ59" s="1286" t="s">
        <v>20</v>
      </c>
      <c r="AHK59" s="1285"/>
      <c r="AHL59" s="1287"/>
      <c r="AHM59" s="1286" t="s">
        <v>20</v>
      </c>
      <c r="AHN59" s="1285"/>
      <c r="AHO59" s="1287"/>
      <c r="AHP59" s="1286" t="s">
        <v>20</v>
      </c>
      <c r="AHQ59" s="1285"/>
      <c r="AHR59" s="1287"/>
      <c r="AHS59" s="1286" t="s">
        <v>20</v>
      </c>
      <c r="AHT59" s="1285"/>
      <c r="AHU59" s="1287"/>
      <c r="AHV59" s="1286" t="s">
        <v>20</v>
      </c>
      <c r="AHW59" s="1285"/>
      <c r="AHX59" s="1287"/>
      <c r="AHY59" s="1286" t="s">
        <v>20</v>
      </c>
      <c r="AHZ59" s="1285"/>
      <c r="AIA59" s="1287"/>
      <c r="AIB59" s="1286" t="s">
        <v>20</v>
      </c>
      <c r="AIC59" s="1285"/>
      <c r="AID59" s="1285"/>
      <c r="AIE59" s="1286" t="s">
        <v>20</v>
      </c>
      <c r="AIF59" s="1285"/>
      <c r="AIG59" s="1287"/>
      <c r="AIH59" s="1286">
        <v>1</v>
      </c>
      <c r="AII59" s="1285"/>
      <c r="AIJ59" s="1287"/>
      <c r="AIK59" s="1286" t="s">
        <v>20</v>
      </c>
      <c r="AIL59" s="1285"/>
      <c r="AIM59" s="1287"/>
      <c r="AIN59" s="1286" t="s">
        <v>20</v>
      </c>
      <c r="AIO59" s="1285"/>
      <c r="AIP59" s="1287"/>
      <c r="AIQ59" s="1286" t="s">
        <v>20</v>
      </c>
      <c r="AIR59" s="1285"/>
      <c r="AIS59" s="1285"/>
      <c r="AIT59" s="1286" t="s">
        <v>20</v>
      </c>
      <c r="AIU59" s="1285"/>
      <c r="AIV59" s="1287"/>
      <c r="AIW59" s="1286" t="s">
        <v>20</v>
      </c>
      <c r="AIX59" s="1285"/>
      <c r="AIY59" s="1285"/>
      <c r="AIZ59" s="1286" t="s">
        <v>20</v>
      </c>
      <c r="AJA59" s="1285"/>
      <c r="AJB59" s="1287"/>
      <c r="AJC59" s="1286" t="s">
        <v>20</v>
      </c>
      <c r="AJD59" s="1285"/>
      <c r="AJE59" s="1287"/>
      <c r="AJF59" s="1286" t="s">
        <v>20</v>
      </c>
      <c r="AJG59" s="1285"/>
      <c r="AJH59" s="1287"/>
      <c r="AJI59" s="1286" t="s">
        <v>20</v>
      </c>
      <c r="AJJ59" s="1285"/>
      <c r="AJK59" s="1287"/>
      <c r="AJL59" s="1286" t="s">
        <v>20</v>
      </c>
      <c r="AJM59" s="1285"/>
      <c r="AJN59" s="1285"/>
      <c r="AJO59" s="1286">
        <v>2</v>
      </c>
      <c r="AJP59" s="1285"/>
      <c r="AJQ59" s="1287"/>
      <c r="AJR59" s="1286" t="s">
        <v>20</v>
      </c>
      <c r="AJS59" s="1285"/>
      <c r="AJT59" s="1285"/>
      <c r="AJU59" s="1286" t="s">
        <v>20</v>
      </c>
      <c r="AJV59" s="1285"/>
      <c r="AJW59" s="1287"/>
      <c r="AJX59" s="1286" t="s">
        <v>20</v>
      </c>
      <c r="AJY59" s="1285"/>
      <c r="AJZ59" s="1287"/>
      <c r="AKA59" s="1286" t="s">
        <v>20</v>
      </c>
      <c r="AKB59" s="1285"/>
      <c r="AKC59" s="1287"/>
      <c r="AKD59" s="1286" t="s">
        <v>20</v>
      </c>
      <c r="AKE59" s="1285"/>
      <c r="AKF59" s="1287"/>
      <c r="AKG59" s="1286" t="s">
        <v>20</v>
      </c>
      <c r="AKH59" s="1285"/>
      <c r="AKI59" s="1285"/>
      <c r="AKJ59" s="1286" t="s">
        <v>20</v>
      </c>
      <c r="AKK59" s="1285"/>
      <c r="AKL59" s="1287"/>
      <c r="AKM59" s="1286" t="s">
        <v>20</v>
      </c>
      <c r="AKN59" s="1285"/>
      <c r="AKO59" s="1285"/>
      <c r="AKP59" s="1286" t="s">
        <v>20</v>
      </c>
      <c r="AKQ59" s="1285"/>
      <c r="AKR59" s="1287"/>
      <c r="AKS59" s="1286" t="s">
        <v>20</v>
      </c>
      <c r="AKT59" s="1285"/>
      <c r="AKU59" s="1287"/>
      <c r="AKV59" s="1286" t="s">
        <v>20</v>
      </c>
      <c r="AKW59" s="1285"/>
      <c r="AKX59" s="1287"/>
      <c r="AKY59" s="1286">
        <v>1</v>
      </c>
      <c r="AKZ59" s="1285"/>
      <c r="ALA59" s="1287"/>
      <c r="ALB59" s="1286" t="s">
        <v>20</v>
      </c>
      <c r="ALC59" s="1285"/>
      <c r="ALD59" s="1285"/>
      <c r="ALE59" s="1286" t="s">
        <v>20</v>
      </c>
      <c r="ALF59" s="1285"/>
      <c r="ALG59" s="1287"/>
      <c r="ALH59" s="1286" t="s">
        <v>20</v>
      </c>
      <c r="ALI59" s="1285"/>
      <c r="ALJ59" s="1285"/>
      <c r="ALK59" s="1286" t="s">
        <v>20</v>
      </c>
      <c r="ALL59" s="1285"/>
      <c r="ALM59" s="1287"/>
      <c r="ALN59" s="1286" t="s">
        <v>20</v>
      </c>
      <c r="ALO59" s="1285"/>
      <c r="ALP59" s="1287"/>
      <c r="ALQ59" s="1286" t="s">
        <v>20</v>
      </c>
      <c r="ALR59" s="1285"/>
      <c r="ALS59" s="1287"/>
      <c r="ALT59" s="1286" t="s">
        <v>20</v>
      </c>
      <c r="ALU59" s="1285"/>
      <c r="ALV59" s="1287"/>
      <c r="ALW59" s="1286" t="s">
        <v>20</v>
      </c>
      <c r="ALX59" s="1285"/>
      <c r="ALY59" s="1285"/>
      <c r="ALZ59" s="1286" t="s">
        <v>20</v>
      </c>
      <c r="AMA59" s="1285"/>
      <c r="AMB59" s="1287"/>
      <c r="AMC59" s="1286" t="s">
        <v>20</v>
      </c>
      <c r="AMD59" s="1285"/>
      <c r="AME59" s="1285"/>
      <c r="AMF59" s="1286" t="s">
        <v>20</v>
      </c>
      <c r="AMG59" s="1285"/>
      <c r="AMH59" s="1287"/>
      <c r="AMI59" s="1286" t="s">
        <v>20</v>
      </c>
      <c r="AMJ59" s="1285"/>
      <c r="AMK59" s="1287"/>
      <c r="AML59" s="1286" t="s">
        <v>20</v>
      </c>
      <c r="AMM59" s="1285"/>
      <c r="AMN59" s="1287"/>
      <c r="AMO59" s="1286">
        <v>1</v>
      </c>
      <c r="AMP59" s="1285"/>
      <c r="AMQ59" s="1287"/>
      <c r="AMR59" s="1286" t="s">
        <v>20</v>
      </c>
      <c r="AMS59" s="1285"/>
      <c r="AMT59" s="1285"/>
      <c r="AMU59" s="1286">
        <v>1</v>
      </c>
      <c r="AMV59" s="1285"/>
      <c r="AMW59" s="1287"/>
      <c r="AMX59" s="1286" t="s">
        <v>20</v>
      </c>
      <c r="AMY59" s="1285"/>
      <c r="AMZ59" s="1285"/>
      <c r="ANA59" s="1286" t="s">
        <v>20</v>
      </c>
      <c r="ANB59" s="1285"/>
      <c r="ANC59" s="1287"/>
      <c r="AND59" s="1286" t="s">
        <v>20</v>
      </c>
      <c r="ANE59" s="1285"/>
      <c r="ANF59" s="1287"/>
      <c r="ANG59" s="1286" t="s">
        <v>20</v>
      </c>
      <c r="ANH59" s="1285"/>
      <c r="ANI59" s="1287"/>
      <c r="ANJ59" s="1286" t="s">
        <v>20</v>
      </c>
      <c r="ANK59" s="1285"/>
      <c r="ANL59" s="1287"/>
      <c r="ANM59" s="1286" t="s">
        <v>20</v>
      </c>
      <c r="ANN59" s="1285"/>
      <c r="ANO59" s="1285"/>
      <c r="ANP59" s="1286" t="s">
        <v>20</v>
      </c>
      <c r="ANQ59" s="1285"/>
      <c r="ANR59" s="1287"/>
      <c r="ANS59" s="1286">
        <v>1</v>
      </c>
      <c r="ANT59" s="1285"/>
      <c r="ANU59" s="1285"/>
      <c r="ANV59" s="1286" t="s">
        <v>20</v>
      </c>
      <c r="ANW59" s="1285"/>
      <c r="ANX59" s="1287"/>
      <c r="ANY59" s="1286" t="s">
        <v>20</v>
      </c>
      <c r="ANZ59" s="1285"/>
      <c r="AOA59" s="1287"/>
      <c r="AOB59" s="1286" t="s">
        <v>20</v>
      </c>
      <c r="AOC59" s="1285"/>
      <c r="AOD59" s="1287"/>
      <c r="AOE59" s="1286" t="s">
        <v>20</v>
      </c>
      <c r="AOF59" s="1285"/>
      <c r="AOG59" s="1287"/>
      <c r="AOH59" s="1286" t="s">
        <v>20</v>
      </c>
      <c r="AOI59" s="1285"/>
      <c r="AOJ59" s="1285"/>
      <c r="AOK59" s="1286" t="s">
        <v>20</v>
      </c>
      <c r="AOL59" s="1285"/>
      <c r="AOM59" s="1287"/>
      <c r="AON59" s="1286" t="s">
        <v>20</v>
      </c>
      <c r="AOO59" s="1285"/>
      <c r="AOP59" s="1285"/>
      <c r="AOQ59" s="1286" t="s">
        <v>20</v>
      </c>
      <c r="AOR59" s="1285"/>
      <c r="AOS59" s="1287"/>
      <c r="AOT59" s="1286" t="s">
        <v>20</v>
      </c>
      <c r="AOU59" s="1285"/>
      <c r="AOV59" s="1287"/>
      <c r="AOW59" s="1286" t="s">
        <v>20</v>
      </c>
      <c r="AOX59" s="1285"/>
      <c r="AOY59" s="1287"/>
      <c r="AOZ59" s="1286" t="s">
        <v>20</v>
      </c>
      <c r="APA59" s="1285"/>
      <c r="APB59" s="1287"/>
      <c r="APC59" s="1286" t="s">
        <v>20</v>
      </c>
      <c r="APD59" s="1285"/>
      <c r="APE59" s="1285"/>
      <c r="APF59" s="1286" t="s">
        <v>20</v>
      </c>
      <c r="APG59" s="1285"/>
      <c r="APH59" s="1287"/>
      <c r="API59" s="1286" t="s">
        <v>20</v>
      </c>
      <c r="APJ59" s="1285"/>
      <c r="APK59" s="1285"/>
      <c r="APL59" s="1286" t="s">
        <v>20</v>
      </c>
      <c r="APM59" s="1285"/>
      <c r="APN59" s="1287"/>
      <c r="APO59" s="1286" t="s">
        <v>20</v>
      </c>
      <c r="APP59" s="1285"/>
      <c r="APQ59" s="1287"/>
      <c r="APR59" s="1286" t="s">
        <v>20</v>
      </c>
      <c r="APS59" s="1285"/>
      <c r="APT59" s="1287"/>
      <c r="APU59" s="1286" t="s">
        <v>20</v>
      </c>
      <c r="APV59" s="1285"/>
      <c r="APW59" s="1287"/>
      <c r="APX59" s="1286" t="s">
        <v>20</v>
      </c>
      <c r="APY59" s="1285"/>
      <c r="APZ59" s="1285"/>
      <c r="AQA59" s="1286" t="s">
        <v>20</v>
      </c>
      <c r="AQB59" s="1285"/>
      <c r="AQC59" s="1287"/>
      <c r="AQD59" s="1286" t="s">
        <v>20</v>
      </c>
      <c r="AQE59" s="1285"/>
      <c r="AQF59" s="1287"/>
      <c r="AQG59" s="1286" t="s">
        <v>20</v>
      </c>
      <c r="AQH59" s="1285"/>
      <c r="AQI59" s="1287"/>
      <c r="AQJ59" s="1286" t="s">
        <v>20</v>
      </c>
      <c r="AQK59" s="1285"/>
      <c r="AQL59" s="1287"/>
      <c r="AQM59" s="1286" t="s">
        <v>20</v>
      </c>
      <c r="AQN59" s="1285"/>
      <c r="AQO59" s="1285"/>
      <c r="AQP59" s="1286" t="s">
        <v>20</v>
      </c>
      <c r="AQQ59" s="1285"/>
      <c r="AQR59" s="1285"/>
      <c r="AQS59" s="1286" t="s">
        <v>20</v>
      </c>
      <c r="AQT59" s="1285"/>
      <c r="AQU59" s="1287"/>
      <c r="AQV59" s="1285" t="s">
        <v>20</v>
      </c>
      <c r="AQW59" s="1285"/>
      <c r="AQX59" s="1287"/>
      <c r="AQY59" s="1286" t="s">
        <v>20</v>
      </c>
      <c r="AQZ59" s="1285"/>
      <c r="ARA59" s="1287"/>
      <c r="ARB59" s="1286" t="s">
        <v>20</v>
      </c>
      <c r="ARC59" s="1285"/>
      <c r="ARD59" s="1287"/>
      <c r="ARE59" s="1286" t="s">
        <v>20</v>
      </c>
      <c r="ARF59" s="1285"/>
      <c r="ARG59" s="1287"/>
      <c r="ARH59" s="1286" t="s">
        <v>20</v>
      </c>
      <c r="ARI59" s="1285"/>
      <c r="ARJ59" s="1285"/>
      <c r="ARK59" s="1286" t="s">
        <v>20</v>
      </c>
      <c r="ARL59" s="1285"/>
      <c r="ARM59" s="1287"/>
      <c r="ARN59" s="1286" t="s">
        <v>20</v>
      </c>
      <c r="ARO59" s="1285"/>
      <c r="ARP59" s="1285"/>
      <c r="ARQ59" s="1286" t="s">
        <v>20</v>
      </c>
      <c r="ARR59" s="1285"/>
      <c r="ARS59" s="1287"/>
      <c r="ART59" s="1286" t="s">
        <v>20</v>
      </c>
      <c r="ARU59" s="1285"/>
      <c r="ARV59" s="1287"/>
      <c r="ARW59" s="1286" t="s">
        <v>20</v>
      </c>
      <c r="ARX59" s="1285"/>
      <c r="ARY59" s="1287"/>
      <c r="ARZ59" s="1286" t="s">
        <v>20</v>
      </c>
      <c r="ASA59" s="1285"/>
      <c r="ASB59" s="1287"/>
      <c r="ASC59" s="1286" t="s">
        <v>20</v>
      </c>
      <c r="ASD59" s="1285"/>
      <c r="ASE59" s="1285"/>
      <c r="ASF59" s="1286" t="s">
        <v>20</v>
      </c>
      <c r="ASG59" s="1285"/>
      <c r="ASH59" s="1287"/>
      <c r="ASI59" s="1286" t="s">
        <v>20</v>
      </c>
      <c r="ASJ59" s="1285"/>
      <c r="ASK59" s="1285"/>
      <c r="ASL59" s="1286" t="s">
        <v>20</v>
      </c>
      <c r="ASM59" s="1285"/>
      <c r="ASN59" s="1287"/>
      <c r="ASO59" s="1286" t="s">
        <v>20</v>
      </c>
      <c r="ASP59" s="1285"/>
      <c r="ASQ59" s="1285"/>
      <c r="ASR59" s="1286" t="s">
        <v>20</v>
      </c>
      <c r="ASS59" s="1285"/>
      <c r="AST59" s="1287"/>
      <c r="ASU59" s="1286" t="s">
        <v>20</v>
      </c>
      <c r="ASV59" s="1285"/>
      <c r="ASW59" s="1287"/>
      <c r="ASX59" s="1286" t="s">
        <v>20</v>
      </c>
      <c r="ASY59" s="1285"/>
      <c r="ASZ59" s="1285"/>
      <c r="ATA59" s="1286" t="s">
        <v>20</v>
      </c>
      <c r="ATB59" s="1285"/>
      <c r="ATC59" s="1287"/>
      <c r="ATD59" s="1286" t="s">
        <v>20</v>
      </c>
      <c r="ATE59" s="1285"/>
      <c r="ATF59" s="1285"/>
      <c r="ATG59" s="1286" t="s">
        <v>20</v>
      </c>
      <c r="ATH59" s="1285"/>
      <c r="ATI59" s="1287"/>
      <c r="ATJ59" s="1286" t="s">
        <v>20</v>
      </c>
      <c r="ATK59" s="1285"/>
      <c r="ATL59" s="1287"/>
      <c r="ATM59" s="1286" t="s">
        <v>20</v>
      </c>
      <c r="ATN59" s="1285"/>
      <c r="ATO59" s="1287"/>
      <c r="ATP59" s="1286" t="s">
        <v>20</v>
      </c>
      <c r="ATQ59" s="1285"/>
      <c r="ATR59" s="1287"/>
      <c r="ATS59" s="1286" t="s">
        <v>20</v>
      </c>
      <c r="ATT59" s="1285"/>
      <c r="ATU59" s="1287"/>
      <c r="ATV59" s="1285" t="s">
        <v>20</v>
      </c>
      <c r="ATW59" s="1285"/>
      <c r="ATX59" s="1287"/>
      <c r="ATY59" s="1286" t="s">
        <v>20</v>
      </c>
      <c r="ATZ59" s="1285"/>
      <c r="AUA59" s="1285"/>
      <c r="AUB59" s="1286" t="s">
        <v>20</v>
      </c>
      <c r="AUC59" s="1285"/>
      <c r="AUD59" s="1287"/>
      <c r="AUE59" s="1286" t="s">
        <v>20</v>
      </c>
      <c r="AUF59" s="1285"/>
      <c r="AUG59" s="1287"/>
      <c r="AUH59" s="1286" t="s">
        <v>20</v>
      </c>
      <c r="AUI59" s="1285"/>
      <c r="AUJ59" s="1287"/>
      <c r="AUK59" s="1286" t="s">
        <v>20</v>
      </c>
      <c r="AUL59" s="1285"/>
      <c r="AUM59" s="1285"/>
      <c r="AUN59" s="1286" t="s">
        <v>20</v>
      </c>
      <c r="AUO59" s="1285"/>
      <c r="AUP59" s="1285"/>
      <c r="AUQ59" s="1286" t="s">
        <v>20</v>
      </c>
      <c r="AUR59" s="1285"/>
      <c r="AUS59" s="1285"/>
      <c r="AUT59" s="1286" t="s">
        <v>20</v>
      </c>
      <c r="AUU59" s="1285"/>
      <c r="AUV59" s="1285"/>
      <c r="AUW59" s="1286" t="s">
        <v>20</v>
      </c>
      <c r="AUX59" s="1285"/>
      <c r="AUY59" s="1285"/>
      <c r="AUZ59" s="1286" t="s">
        <v>20</v>
      </c>
      <c r="AVA59" s="1285"/>
      <c r="AVB59" s="1285"/>
      <c r="AVC59" s="1286" t="s">
        <v>20</v>
      </c>
      <c r="AVD59" s="1285"/>
      <c r="AVE59" s="1285"/>
      <c r="AVF59" s="1286" t="s">
        <v>20</v>
      </c>
      <c r="AVG59" s="1285"/>
      <c r="AVH59" s="1285"/>
      <c r="AVI59" s="1286" t="s">
        <v>20</v>
      </c>
      <c r="AVJ59" s="1285"/>
      <c r="AVK59" s="1285"/>
      <c r="AVL59" s="1286" t="s">
        <v>20</v>
      </c>
      <c r="AVM59" s="1285"/>
      <c r="AVN59" s="1285"/>
      <c r="AVO59" s="1286" t="s">
        <v>20</v>
      </c>
      <c r="AVP59" s="1285"/>
      <c r="AVQ59" s="1285"/>
      <c r="AVR59" s="1286" t="s">
        <v>20</v>
      </c>
      <c r="AVS59" s="1285"/>
      <c r="AVT59" s="1285"/>
      <c r="AVU59" s="1286" t="s">
        <v>20</v>
      </c>
      <c r="AVV59" s="1285"/>
      <c r="AVW59" s="1285"/>
      <c r="AVX59" s="1286" t="s">
        <v>20</v>
      </c>
      <c r="AVY59" s="1285"/>
      <c r="AVZ59" s="1285"/>
      <c r="AWA59" s="1286" t="s">
        <v>20</v>
      </c>
      <c r="AWB59" s="1285"/>
      <c r="AWC59" s="1285"/>
      <c r="AWD59" s="1286" t="s">
        <v>20</v>
      </c>
      <c r="AWE59" s="1285"/>
      <c r="AWF59" s="1285"/>
      <c r="AWG59" s="1286" t="s">
        <v>20</v>
      </c>
      <c r="AWH59" s="1285"/>
      <c r="AWI59" s="1285"/>
      <c r="AWJ59" s="1286" t="s">
        <v>20</v>
      </c>
      <c r="AWK59" s="1285"/>
      <c r="AWL59" s="1285"/>
      <c r="AWM59" s="1286" t="s">
        <v>20</v>
      </c>
      <c r="AWN59" s="1285"/>
      <c r="AWO59" s="1287"/>
      <c r="AWP59" s="1285" t="s">
        <v>20</v>
      </c>
      <c r="AWQ59" s="1285"/>
      <c r="AWR59" s="1287"/>
      <c r="AWS59" s="1286" t="s">
        <v>20</v>
      </c>
      <c r="AWT59" s="1285"/>
      <c r="AWU59" s="1287"/>
      <c r="AWV59" s="1286" t="s">
        <v>20</v>
      </c>
      <c r="AWW59" s="1285"/>
      <c r="AWX59" s="1287"/>
      <c r="AWY59" s="1286" t="s">
        <v>20</v>
      </c>
      <c r="AWZ59" s="1285"/>
      <c r="AXA59" s="1285"/>
      <c r="AXB59" s="1286" t="s">
        <v>20</v>
      </c>
      <c r="AXC59" s="1285"/>
      <c r="AXD59" s="1287"/>
      <c r="AXE59" s="1286" t="s">
        <v>20</v>
      </c>
      <c r="AXF59" s="1285"/>
      <c r="AXG59" s="1285"/>
      <c r="AXH59" s="1286" t="s">
        <v>20</v>
      </c>
      <c r="AXI59" s="1285"/>
      <c r="AXJ59" s="1287"/>
      <c r="AXK59" s="1286" t="s">
        <v>20</v>
      </c>
      <c r="AXL59" s="1285"/>
      <c r="AXM59" s="1287"/>
      <c r="AXN59" s="1286" t="s">
        <v>20</v>
      </c>
      <c r="AXO59" s="1285"/>
      <c r="AXP59" s="1287"/>
      <c r="AXQ59" s="1286" t="s">
        <v>20</v>
      </c>
      <c r="AXR59" s="1285"/>
      <c r="AXS59" s="1287"/>
      <c r="AXT59" s="1286" t="s">
        <v>20</v>
      </c>
      <c r="AXU59" s="1285"/>
      <c r="AXV59" s="1285"/>
      <c r="AXW59" s="1286" t="s">
        <v>20</v>
      </c>
      <c r="AXX59" s="1285"/>
      <c r="AXY59" s="1287"/>
      <c r="AXZ59" s="1286" t="s">
        <v>20</v>
      </c>
      <c r="AYA59" s="1285"/>
      <c r="AYB59" s="1285"/>
      <c r="AYC59" s="1286" t="s">
        <v>20</v>
      </c>
      <c r="AYD59" s="1285"/>
      <c r="AYE59" s="1287"/>
      <c r="AYF59" s="1286" t="s">
        <v>20</v>
      </c>
      <c r="AYG59" s="1285"/>
      <c r="AYH59" s="1287"/>
      <c r="AYI59" s="1286" t="s">
        <v>20</v>
      </c>
      <c r="AYJ59" s="1285"/>
      <c r="AYK59" s="1287"/>
      <c r="AYL59" s="1286" t="s">
        <v>20</v>
      </c>
      <c r="AYM59" s="1285"/>
      <c r="AYN59" s="1287"/>
      <c r="AYO59" s="1286" t="s">
        <v>20</v>
      </c>
      <c r="AYP59" s="1285"/>
      <c r="AYQ59" s="1285"/>
      <c r="AYR59" s="1286" t="s">
        <v>20</v>
      </c>
      <c r="AYS59" s="1285"/>
      <c r="AYT59" s="1287"/>
      <c r="AYU59" s="1286" t="s">
        <v>20</v>
      </c>
      <c r="AYV59" s="1285"/>
      <c r="AYW59" s="1285"/>
      <c r="AYX59" s="1286" t="s">
        <v>20</v>
      </c>
      <c r="AYY59" s="1285"/>
      <c r="AYZ59" s="1287"/>
      <c r="AZA59" s="1286" t="s">
        <v>20</v>
      </c>
      <c r="AZB59" s="1285"/>
      <c r="AZC59" s="1287"/>
      <c r="AZD59" s="1286" t="s">
        <v>20</v>
      </c>
      <c r="AZE59" s="1285"/>
      <c r="AZF59" s="1287"/>
      <c r="AZG59" s="1286" t="s">
        <v>20</v>
      </c>
      <c r="AZH59" s="1285"/>
      <c r="AZI59" s="1287"/>
      <c r="AZJ59" s="1286" t="s">
        <v>20</v>
      </c>
      <c r="AZK59" s="1285"/>
      <c r="AZL59" s="1285"/>
      <c r="AZM59" s="1286" t="s">
        <v>20</v>
      </c>
      <c r="AZN59" s="1285"/>
      <c r="AZO59" s="1287"/>
      <c r="AZP59" s="1286" t="s">
        <v>20</v>
      </c>
      <c r="AZQ59" s="1285"/>
      <c r="AZR59" s="1285"/>
      <c r="AZS59" s="1286" t="s">
        <v>20</v>
      </c>
      <c r="AZT59" s="1285"/>
      <c r="AZU59" s="1287"/>
      <c r="AZV59" s="1286" t="s">
        <v>20</v>
      </c>
      <c r="AZW59" s="1285"/>
      <c r="AZX59" s="1287"/>
      <c r="AZY59" s="1286" t="s">
        <v>20</v>
      </c>
      <c r="AZZ59" s="1285"/>
      <c r="BAA59" s="1287"/>
      <c r="BAB59" s="1286" t="s">
        <v>20</v>
      </c>
      <c r="BAC59" s="1285"/>
      <c r="BAD59" s="1287"/>
      <c r="BAE59" s="1286" t="s">
        <v>20</v>
      </c>
      <c r="BAF59" s="1285"/>
      <c r="BAG59" s="1285"/>
      <c r="BAH59" s="1286" t="s">
        <v>20</v>
      </c>
      <c r="BAI59" s="1285"/>
      <c r="BAJ59" s="1287"/>
    </row>
    <row r="60" spans="1:1388" s="16" customFormat="1" ht="13.5" customHeight="1">
      <c r="B60" s="41" t="s">
        <v>276</v>
      </c>
      <c r="C60" s="42"/>
      <c r="D60" s="42"/>
      <c r="E60" s="14" t="s">
        <v>336</v>
      </c>
      <c r="F60" s="1299" t="s">
        <v>20</v>
      </c>
      <c r="G60" s="1299"/>
      <c r="H60" s="1336"/>
      <c r="I60" s="1299" t="s">
        <v>20</v>
      </c>
      <c r="J60" s="1299"/>
      <c r="K60" s="1336"/>
      <c r="L60" s="1298" t="s">
        <v>20</v>
      </c>
      <c r="M60" s="1299"/>
      <c r="N60" s="1336"/>
      <c r="O60" s="1298" t="s">
        <v>20</v>
      </c>
      <c r="P60" s="1299"/>
      <c r="Q60" s="1336"/>
      <c r="R60" s="1298" t="s">
        <v>20</v>
      </c>
      <c r="S60" s="1299"/>
      <c r="T60" s="1336"/>
      <c r="U60" s="1298" t="s">
        <v>20</v>
      </c>
      <c r="V60" s="1299"/>
      <c r="W60" s="1336"/>
      <c r="X60" s="1298" t="s">
        <v>20</v>
      </c>
      <c r="Y60" s="1299"/>
      <c r="Z60" s="1336"/>
      <c r="AA60" s="1298" t="s">
        <v>20</v>
      </c>
      <c r="AB60" s="1299"/>
      <c r="AC60" s="1336"/>
      <c r="AD60" s="1298" t="s">
        <v>20</v>
      </c>
      <c r="AE60" s="1299"/>
      <c r="AF60" s="1336"/>
      <c r="AG60" s="1298" t="s">
        <v>20</v>
      </c>
      <c r="AH60" s="1299"/>
      <c r="AI60" s="1336"/>
      <c r="AJ60" s="1298" t="s">
        <v>20</v>
      </c>
      <c r="AK60" s="1299"/>
      <c r="AL60" s="1336"/>
      <c r="AM60" s="1298" t="s">
        <v>20</v>
      </c>
      <c r="AN60" s="1299"/>
      <c r="AO60" s="1336"/>
      <c r="AP60" s="1298" t="s">
        <v>20</v>
      </c>
      <c r="AQ60" s="1299"/>
      <c r="AR60" s="1336"/>
      <c r="AS60" s="1298" t="s">
        <v>20</v>
      </c>
      <c r="AT60" s="1299"/>
      <c r="AU60" s="1336"/>
      <c r="AV60" s="1298" t="s">
        <v>20</v>
      </c>
      <c r="AW60" s="1299"/>
      <c r="AX60" s="1336"/>
      <c r="AY60" s="1298" t="s">
        <v>20</v>
      </c>
      <c r="AZ60" s="1299"/>
      <c r="BA60" s="1336"/>
      <c r="BB60" s="1298" t="s">
        <v>20</v>
      </c>
      <c r="BC60" s="1299"/>
      <c r="BD60" s="1336"/>
      <c r="BE60" s="1298" t="s">
        <v>20</v>
      </c>
      <c r="BF60" s="1299"/>
      <c r="BG60" s="1336"/>
      <c r="BH60" s="1298" t="s">
        <v>20</v>
      </c>
      <c r="BI60" s="1299"/>
      <c r="BJ60" s="1336"/>
      <c r="BK60" s="1298" t="s">
        <v>20</v>
      </c>
      <c r="BL60" s="1299"/>
      <c r="BM60" s="1336"/>
      <c r="BN60" s="1298" t="s">
        <v>20</v>
      </c>
      <c r="BO60" s="1299"/>
      <c r="BP60" s="1336"/>
      <c r="BQ60" s="1298" t="s">
        <v>20</v>
      </c>
      <c r="BR60" s="1299"/>
      <c r="BS60" s="1336"/>
      <c r="BT60" s="1298" t="s">
        <v>20</v>
      </c>
      <c r="BU60" s="1299"/>
      <c r="BV60" s="1336"/>
      <c r="BW60" s="1298" t="s">
        <v>20</v>
      </c>
      <c r="BX60" s="1299"/>
      <c r="BY60" s="1336"/>
      <c r="BZ60" s="1298">
        <v>2</v>
      </c>
      <c r="CA60" s="1299"/>
      <c r="CB60" s="1336"/>
      <c r="CC60" s="1298" t="s">
        <v>20</v>
      </c>
      <c r="CD60" s="1299"/>
      <c r="CE60" s="1336"/>
      <c r="CF60" s="1298" t="s">
        <v>20</v>
      </c>
      <c r="CG60" s="1299"/>
      <c r="CH60" s="1336"/>
      <c r="CI60" s="1298" t="s">
        <v>20</v>
      </c>
      <c r="CJ60" s="1299"/>
      <c r="CK60" s="1336"/>
      <c r="CL60" s="1298" t="s">
        <v>20</v>
      </c>
      <c r="CM60" s="1299"/>
      <c r="CN60" s="1336"/>
      <c r="CO60" s="1298" t="s">
        <v>20</v>
      </c>
      <c r="CP60" s="1299"/>
      <c r="CQ60" s="1336"/>
      <c r="CR60" s="1298" t="s">
        <v>20</v>
      </c>
      <c r="CS60" s="1299"/>
      <c r="CT60" s="1336"/>
      <c r="CU60" s="1298" t="s">
        <v>20</v>
      </c>
      <c r="CV60" s="1299"/>
      <c r="CW60" s="1336"/>
      <c r="CX60" s="1298" t="s">
        <v>20</v>
      </c>
      <c r="CY60" s="1299"/>
      <c r="CZ60" s="1336"/>
      <c r="DA60" s="1298" t="s">
        <v>20</v>
      </c>
      <c r="DB60" s="1299"/>
      <c r="DC60" s="1336"/>
      <c r="DD60" s="1298" t="s">
        <v>20</v>
      </c>
      <c r="DE60" s="1299"/>
      <c r="DF60" s="1336"/>
      <c r="DG60" s="1298" t="s">
        <v>20</v>
      </c>
      <c r="DH60" s="1299"/>
      <c r="DI60" s="1336"/>
      <c r="DJ60" s="1298" t="s">
        <v>20</v>
      </c>
      <c r="DK60" s="1299"/>
      <c r="DL60" s="1336"/>
      <c r="DM60" s="1298" t="s">
        <v>20</v>
      </c>
      <c r="DN60" s="1299"/>
      <c r="DO60" s="1336"/>
      <c r="DP60" s="1298" t="s">
        <v>20</v>
      </c>
      <c r="DQ60" s="1299"/>
      <c r="DR60" s="1336"/>
      <c r="DS60" s="1298" t="s">
        <v>20</v>
      </c>
      <c r="DT60" s="1299"/>
      <c r="DU60" s="1336"/>
      <c r="DV60" s="1298" t="s">
        <v>20</v>
      </c>
      <c r="DW60" s="1299"/>
      <c r="DX60" s="1336"/>
      <c r="DY60" s="1298" t="s">
        <v>20</v>
      </c>
      <c r="DZ60" s="1299"/>
      <c r="EA60" s="1336"/>
      <c r="EB60" s="1298" t="s">
        <v>20</v>
      </c>
      <c r="EC60" s="1299"/>
      <c r="ED60" s="1336"/>
      <c r="EE60" s="1298" t="s">
        <v>20</v>
      </c>
      <c r="EF60" s="1299"/>
      <c r="EG60" s="1336"/>
      <c r="EH60" s="1298" t="s">
        <v>20</v>
      </c>
      <c r="EI60" s="1299"/>
      <c r="EJ60" s="1336"/>
      <c r="EK60" s="1298" t="s">
        <v>20</v>
      </c>
      <c r="EL60" s="1299"/>
      <c r="EM60" s="1336"/>
      <c r="EN60" s="1298" t="s">
        <v>20</v>
      </c>
      <c r="EO60" s="1299"/>
      <c r="EP60" s="1336"/>
      <c r="EQ60" s="1298" t="s">
        <v>20</v>
      </c>
      <c r="ER60" s="1299"/>
      <c r="ES60" s="1336"/>
      <c r="ET60" s="1298" t="s">
        <v>20</v>
      </c>
      <c r="EU60" s="1299"/>
      <c r="EV60" s="1336"/>
      <c r="EW60" s="1298" t="s">
        <v>20</v>
      </c>
      <c r="EX60" s="1299"/>
      <c r="EY60" s="1336"/>
      <c r="EZ60" s="1298" t="s">
        <v>20</v>
      </c>
      <c r="FA60" s="1299"/>
      <c r="FB60" s="1336"/>
      <c r="FC60" s="1298" t="s">
        <v>20</v>
      </c>
      <c r="FD60" s="1299"/>
      <c r="FE60" s="1336"/>
      <c r="FF60" s="1298" t="s">
        <v>20</v>
      </c>
      <c r="FG60" s="1299"/>
      <c r="FH60" s="1336"/>
      <c r="FI60" s="1298" t="s">
        <v>20</v>
      </c>
      <c r="FJ60" s="1299"/>
      <c r="FK60" s="1336"/>
      <c r="FL60" s="1298" t="s">
        <v>20</v>
      </c>
      <c r="FM60" s="1299"/>
      <c r="FN60" s="1336"/>
      <c r="FO60" s="1298" t="s">
        <v>20</v>
      </c>
      <c r="FP60" s="1299"/>
      <c r="FQ60" s="1336"/>
      <c r="FR60" s="1298">
        <v>1</v>
      </c>
      <c r="FS60" s="1299"/>
      <c r="FT60" s="1336"/>
      <c r="FU60" s="1298" t="s">
        <v>20</v>
      </c>
      <c r="FV60" s="1299"/>
      <c r="FW60" s="1336"/>
      <c r="FX60" s="1298" t="s">
        <v>20</v>
      </c>
      <c r="FY60" s="1299"/>
      <c r="FZ60" s="1336"/>
      <c r="GA60" s="1298" t="s">
        <v>20</v>
      </c>
      <c r="GB60" s="1299"/>
      <c r="GC60" s="1336"/>
      <c r="GD60" s="1298" t="s">
        <v>20</v>
      </c>
      <c r="GE60" s="1299"/>
      <c r="GF60" s="1336"/>
      <c r="GG60" s="1298" t="s">
        <v>20</v>
      </c>
      <c r="GH60" s="1299"/>
      <c r="GI60" s="1336"/>
      <c r="GJ60" s="1298" t="s">
        <v>20</v>
      </c>
      <c r="GK60" s="1299"/>
      <c r="GL60" s="1336"/>
      <c r="GM60" s="1298" t="s">
        <v>20</v>
      </c>
      <c r="GN60" s="1299"/>
      <c r="GO60" s="1336"/>
      <c r="GP60" s="1298" t="s">
        <v>20</v>
      </c>
      <c r="GQ60" s="1299"/>
      <c r="GR60" s="1336"/>
      <c r="GS60" s="1298" t="s">
        <v>20</v>
      </c>
      <c r="GT60" s="1299"/>
      <c r="GU60" s="1336"/>
      <c r="GV60" s="1298" t="s">
        <v>20</v>
      </c>
      <c r="GW60" s="1299"/>
      <c r="GX60" s="1336"/>
      <c r="GY60" s="1298" t="s">
        <v>20</v>
      </c>
      <c r="GZ60" s="1299"/>
      <c r="HA60" s="1336"/>
      <c r="HB60" s="1298">
        <v>1</v>
      </c>
      <c r="HC60" s="1299"/>
      <c r="HD60" s="1336"/>
      <c r="HE60" s="1298" t="s">
        <v>20</v>
      </c>
      <c r="HF60" s="1299"/>
      <c r="HG60" s="1336"/>
      <c r="HH60" s="1298">
        <v>1</v>
      </c>
      <c r="HI60" s="1299"/>
      <c r="HJ60" s="1336"/>
      <c r="HK60" s="1298" t="s">
        <v>20</v>
      </c>
      <c r="HL60" s="1299"/>
      <c r="HM60" s="1336"/>
      <c r="HN60" s="1298" t="s">
        <v>20</v>
      </c>
      <c r="HO60" s="1299"/>
      <c r="HP60" s="1336"/>
      <c r="HQ60" s="1298">
        <v>2</v>
      </c>
      <c r="HR60" s="1299"/>
      <c r="HS60" s="1336"/>
      <c r="HT60" s="1298" t="s">
        <v>20</v>
      </c>
      <c r="HU60" s="1299"/>
      <c r="HV60" s="1336"/>
      <c r="HW60" s="1298" t="s">
        <v>20</v>
      </c>
      <c r="HX60" s="1299"/>
      <c r="HY60" s="1336"/>
      <c r="HZ60" s="1298" t="s">
        <v>20</v>
      </c>
      <c r="IA60" s="1299"/>
      <c r="IB60" s="1336"/>
      <c r="IC60" s="1298" t="s">
        <v>20</v>
      </c>
      <c r="ID60" s="1299"/>
      <c r="IE60" s="1336"/>
      <c r="IF60" s="1298" t="s">
        <v>20</v>
      </c>
      <c r="IG60" s="1299"/>
      <c r="IH60" s="1336"/>
      <c r="II60" s="1298" t="s">
        <v>20</v>
      </c>
      <c r="IJ60" s="1299"/>
      <c r="IK60" s="1336"/>
      <c r="IL60" s="1298" t="s">
        <v>20</v>
      </c>
      <c r="IM60" s="1299"/>
      <c r="IN60" s="1336"/>
      <c r="IO60" s="1298" t="s">
        <v>20</v>
      </c>
      <c r="IP60" s="1299"/>
      <c r="IQ60" s="1336"/>
      <c r="IR60" s="1298" t="s">
        <v>20</v>
      </c>
      <c r="IS60" s="1299"/>
      <c r="IT60" s="1336"/>
      <c r="IU60" s="1298" t="s">
        <v>20</v>
      </c>
      <c r="IV60" s="1299"/>
      <c r="IW60" s="1336"/>
      <c r="IX60" s="1298" t="s">
        <v>20</v>
      </c>
      <c r="IY60" s="1299"/>
      <c r="IZ60" s="1336"/>
      <c r="JA60" s="1298" t="s">
        <v>20</v>
      </c>
      <c r="JB60" s="1299"/>
      <c r="JC60" s="1336"/>
      <c r="JD60" s="1298" t="s">
        <v>20</v>
      </c>
      <c r="JE60" s="1299"/>
      <c r="JF60" s="1336"/>
      <c r="JG60" s="1298" t="s">
        <v>20</v>
      </c>
      <c r="JH60" s="1299"/>
      <c r="JI60" s="1336"/>
      <c r="JJ60" s="1298" t="s">
        <v>20</v>
      </c>
      <c r="JK60" s="1299"/>
      <c r="JL60" s="1336"/>
      <c r="JM60" s="1298" t="s">
        <v>20</v>
      </c>
      <c r="JN60" s="1299"/>
      <c r="JO60" s="1336"/>
      <c r="JP60" s="1298" t="s">
        <v>20</v>
      </c>
      <c r="JQ60" s="1299"/>
      <c r="JR60" s="1336"/>
      <c r="JS60" s="1298" t="s">
        <v>20</v>
      </c>
      <c r="JT60" s="1299"/>
      <c r="JU60" s="1336"/>
      <c r="JV60" s="1298" t="s">
        <v>20</v>
      </c>
      <c r="JW60" s="1299"/>
      <c r="JX60" s="1336"/>
      <c r="JY60" s="1298" t="s">
        <v>20</v>
      </c>
      <c r="JZ60" s="1299"/>
      <c r="KA60" s="1336"/>
      <c r="KB60" s="1298" t="s">
        <v>20</v>
      </c>
      <c r="KC60" s="1299"/>
      <c r="KD60" s="1336"/>
      <c r="KE60" s="1298" t="s">
        <v>20</v>
      </c>
      <c r="KF60" s="1299"/>
      <c r="KG60" s="1336"/>
      <c r="KH60" s="1298" t="s">
        <v>20</v>
      </c>
      <c r="KI60" s="1299"/>
      <c r="KJ60" s="1336"/>
      <c r="KK60" s="1298" t="s">
        <v>20</v>
      </c>
      <c r="KL60" s="1299"/>
      <c r="KM60" s="1336"/>
      <c r="KN60" s="1298" t="s">
        <v>20</v>
      </c>
      <c r="KO60" s="1299"/>
      <c r="KP60" s="1336"/>
      <c r="KQ60" s="1298" t="s">
        <v>20</v>
      </c>
      <c r="KR60" s="1299"/>
      <c r="KS60" s="1336"/>
      <c r="KT60" s="1298" t="s">
        <v>20</v>
      </c>
      <c r="KU60" s="1299"/>
      <c r="KV60" s="1336"/>
      <c r="KW60" s="1298" t="s">
        <v>20</v>
      </c>
      <c r="KX60" s="1299"/>
      <c r="KY60" s="1336"/>
      <c r="KZ60" s="1298" t="s">
        <v>20</v>
      </c>
      <c r="LA60" s="1299"/>
      <c r="LB60" s="1336"/>
      <c r="LC60" s="1298" t="s">
        <v>20</v>
      </c>
      <c r="LD60" s="1299"/>
      <c r="LE60" s="1336"/>
      <c r="LF60" s="1298" t="s">
        <v>20</v>
      </c>
      <c r="LG60" s="1299"/>
      <c r="LH60" s="1336"/>
      <c r="LI60" s="1298">
        <v>1</v>
      </c>
      <c r="LJ60" s="1299"/>
      <c r="LK60" s="1336"/>
      <c r="LL60" s="1298">
        <v>1</v>
      </c>
      <c r="LM60" s="1299"/>
      <c r="LN60" s="1336"/>
      <c r="LO60" s="1298" t="s">
        <v>20</v>
      </c>
      <c r="LP60" s="1299"/>
      <c r="LQ60" s="1336"/>
      <c r="LR60" s="1298" t="s">
        <v>20</v>
      </c>
      <c r="LS60" s="1299"/>
      <c r="LT60" s="1336"/>
      <c r="LU60" s="1298" t="s">
        <v>20</v>
      </c>
      <c r="LV60" s="1299"/>
      <c r="LW60" s="1336"/>
      <c r="LX60" s="1298" t="s">
        <v>20</v>
      </c>
      <c r="LY60" s="1299"/>
      <c r="LZ60" s="1336"/>
      <c r="MA60" s="1298" t="s">
        <v>20</v>
      </c>
      <c r="MB60" s="1299"/>
      <c r="MC60" s="1336"/>
      <c r="MD60" s="1298" t="s">
        <v>20</v>
      </c>
      <c r="ME60" s="1299"/>
      <c r="MF60" s="1336"/>
      <c r="MG60" s="1298" t="s">
        <v>20</v>
      </c>
      <c r="MH60" s="1299"/>
      <c r="MI60" s="1336"/>
      <c r="MJ60" s="1298" t="s">
        <v>20</v>
      </c>
      <c r="MK60" s="1299"/>
      <c r="ML60" s="1336"/>
      <c r="MM60" s="1298" t="s">
        <v>20</v>
      </c>
      <c r="MN60" s="1299"/>
      <c r="MO60" s="1336"/>
      <c r="MP60" s="1298">
        <v>1</v>
      </c>
      <c r="MQ60" s="1299"/>
      <c r="MR60" s="1336"/>
      <c r="MS60" s="1298" t="s">
        <v>20</v>
      </c>
      <c r="MT60" s="1299"/>
      <c r="MU60" s="1336"/>
      <c r="MV60" s="1298" t="s">
        <v>20</v>
      </c>
      <c r="MW60" s="1299"/>
      <c r="MX60" s="1336"/>
      <c r="MY60" s="1298" t="s">
        <v>20</v>
      </c>
      <c r="MZ60" s="1299"/>
      <c r="NA60" s="1336"/>
      <c r="NB60" s="1298" t="s">
        <v>20</v>
      </c>
      <c r="NC60" s="1299"/>
      <c r="ND60" s="1336"/>
      <c r="NE60" s="1298" t="s">
        <v>20</v>
      </c>
      <c r="NF60" s="1299"/>
      <c r="NG60" s="1336"/>
      <c r="NH60" s="1298" t="s">
        <v>20</v>
      </c>
      <c r="NI60" s="1299"/>
      <c r="NJ60" s="1336"/>
      <c r="NK60" s="1298" t="s">
        <v>20</v>
      </c>
      <c r="NL60" s="1299"/>
      <c r="NM60" s="1336"/>
      <c r="NN60" s="1298" t="s">
        <v>20</v>
      </c>
      <c r="NO60" s="1299"/>
      <c r="NP60" s="1336"/>
      <c r="NQ60" s="1298">
        <v>1</v>
      </c>
      <c r="NR60" s="1299"/>
      <c r="NS60" s="1336"/>
      <c r="NT60" s="1298" t="s">
        <v>20</v>
      </c>
      <c r="NU60" s="1299"/>
      <c r="NV60" s="1336"/>
      <c r="NW60" s="1298" t="s">
        <v>20</v>
      </c>
      <c r="NX60" s="1299"/>
      <c r="NY60" s="1336"/>
      <c r="NZ60" s="1298" t="s">
        <v>20</v>
      </c>
      <c r="OA60" s="1299"/>
      <c r="OB60" s="1336"/>
      <c r="OC60" s="1298" t="s">
        <v>20</v>
      </c>
      <c r="OD60" s="1299"/>
      <c r="OE60" s="1336"/>
      <c r="OF60" s="1298" t="s">
        <v>20</v>
      </c>
      <c r="OG60" s="1299"/>
      <c r="OH60" s="1336"/>
      <c r="OI60" s="1298" t="s">
        <v>20</v>
      </c>
      <c r="OJ60" s="1299"/>
      <c r="OK60" s="1336"/>
      <c r="OL60" s="1298" t="s">
        <v>20</v>
      </c>
      <c r="OM60" s="1299"/>
      <c r="ON60" s="1336"/>
      <c r="OO60" s="1298" t="s">
        <v>20</v>
      </c>
      <c r="OP60" s="1299"/>
      <c r="OQ60" s="1336"/>
      <c r="OR60" s="1298" t="s">
        <v>20</v>
      </c>
      <c r="OS60" s="1299"/>
      <c r="OT60" s="1336"/>
      <c r="OU60" s="1298" t="s">
        <v>20</v>
      </c>
      <c r="OV60" s="1299"/>
      <c r="OW60" s="1336"/>
      <c r="OX60" s="1298" t="s">
        <v>20</v>
      </c>
      <c r="OY60" s="1299"/>
      <c r="OZ60" s="1336"/>
      <c r="PA60" s="1298">
        <v>1</v>
      </c>
      <c r="PB60" s="1299"/>
      <c r="PC60" s="1336"/>
      <c r="PD60" s="1298" t="s">
        <v>20</v>
      </c>
      <c r="PE60" s="1299"/>
      <c r="PF60" s="1336"/>
      <c r="PG60" s="1298" t="s">
        <v>20</v>
      </c>
      <c r="PH60" s="1299"/>
      <c r="PI60" s="1336"/>
      <c r="PJ60" s="1298" t="s">
        <v>20</v>
      </c>
      <c r="PK60" s="1299"/>
      <c r="PL60" s="1336"/>
      <c r="PM60" s="1298" t="s">
        <v>20</v>
      </c>
      <c r="PN60" s="1299"/>
      <c r="PO60" s="1336"/>
      <c r="PP60" s="1298" t="s">
        <v>20</v>
      </c>
      <c r="PQ60" s="1299"/>
      <c r="PR60" s="1336"/>
      <c r="PS60" s="1298" t="s">
        <v>20</v>
      </c>
      <c r="PT60" s="1299"/>
      <c r="PU60" s="1336"/>
      <c r="PV60" s="1298" t="s">
        <v>20</v>
      </c>
      <c r="PW60" s="1299"/>
      <c r="PX60" s="1336"/>
      <c r="PY60" s="1298" t="s">
        <v>20</v>
      </c>
      <c r="PZ60" s="1299"/>
      <c r="QA60" s="1336"/>
      <c r="QB60" s="1298" t="s">
        <v>20</v>
      </c>
      <c r="QC60" s="1299"/>
      <c r="QD60" s="1336"/>
      <c r="QE60" s="1298" t="s">
        <v>20</v>
      </c>
      <c r="QF60" s="1299"/>
      <c r="QG60" s="1336"/>
      <c r="QH60" s="1298" t="s">
        <v>20</v>
      </c>
      <c r="QI60" s="1299"/>
      <c r="QJ60" s="1336"/>
      <c r="QK60" s="1298" t="s">
        <v>20</v>
      </c>
      <c r="QL60" s="1299"/>
      <c r="QM60" s="1336"/>
      <c r="QN60" s="1298" t="s">
        <v>20</v>
      </c>
      <c r="QO60" s="1299"/>
      <c r="QP60" s="1336"/>
      <c r="QQ60" s="1298" t="s">
        <v>20</v>
      </c>
      <c r="QR60" s="1299"/>
      <c r="QS60" s="1336"/>
      <c r="QT60" s="1298" t="s">
        <v>20</v>
      </c>
      <c r="QU60" s="1299"/>
      <c r="QV60" s="1336"/>
      <c r="QW60" s="1298" t="s">
        <v>20</v>
      </c>
      <c r="QX60" s="1299"/>
      <c r="QY60" s="1336"/>
      <c r="QZ60" s="1298"/>
      <c r="RA60" s="1299"/>
      <c r="RB60" s="1336"/>
      <c r="RC60" s="1298" t="s">
        <v>20</v>
      </c>
      <c r="RD60" s="1299"/>
      <c r="RE60" s="1336"/>
      <c r="RF60" s="1298" t="s">
        <v>20</v>
      </c>
      <c r="RG60" s="1299"/>
      <c r="RH60" s="1336"/>
      <c r="RI60" s="1298" t="s">
        <v>20</v>
      </c>
      <c r="RJ60" s="1299"/>
      <c r="RK60" s="1336"/>
      <c r="RL60" s="1298" t="s">
        <v>20</v>
      </c>
      <c r="RM60" s="1299"/>
      <c r="RN60" s="1336"/>
      <c r="RO60" s="1298" t="s">
        <v>20</v>
      </c>
      <c r="RP60" s="1299"/>
      <c r="RQ60" s="1336"/>
      <c r="RR60" s="1298" t="s">
        <v>20</v>
      </c>
      <c r="RS60" s="1299"/>
      <c r="RT60" s="1336"/>
      <c r="RU60" s="1298" t="s">
        <v>20</v>
      </c>
      <c r="RV60" s="1299"/>
      <c r="RW60" s="1336"/>
      <c r="RX60" s="1298" t="s">
        <v>20</v>
      </c>
      <c r="RY60" s="1299"/>
      <c r="RZ60" s="1336"/>
      <c r="SA60" s="1298" t="s">
        <v>20</v>
      </c>
      <c r="SB60" s="1299"/>
      <c r="SC60" s="1336"/>
      <c r="SD60" s="1298" t="s">
        <v>20</v>
      </c>
      <c r="SE60" s="1299"/>
      <c r="SF60" s="1336"/>
      <c r="SG60" s="1298" t="s">
        <v>20</v>
      </c>
      <c r="SH60" s="1299"/>
      <c r="SI60" s="1336"/>
      <c r="SJ60" s="1298" t="s">
        <v>20</v>
      </c>
      <c r="SK60" s="1299"/>
      <c r="SL60" s="1336"/>
      <c r="SM60" s="1298" t="s">
        <v>20</v>
      </c>
      <c r="SN60" s="1299"/>
      <c r="SO60" s="1336"/>
      <c r="SP60" s="1298" t="s">
        <v>20</v>
      </c>
      <c r="SQ60" s="1299"/>
      <c r="SR60" s="1336"/>
      <c r="SS60" s="1298" t="s">
        <v>20</v>
      </c>
      <c r="ST60" s="1299"/>
      <c r="SU60" s="1336"/>
      <c r="SV60" s="1298" t="s">
        <v>20</v>
      </c>
      <c r="SW60" s="1299"/>
      <c r="SX60" s="1336"/>
      <c r="SY60" s="1298" t="s">
        <v>20</v>
      </c>
      <c r="SZ60" s="1299"/>
      <c r="TA60" s="1336"/>
      <c r="TB60" s="1298" t="s">
        <v>20</v>
      </c>
      <c r="TC60" s="1299"/>
      <c r="TD60" s="1336"/>
      <c r="TE60" s="1298" t="s">
        <v>20</v>
      </c>
      <c r="TF60" s="1299"/>
      <c r="TG60" s="1336"/>
      <c r="TH60" s="1298" t="s">
        <v>20</v>
      </c>
      <c r="TI60" s="1299"/>
      <c r="TJ60" s="1336"/>
      <c r="TK60" s="1298" t="s">
        <v>20</v>
      </c>
      <c r="TL60" s="1299"/>
      <c r="TM60" s="1336"/>
      <c r="TN60" s="1298" t="s">
        <v>20</v>
      </c>
      <c r="TO60" s="1299"/>
      <c r="TP60" s="1336"/>
      <c r="TQ60" s="1298" t="s">
        <v>20</v>
      </c>
      <c r="TR60" s="1299"/>
      <c r="TS60" s="1336"/>
      <c r="TT60" s="1298" t="s">
        <v>20</v>
      </c>
      <c r="TU60" s="1299"/>
      <c r="TV60" s="1336"/>
      <c r="TW60" s="1298" t="s">
        <v>20</v>
      </c>
      <c r="TX60" s="1299"/>
      <c r="TY60" s="1336"/>
      <c r="TZ60" s="1298" t="s">
        <v>20</v>
      </c>
      <c r="UA60" s="1299"/>
      <c r="UB60" s="1336"/>
      <c r="UC60" s="1298" t="s">
        <v>20</v>
      </c>
      <c r="UD60" s="1299"/>
      <c r="UE60" s="1336"/>
      <c r="UF60" s="1298" t="s">
        <v>20</v>
      </c>
      <c r="UG60" s="1299"/>
      <c r="UH60" s="1336"/>
      <c r="UI60" s="1298" t="s">
        <v>20</v>
      </c>
      <c r="UJ60" s="1299"/>
      <c r="UK60" s="1336"/>
      <c r="UL60" s="1298" t="s">
        <v>20</v>
      </c>
      <c r="UM60" s="1299"/>
      <c r="UN60" s="1336"/>
      <c r="UO60" s="1298" t="s">
        <v>20</v>
      </c>
      <c r="UP60" s="1299"/>
      <c r="UQ60" s="1336"/>
      <c r="UR60" s="1298" t="s">
        <v>20</v>
      </c>
      <c r="US60" s="1299"/>
      <c r="UT60" s="1336"/>
      <c r="UU60" s="1298" t="s">
        <v>20</v>
      </c>
      <c r="UV60" s="1299"/>
      <c r="UW60" s="1336"/>
      <c r="UX60" s="1298" t="s">
        <v>20</v>
      </c>
      <c r="UY60" s="1299"/>
      <c r="UZ60" s="1336"/>
      <c r="VA60" s="1298" t="s">
        <v>20</v>
      </c>
      <c r="VB60" s="1299"/>
      <c r="VC60" s="1336"/>
      <c r="VD60" s="1298" t="s">
        <v>20</v>
      </c>
      <c r="VE60" s="1299"/>
      <c r="VF60" s="1336"/>
      <c r="VG60" s="1298" t="s">
        <v>20</v>
      </c>
      <c r="VH60" s="1299"/>
      <c r="VI60" s="1336"/>
      <c r="VJ60" s="1298" t="s">
        <v>20</v>
      </c>
      <c r="VK60" s="1299"/>
      <c r="VL60" s="1336"/>
      <c r="VM60" s="1298" t="s">
        <v>20</v>
      </c>
      <c r="VN60" s="1299"/>
      <c r="VO60" s="1336"/>
      <c r="VP60" s="1298" t="s">
        <v>20</v>
      </c>
      <c r="VQ60" s="1299"/>
      <c r="VR60" s="1336"/>
      <c r="VS60" s="1298" t="s">
        <v>20</v>
      </c>
      <c r="VT60" s="1299"/>
      <c r="VU60" s="1336"/>
      <c r="VV60" s="1298" t="s">
        <v>20</v>
      </c>
      <c r="VW60" s="1299"/>
      <c r="VX60" s="1336"/>
      <c r="VY60" s="1298" t="s">
        <v>20</v>
      </c>
      <c r="VZ60" s="1299"/>
      <c r="WA60" s="1336"/>
      <c r="WB60" s="1298" t="s">
        <v>20</v>
      </c>
      <c r="WC60" s="1299"/>
      <c r="WD60" s="1336"/>
      <c r="WE60" s="1298" t="s">
        <v>20</v>
      </c>
      <c r="WF60" s="1299"/>
      <c r="WG60" s="1336"/>
      <c r="WH60" s="1298" t="s">
        <v>20</v>
      </c>
      <c r="WI60" s="1299"/>
      <c r="WJ60" s="1336"/>
      <c r="WK60" s="1298" t="s">
        <v>20</v>
      </c>
      <c r="WL60" s="1299"/>
      <c r="WM60" s="1336"/>
      <c r="WN60" s="1298" t="s">
        <v>20</v>
      </c>
      <c r="WO60" s="1299"/>
      <c r="WP60" s="1336"/>
      <c r="WQ60" s="1298" t="s">
        <v>20</v>
      </c>
      <c r="WR60" s="1299"/>
      <c r="WS60" s="1336"/>
      <c r="WT60" s="1298" t="s">
        <v>20</v>
      </c>
      <c r="WU60" s="1299"/>
      <c r="WV60" s="1336"/>
      <c r="WW60" s="1298" t="s">
        <v>20</v>
      </c>
      <c r="WX60" s="1299"/>
      <c r="WY60" s="1336"/>
      <c r="WZ60" s="1298" t="s">
        <v>20</v>
      </c>
      <c r="XA60" s="1299"/>
      <c r="XB60" s="1336"/>
      <c r="XC60" s="1298" t="s">
        <v>20</v>
      </c>
      <c r="XD60" s="1299"/>
      <c r="XE60" s="1336"/>
      <c r="XF60" s="1298" t="s">
        <v>20</v>
      </c>
      <c r="XG60" s="1299"/>
      <c r="XH60" s="1336"/>
      <c r="XI60" s="1298" t="s">
        <v>20</v>
      </c>
      <c r="XJ60" s="1299"/>
      <c r="XK60" s="1336"/>
      <c r="XL60" s="1298" t="s">
        <v>20</v>
      </c>
      <c r="XM60" s="1299"/>
      <c r="XN60" s="1336"/>
      <c r="XO60" s="1298" t="s">
        <v>20</v>
      </c>
      <c r="XP60" s="1299"/>
      <c r="XQ60" s="1336"/>
      <c r="XR60" s="1298" t="s">
        <v>20</v>
      </c>
      <c r="XS60" s="1299"/>
      <c r="XT60" s="1336"/>
      <c r="XU60" s="1298" t="s">
        <v>20</v>
      </c>
      <c r="XV60" s="1299"/>
      <c r="XW60" s="1336"/>
      <c r="XX60" s="1298" t="s">
        <v>20</v>
      </c>
      <c r="XY60" s="1299"/>
      <c r="XZ60" s="1336"/>
      <c r="YA60" s="1298" t="s">
        <v>20</v>
      </c>
      <c r="YB60" s="1299"/>
      <c r="YC60" s="1336"/>
      <c r="YD60" s="1298" t="s">
        <v>20</v>
      </c>
      <c r="YE60" s="1299"/>
      <c r="YF60" s="1336"/>
      <c r="YG60" s="1298" t="s">
        <v>20</v>
      </c>
      <c r="YH60" s="1299"/>
      <c r="YI60" s="1336"/>
      <c r="YJ60" s="1298" t="s">
        <v>20</v>
      </c>
      <c r="YK60" s="1299"/>
      <c r="YL60" s="1336"/>
      <c r="YM60" s="1298" t="s">
        <v>20</v>
      </c>
      <c r="YN60" s="1299"/>
      <c r="YO60" s="1336"/>
      <c r="YP60" s="1298" t="s">
        <v>20</v>
      </c>
      <c r="YQ60" s="1299"/>
      <c r="YR60" s="1336"/>
      <c r="YS60" s="1298" t="s">
        <v>20</v>
      </c>
      <c r="YT60" s="1299"/>
      <c r="YU60" s="1336"/>
      <c r="YV60" s="1298" t="s">
        <v>20</v>
      </c>
      <c r="YW60" s="1299"/>
      <c r="YX60" s="1336"/>
      <c r="YY60" s="1298" t="s">
        <v>20</v>
      </c>
      <c r="YZ60" s="1299"/>
      <c r="ZA60" s="1336"/>
      <c r="ZB60" s="1298" t="s">
        <v>20</v>
      </c>
      <c r="ZC60" s="1299"/>
      <c r="ZD60" s="1336"/>
      <c r="ZE60" s="1298" t="s">
        <v>20</v>
      </c>
      <c r="ZF60" s="1299"/>
      <c r="ZG60" s="1336"/>
      <c r="ZH60" s="1298" t="s">
        <v>20</v>
      </c>
      <c r="ZI60" s="1299"/>
      <c r="ZJ60" s="1336"/>
      <c r="ZK60" s="1298" t="s">
        <v>20</v>
      </c>
      <c r="ZL60" s="1299"/>
      <c r="ZM60" s="1336"/>
      <c r="ZN60" s="1298" t="s">
        <v>20</v>
      </c>
      <c r="ZO60" s="1299"/>
      <c r="ZP60" s="1336"/>
      <c r="ZQ60" s="1298" t="s">
        <v>20</v>
      </c>
      <c r="ZR60" s="1299"/>
      <c r="ZS60" s="1336"/>
      <c r="ZT60" s="1298" t="s">
        <v>20</v>
      </c>
      <c r="ZU60" s="1299"/>
      <c r="ZV60" s="1336"/>
      <c r="ZW60" s="1298" t="s">
        <v>20</v>
      </c>
      <c r="ZX60" s="1299"/>
      <c r="ZY60" s="1336"/>
      <c r="ZZ60" s="1298" t="s">
        <v>20</v>
      </c>
      <c r="AAA60" s="1299"/>
      <c r="AAB60" s="1336"/>
      <c r="AAC60" s="1298" t="s">
        <v>20</v>
      </c>
      <c r="AAD60" s="1299"/>
      <c r="AAE60" s="1336"/>
      <c r="AAF60" s="1298" t="s">
        <v>20</v>
      </c>
      <c r="AAG60" s="1299"/>
      <c r="AAH60" s="1336"/>
      <c r="AAI60" s="1298" t="s">
        <v>20</v>
      </c>
      <c r="AAJ60" s="1299"/>
      <c r="AAK60" s="1336"/>
      <c r="AAL60" s="1298" t="s">
        <v>20</v>
      </c>
      <c r="AAM60" s="1299"/>
      <c r="AAN60" s="1336"/>
      <c r="AAO60" s="1298" t="s">
        <v>20</v>
      </c>
      <c r="AAP60" s="1299"/>
      <c r="AAQ60" s="1336"/>
      <c r="AAR60" s="1298">
        <v>1</v>
      </c>
      <c r="AAS60" s="1299"/>
      <c r="AAT60" s="1336"/>
      <c r="AAU60" s="1298">
        <v>1</v>
      </c>
      <c r="AAV60" s="1299"/>
      <c r="AAW60" s="1336"/>
      <c r="AAX60" s="1298" t="s">
        <v>20</v>
      </c>
      <c r="AAY60" s="1299"/>
      <c r="AAZ60" s="1336"/>
      <c r="ABA60" s="1298" t="s">
        <v>20</v>
      </c>
      <c r="ABB60" s="1299"/>
      <c r="ABC60" s="1336"/>
      <c r="ABD60" s="1298" t="s">
        <v>20</v>
      </c>
      <c r="ABE60" s="1299"/>
      <c r="ABF60" s="1336"/>
      <c r="ABG60" s="1298" t="s">
        <v>20</v>
      </c>
      <c r="ABH60" s="1299"/>
      <c r="ABI60" s="1336"/>
      <c r="ABJ60" s="1298">
        <v>1</v>
      </c>
      <c r="ABK60" s="1299"/>
      <c r="ABL60" s="1336"/>
      <c r="ABM60" s="1298" t="s">
        <v>20</v>
      </c>
      <c r="ABN60" s="1299"/>
      <c r="ABO60" s="1336"/>
      <c r="ABP60" s="1298" t="s">
        <v>20</v>
      </c>
      <c r="ABQ60" s="1299"/>
      <c r="ABR60" s="1336"/>
      <c r="ABS60" s="1298" t="s">
        <v>20</v>
      </c>
      <c r="ABT60" s="1299"/>
      <c r="ABU60" s="1336"/>
      <c r="ABV60" s="1298" t="s">
        <v>20</v>
      </c>
      <c r="ABW60" s="1299"/>
      <c r="ABX60" s="1336"/>
      <c r="ABY60" s="1298" t="s">
        <v>20</v>
      </c>
      <c r="ABZ60" s="1299"/>
      <c r="ACA60" s="1336"/>
      <c r="ACB60" s="1298" t="s">
        <v>20</v>
      </c>
      <c r="ACC60" s="1299"/>
      <c r="ACD60" s="1336"/>
      <c r="ACE60" s="1298" t="s">
        <v>20</v>
      </c>
      <c r="ACF60" s="1299"/>
      <c r="ACG60" s="1336"/>
      <c r="ACH60" s="1298" t="s">
        <v>20</v>
      </c>
      <c r="ACI60" s="1299"/>
      <c r="ACJ60" s="1336"/>
      <c r="ACK60" s="1298" t="s">
        <v>20</v>
      </c>
      <c r="ACL60" s="1299"/>
      <c r="ACM60" s="1336"/>
      <c r="ACN60" s="1298" t="s">
        <v>20</v>
      </c>
      <c r="ACO60" s="1299"/>
      <c r="ACP60" s="1336"/>
      <c r="ACQ60" s="1298" t="s">
        <v>20</v>
      </c>
      <c r="ACR60" s="1299"/>
      <c r="ACS60" s="1336"/>
      <c r="ACT60" s="1298">
        <v>1</v>
      </c>
      <c r="ACU60" s="1299"/>
      <c r="ACV60" s="1336"/>
      <c r="ACW60" s="1298" t="s">
        <v>20</v>
      </c>
      <c r="ACX60" s="1299"/>
      <c r="ACY60" s="1336"/>
      <c r="ACZ60" s="1298" t="s">
        <v>20</v>
      </c>
      <c r="ADA60" s="1299"/>
      <c r="ADB60" s="1336"/>
      <c r="ADC60" s="1298">
        <v>1</v>
      </c>
      <c r="ADD60" s="1299"/>
      <c r="ADE60" s="1336"/>
      <c r="ADF60" s="1298" t="s">
        <v>20</v>
      </c>
      <c r="ADG60" s="1299"/>
      <c r="ADH60" s="1336"/>
      <c r="ADI60" s="1298" t="s">
        <v>20</v>
      </c>
      <c r="ADJ60" s="1299"/>
      <c r="ADK60" s="1336"/>
      <c r="ADL60" s="1298" t="s">
        <v>20</v>
      </c>
      <c r="ADM60" s="1299"/>
      <c r="ADN60" s="1336"/>
      <c r="ADO60" s="1298" t="s">
        <v>20</v>
      </c>
      <c r="ADP60" s="1299"/>
      <c r="ADQ60" s="1336"/>
      <c r="ADR60" s="1298" t="s">
        <v>20</v>
      </c>
      <c r="ADS60" s="1299"/>
      <c r="ADT60" s="1336"/>
      <c r="ADU60" s="1298">
        <v>2</v>
      </c>
      <c r="ADV60" s="1299"/>
      <c r="ADW60" s="1336"/>
      <c r="ADX60" s="1298" t="s">
        <v>20</v>
      </c>
      <c r="ADY60" s="1299"/>
      <c r="ADZ60" s="1336"/>
      <c r="AEA60" s="1298" t="s">
        <v>20</v>
      </c>
      <c r="AEB60" s="1299"/>
      <c r="AEC60" s="1336"/>
      <c r="AED60" s="1298" t="s">
        <v>20</v>
      </c>
      <c r="AEE60" s="1299"/>
      <c r="AEF60" s="1336"/>
      <c r="AEG60" s="1298" t="s">
        <v>20</v>
      </c>
      <c r="AEH60" s="1299"/>
      <c r="AEI60" s="1336"/>
      <c r="AEJ60" s="1298">
        <v>1</v>
      </c>
      <c r="AEK60" s="1299"/>
      <c r="AEL60" s="1336"/>
      <c r="AEM60" s="1298" t="s">
        <v>20</v>
      </c>
      <c r="AEN60" s="1299"/>
      <c r="AEO60" s="1336"/>
      <c r="AEP60" s="1298" t="s">
        <v>20</v>
      </c>
      <c r="AEQ60" s="1299"/>
      <c r="AER60" s="1336"/>
      <c r="AES60" s="1298">
        <v>1</v>
      </c>
      <c r="AET60" s="1299"/>
      <c r="AEU60" s="1336"/>
      <c r="AEV60" s="1298" t="s">
        <v>20</v>
      </c>
      <c r="AEW60" s="1299"/>
      <c r="AEX60" s="1336"/>
      <c r="AEY60" s="1298" t="s">
        <v>20</v>
      </c>
      <c r="AEZ60" s="1299"/>
      <c r="AFA60" s="1336"/>
      <c r="AFB60" s="1298" t="s">
        <v>20</v>
      </c>
      <c r="AFC60" s="1299"/>
      <c r="AFD60" s="1336"/>
      <c r="AFE60" s="1298" t="s">
        <v>20</v>
      </c>
      <c r="AFF60" s="1299"/>
      <c r="AFG60" s="1336"/>
      <c r="AFH60" s="1298" t="s">
        <v>20</v>
      </c>
      <c r="AFI60" s="1299"/>
      <c r="AFJ60" s="1336"/>
      <c r="AFK60" s="1298" t="s">
        <v>20</v>
      </c>
      <c r="AFL60" s="1299"/>
      <c r="AFM60" s="1336"/>
      <c r="AFN60" s="1298" t="s">
        <v>20</v>
      </c>
      <c r="AFO60" s="1299"/>
      <c r="AFP60" s="1336"/>
      <c r="AFQ60" s="1298" t="s">
        <v>20</v>
      </c>
      <c r="AFR60" s="1299"/>
      <c r="AFS60" s="1336"/>
      <c r="AFT60" s="1298" t="s">
        <v>20</v>
      </c>
      <c r="AFU60" s="1299"/>
      <c r="AFV60" s="1336"/>
      <c r="AFW60" s="1298" t="s">
        <v>20</v>
      </c>
      <c r="AFX60" s="1299"/>
      <c r="AFY60" s="1336"/>
      <c r="AFZ60" s="1298" t="s">
        <v>20</v>
      </c>
      <c r="AGA60" s="1299"/>
      <c r="AGB60" s="1336"/>
      <c r="AGC60" s="1298" t="s">
        <v>20</v>
      </c>
      <c r="AGD60" s="1299"/>
      <c r="AGE60" s="1336"/>
      <c r="AGF60" s="1298" t="s">
        <v>20</v>
      </c>
      <c r="AGG60" s="1299"/>
      <c r="AGH60" s="1336"/>
      <c r="AGI60" s="1298">
        <v>2</v>
      </c>
      <c r="AGJ60" s="1299"/>
      <c r="AGK60" s="1336"/>
      <c r="AGL60" s="1298" t="s">
        <v>20</v>
      </c>
      <c r="AGM60" s="1299"/>
      <c r="AGN60" s="1336"/>
      <c r="AGO60" s="1298" t="s">
        <v>20</v>
      </c>
      <c r="AGP60" s="1299"/>
      <c r="AGQ60" s="1336"/>
      <c r="AGR60" s="1298">
        <v>1</v>
      </c>
      <c r="AGS60" s="1299"/>
      <c r="AGT60" s="1336"/>
      <c r="AGU60" s="1298">
        <v>1</v>
      </c>
      <c r="AGV60" s="1299"/>
      <c r="AGW60" s="1336"/>
      <c r="AGX60" s="1298" t="s">
        <v>20</v>
      </c>
      <c r="AGY60" s="1299"/>
      <c r="AGZ60" s="1336"/>
      <c r="AHA60" s="1298" t="s">
        <v>20</v>
      </c>
      <c r="AHB60" s="1299"/>
      <c r="AHC60" s="1336"/>
      <c r="AHD60" s="1298" t="s">
        <v>20</v>
      </c>
      <c r="AHE60" s="1299"/>
      <c r="AHF60" s="1336"/>
      <c r="AHG60" s="1298" t="s">
        <v>20</v>
      </c>
      <c r="AHH60" s="1299"/>
      <c r="AHI60" s="1336"/>
      <c r="AHJ60" s="1298" t="s">
        <v>20</v>
      </c>
      <c r="AHK60" s="1299"/>
      <c r="AHL60" s="1336"/>
      <c r="AHM60" s="1298" t="s">
        <v>20</v>
      </c>
      <c r="AHN60" s="1299"/>
      <c r="AHO60" s="1336"/>
      <c r="AHP60" s="1298" t="s">
        <v>20</v>
      </c>
      <c r="AHQ60" s="1299"/>
      <c r="AHR60" s="1336"/>
      <c r="AHS60" s="1298" t="s">
        <v>20</v>
      </c>
      <c r="AHT60" s="1299"/>
      <c r="AHU60" s="1336"/>
      <c r="AHV60" s="1298" t="s">
        <v>20</v>
      </c>
      <c r="AHW60" s="1299"/>
      <c r="AHX60" s="1336"/>
      <c r="AHY60" s="1298" t="s">
        <v>20</v>
      </c>
      <c r="AHZ60" s="1299"/>
      <c r="AIA60" s="1336"/>
      <c r="AIB60" s="1298" t="s">
        <v>20</v>
      </c>
      <c r="AIC60" s="1299"/>
      <c r="AID60" s="1299"/>
      <c r="AIE60" s="1298" t="s">
        <v>20</v>
      </c>
      <c r="AIF60" s="1299"/>
      <c r="AIG60" s="1336"/>
      <c r="AIH60" s="1298" t="s">
        <v>20</v>
      </c>
      <c r="AII60" s="1299"/>
      <c r="AIJ60" s="1336"/>
      <c r="AIK60" s="1298" t="s">
        <v>20</v>
      </c>
      <c r="AIL60" s="1299"/>
      <c r="AIM60" s="1336"/>
      <c r="AIN60" s="1298" t="s">
        <v>20</v>
      </c>
      <c r="AIO60" s="1299"/>
      <c r="AIP60" s="1336"/>
      <c r="AIQ60" s="1298" t="s">
        <v>20</v>
      </c>
      <c r="AIR60" s="1299"/>
      <c r="AIS60" s="1299"/>
      <c r="AIT60" s="1298" t="s">
        <v>20</v>
      </c>
      <c r="AIU60" s="1299"/>
      <c r="AIV60" s="1336"/>
      <c r="AIW60" s="1298" t="s">
        <v>20</v>
      </c>
      <c r="AIX60" s="1299"/>
      <c r="AIY60" s="1299"/>
      <c r="AIZ60" s="1298" t="s">
        <v>20</v>
      </c>
      <c r="AJA60" s="1299"/>
      <c r="AJB60" s="1336"/>
      <c r="AJC60" s="1298" t="s">
        <v>20</v>
      </c>
      <c r="AJD60" s="1299"/>
      <c r="AJE60" s="1336"/>
      <c r="AJF60" s="1298" t="s">
        <v>20</v>
      </c>
      <c r="AJG60" s="1299"/>
      <c r="AJH60" s="1336"/>
      <c r="AJI60" s="1298" t="s">
        <v>20</v>
      </c>
      <c r="AJJ60" s="1299"/>
      <c r="AJK60" s="1336"/>
      <c r="AJL60" s="1298" t="s">
        <v>20</v>
      </c>
      <c r="AJM60" s="1299"/>
      <c r="AJN60" s="1299"/>
      <c r="AJO60" s="1298" t="s">
        <v>20</v>
      </c>
      <c r="AJP60" s="1299"/>
      <c r="AJQ60" s="1336"/>
      <c r="AJR60" s="1298" t="s">
        <v>20</v>
      </c>
      <c r="AJS60" s="1299"/>
      <c r="AJT60" s="1299"/>
      <c r="AJU60" s="1298" t="s">
        <v>20</v>
      </c>
      <c r="AJV60" s="1299"/>
      <c r="AJW60" s="1336"/>
      <c r="AJX60" s="1298" t="s">
        <v>20</v>
      </c>
      <c r="AJY60" s="1299"/>
      <c r="AJZ60" s="1336"/>
      <c r="AKA60" s="1298" t="s">
        <v>20</v>
      </c>
      <c r="AKB60" s="1299"/>
      <c r="AKC60" s="1336"/>
      <c r="AKD60" s="1298" t="s">
        <v>20</v>
      </c>
      <c r="AKE60" s="1299"/>
      <c r="AKF60" s="1336"/>
      <c r="AKG60" s="1298" t="s">
        <v>20</v>
      </c>
      <c r="AKH60" s="1299"/>
      <c r="AKI60" s="1299"/>
      <c r="AKJ60" s="1298" t="s">
        <v>20</v>
      </c>
      <c r="AKK60" s="1299"/>
      <c r="AKL60" s="1336"/>
      <c r="AKM60" s="1298" t="s">
        <v>20</v>
      </c>
      <c r="AKN60" s="1299"/>
      <c r="AKO60" s="1299"/>
      <c r="AKP60" s="1298" t="s">
        <v>20</v>
      </c>
      <c r="AKQ60" s="1299"/>
      <c r="AKR60" s="1336"/>
      <c r="AKS60" s="1298" t="s">
        <v>20</v>
      </c>
      <c r="AKT60" s="1299"/>
      <c r="AKU60" s="1336"/>
      <c r="AKV60" s="1298" t="s">
        <v>20</v>
      </c>
      <c r="AKW60" s="1299"/>
      <c r="AKX60" s="1336"/>
      <c r="AKY60" s="1298" t="s">
        <v>20</v>
      </c>
      <c r="AKZ60" s="1299"/>
      <c r="ALA60" s="1336"/>
      <c r="ALB60" s="1298" t="s">
        <v>20</v>
      </c>
      <c r="ALC60" s="1299"/>
      <c r="ALD60" s="1299"/>
      <c r="ALE60" s="1298" t="s">
        <v>20</v>
      </c>
      <c r="ALF60" s="1299"/>
      <c r="ALG60" s="1336"/>
      <c r="ALH60" s="1298" t="s">
        <v>20</v>
      </c>
      <c r="ALI60" s="1299"/>
      <c r="ALJ60" s="1299"/>
      <c r="ALK60" s="1298" t="s">
        <v>20</v>
      </c>
      <c r="ALL60" s="1299"/>
      <c r="ALM60" s="1336"/>
      <c r="ALN60" s="1298" t="s">
        <v>20</v>
      </c>
      <c r="ALO60" s="1299"/>
      <c r="ALP60" s="1336"/>
      <c r="ALQ60" s="1298" t="s">
        <v>20</v>
      </c>
      <c r="ALR60" s="1299"/>
      <c r="ALS60" s="1336"/>
      <c r="ALT60" s="1298" t="s">
        <v>20</v>
      </c>
      <c r="ALU60" s="1299"/>
      <c r="ALV60" s="1336"/>
      <c r="ALW60" s="1298" t="s">
        <v>20</v>
      </c>
      <c r="ALX60" s="1299"/>
      <c r="ALY60" s="1299"/>
      <c r="ALZ60" s="1298" t="s">
        <v>20</v>
      </c>
      <c r="AMA60" s="1299"/>
      <c r="AMB60" s="1336"/>
      <c r="AMC60" s="1298" t="s">
        <v>20</v>
      </c>
      <c r="AMD60" s="1299"/>
      <c r="AME60" s="1299"/>
      <c r="AMF60" s="1298" t="s">
        <v>20</v>
      </c>
      <c r="AMG60" s="1299"/>
      <c r="AMH60" s="1336"/>
      <c r="AMI60" s="1298" t="s">
        <v>20</v>
      </c>
      <c r="AMJ60" s="1299"/>
      <c r="AMK60" s="1336"/>
      <c r="AML60" s="1298" t="s">
        <v>20</v>
      </c>
      <c r="AMM60" s="1299"/>
      <c r="AMN60" s="1336"/>
      <c r="AMO60" s="1298" t="s">
        <v>20</v>
      </c>
      <c r="AMP60" s="1299"/>
      <c r="AMQ60" s="1336"/>
      <c r="AMR60" s="1298" t="s">
        <v>20</v>
      </c>
      <c r="AMS60" s="1299"/>
      <c r="AMT60" s="1299"/>
      <c r="AMU60" s="1298" t="s">
        <v>20</v>
      </c>
      <c r="AMV60" s="1299"/>
      <c r="AMW60" s="1336"/>
      <c r="AMX60" s="1298" t="s">
        <v>20</v>
      </c>
      <c r="AMY60" s="1299"/>
      <c r="AMZ60" s="1299"/>
      <c r="ANA60" s="1298" t="s">
        <v>20</v>
      </c>
      <c r="ANB60" s="1299"/>
      <c r="ANC60" s="1336"/>
      <c r="AND60" s="1298">
        <v>1</v>
      </c>
      <c r="ANE60" s="1299"/>
      <c r="ANF60" s="1336"/>
      <c r="ANG60" s="1298">
        <v>1</v>
      </c>
      <c r="ANH60" s="1299"/>
      <c r="ANI60" s="1336"/>
      <c r="ANJ60" s="1298" t="s">
        <v>20</v>
      </c>
      <c r="ANK60" s="1299"/>
      <c r="ANL60" s="1336"/>
      <c r="ANM60" s="1298" t="s">
        <v>20</v>
      </c>
      <c r="ANN60" s="1299"/>
      <c r="ANO60" s="1299"/>
      <c r="ANP60" s="1298">
        <v>1</v>
      </c>
      <c r="ANQ60" s="1299"/>
      <c r="ANR60" s="1336"/>
      <c r="ANS60" s="1298" t="s">
        <v>20</v>
      </c>
      <c r="ANT60" s="1299"/>
      <c r="ANU60" s="1299"/>
      <c r="ANV60" s="1298" t="s">
        <v>20</v>
      </c>
      <c r="ANW60" s="1299"/>
      <c r="ANX60" s="1336"/>
      <c r="ANY60" s="1298" t="s">
        <v>20</v>
      </c>
      <c r="ANZ60" s="1299"/>
      <c r="AOA60" s="1336"/>
      <c r="AOB60" s="1298" t="s">
        <v>20</v>
      </c>
      <c r="AOC60" s="1299"/>
      <c r="AOD60" s="1336"/>
      <c r="AOE60" s="1298" t="s">
        <v>20</v>
      </c>
      <c r="AOF60" s="1299"/>
      <c r="AOG60" s="1336"/>
      <c r="AOH60" s="1298" t="s">
        <v>20</v>
      </c>
      <c r="AOI60" s="1299"/>
      <c r="AOJ60" s="1299"/>
      <c r="AOK60" s="1298" t="s">
        <v>20</v>
      </c>
      <c r="AOL60" s="1299"/>
      <c r="AOM60" s="1336"/>
      <c r="AON60" s="1298" t="s">
        <v>20</v>
      </c>
      <c r="AOO60" s="1299"/>
      <c r="AOP60" s="1299"/>
      <c r="AOQ60" s="1298" t="s">
        <v>20</v>
      </c>
      <c r="AOR60" s="1299"/>
      <c r="AOS60" s="1336"/>
      <c r="AOT60" s="1298" t="s">
        <v>20</v>
      </c>
      <c r="AOU60" s="1299"/>
      <c r="AOV60" s="1336"/>
      <c r="AOW60" s="1298" t="s">
        <v>20</v>
      </c>
      <c r="AOX60" s="1299"/>
      <c r="AOY60" s="1336"/>
      <c r="AOZ60" s="1298" t="s">
        <v>20</v>
      </c>
      <c r="APA60" s="1299"/>
      <c r="APB60" s="1336"/>
      <c r="APC60" s="1298" t="s">
        <v>20</v>
      </c>
      <c r="APD60" s="1299"/>
      <c r="APE60" s="1299"/>
      <c r="APF60" s="1298" t="s">
        <v>20</v>
      </c>
      <c r="APG60" s="1299"/>
      <c r="APH60" s="1336"/>
      <c r="API60" s="1298" t="s">
        <v>20</v>
      </c>
      <c r="APJ60" s="1299"/>
      <c r="APK60" s="1299"/>
      <c r="APL60" s="1298" t="s">
        <v>20</v>
      </c>
      <c r="APM60" s="1299"/>
      <c r="APN60" s="1336"/>
      <c r="APO60" s="1298" t="s">
        <v>20</v>
      </c>
      <c r="APP60" s="1299"/>
      <c r="APQ60" s="1336"/>
      <c r="APR60" s="1298" t="s">
        <v>20</v>
      </c>
      <c r="APS60" s="1299"/>
      <c r="APT60" s="1336"/>
      <c r="APU60" s="1298" t="s">
        <v>20</v>
      </c>
      <c r="APV60" s="1299"/>
      <c r="APW60" s="1336"/>
      <c r="APX60" s="1298" t="s">
        <v>20</v>
      </c>
      <c r="APY60" s="1299"/>
      <c r="APZ60" s="1299"/>
      <c r="AQA60" s="1298" t="s">
        <v>20</v>
      </c>
      <c r="AQB60" s="1299"/>
      <c r="AQC60" s="1336"/>
      <c r="AQD60" s="1298" t="s">
        <v>20</v>
      </c>
      <c r="AQE60" s="1299"/>
      <c r="AQF60" s="1336"/>
      <c r="AQG60" s="1298" t="s">
        <v>20</v>
      </c>
      <c r="AQH60" s="1299"/>
      <c r="AQI60" s="1336"/>
      <c r="AQJ60" s="1298" t="s">
        <v>20</v>
      </c>
      <c r="AQK60" s="1299"/>
      <c r="AQL60" s="1336"/>
      <c r="AQM60" s="1298" t="s">
        <v>20</v>
      </c>
      <c r="AQN60" s="1299"/>
      <c r="AQO60" s="1299"/>
      <c r="AQP60" s="1298" t="s">
        <v>20</v>
      </c>
      <c r="AQQ60" s="1299"/>
      <c r="AQR60" s="1299"/>
      <c r="AQS60" s="1298" t="s">
        <v>20</v>
      </c>
      <c r="AQT60" s="1299"/>
      <c r="AQU60" s="1336"/>
      <c r="AQV60" s="1299" t="s">
        <v>20</v>
      </c>
      <c r="AQW60" s="1299"/>
      <c r="AQX60" s="1336"/>
      <c r="AQY60" s="1298" t="s">
        <v>20</v>
      </c>
      <c r="AQZ60" s="1299"/>
      <c r="ARA60" s="1336"/>
      <c r="ARB60" s="1298" t="s">
        <v>20</v>
      </c>
      <c r="ARC60" s="1299"/>
      <c r="ARD60" s="1336"/>
      <c r="ARE60" s="1298" t="s">
        <v>20</v>
      </c>
      <c r="ARF60" s="1299"/>
      <c r="ARG60" s="1336"/>
      <c r="ARH60" s="1298" t="s">
        <v>20</v>
      </c>
      <c r="ARI60" s="1299"/>
      <c r="ARJ60" s="1299"/>
      <c r="ARK60" s="1298" t="s">
        <v>20</v>
      </c>
      <c r="ARL60" s="1299"/>
      <c r="ARM60" s="1336"/>
      <c r="ARN60" s="1298" t="s">
        <v>20</v>
      </c>
      <c r="ARO60" s="1299"/>
      <c r="ARP60" s="1299"/>
      <c r="ARQ60" s="1298" t="s">
        <v>20</v>
      </c>
      <c r="ARR60" s="1299"/>
      <c r="ARS60" s="1336"/>
      <c r="ART60" s="1298" t="s">
        <v>20</v>
      </c>
      <c r="ARU60" s="1299"/>
      <c r="ARV60" s="1336"/>
      <c r="ARW60" s="1298" t="s">
        <v>20</v>
      </c>
      <c r="ARX60" s="1299"/>
      <c r="ARY60" s="1336"/>
      <c r="ARZ60" s="1298" t="s">
        <v>20</v>
      </c>
      <c r="ASA60" s="1299"/>
      <c r="ASB60" s="1336"/>
      <c r="ASC60" s="1298" t="s">
        <v>20</v>
      </c>
      <c r="ASD60" s="1299"/>
      <c r="ASE60" s="1299"/>
      <c r="ASF60" s="1298" t="s">
        <v>20</v>
      </c>
      <c r="ASG60" s="1299"/>
      <c r="ASH60" s="1336"/>
      <c r="ASI60" s="1298" t="s">
        <v>20</v>
      </c>
      <c r="ASJ60" s="1299"/>
      <c r="ASK60" s="1299"/>
      <c r="ASL60" s="1298" t="s">
        <v>20</v>
      </c>
      <c r="ASM60" s="1299"/>
      <c r="ASN60" s="1336"/>
      <c r="ASO60" s="1298" t="s">
        <v>20</v>
      </c>
      <c r="ASP60" s="1299"/>
      <c r="ASQ60" s="1299"/>
      <c r="ASR60" s="1298" t="s">
        <v>20</v>
      </c>
      <c r="ASS60" s="1299"/>
      <c r="AST60" s="1336"/>
      <c r="ASU60" s="1298" t="s">
        <v>20</v>
      </c>
      <c r="ASV60" s="1299"/>
      <c r="ASW60" s="1336"/>
      <c r="ASX60" s="1298" t="s">
        <v>20</v>
      </c>
      <c r="ASY60" s="1299"/>
      <c r="ASZ60" s="1299"/>
      <c r="ATA60" s="1298" t="s">
        <v>20</v>
      </c>
      <c r="ATB60" s="1299"/>
      <c r="ATC60" s="1336"/>
      <c r="ATD60" s="1298" t="s">
        <v>20</v>
      </c>
      <c r="ATE60" s="1299"/>
      <c r="ATF60" s="1299"/>
      <c r="ATG60" s="1298" t="s">
        <v>20</v>
      </c>
      <c r="ATH60" s="1299"/>
      <c r="ATI60" s="1336"/>
      <c r="ATJ60" s="1298" t="s">
        <v>20</v>
      </c>
      <c r="ATK60" s="1299"/>
      <c r="ATL60" s="1336"/>
      <c r="ATM60" s="1298" t="s">
        <v>20</v>
      </c>
      <c r="ATN60" s="1299"/>
      <c r="ATO60" s="1336"/>
      <c r="ATP60" s="1298" t="s">
        <v>20</v>
      </c>
      <c r="ATQ60" s="1299"/>
      <c r="ATR60" s="1336"/>
      <c r="ATS60" s="1298" t="s">
        <v>20</v>
      </c>
      <c r="ATT60" s="1299"/>
      <c r="ATU60" s="1336"/>
      <c r="ATV60" s="1299" t="s">
        <v>20</v>
      </c>
      <c r="ATW60" s="1299"/>
      <c r="ATX60" s="1336"/>
      <c r="ATY60" s="1298" t="s">
        <v>20</v>
      </c>
      <c r="ATZ60" s="1299"/>
      <c r="AUA60" s="1299"/>
      <c r="AUB60" s="1298" t="s">
        <v>20</v>
      </c>
      <c r="AUC60" s="1299"/>
      <c r="AUD60" s="1336"/>
      <c r="AUE60" s="1298" t="s">
        <v>20</v>
      </c>
      <c r="AUF60" s="1299"/>
      <c r="AUG60" s="1336"/>
      <c r="AUH60" s="1298" t="s">
        <v>20</v>
      </c>
      <c r="AUI60" s="1299"/>
      <c r="AUJ60" s="1336"/>
      <c r="AUK60" s="1298" t="s">
        <v>20</v>
      </c>
      <c r="AUL60" s="1299"/>
      <c r="AUM60" s="1299"/>
      <c r="AUN60" s="1298" t="s">
        <v>20</v>
      </c>
      <c r="AUO60" s="1299"/>
      <c r="AUP60" s="1299"/>
      <c r="AUQ60" s="1298" t="s">
        <v>20</v>
      </c>
      <c r="AUR60" s="1299"/>
      <c r="AUS60" s="1299"/>
      <c r="AUT60" s="1298" t="s">
        <v>20</v>
      </c>
      <c r="AUU60" s="1299"/>
      <c r="AUV60" s="1299"/>
      <c r="AUW60" s="1298" t="s">
        <v>20</v>
      </c>
      <c r="AUX60" s="1299"/>
      <c r="AUY60" s="1299"/>
      <c r="AUZ60" s="1298" t="s">
        <v>20</v>
      </c>
      <c r="AVA60" s="1299"/>
      <c r="AVB60" s="1299"/>
      <c r="AVC60" s="1298" t="s">
        <v>20</v>
      </c>
      <c r="AVD60" s="1299"/>
      <c r="AVE60" s="1299"/>
      <c r="AVF60" s="1298" t="s">
        <v>20</v>
      </c>
      <c r="AVG60" s="1299"/>
      <c r="AVH60" s="1299"/>
      <c r="AVI60" s="1298" t="s">
        <v>20</v>
      </c>
      <c r="AVJ60" s="1299"/>
      <c r="AVK60" s="1299"/>
      <c r="AVL60" s="1298" t="s">
        <v>20</v>
      </c>
      <c r="AVM60" s="1299"/>
      <c r="AVN60" s="1299"/>
      <c r="AVO60" s="1298" t="s">
        <v>20</v>
      </c>
      <c r="AVP60" s="1299"/>
      <c r="AVQ60" s="1299"/>
      <c r="AVR60" s="1298" t="s">
        <v>20</v>
      </c>
      <c r="AVS60" s="1299"/>
      <c r="AVT60" s="1299"/>
      <c r="AVU60" s="1298" t="s">
        <v>20</v>
      </c>
      <c r="AVV60" s="1299"/>
      <c r="AVW60" s="1299"/>
      <c r="AVX60" s="1298" t="s">
        <v>20</v>
      </c>
      <c r="AVY60" s="1299"/>
      <c r="AVZ60" s="1299"/>
      <c r="AWA60" s="1298" t="s">
        <v>20</v>
      </c>
      <c r="AWB60" s="1299"/>
      <c r="AWC60" s="1299"/>
      <c r="AWD60" s="1298" t="s">
        <v>20</v>
      </c>
      <c r="AWE60" s="1299"/>
      <c r="AWF60" s="1299"/>
      <c r="AWG60" s="1298" t="s">
        <v>20</v>
      </c>
      <c r="AWH60" s="1299"/>
      <c r="AWI60" s="1299"/>
      <c r="AWJ60" s="1298" t="s">
        <v>20</v>
      </c>
      <c r="AWK60" s="1299"/>
      <c r="AWL60" s="1299"/>
      <c r="AWM60" s="1298" t="s">
        <v>20</v>
      </c>
      <c r="AWN60" s="1299"/>
      <c r="AWO60" s="1336"/>
      <c r="AWP60" s="1299" t="s">
        <v>20</v>
      </c>
      <c r="AWQ60" s="1299"/>
      <c r="AWR60" s="1336"/>
      <c r="AWS60" s="1298" t="s">
        <v>20</v>
      </c>
      <c r="AWT60" s="1299"/>
      <c r="AWU60" s="1336"/>
      <c r="AWV60" s="1298" t="s">
        <v>20</v>
      </c>
      <c r="AWW60" s="1299"/>
      <c r="AWX60" s="1336"/>
      <c r="AWY60" s="1298" t="s">
        <v>20</v>
      </c>
      <c r="AWZ60" s="1299"/>
      <c r="AXA60" s="1299"/>
      <c r="AXB60" s="1298" t="s">
        <v>20</v>
      </c>
      <c r="AXC60" s="1299"/>
      <c r="AXD60" s="1336"/>
      <c r="AXE60" s="1298" t="s">
        <v>20</v>
      </c>
      <c r="AXF60" s="1299"/>
      <c r="AXG60" s="1299"/>
      <c r="AXH60" s="1298" t="s">
        <v>20</v>
      </c>
      <c r="AXI60" s="1299"/>
      <c r="AXJ60" s="1336"/>
      <c r="AXK60" s="1298" t="s">
        <v>20</v>
      </c>
      <c r="AXL60" s="1299"/>
      <c r="AXM60" s="1336"/>
      <c r="AXN60" s="1298" t="s">
        <v>20</v>
      </c>
      <c r="AXO60" s="1299"/>
      <c r="AXP60" s="1336"/>
      <c r="AXQ60" s="1298" t="s">
        <v>20</v>
      </c>
      <c r="AXR60" s="1299"/>
      <c r="AXS60" s="1336"/>
      <c r="AXT60" s="1298" t="s">
        <v>20</v>
      </c>
      <c r="AXU60" s="1299"/>
      <c r="AXV60" s="1299"/>
      <c r="AXW60" s="1298" t="s">
        <v>20</v>
      </c>
      <c r="AXX60" s="1299"/>
      <c r="AXY60" s="1336"/>
      <c r="AXZ60" s="1298" t="s">
        <v>20</v>
      </c>
      <c r="AYA60" s="1299"/>
      <c r="AYB60" s="1299"/>
      <c r="AYC60" s="1298" t="s">
        <v>20</v>
      </c>
      <c r="AYD60" s="1299"/>
      <c r="AYE60" s="1336"/>
      <c r="AYF60" s="1298" t="s">
        <v>20</v>
      </c>
      <c r="AYG60" s="1299"/>
      <c r="AYH60" s="1336"/>
      <c r="AYI60" s="1298" t="s">
        <v>20</v>
      </c>
      <c r="AYJ60" s="1299"/>
      <c r="AYK60" s="1336"/>
      <c r="AYL60" s="1298" t="s">
        <v>20</v>
      </c>
      <c r="AYM60" s="1299"/>
      <c r="AYN60" s="1336"/>
      <c r="AYO60" s="1298" t="s">
        <v>20</v>
      </c>
      <c r="AYP60" s="1299"/>
      <c r="AYQ60" s="1299"/>
      <c r="AYR60" s="1298" t="s">
        <v>20</v>
      </c>
      <c r="AYS60" s="1299"/>
      <c r="AYT60" s="1336"/>
      <c r="AYU60" s="1298" t="s">
        <v>20</v>
      </c>
      <c r="AYV60" s="1299"/>
      <c r="AYW60" s="1299"/>
      <c r="AYX60" s="1298" t="s">
        <v>20</v>
      </c>
      <c r="AYY60" s="1299"/>
      <c r="AYZ60" s="1336"/>
      <c r="AZA60" s="1298" t="s">
        <v>20</v>
      </c>
      <c r="AZB60" s="1299"/>
      <c r="AZC60" s="1336"/>
      <c r="AZD60" s="1298" t="s">
        <v>20</v>
      </c>
      <c r="AZE60" s="1299"/>
      <c r="AZF60" s="1336"/>
      <c r="AZG60" s="1298" t="s">
        <v>20</v>
      </c>
      <c r="AZH60" s="1299"/>
      <c r="AZI60" s="1336"/>
      <c r="AZJ60" s="1298" t="s">
        <v>20</v>
      </c>
      <c r="AZK60" s="1299"/>
      <c r="AZL60" s="1299"/>
      <c r="AZM60" s="1298" t="s">
        <v>20</v>
      </c>
      <c r="AZN60" s="1299"/>
      <c r="AZO60" s="1336"/>
      <c r="AZP60" s="1298" t="s">
        <v>20</v>
      </c>
      <c r="AZQ60" s="1299"/>
      <c r="AZR60" s="1299"/>
      <c r="AZS60" s="1298" t="s">
        <v>20</v>
      </c>
      <c r="AZT60" s="1299"/>
      <c r="AZU60" s="1336"/>
      <c r="AZV60" s="1298" t="s">
        <v>20</v>
      </c>
      <c r="AZW60" s="1299"/>
      <c r="AZX60" s="1336"/>
      <c r="AZY60" s="1298" t="s">
        <v>20</v>
      </c>
      <c r="AZZ60" s="1299"/>
      <c r="BAA60" s="1336"/>
      <c r="BAB60" s="1298" t="s">
        <v>20</v>
      </c>
      <c r="BAC60" s="1299"/>
      <c r="BAD60" s="1336"/>
      <c r="BAE60" s="1298" t="s">
        <v>20</v>
      </c>
      <c r="BAF60" s="1299"/>
      <c r="BAG60" s="1299"/>
      <c r="BAH60" s="1298" t="s">
        <v>20</v>
      </c>
      <c r="BAI60" s="1299"/>
      <c r="BAJ60" s="1336"/>
    </row>
    <row r="61" spans="1:1388">
      <c r="A61" s="16"/>
      <c r="B61" s="41" t="s">
        <v>379</v>
      </c>
      <c r="C61" s="42"/>
      <c r="D61" s="42"/>
      <c r="E61" s="14"/>
      <c r="F61" s="1380" t="str">
        <f>IFERROR(IF(AND(F54="-",F55="-"),"-",IF(F5="LV",((F54+F55)*9.5)/F6,((F54+F55)*8)/F6)),"-")</f>
        <v>-</v>
      </c>
      <c r="G61" s="1380"/>
      <c r="H61" s="1381"/>
      <c r="I61" s="1379">
        <f>IFERROR(IF(AND(I54="-",I55="-"),"-",IF(I5="LV",((I54+I55)*9.5)/I6,((I54+I55)*8)/I6)),"-")</f>
        <v>0</v>
      </c>
      <c r="J61" s="1380"/>
      <c r="K61" s="1381"/>
      <c r="L61" s="1379">
        <f>IFERROR(IF(AND(L54="-",L55="-"),"-",IF(L5="LV",((L54+L55)*9.5)/L6,((L54+L55)*8)/L6)),"-")</f>
        <v>0</v>
      </c>
      <c r="M61" s="1380"/>
      <c r="N61" s="1381"/>
      <c r="O61" s="1379">
        <f>IFERROR(IF(AND(O54="-",O55="-"),"-",IF(O5="LV",((O54+O55)*9.5)/O6,((O54+O55)*8)/O6)),"-")</f>
        <v>0</v>
      </c>
      <c r="P61" s="1380"/>
      <c r="Q61" s="1381"/>
      <c r="R61" s="1379">
        <f>IFERROR(IF(AND(R54="-",R55="-"),"-",IF(R5="LV",((R54+R55)*9.5)/R6,((R54+R55)*8)/R6)),"-")</f>
        <v>0</v>
      </c>
      <c r="S61" s="1380"/>
      <c r="T61" s="1381"/>
      <c r="U61" s="1379">
        <f>IFERROR(IF(AND(U54="-",U55="-"),"-",IF(U5="LV",((U54+U55)*9.5)/U6,((U54+U55)*8)/U6)),"-")</f>
        <v>0</v>
      </c>
      <c r="V61" s="1380"/>
      <c r="W61" s="1381"/>
      <c r="X61" s="1379">
        <f>IFERROR(IF(AND(X54="-",X55="-"),"-",IF(X5="LV",((X54+X55)*9.5)/X6,((X54+X55)*8)/X6)),"-")</f>
        <v>0</v>
      </c>
      <c r="Y61" s="1380"/>
      <c r="Z61" s="1381"/>
      <c r="AA61" s="1379">
        <f>IFERROR(IF(AND(AA54="-",AA55="-"),"-",IF(AA5="LV",((AA54+AA55)*9.5)/AA6,((AA54+AA55)*8)/AA6)),"-")</f>
        <v>0</v>
      </c>
      <c r="AB61" s="1380"/>
      <c r="AC61" s="1381"/>
      <c r="AD61" s="1379">
        <f>IFERROR(IF(AND(AD54="-",AD55="-"),"-",IF(AD5="LV",((AD54+AD55)*9.5)/AD6,((AD54+AD55)*8)/AD6)),"-")</f>
        <v>0</v>
      </c>
      <c r="AE61" s="1380"/>
      <c r="AF61" s="1381"/>
      <c r="AG61" s="1379">
        <f>IFERROR(IF(AND(AG54="-",AG55="-"),"-",IF(AG5="LV",((AG54+AG55)*9.5)/AG6,((AG54+AG55)*8)/AG6)),"-")</f>
        <v>0</v>
      </c>
      <c r="AH61" s="1380"/>
      <c r="AI61" s="1381"/>
      <c r="AJ61" s="1379">
        <f>IFERROR(IF(AND(AJ54="-",AJ55="-"),"-",IF(AJ5="LV",((AJ54+AJ55)*9.5)/AJ6,((AJ54+AJ55)*8)/AJ6)),"-")</f>
        <v>0</v>
      </c>
      <c r="AK61" s="1380"/>
      <c r="AL61" s="1381"/>
      <c r="AM61" s="1379">
        <f>IFERROR(IF(AND(AM54="-",AM55="-"),"-",IF(AM5="LV",((AM54+AM55)*9.5)/AM6,((AM54+AM55)*8)/AM6)),"-")</f>
        <v>0</v>
      </c>
      <c r="AN61" s="1380"/>
      <c r="AO61" s="1381"/>
      <c r="AP61" s="1379">
        <f>IFERROR(IF(AND(AP54="-",AP55="-"),"-",IF(AP5="LV",((AP54+AP55)*9.5)/AP6,((AP54+AP55)*8)/AP6)),"-")</f>
        <v>0</v>
      </c>
      <c r="AQ61" s="1380"/>
      <c r="AR61" s="1381"/>
      <c r="AS61" s="1379">
        <f>IFERROR(IF(AND(AS54="-",AS55="-"),"-",IF(AS5="LV",((AS54+AS55)*9.5)/AS6,((AS54+AS55)*8)/AS6)),"-")</f>
        <v>0</v>
      </c>
      <c r="AT61" s="1380"/>
      <c r="AU61" s="1381"/>
      <c r="AV61" s="1379">
        <f>IFERROR(IF(AND(AV54="-",AV55="-"),"-",IF(AV5="LV",((AV54+AV55)*9.5)/AV6,((AV54+AV55)*8)/AV6)),"-")</f>
        <v>0</v>
      </c>
      <c r="AW61" s="1380"/>
      <c r="AX61" s="1381"/>
      <c r="AY61" s="1379">
        <f>IFERROR(IF(AND(AY54="-",AY55="-"),"-",IF(AY5="LV",((AY54+AY55)*9.5)/AY6,((AY54+AY55)*8)/AY6)),"-")</f>
        <v>0</v>
      </c>
      <c r="AZ61" s="1380"/>
      <c r="BA61" s="1381"/>
      <c r="BB61" s="1379" t="str">
        <f>IFERROR(IF(AND(BB54="-",BB55="-"),"-",IF(BB5="LV",((BB54+BB55)*9.5)/BB6,((BB54+BB55)*8)/BB6)),"-")</f>
        <v>-</v>
      </c>
      <c r="BC61" s="1380"/>
      <c r="BD61" s="1381"/>
      <c r="BE61" s="1379">
        <f>IFERROR(IF(AND(BE54="-",BE55="-"),"-",IF(BE5="LV",((BE54+BE55)*9.5)/BE6,((BE54+BE55)*8)/BE6)),"-")</f>
        <v>0</v>
      </c>
      <c r="BF61" s="1380"/>
      <c r="BG61" s="1381"/>
      <c r="BH61" s="1379">
        <f>IFERROR(IF(AND(BH54="-",BH55="-"),"-",IF(BH5="LV",((BH54+BH55)*9.5)/BH6,((BH54+BH55)*8)/BH6)),"-")</f>
        <v>0</v>
      </c>
      <c r="BI61" s="1380"/>
      <c r="BJ61" s="1381"/>
      <c r="BK61" s="1379">
        <f>IFERROR(IF(AND(BK54="-",BK55="-"),"-",IF(BK5="LV",((BK54+BK55)*9.5)/BK6,((BK54+BK55)*8)/BK6)),"-")</f>
        <v>0</v>
      </c>
      <c r="BL61" s="1380"/>
      <c r="BM61" s="1381"/>
      <c r="BN61" s="1379">
        <f>IFERROR(IF(AND(BN54="-",BN55="-"),"-",IF(BN5="LV",((BN54+BN55)*9.5)/BN6,((BN54+BN55)*8)/BN6)),"-")</f>
        <v>0</v>
      </c>
      <c r="BO61" s="1380"/>
      <c r="BP61" s="1381"/>
      <c r="BQ61" s="1379">
        <f>IFERROR(IF(AND(BQ54="-",BQ55="-"),"-",IF(BQ5="LV",((BQ54+BQ55)*9.5)/BQ6,((BQ54+BQ55)*8)/BQ6)),"-")</f>
        <v>0</v>
      </c>
      <c r="BR61" s="1380"/>
      <c r="BS61" s="1381"/>
      <c r="BT61" s="1379">
        <f>IFERROR(IF(AND(BT54="-",BT55="-"),"-",IF(BT5="LV",((BT54+BT55)*9.5)/BT6,((BT54+BT55)*8)/BT6)),"-")</f>
        <v>0</v>
      </c>
      <c r="BU61" s="1380"/>
      <c r="BV61" s="1381"/>
      <c r="BW61" s="1379">
        <f>IFERROR(IF(AND(BW54="-",BW55="-"),"-",IF(BW5="LV",((BW54+BW55)*9.5)/BW6,((BW54+BW55)*8)/BW6)),"-")</f>
        <v>0</v>
      </c>
      <c r="BX61" s="1380"/>
      <c r="BY61" s="1381"/>
      <c r="BZ61" s="1337">
        <f>IFERROR(IF(AND(BZ54="-",BZ55="-"),"-",IF(BZ5="LV",((BZ54+BZ55)*9.5)/(BZ6/1000),((BZ54+BZ55)*8)/(BZ6/1000))),"-")</f>
        <v>14.474566873980271</v>
      </c>
      <c r="CA61" s="1338"/>
      <c r="CB61" s="1339"/>
      <c r="CC61" s="1337">
        <f>IFERROR(IF(AND(CC54="-",CC55="-"),"-",IF(CC5="LV",((CC54+CC55)*9.5)/(CC6/1000),((CC54+CC55)*8)/(CC6/1000))),"-")</f>
        <v>14.857867483884604</v>
      </c>
      <c r="CD61" s="1338"/>
      <c r="CE61" s="1339"/>
      <c r="CF61" s="1337">
        <f>IFERROR(IF(AND(CF54="-",CF55="-"),"-",IF(CF5="LV",((CF54+CF55)*9.5)/(CF6/1000),((CF54+CF55)*8)/(CF6/1000))),"-")</f>
        <v>16.737975681126088</v>
      </c>
      <c r="CG61" s="1338"/>
      <c r="CH61" s="1339"/>
      <c r="CI61" s="1337">
        <f>IFERROR(IF(AND(CI54="-",CI55="-"),"-",IF(CI5="LV",((CI54+CI55)*9.5)/(CI6/1000),((CI54+CI55)*8)/(CI6/1000))),"-")</f>
        <v>14.130316221603023</v>
      </c>
      <c r="CJ61" s="1338"/>
      <c r="CK61" s="1339"/>
      <c r="CL61" s="1337">
        <f>IFERROR(IF(AND(CL54="-",CL55="-"),"-",IF(CL5="LV",((CL54+CL55)*9.5)/(CL6/1000),((CL54+CL55)*8)/(CL6/1000))),"-")</f>
        <v>17.105871474803514</v>
      </c>
      <c r="CM61" s="1338"/>
      <c r="CN61" s="1339"/>
      <c r="CO61" s="1337" t="str">
        <f>IFERROR(IF(AND(CO54="-",CO55="-"),"-",IF(CO5="LV",((CO54+CO55)*9.5)/(CO6/1000),((CO54+CO55)*8)/(CO6/1000))),"-")</f>
        <v>-</v>
      </c>
      <c r="CP61" s="1338"/>
      <c r="CQ61" s="1339"/>
      <c r="CR61" s="1337">
        <f>IFERROR(IF(AND(CR54="-",CR55="-"),"-",IF(CR5="LV",((CR54+CR55)*9.5)/(CR6/1000),((CR54+CR55)*8)/(CR6/1000))),"-")</f>
        <v>11.555298771138418</v>
      </c>
      <c r="CS61" s="1338"/>
      <c r="CT61" s="1339"/>
      <c r="CU61" s="1337">
        <f>IFERROR(IF(AND(CU54="-",CU55="-"),"-",IF(CU5="LV",((CU54+CU55)*9.5)/(CU6/1000),((CU54+CU55)*8)/(CU6/1000))),"-")</f>
        <v>15.745295124037639</v>
      </c>
      <c r="CV61" s="1338"/>
      <c r="CW61" s="1339"/>
      <c r="CX61" s="1337">
        <f>IFERROR(IF(AND(CX54="-",CX55="-"),"-",IF(CX5="LV",((CX54+CX55)*9.5)/(CX6/1000),((CX54+CX55)*8)/(CX6/1000))),"-")</f>
        <v>17.468920695018873</v>
      </c>
      <c r="CY61" s="1338"/>
      <c r="CZ61" s="1339"/>
      <c r="DA61" s="1337">
        <f>IFERROR(IF(AND(DA54="-",DA55="-"),"-",IF(DA5="LV",((DA54+DA55)*9.5)/(DA6/1000),((DA54+DA55)*8)/(DA6/1000))),"-")</f>
        <v>16.541087967103866</v>
      </c>
      <c r="DB61" s="1338"/>
      <c r="DC61" s="1339"/>
      <c r="DD61" s="1337">
        <f>IFERROR(IF(AND(DD54="-",DD55="-"),"-",IF(DD5="LV",((DD54+DD55)*9.5)/(DD6/1000),((DD54+DD55)*8)/(DD6/1000))),"-")</f>
        <v>29.029194367593014</v>
      </c>
      <c r="DE61" s="1338"/>
      <c r="DF61" s="1339"/>
      <c r="DG61" s="1337">
        <f>IFERROR(IF(AND(DG54="-",DG55="-"),"-",IF(DG5="LV",((DG54+DG55)*9.5)/(DG6/1000),((DG54+DG55)*8)/(DG6/1000))),"-")</f>
        <v>16.159097793415196</v>
      </c>
      <c r="DH61" s="1338"/>
      <c r="DI61" s="1339"/>
      <c r="DJ61" s="1337">
        <f>IFERROR(IF(AND(DJ54="-",DJ55="-"),"-",IF(DJ5="LV",((DJ54+DJ55)*9.5)/(DJ6/1000),((DJ54+DJ55)*8)/(DJ6/1000))),"-")</f>
        <v>10.244589576130107</v>
      </c>
      <c r="DK61" s="1338"/>
      <c r="DL61" s="1339"/>
      <c r="DM61" s="1337" t="str">
        <f>IFERROR(IF(AND(DM54="-",DM55="-"),"-",IF(DM5="LV",((DM54+DM55)*9.5)/(DM6/1000),((DM54+DM55)*8)/(DM6/1000))),"-")</f>
        <v>-</v>
      </c>
      <c r="DN61" s="1338"/>
      <c r="DO61" s="1339"/>
      <c r="DP61" s="1337">
        <f>IFERROR(IF(AND(DP54="-",DP55="-"),"-",IF(DP5="LV",((DP54+DP55)*9.5)/(DP6/1000),((DP54+DP55)*8)/(DP6/1000))),"-")</f>
        <v>14.594558489557821</v>
      </c>
      <c r="DQ61" s="1338"/>
      <c r="DR61" s="1339"/>
      <c r="DS61" s="1337">
        <f>IFERROR(IF(AND(DS54="-",DS55="-"),"-",IF(DS5="LV",((DS54+DS55)*9.5)/(DS6/1000),((DS54+DS55)*8)/(DS6/1000))),"-")</f>
        <v>19.165862409282493</v>
      </c>
      <c r="DT61" s="1338"/>
      <c r="DU61" s="1339"/>
      <c r="DV61" s="1337">
        <f>IFERROR(IF(AND(DV54="-",DV55="-"),"-",IF(DV5="LV",((DV54+DV55)*9.5)/(DV6/1000),((DV54+DV55)*8)/(DV6/1000))),"-")</f>
        <v>15.287731193408574</v>
      </c>
      <c r="DW61" s="1338"/>
      <c r="DX61" s="1339"/>
      <c r="DY61" s="1337">
        <f>IFERROR(IF(AND(DY54="-",DY55="-"),"-",IF(DY5="LV",((DY54+DY55)*9.5)/(DY6/1000),((DY54+DY55)*8)/(DY6/1000))),"-")</f>
        <v>15.884400286887228</v>
      </c>
      <c r="DZ61" s="1338"/>
      <c r="EA61" s="1339"/>
      <c r="EB61" s="1337">
        <f>IFERROR(IF(AND(EB54="-",EB55="-"),"-",IF(EB5="LV",((EB54+EB55)*9.5)/(EB6/1000),((EB54+EB55)*8)/(EB6/1000))),"-")</f>
        <v>16.257965727667816</v>
      </c>
      <c r="EC61" s="1338"/>
      <c r="ED61" s="1339"/>
      <c r="EE61" s="1337">
        <f>IFERROR(IF(AND(EE54="-",EE55="-"),"-",IF(EE5="LV",((EE54+EE55)*9.5)/(EE6/1000),((EE54+EE55)*8)/(EE6/1000))),"-")</f>
        <v>9.7689961182330336</v>
      </c>
      <c r="EF61" s="1338"/>
      <c r="EG61" s="1339"/>
      <c r="EH61" s="1337" t="str">
        <f>IFERROR(IF(AND(EH54="-",EH55="-"),"-",IF(EH5="LV",((EH54+EH55)*9.5)/(EH6/1000),((EH54+EH55)*8)/(EH6/1000))),"-")</f>
        <v>-</v>
      </c>
      <c r="EI61" s="1338"/>
      <c r="EJ61" s="1339"/>
      <c r="EK61" s="1337">
        <f>IFERROR(IF(AND(EK54="-",EK55="-"),"-",IF(EK5="LV",((EK54+EK55)*9.5)/(EK6/1000),((EK54+EK55)*8)/(EK6/1000))),"-")</f>
        <v>15.52430491622169</v>
      </c>
      <c r="EL61" s="1338"/>
      <c r="EM61" s="1339"/>
      <c r="EN61" s="1337">
        <f>IFERROR(IF(AND(EN54="-",EN55="-"),"-",IF(EN5="LV",((EN54+EN55)*9.5)/(EN6/1000),((EN54+EN55)*8)/(EN6/1000))),"-")</f>
        <v>14.739303352126218</v>
      </c>
      <c r="EO61" s="1338"/>
      <c r="EP61" s="1339"/>
      <c r="EQ61" s="1337">
        <f>IFERROR(IF(AND(EQ54="-",EQ55="-"),"-",IF(EQ5="LV",((EQ54+EQ55)*9.5)/(EQ6/1000),((EQ54+EQ55)*8)/(EQ6/1000))),"-")</f>
        <v>14.800665869899266</v>
      </c>
      <c r="ER61" s="1338"/>
      <c r="ES61" s="1339"/>
      <c r="ET61" s="1337">
        <f>IFERROR(IF(AND(ET54="-",ET55="-"),"-",IF(ET5="LV",((ET54+ET55)*9.5)/(ET6/1000),((ET54+ET55)*8)/(ET6/1000))),"-")</f>
        <v>14.860715984081827</v>
      </c>
      <c r="EU61" s="1338"/>
      <c r="EV61" s="1339"/>
      <c r="EW61" s="1337">
        <f>IFERROR(IF(AND(EW54="-",EW55="-"),"-",IF(EW5="LV",((EW54+EW55)*9.5)/(EW6/1000),((EW54+EW55)*8)/(EW6/1000))),"-")</f>
        <v>14.4446064443565</v>
      </c>
      <c r="EX61" s="1338"/>
      <c r="EY61" s="1339"/>
      <c r="EZ61" s="1337">
        <f>IFERROR(IF(AND(EZ54="-",EZ55="-"),"-",IF(EZ5="LV",((EZ54+EZ55)*9.5)/(EZ6/1000),((EZ54+EZ55)*8)/(EZ6/1000))),"-")</f>
        <v>9.6902578300744064</v>
      </c>
      <c r="FA61" s="1338"/>
      <c r="FB61" s="1339"/>
      <c r="FC61" s="1337">
        <f>IFERROR(IF(AND(FC54="-",FC55="-"),"-",IF(FC5="LV",((FC54+FC55)*9.5)/(FC6/1000),((FC54+FC55)*8)/(FC6/1000))),"-")</f>
        <v>10.384124609495315</v>
      </c>
      <c r="FD61" s="1338"/>
      <c r="FE61" s="1339"/>
      <c r="FF61" s="1337">
        <f>IFERROR(IF(AND(FF54="-",FF55="-"),"-",IF(FF5="LV",((FF54+FF55)*9.5)/(FF6/1000),((FF54+FF55)*8)/(FF6/1000))),"-")</f>
        <v>16.431658242161081</v>
      </c>
      <c r="FG61" s="1338"/>
      <c r="FH61" s="1339"/>
      <c r="FI61" s="1337">
        <f>IFERROR(IF(AND(FI54="-",FI55="-"),"-",IF(FI5="LV",((FI54+FI55)*9.5)/(FI6/1000),((FI54+FI55)*8)/(FI6/1000))),"-")</f>
        <v>15.879518129018438</v>
      </c>
      <c r="FJ61" s="1338"/>
      <c r="FK61" s="1339"/>
      <c r="FL61" s="1337">
        <f>IFERROR(IF(AND(FL54="-",FL55="-"),"-",IF(FL5="LV",((FL54+FL55)*9.5)/(FL6/1000),((FL54+FL55)*8)/(FL6/1000))),"-")</f>
        <v>15.95189471295666</v>
      </c>
      <c r="FM61" s="1338"/>
      <c r="FN61" s="1339"/>
      <c r="FO61" s="1337">
        <f>IFERROR(IF(AND(FO54="-",FO55="-"),"-",IF(FO5="LV",((FO54+FO55)*9.5)/(FO6/1000),((FO54+FO55)*8)/(FO6/1000))),"-")</f>
        <v>16.028633325609597</v>
      </c>
      <c r="FP61" s="1338"/>
      <c r="FQ61" s="1339"/>
      <c r="FR61" s="1337">
        <f>IFERROR(IF(AND(FR54="-",FR55="-"),"-",IF(FR5="LV",((FR54+FR55)*9.5)/(FR6/1000),((FR54+FR55)*8)/(FR6/1000))),"-")</f>
        <v>14.724243337495157</v>
      </c>
      <c r="FS61" s="1338"/>
      <c r="FT61" s="1339"/>
      <c r="FU61" s="1337">
        <f>IFERROR(IF(AND(FU54="-",FU55="-"),"-",IF(FU5="LV",((FU54+FU55)*9.5)/(FU6/1000),((FU54+FU55)*8)/(FU6/1000))),"-")</f>
        <v>7.3047853192077046</v>
      </c>
      <c r="FV61" s="1338"/>
      <c r="FW61" s="1339"/>
      <c r="FX61" s="1337">
        <f>IFERROR(IF(AND(FX54="-",FX55="-"),"-",IF(FX5="LV",((FX54+FX55)*9.5)/(FX6/1000),((FX54+FX55)*8)/(FX6/1000))),"-")</f>
        <v>23.916531305742954</v>
      </c>
      <c r="FY61" s="1338"/>
      <c r="FZ61" s="1339"/>
      <c r="GA61" s="1337">
        <f>IFERROR(IF(AND(GA54="-",GA55="-"),"-",IF(GA5="LV",((GA54+GA55)*9.5)/(GA6/1000),((GA54+GA55)*8)/(GA6/1000))),"-")</f>
        <v>9.7752569298917056</v>
      </c>
      <c r="GB61" s="1338"/>
      <c r="GC61" s="1339"/>
      <c r="GD61" s="1337">
        <f>IFERROR(IF(AND(GD54="-",GD55="-"),"-",IF(GD5="LV",((GD54+GD55)*9.5)/(GD6/1000),((GD54+GD55)*8)/(GD6/1000))),"-")</f>
        <v>17.459944491102526</v>
      </c>
      <c r="GE61" s="1338"/>
      <c r="GF61" s="1339"/>
      <c r="GG61" s="1337">
        <f>IFERROR(IF(AND(GG54="-",GG55="-"),"-",IF(GG5="LV",((GG54+GG55)*9.5)/(GG6/1000),((GG54+GG55)*8)/(GG6/1000))),"-")</f>
        <v>13.16009720001616</v>
      </c>
      <c r="GH61" s="1338"/>
      <c r="GI61" s="1339"/>
      <c r="GJ61" s="1337">
        <f>IFERROR(IF(AND(GJ54="-",GJ55="-"),"-",IF(GJ5="LV",((GJ54+GJ55)*9.5)/(GJ6/1000),((GJ54+GJ55)*8)/(GJ6/1000))),"-")</f>
        <v>16.827052889652119</v>
      </c>
      <c r="GK61" s="1338"/>
      <c r="GL61" s="1339"/>
      <c r="GM61" s="1337">
        <f>IFERROR(IF(AND(GM54="-",GM55="-"),"-",IF(GM5="LV",((GM54+GM55)*9.5)/(GM6/1000),((GM54+GM55)*8)/(GM6/1000))),"-")</f>
        <v>17.911935229723934</v>
      </c>
      <c r="GN61" s="1338"/>
      <c r="GO61" s="1339"/>
      <c r="GP61" s="1337" t="str">
        <f>IFERROR(IF(AND(GP54="-",GP55="-"),"-",IF(GP5="LV",((GP54+GP55)*9.5)/(GP6/1000),((GP54+GP55)*8)/(GP6/1000))),"-")</f>
        <v>-</v>
      </c>
      <c r="GQ61" s="1338"/>
      <c r="GR61" s="1339"/>
      <c r="GS61" s="1337">
        <f>IFERROR(IF(AND(GS54="-",GS55="-"),"-",IF(GS5="LV",((GS54+GS55)*9.5)/(GS6/1000),((GS54+GS55)*8)/(GS6/1000))),"-")</f>
        <v>9.3997845882698527</v>
      </c>
      <c r="GT61" s="1338"/>
      <c r="GU61" s="1339"/>
      <c r="GV61" s="1337">
        <f>IFERROR(IF(AND(GV54="-",GV55="-"),"-",IF(GV5="LV",((GV54+GV55)*9.5)/(GV6/1000),((GV54+GV55)*8)/(GV6/1000))),"-")</f>
        <v>20.322372021292473</v>
      </c>
      <c r="GW61" s="1338"/>
      <c r="GX61" s="1339"/>
      <c r="GY61" s="1337">
        <f>IFERROR(IF(AND(GY54="-",GY55="-"),"-",IF(GY5="LV",((GY54+GY55)*9.5)/(GY6/1000),((GY54+GY55)*8)/(GY6/1000))),"-")</f>
        <v>17.124579745625581</v>
      </c>
      <c r="GZ61" s="1338"/>
      <c r="HA61" s="1339"/>
      <c r="HB61" s="1337">
        <f>IFERROR(IF(AND(HB54="-",HB55="-"),"-",IF(HB5="LV",((HB54+HB55)*9.5)/(HB6/1000),((HB54+HB55)*8)/(HB6/1000))),"-")</f>
        <v>17.45055320603187</v>
      </c>
      <c r="HC61" s="1338"/>
      <c r="HD61" s="1339"/>
      <c r="HE61" s="1337">
        <f>IFERROR(IF(AND(HE54="-",HE55="-"),"-",IF(HE5="LV",((HE54+HE55)*9.5)/(HE6/1000),((HE54+HE55)*8)/(HE6/1000))),"-")</f>
        <v>16.722613394465366</v>
      </c>
      <c r="HF61" s="1338"/>
      <c r="HG61" s="1339"/>
      <c r="HH61" s="1337">
        <f>IFERROR(IF(AND(HH54="-",HH55="-"),"-",IF(HH5="LV",((HH54+HH55)*9.5)/(HH6/1000),((HH54+HH55)*8)/(HH6/1000))),"-")</f>
        <v>16.613290632506004</v>
      </c>
      <c r="HI61" s="1338"/>
      <c r="HJ61" s="1339"/>
      <c r="HK61" s="1337">
        <f>IFERROR(IF(AND(HK54="-",HK55="-"),"-",IF(HK5="LV",((HK54+HK55)*9.5)/(HK6/1000),((HK54+HK55)*8)/(HK6/1000))),"-")</f>
        <v>10.319375104507561</v>
      </c>
      <c r="HL61" s="1338"/>
      <c r="HM61" s="1339"/>
      <c r="HN61" s="1337">
        <f>IFERROR(IF(AND(HN54="-",HN55="-"),"-",IF(HN5="LV",((HN54+HN55)*9.5)/(HN6/1000),((HN54+HN55)*8)/(HN6/1000))),"-")</f>
        <v>13.966923785036347</v>
      </c>
      <c r="HO61" s="1338"/>
      <c r="HP61" s="1339"/>
      <c r="HQ61" s="1337">
        <f>IFERROR(IF(AND(HQ54="-",HQ55="-"),"-",IF(HQ5="LV",((HQ54+HQ55)*9.5)/(HQ6/1000),((HQ54+HQ55)*8)/(HQ6/1000))),"-")</f>
        <v>16.586486378466386</v>
      </c>
      <c r="HR61" s="1338"/>
      <c r="HS61" s="1339"/>
      <c r="HT61" s="1337">
        <f>IFERROR(IF(AND(HT54="-",HT55="-"),"-",IF(HT5="LV",((HT54+HT55)*9.5)/(HT6/1000),((HT54+HT55)*8)/(HT6/1000))),"-")</f>
        <v>18.458549222797927</v>
      </c>
      <c r="HU61" s="1338"/>
      <c r="HV61" s="1339"/>
      <c r="HW61" s="1337">
        <f>IFERROR(IF(AND(HW54="-",HW55="-"),"-",IF(HW5="LV",((HW54+HW55)*9.5)/(HW6/1000),((HW54+HW55)*8)/(HW6/1000))),"-")</f>
        <v>16.544473350390231</v>
      </c>
      <c r="HX61" s="1338"/>
      <c r="HY61" s="1339"/>
      <c r="HZ61" s="1337">
        <f>IFERROR(IF(AND(HZ54="-",HZ55="-"),"-",IF(HZ5="LV",((HZ54+HZ55)*9.5)/(HZ6/1000),((HZ54+HZ55)*8)/(HZ6/1000))),"-")</f>
        <v>15.778465828702659</v>
      </c>
      <c r="IA61" s="1338"/>
      <c r="IB61" s="1339"/>
      <c r="IC61" s="1337" t="str">
        <f>IFERROR(IF(AND(IC54="-",IC55="-"),"-",IF(IC5="LV",((IC54+IC55)*9.5)/(IC6/1000),((IC54+IC55)*8)/(IC6/1000))),"-")</f>
        <v>-</v>
      </c>
      <c r="ID61" s="1338"/>
      <c r="IE61" s="1339"/>
      <c r="IF61" s="1337" t="str">
        <f>IFERROR(IF(AND(IF54="-",IF55="-"),"-",IF(IF5="LV",((IF54+IF55)*9.5)/(IF6/1000),((IF54+IF55)*8)/(IF6/1000))),"-")</f>
        <v>-</v>
      </c>
      <c r="IG61" s="1338"/>
      <c r="IH61" s="1339"/>
      <c r="II61" s="1337" t="str">
        <f>IFERROR(IF(AND(II54="-",II55="-"),"-",IF(II5="LV",((II54+II55)*9.5)/(II6/1000),((II54+II55)*8)/(II6/1000))),"-")</f>
        <v>-</v>
      </c>
      <c r="IJ61" s="1338"/>
      <c r="IK61" s="1339"/>
      <c r="IL61" s="1337">
        <f>IFERROR(IF(AND(IL54="-",IL55="-"),"-",IF(IL5="LV",((IL54+IL55)*9.5)/(IL6/1000),((IL54+IL55)*8)/(IL6/1000))),"-")</f>
        <v>20.851398222414911</v>
      </c>
      <c r="IM61" s="1338"/>
      <c r="IN61" s="1339"/>
      <c r="IO61" s="1337">
        <f>IFERROR(IF(AND(IO54="-",IO55="-"),"-",IF(IO5="LV",((IO54+IO55)*9.5)/(IO6/1000),((IO54+IO55)*8)/(IO6/1000))),"-")</f>
        <v>18.089011241110345</v>
      </c>
      <c r="IP61" s="1338"/>
      <c r="IQ61" s="1339"/>
      <c r="IR61" s="1337">
        <f>IFERROR(IF(AND(IR54="-",IR55="-"),"-",IF(IR5="LV",((IR54+IR55)*9.5)/(IR6/1000),((IR54+IR55)*8)/(IR6/1000))),"-")</f>
        <v>16.357166543376785</v>
      </c>
      <c r="IS61" s="1338"/>
      <c r="IT61" s="1339"/>
      <c r="IU61" s="1337">
        <f>IFERROR(IF(AND(IU54="-",IU55="-"),"-",IF(IU5="LV",((IU54+IU55)*9.5)/(IU6/1000),((IU54+IU55)*8)/(IU6/1000))),"-")</f>
        <v>14.913597739412554</v>
      </c>
      <c r="IV61" s="1338"/>
      <c r="IW61" s="1339"/>
      <c r="IX61" s="1337">
        <f>IFERROR(IF(AND(IX54="-",IX55="-"),"-",IF(IX5="LV",((IX54+IX55)*9.5)/(IX6/1000),((IX54+IX55)*8)/(IX6/1000))),"-")</f>
        <v>15.717534868608585</v>
      </c>
      <c r="IY61" s="1338"/>
      <c r="IZ61" s="1339"/>
      <c r="JA61" s="1337">
        <f>IFERROR(IF(AND(JA54="-",JA55="-"),"-",IF(JA5="LV",((JA54+JA55)*9.5)/(JA6/1000),((JA54+JA55)*8)/(JA6/1000))),"-")</f>
        <v>11.728754232201847</v>
      </c>
      <c r="JB61" s="1338"/>
      <c r="JC61" s="1339"/>
      <c r="JD61" s="1337">
        <f>IFERROR(IF(AND(JD54="-",JD55="-"),"-",IF(JD5="LV",((JD54+JD55)*9.5)/(JD6/1000),((JD54+JD55)*8)/(JD6/1000))),"-")</f>
        <v>20.507979394363556</v>
      </c>
      <c r="JE61" s="1338"/>
      <c r="JF61" s="1339"/>
      <c r="JG61" s="1337">
        <f>IFERROR(IF(AND(JG54="-",JG55="-"),"-",IF(JG5="LV",((JG54+JG55)*9.5)/(JG6/1000),((JG54+JG55)*8)/(JG6/1000))),"-")</f>
        <v>18.362568475247873</v>
      </c>
      <c r="JH61" s="1338"/>
      <c r="JI61" s="1339"/>
      <c r="JJ61" s="1337">
        <f>IFERROR(IF(AND(JJ54="-",JJ55="-"),"-",IF(JJ5="LV",((JJ54+JJ55)*9.5)/(JJ6/1000),((JJ54+JJ55)*8)/(JJ6/1000))),"-")</f>
        <v>18.660210584016628</v>
      </c>
      <c r="JK61" s="1338"/>
      <c r="JL61" s="1339"/>
      <c r="JM61" s="1337">
        <f>IFERROR(IF(AND(JM54="-",JM55="-"),"-",IF(JM5="LV",((JM54+JM55)*9.5)/(JM6/1000),((JM54+JM55)*8)/(JM6/1000))),"-")</f>
        <v>17.697504803453722</v>
      </c>
      <c r="JN61" s="1338"/>
      <c r="JO61" s="1339"/>
      <c r="JP61" s="1337" t="str">
        <f>IFERROR(IF(AND(JP54="-",JP55="-"),"-",IF(JP5="LV",((JP54+JP55)*9.5)/(JP6/1000),((JP54+JP55)*8)/(JP6/1000))),"-")</f>
        <v>-</v>
      </c>
      <c r="JQ61" s="1338"/>
      <c r="JR61" s="1339"/>
      <c r="JS61" s="1337">
        <f>IFERROR(IF(AND(JS54="-",JS55="-"),"-",IF(JS5="LV",((JS54+JS55)*9.5)/(JS6/1000),((JS54+JS55)*8)/(JS6/1000))),"-")</f>
        <v>17.042222708378912</v>
      </c>
      <c r="JT61" s="1338"/>
      <c r="JU61" s="1339"/>
      <c r="JV61" s="1337">
        <f>IFERROR(IF(AND(JV54="-",JV55="-"),"-",IF(JV5="LV",((JV54+JV55)*9.5)/(JV6/1000),((JV54+JV55)*8)/(JV6/1000))),"-")</f>
        <v>12.124856203677707</v>
      </c>
      <c r="JW61" s="1338"/>
      <c r="JX61" s="1339"/>
      <c r="JY61" s="1337" t="str">
        <f>IFERROR(IF(AND(JY54="-",JY55="-"),"-",IF(JY5="LV",((JY54+JY55)*9.5)/(JY6/1000),((JY54+JY55)*8)/(JY6/1000))),"-")</f>
        <v>-</v>
      </c>
      <c r="JZ61" s="1338"/>
      <c r="KA61" s="1339"/>
      <c r="KB61" s="1337">
        <f>IFERROR(IF(AND(KB54="-",KB55="-"),"-",IF(KB5="LV",((KB54+KB55)*9.5)/(KB6/1000),((KB54+KB55)*8)/(KB6/1000))),"-")</f>
        <v>19.54501383403883</v>
      </c>
      <c r="KC61" s="1338"/>
      <c r="KD61" s="1339"/>
      <c r="KE61" s="1337">
        <f>IFERROR(IF(AND(KE54="-",KE55="-"),"-",IF(KE5="LV",((KE54+KE55)*9.5)/(KE6/1000),((KE54+KE55)*8)/(KE6/1000))),"-")</f>
        <v>18.139463835637361</v>
      </c>
      <c r="KF61" s="1338"/>
      <c r="KG61" s="1339"/>
      <c r="KH61" s="1337">
        <f>IFERROR(IF(AND(KH54="-",KH55="-"),"-",IF(KH5="LV",((KH54+KH55)*9.5)/(KH6/1000),((KH54+KH55)*8)/(KH6/1000))),"-")</f>
        <v>22.002837207955761</v>
      </c>
      <c r="KI61" s="1338"/>
      <c r="KJ61" s="1339"/>
      <c r="KK61" s="1337">
        <f>IFERROR(IF(AND(KK54="-",KK55="-"),"-",IF(KK5="LV",((KK54+KK55)*9.5)/(KK6/1000),((KK54+KK55)*8)/(KK6/1000))),"-")</f>
        <v>17.376628019604826</v>
      </c>
      <c r="KL61" s="1338"/>
      <c r="KM61" s="1339"/>
      <c r="KN61" s="1337">
        <f>IFERROR(IF(AND(KN54="-",KN55="-"),"-",IF(KN5="LV",((KN54+KN55)*9.5)/(KN6/1000),((KN54+KN55)*8)/(KN6/1000))),"-")</f>
        <v>16.631786533585544</v>
      </c>
      <c r="KO61" s="1338"/>
      <c r="KP61" s="1339"/>
      <c r="KQ61" s="1337">
        <f>IFERROR(IF(AND(KQ54="-",KQ55="-"),"-",IF(KQ5="LV",((KQ54+KQ55)*9.5)/(KQ6/1000),((KQ54+KQ55)*8)/(KQ6/1000))),"-")</f>
        <v>14.814369938840676</v>
      </c>
      <c r="KR61" s="1338"/>
      <c r="KS61" s="1339"/>
      <c r="KT61" s="1337">
        <f>IFERROR(IF(AND(KT54="-",KT55="-"),"-",IF(KT5="LV",((KT54+KT55)*9.5)/(KT6/1000),((KT54+KT55)*8)/(KT6/1000))),"-")</f>
        <v>12.054346715701298</v>
      </c>
      <c r="KU61" s="1338"/>
      <c r="KV61" s="1339"/>
      <c r="KW61" s="1337">
        <f>IFERROR(IF(AND(KW54="-",KW55="-"),"-",IF(KW5="LV",((KW54+KW55)*9.5)/(KW6/1000),((KW54+KW55)*8)/(KW6/1000))),"-")</f>
        <v>19.535070341299495</v>
      </c>
      <c r="KX61" s="1338"/>
      <c r="KY61" s="1339"/>
      <c r="KZ61" s="1337">
        <f>IFERROR(IF(AND(KZ54="-",KZ55="-"),"-",IF(KZ5="LV",((KZ54+KZ55)*9.5)/(KZ6/1000),((KZ54+KZ55)*8)/(KZ6/1000))),"-")</f>
        <v>15.986687109681762</v>
      </c>
      <c r="LA61" s="1338"/>
      <c r="LB61" s="1339"/>
      <c r="LC61" s="1337">
        <f>IFERROR(IF(AND(LC54="-",LC55="-"),"-",IF(LC5="LV",((LC54+LC55)*9.5)/(LC6/1000),((LC54+LC55)*8)/(LC6/1000))),"-")</f>
        <v>15.95138625142423</v>
      </c>
      <c r="LD61" s="1338"/>
      <c r="LE61" s="1339"/>
      <c r="LF61" s="1337">
        <f>IFERROR(IF(AND(LF54="-",LF55="-"),"-",IF(LF5="LV",((LF54+LF55)*9.5)/(LF6/1000),((LF54+LF55)*8)/(LF6/1000))),"-")</f>
        <v>16.284145381341997</v>
      </c>
      <c r="LG61" s="1338"/>
      <c r="LH61" s="1339"/>
      <c r="LI61" s="1337">
        <f>IFERROR(IF(AND(LI54="-",LI55="-"),"-",IF(LI5="LV",((LI54+LI55)*9.5)/(LI6/1000),((LI54+LI55)*8)/(LI6/1000))),"-")</f>
        <v>17.315915202408572</v>
      </c>
      <c r="LJ61" s="1338"/>
      <c r="LK61" s="1339"/>
      <c r="LL61" s="1337" t="str">
        <f>IFERROR(IF(AND(LL54="-",LL55="-"),"-",IF(LL5="LV",((LL54+LL55)*9.5)/(LL6/1000),((LL54+LL55)*8)/(LL6/1000))),"-")</f>
        <v>-</v>
      </c>
      <c r="LM61" s="1338"/>
      <c r="LN61" s="1339"/>
      <c r="LO61" s="1337" t="str">
        <f>IFERROR(IF(AND(LO54="-",LO55="-"),"-",IF(LO5="LV",((LO54+LO55)*9.5)/(LO6/1000),((LO54+LO55)*8)/(LO6/1000))),"-")</f>
        <v>-</v>
      </c>
      <c r="LP61" s="1338"/>
      <c r="LQ61" s="1339"/>
      <c r="LR61" s="1337">
        <f>IFERROR(IF(AND(LR54="-",LR55="-"),"-",IF(LR5="LV",((LR54+LR55)*9.5)/(LR6/1000),((LR54+LR55)*8)/(LR6/1000))),"-")</f>
        <v>18.404836375519352</v>
      </c>
      <c r="LS61" s="1338"/>
      <c r="LT61" s="1339"/>
      <c r="LU61" s="1337">
        <f>IFERROR(IF(AND(LU54="-",LU55="-"),"-",IF(LU5="LV",((LU54+LU55)*9.5)/(LU6/1000),((LU54+LU55)*8)/(LU6/1000))),"-")</f>
        <v>17.971919587910836</v>
      </c>
      <c r="LV61" s="1338"/>
      <c r="LW61" s="1339"/>
      <c r="LX61" s="1337">
        <f>IFERROR(IF(AND(LX54="-",LX55="-"),"-",IF(LX5="LV",((LX54+LX55)*9.5)/(LX6/1000),((LX54+LX55)*8)/(LX6/1000))),"-")</f>
        <v>17.119802576344778</v>
      </c>
      <c r="LY61" s="1338"/>
      <c r="LZ61" s="1339"/>
      <c r="MA61" s="1337">
        <f>IFERROR(IF(AND(MA54="-",MA55="-"),"-",IF(MA5="LV",((MA54+MA55)*9.5)/(MA6/1000),((MA54+MA55)*8)/(MA6/1000))),"-")</f>
        <v>16.184642842656068</v>
      </c>
      <c r="MB61" s="1338"/>
      <c r="MC61" s="1339"/>
      <c r="MD61" s="1337">
        <f>IFERROR(IF(AND(MD54="-",MD55="-"),"-",IF(MD5="LV",((MD54+MD55)*9.5)/(MD6/1000),((MD54+MD55)*8)/(MD6/1000))),"-")</f>
        <v>15.490465111654636</v>
      </c>
      <c r="ME61" s="1338"/>
      <c r="MF61" s="1339"/>
      <c r="MG61" s="1337">
        <f>IFERROR(IF(AND(MG54="-",MG55="-"),"-",IF(MG5="LV",((MG54+MG55)*9.5)/(MG6/1000),((MG54+MG55)*8)/(MG6/1000))),"-")</f>
        <v>11.183696655542144</v>
      </c>
      <c r="MH61" s="1338"/>
      <c r="MI61" s="1339"/>
      <c r="MJ61" s="1337" t="str">
        <f>IFERROR(IF(AND(MJ54="-",MJ55="-"),"-",IF(MJ5="LV",((MJ54+MJ55)*9.5)/(MJ6/1000),((MJ54+MJ55)*8)/(MJ6/1000))),"-")</f>
        <v>-</v>
      </c>
      <c r="MK61" s="1338"/>
      <c r="ML61" s="1339"/>
      <c r="MM61" s="1337">
        <f>IFERROR(IF(AND(MM54="-",MM55="-"),"-",IF(MM5="LV",((MM54+MM55)*9.5)/(MM6/1000),((MM54+MM55)*8)/(MM6/1000))),"-")</f>
        <v>17.934019384395793</v>
      </c>
      <c r="MN61" s="1338"/>
      <c r="MO61" s="1339"/>
      <c r="MP61" s="1337">
        <f>IFERROR(IF(AND(MP54="-",MP55="-"),"-",IF(MP5="LV",((MP54+MP55)*9.5)/(MP6/1000),((MP54+MP55)*8)/(MP6/1000))),"-")</f>
        <v>7.6311350309261785</v>
      </c>
      <c r="MQ61" s="1338"/>
      <c r="MR61" s="1339"/>
      <c r="MS61" s="1337">
        <f>IFERROR(IF(AND(MS54="-",MS55="-"),"-",IF(MS5="LV",((MS54+MS55)*9.5)/(MS6/1000),((MS54+MS55)*8)/(MS6/1000))),"-")</f>
        <v>8.7547566762043694</v>
      </c>
      <c r="MT61" s="1338"/>
      <c r="MU61" s="1339"/>
      <c r="MV61" s="1337">
        <f>IFERROR(IF(AND(MV54="-",MV55="-"),"-",IF(MV5="LV",((MV54+MV55)*9.5)/(MV6/1000),((MV54+MV55)*8)/(MV6/1000))),"-")</f>
        <v>15.441006395202244</v>
      </c>
      <c r="MW61" s="1338"/>
      <c r="MX61" s="1339"/>
      <c r="MY61" s="1337">
        <f>IFERROR(IF(AND(MY54="-",MY55="-"),"-",IF(MY5="LV",((MY54+MY55)*9.5)/(MY6/1000),((MY54+MY55)*8)/(MY6/1000))),"-")</f>
        <v>15.646806924470564</v>
      </c>
      <c r="MZ61" s="1338"/>
      <c r="NA61" s="1339"/>
      <c r="NB61" s="1337" t="str">
        <f>IFERROR(IF(AND(NB54="-",NB55="-"),"-",IF(NB5="LV",((NB54+NB55)*9.5)/(NB6/1000),((NB54+NB55)*8)/(NB6/1000))),"-")</f>
        <v>-</v>
      </c>
      <c r="NC61" s="1338"/>
      <c r="ND61" s="1339"/>
      <c r="NE61" s="1337" t="str">
        <f>IFERROR(IF(AND(NE54="-",NE55="-"),"-",IF(NE5="LV",((NE54+NE55)*9.5)/(NE6/1000),((NE54+NE55)*8)/(NE6/1000))),"-")</f>
        <v>-</v>
      </c>
      <c r="NF61" s="1338"/>
      <c r="NG61" s="1339"/>
      <c r="NH61" s="1337">
        <f>IFERROR(IF(AND(NH54="-",NH55="-"),"-",IF(NH5="LV",((NH54+NH55)*9.5)/(NH6/1000),((NH54+NH55)*8)/(NH6/1000))),"-")</f>
        <v>15.592278030781504</v>
      </c>
      <c r="NI61" s="1338"/>
      <c r="NJ61" s="1339"/>
      <c r="NK61" s="1337">
        <f>IFERROR(IF(AND(NK54="-",NK55="-"),"-",IF(NK5="LV",((NK54+NK55)*9.5)/(NK6/1000),((NK54+NK55)*8)/(NK6/1000))),"-")</f>
        <v>14.610684674859833</v>
      </c>
      <c r="NL61" s="1338"/>
      <c r="NM61" s="1339"/>
      <c r="NN61" s="1337">
        <f>IFERROR(IF(AND(NN54="-",NN55="-"),"-",IF(NN5="LV",((NN54+NN55)*9.5)/(NN6/1000),((NN54+NN55)*8)/(NN6/1000))),"-")</f>
        <v>14.850554413656594</v>
      </c>
      <c r="NO61" s="1338"/>
      <c r="NP61" s="1339"/>
      <c r="NQ61" s="1337">
        <f>IFERROR(IF(AND(NQ54="-",NQ55="-"),"-",IF(NQ5="LV",((NQ54+NQ55)*9.5)/(NQ6/1000),((NQ54+NQ55)*8)/(NQ6/1000))),"-")</f>
        <v>15.235281705001055</v>
      </c>
      <c r="NR61" s="1338"/>
      <c r="NS61" s="1339"/>
      <c r="NT61" s="1337">
        <f>IFERROR(IF(AND(NT54="-",NT55="-"),"-",IF(NT5="LV",((NT54+NT55)*9.5)/(NT6/1000),((NT54+NT55)*8)/(NT6/1000))),"-")</f>
        <v>15.529334839208227</v>
      </c>
      <c r="NU61" s="1338"/>
      <c r="NV61" s="1339"/>
      <c r="NW61" s="1337" t="str">
        <f>IFERROR(IF(AND(NW54="-",NW55="-"),"-",IF(NW5="LV",((NW54+NW55)*9.5)/(NW6/1000),((NW54+NW55)*8)/(NW6/1000))),"-")</f>
        <v>-</v>
      </c>
      <c r="NX61" s="1338"/>
      <c r="NY61" s="1339"/>
      <c r="NZ61" s="1337" t="str">
        <f>IFERROR(IF(AND(NZ54="-",NZ55="-"),"-",IF(NZ5="LV",((NZ54+NZ55)*9.5)/(NZ6/1000),((NZ54+NZ55)*8)/(NZ6/1000))),"-")</f>
        <v>-</v>
      </c>
      <c r="OA61" s="1338"/>
      <c r="OB61" s="1339"/>
      <c r="OC61" s="1337" t="str">
        <f>IFERROR(IF(AND(OC54="-",OC55="-"),"-",IF(OC5="LV",((OC54+OC55)*9.5)/(OC6/1000),((OC54+OC55)*8)/(OC6/1000))),"-")</f>
        <v>-</v>
      </c>
      <c r="OD61" s="1338"/>
      <c r="OE61" s="1339"/>
      <c r="OF61" s="1337">
        <f>IFERROR(IF(AND(OF54="-",OF55="-"),"-",IF(OF5="LV",((OF54+OF55)*9.5)/(OF6/1000),((OF54+OF55)*8)/(OF6/1000))),"-")</f>
        <v>14.763956022936929</v>
      </c>
      <c r="OG61" s="1338"/>
      <c r="OH61" s="1339"/>
      <c r="OI61" s="1337">
        <f>IFERROR(IF(AND(OI54="-",OI55="-"),"-",IF(OI5="LV",((OI54+OI55)*9.5)/(OI6/1000),((OI54+OI55)*8)/(OI6/1000))),"-")</f>
        <v>17.219543368384361</v>
      </c>
      <c r="OJ61" s="1338"/>
      <c r="OK61" s="1339"/>
      <c r="OL61" s="1337">
        <f>IFERROR(IF(AND(OL54="-",OL55="-"),"-",IF(OL5="LV",((OL54+OL55)*9.5)/(OL6/1000),((OL54+OL55)*8)/(OL6/1000))),"-")</f>
        <v>15.2517211614243</v>
      </c>
      <c r="OM61" s="1338"/>
      <c r="ON61" s="1339"/>
      <c r="OO61" s="1337">
        <f>IFERROR(IF(AND(OO54="-",OO55="-"),"-",IF(OO5="LV",((OO54+OO55)*9.5)/(OO6/1000),((OO54+OO55)*8)/(OO6/1000))),"-")</f>
        <v>20.368350838556669</v>
      </c>
      <c r="OP61" s="1338"/>
      <c r="OQ61" s="1339"/>
      <c r="OR61" s="1337" t="str">
        <f>IFERROR(IF(AND(OR54="-",OR55="-"),"-",IF(OR5="LV",((OR54+OR55)*9.5)/(OR6/1000),((OR54+OR55)*8)/(OR6/1000))),"-")</f>
        <v>-</v>
      </c>
      <c r="OS61" s="1338"/>
      <c r="OT61" s="1339"/>
      <c r="OU61" s="1337" t="str">
        <f>IFERROR(IF(AND(OU54="-",OU55="-"),"-",IF(OU5="LV",((OU54+OU55)*9.5)/(OU6/1000),((OU54+OU55)*8)/(OU6/1000))),"-")</f>
        <v>-</v>
      </c>
      <c r="OV61" s="1338"/>
      <c r="OW61" s="1339"/>
      <c r="OX61" s="1337" t="str">
        <f>IFERROR(IF(AND(OX54="-",OX55="-"),"-",IF(OX5="LV",((OX54+OX55)*9.5)/(OX6/1000),((OX54+OX55)*8)/(OX6/1000))),"-")</f>
        <v>-</v>
      </c>
      <c r="OY61" s="1338"/>
      <c r="OZ61" s="1339"/>
      <c r="PA61" s="1337">
        <f>IFERROR(IF(AND(PA54="-",PA55="-"),"-",IF(PA5="LV",((PA54+PA55)*9.5)/(PA6/1000),((PA54+PA55)*8)/(PA6/1000))),"-")</f>
        <v>17.795120277861159</v>
      </c>
      <c r="PB61" s="1338"/>
      <c r="PC61" s="1339"/>
      <c r="PD61" s="1337">
        <f>IFERROR(IF(AND(PD54="-",PD55="-"),"-",IF(PD5="LV",((PD54+PD55)*9.5)/(PD6/1000),((PD54+PD55)*8)/(PD6/1000))),"-")</f>
        <v>19.093792434054109</v>
      </c>
      <c r="PE61" s="1338"/>
      <c r="PF61" s="1339"/>
      <c r="PG61" s="1337">
        <f>IFERROR(IF(AND(PG54="-",PG55="-"),"-",IF(PG5="LV",((PG54+PG55)*9.5)/(PG6/1000),((PG54+PG55)*8)/(PG6/1000))),"-")</f>
        <v>17.208717628623432</v>
      </c>
      <c r="PH61" s="1338"/>
      <c r="PI61" s="1339"/>
      <c r="PJ61" s="1337" t="str">
        <f>IFERROR(IF(AND(PJ54="-",PJ55="-"),"-",IF(PJ5="LV",((PJ54+PJ55)*9.5)/(PJ6/1000),((PJ54+PJ55)*8)/(PJ6/1000))),"-")</f>
        <v>-</v>
      </c>
      <c r="PK61" s="1338"/>
      <c r="PL61" s="1339"/>
      <c r="PM61" s="1337" t="str">
        <f>IFERROR(IF(AND(PM54="-",PM55="-"),"-",IF(PM5="LV",((PM54+PM55)*9.5)/(PM6/1000),((PM54+PM55)*8)/(PM6/1000))),"-")</f>
        <v>-</v>
      </c>
      <c r="PN61" s="1338"/>
      <c r="PO61" s="1339"/>
      <c r="PP61" s="1337" t="str">
        <f>IFERROR(IF(AND(PP54="-",PP55="-"),"-",IF(PP5="LV",((PP54+PP55)*9.5)/(PP6/1000),((PP54+PP55)*8)/(PP6/1000))),"-")</f>
        <v>-</v>
      </c>
      <c r="PQ61" s="1338"/>
      <c r="PR61" s="1339"/>
      <c r="PS61" s="1337">
        <f>IFERROR(IF(AND(PS54="-",PS55="-"),"-",IF(PS5="LV",((PS54+PS55)*9.5)/(PS6/1000),((PS54+PS55)*8)/(PS6/1000))),"-")</f>
        <v>16.008822450320391</v>
      </c>
      <c r="PT61" s="1338"/>
      <c r="PU61" s="1339"/>
      <c r="PV61" s="1337">
        <f>IFERROR(IF(AND(PV54="-",PV55="-"),"-",IF(PV5="LV",((PV54+PV55)*9.5)/(PV6/1000),((PV54+PV55)*8)/(PV6/1000))),"-")</f>
        <v>21.268290442759309</v>
      </c>
      <c r="PW61" s="1338"/>
      <c r="PX61" s="1339"/>
      <c r="PY61" s="1337">
        <f>IFERROR(IF(AND(PY54="-",PY55="-"),"-",IF(PY5="LV",((PY54+PY55)*9.5)/(PY6/1000),((PY54+PY55)*8)/(PY6/1000))),"-")</f>
        <v>16.442600180868602</v>
      </c>
      <c r="PZ61" s="1338"/>
      <c r="QA61" s="1339"/>
      <c r="QB61" s="1337">
        <f>IFERROR(IF(AND(QB54="-",QB55="-"),"-",IF(QB5="LV",((QB54+QB55)*9.5)/(QB6/1000),((QB54+QB55)*8)/(QB6/1000))),"-")</f>
        <v>16.17365396892956</v>
      </c>
      <c r="QC61" s="1338"/>
      <c r="QD61" s="1339"/>
      <c r="QE61" s="1337">
        <f>IFERROR(IF(AND(QE54="-",QE55="-"),"-",IF(QE5="LV",((QE54+QE55)*9.5)/(QE6/1000),((QE54+QE55)*8)/(QE6/1000))),"-")</f>
        <v>16.73109032272821</v>
      </c>
      <c r="QF61" s="1338"/>
      <c r="QG61" s="1339"/>
      <c r="QH61" s="1337">
        <f>IFERROR(IF(AND(QH54="-",QH55="-"),"-",IF(QH5="LV",((QH54+QH55)*9.5)/(QH6/1000),((QH54+QH55)*8)/(QH6/1000))),"-")</f>
        <v>12.723733561221099</v>
      </c>
      <c r="QI61" s="1338"/>
      <c r="QJ61" s="1339"/>
      <c r="QK61" s="1337" t="str">
        <f>IFERROR(IF(AND(QK54="-",QK55="-"),"-",IF(QK5="LV",((QK54+QK55)*9.5)/(QK6/1000),((QK54+QK55)*8)/(QK6/1000))),"-")</f>
        <v>-</v>
      </c>
      <c r="QL61" s="1338"/>
      <c r="QM61" s="1339"/>
      <c r="QN61" s="1337">
        <f>IFERROR(IF(AND(QN54="-",QN55="-"),"-",IF(QN5="LV",((QN54+QN55)*9.5)/(QN6/1000),((QN54+QN55)*8)/(QN6/1000))),"-")</f>
        <v>15.833458081790948</v>
      </c>
      <c r="QO61" s="1338"/>
      <c r="QP61" s="1339"/>
      <c r="QQ61" s="1337">
        <f>IFERROR(IF(AND(QQ54="-",QQ55="-"),"-",IF(QQ5="LV",((QQ54+QQ55)*9.5)/(QQ6/1000),((QQ54+QQ55)*8)/(QQ6/1000))),"-")</f>
        <v>16.323024054982817</v>
      </c>
      <c r="QR61" s="1338"/>
      <c r="QS61" s="1339"/>
      <c r="QT61" s="1337">
        <f>IFERROR(IF(AND(QT54="-",QT55="-"),"-",IF(QT5="LV",((QT54+QT55)*9.5)/(QT6/1000),((QT54+QT55)*8)/(QT6/1000))),"-")</f>
        <v>16.832034018426647</v>
      </c>
      <c r="QU61" s="1338"/>
      <c r="QV61" s="1339"/>
      <c r="QW61" s="1337">
        <f>IFERROR(IF(AND(QW54="-",QW55="-"),"-",IF(QW5="LV",((QW54+QW55)*9.5)/(QW6/1000),((QW54+QW55)*8)/(QW6/1000))),"-")</f>
        <v>16.685038696810661</v>
      </c>
      <c r="QX61" s="1338"/>
      <c r="QY61" s="1339"/>
      <c r="QZ61" s="1337">
        <f>IFERROR(IF(AND(QZ54="-",QZ55="-"),"-",IF(QZ5="LV",((QZ54+QZ55)*9.5)/(QZ6/1000),((QZ54+QZ55)*8)/(QZ6/1000))),"-")</f>
        <v>14.892149485828943</v>
      </c>
      <c r="RA61" s="1338"/>
      <c r="RB61" s="1339"/>
      <c r="RC61" s="1337" t="str">
        <f>IFERROR(IF(AND(RC54="-",RC55="-"),"-",IF(RC5="LV",((RC54+RC55)*9.5)/(RC6/1000),((RC54+RC55)*8)/(RC6/1000))),"-")</f>
        <v>-</v>
      </c>
      <c r="RD61" s="1338"/>
      <c r="RE61" s="1339"/>
      <c r="RF61" s="1337" t="str">
        <f>IFERROR(IF(AND(RF54="-",RF55="-"),"-",IF(RF5="LV",((RF54+RF55)*9.5)/(RF6/1000),((RF54+RF55)*8)/(RF6/1000))),"-")</f>
        <v>-</v>
      </c>
      <c r="RG61" s="1338"/>
      <c r="RH61" s="1339"/>
      <c r="RI61" s="1337">
        <f>IFERROR(IF(AND(RI54="-",RI55="-"),"-",IF(RI5="LV",((RI54+RI55)*9.5)/(RI6/1000),((RI54+RI55)*8)/(RI6/1000))),"-")</f>
        <v>16.76671788849956</v>
      </c>
      <c r="RJ61" s="1338"/>
      <c r="RK61" s="1339"/>
      <c r="RL61" s="1337">
        <f>IFERROR(IF(AND(RL54="-",RL55="-"),"-",IF(RL5="LV",((RL54+RL55)*9.5)/(RL6/1000),((RL54+RL55)*8)/(RL6/1000))),"-")</f>
        <v>15.310265726771929</v>
      </c>
      <c r="RM61" s="1338"/>
      <c r="RN61" s="1339"/>
      <c r="RO61" s="1337">
        <f>IFERROR(IF(AND(RO54="-",RO55="-"),"-",IF(RO5="LV",((RO54+RO55)*9.5)/(RO6/1000),((RO54+RO55)*8)/(RO6/1000))),"-")</f>
        <v>14.972136066772578</v>
      </c>
      <c r="RP61" s="1338"/>
      <c r="RQ61" s="1339"/>
      <c r="RR61" s="1337">
        <f>IFERROR(IF(AND(RR54="-",RR55="-"),"-",IF(RR5="LV",((RR54+RR55)*9.5)/(RR6/1000),((RR54+RR55)*8)/(RR6/1000))),"-")</f>
        <v>16.99771401934726</v>
      </c>
      <c r="RS61" s="1338"/>
      <c r="RT61" s="1339"/>
      <c r="RU61" s="1337">
        <f>IFERROR(IF(AND(RU54="-",RU55="-"),"-",IF(RU5="LV",((RU54+RU55)*9.5)/(RU6/1000),((RU54+RU55)*8)/(RU6/1000))),"-")</f>
        <v>16.153458994019253</v>
      </c>
      <c r="RV61" s="1338"/>
      <c r="RW61" s="1339"/>
      <c r="RX61" s="1337" t="str">
        <f>IFERROR(IF(AND(RX54="-",RX55="-"),"-",IF(RX5="LV",((RX54+RX55)*9.5)/(RX6/1000),((RX54+RX55)*8)/(RX6/1000))),"-")</f>
        <v>-</v>
      </c>
      <c r="RY61" s="1338"/>
      <c r="RZ61" s="1339"/>
      <c r="SA61" s="1337" t="str">
        <f>IFERROR(IF(AND(SA54="-",SA55="-"),"-",IF(SA5="LV",((SA54+SA55)*9.5)/(SA6/1000),((SA54+SA55)*8)/(SA6/1000))),"-")</f>
        <v>-</v>
      </c>
      <c r="SB61" s="1338"/>
      <c r="SC61" s="1339"/>
      <c r="SD61" s="1337" t="str">
        <f>IFERROR(IF(AND(SD54="-",SD55="-"),"-",IF(SD5="LV",((SD54+SD55)*9.5)/(SD6/1000),((SD54+SD55)*8)/(SD6/1000))),"-")</f>
        <v>-</v>
      </c>
      <c r="SE61" s="1338"/>
      <c r="SF61" s="1339"/>
      <c r="SG61" s="1337">
        <f>IFERROR(IF(AND(SG54="-",SG55="-"),"-",IF(SG5="LV",((SG54+SG55)*9.5)/(SG6/1000),((SG54+SG55)*8)/(SG6/1000))),"-")</f>
        <v>22.889360061680804</v>
      </c>
      <c r="SH61" s="1338"/>
      <c r="SI61" s="1339"/>
      <c r="SJ61" s="1337">
        <f>IFERROR(IF(AND(SJ54="-",SJ55="-"),"-",IF(SJ5="LV",((SJ54+SJ55)*9.5)/(SJ6/1000),((SJ54+SJ55)*8)/(SJ6/1000))),"-")</f>
        <v>17.787144767194839</v>
      </c>
      <c r="SK61" s="1338"/>
      <c r="SL61" s="1339"/>
      <c r="SM61" s="1337">
        <f>IFERROR(IF(AND(SM54="-",SM55="-"),"-",IF(SM5="LV",((SM54+SM55)*9.5)/(SM6/1000),((SM54+SM55)*8)/(SM6/1000))),"-")</f>
        <v>15.893784050448286</v>
      </c>
      <c r="SN61" s="1338"/>
      <c r="SO61" s="1339"/>
      <c r="SP61" s="1337">
        <f>IFERROR(IF(AND(SP54="-",SP55="-"),"-",IF(SP5="LV",((SP54+SP55)*9.5)/(SP6/1000),((SP54+SP55)*8)/(SP6/1000))),"-")</f>
        <v>16.952981172138831</v>
      </c>
      <c r="SQ61" s="1338"/>
      <c r="SR61" s="1339"/>
      <c r="SS61" s="1337">
        <f>IFERROR(IF(AND(SS54="-",SS55="-"),"-",IF(SS5="LV",((SS54+SS55)*9.5)/(SS6/1000),((SS54+SS55)*8)/(SS6/1000))),"-")</f>
        <v>13.853504438106585</v>
      </c>
      <c r="ST61" s="1338"/>
      <c r="SU61" s="1339"/>
      <c r="SV61" s="1337">
        <f>IFERROR(IF(AND(SV54="-",SV55="-"),"-",IF(SV5="LV",((SV54+SV55)*9.5)/(SV6/1000),((SV54+SV55)*8)/(SV6/1000))),"-")</f>
        <v>11.4813403475085</v>
      </c>
      <c r="SW61" s="1338"/>
      <c r="SX61" s="1339"/>
      <c r="SY61" s="1337">
        <f>IFERROR(IF(AND(SY54="-",SY55="-"),"-",IF(SY5="LV",((SY54+SY55)*9.5)/(SY6/1000),((SY54+SY55)*8)/(SY6/1000))),"-")</f>
        <v>18.432191490556693</v>
      </c>
      <c r="SZ61" s="1338"/>
      <c r="TA61" s="1339"/>
      <c r="TB61" s="1337">
        <f>IFERROR(IF(AND(TB54="-",TB55="-"),"-",IF(TB5="LV",((TB54+TB55)*9.5)/(TB6/1000),((TB54+TB55)*8)/(TB6/1000))),"-")</f>
        <v>14.771064475110705</v>
      </c>
      <c r="TC61" s="1338"/>
      <c r="TD61" s="1339"/>
      <c r="TE61" s="1337">
        <f>IFERROR(IF(AND(TE54="-",TE55="-"),"-",IF(TE5="LV",((TE54+TE55)*9.5)/(TE6/1000),((TE54+TE55)*8)/(TE6/1000))),"-")</f>
        <v>15.866004777381493</v>
      </c>
      <c r="TF61" s="1338"/>
      <c r="TG61" s="1339"/>
      <c r="TH61" s="1337">
        <f>IFERROR(IF(AND(TH54="-",TH55="-"),"-",IF(TH5="LV",((TH54+TH55)*9.5)/(TH6/1000),((TH54+TH55)*8)/(TH6/1000))),"-")</f>
        <v>15.930723154216109</v>
      </c>
      <c r="TI61" s="1338"/>
      <c r="TJ61" s="1339"/>
      <c r="TK61" s="1337">
        <f>IFERROR(IF(AND(TK54="-",TK55="-"),"-",IF(TK5="LV",((TK54+TK55)*9.5)/(TK6/1000),((TK54+TK55)*8)/(TK6/1000))),"-")</f>
        <v>15.267639770572762</v>
      </c>
      <c r="TL61" s="1338"/>
      <c r="TM61" s="1339"/>
      <c r="TN61" s="1337">
        <f>IFERROR(IF(AND(TN54="-",TN55="-"),"-",IF(TN5="LV",((TN54+TN55)*9.5)/(TN6/1000),((TN54+TN55)*8)/(TN6/1000))),"-")</f>
        <v>13.257591193482044</v>
      </c>
      <c r="TO61" s="1338"/>
      <c r="TP61" s="1339"/>
      <c r="TQ61" s="1337">
        <f>IFERROR(IF(AND(TQ54="-",TQ55="-"),"-",IF(TQ5="LV",((TQ54+TQ55)*9.5)/(TQ6/1000),((TQ54+TQ55)*8)/(TQ6/1000))),"-")</f>
        <v>11.296059956010536</v>
      </c>
      <c r="TR61" s="1338"/>
      <c r="TS61" s="1339"/>
      <c r="TT61" s="1337">
        <f>IFERROR(IF(AND(TT54="-",TT55="-"),"-",IF(TT5="LV",((TT54+TT55)*9.5)/(TT6/1000),((TT54+TT55)*8)/(TT6/1000))),"-")</f>
        <v>15.67578482054266</v>
      </c>
      <c r="TU61" s="1338"/>
      <c r="TV61" s="1339"/>
      <c r="TW61" s="1337">
        <f>IFERROR(IF(AND(TW54="-",TW55="-"),"-",IF(TW5="LV",((TW54+TW55)*9.5)/(TW6/1000),((TW54+TW55)*8)/(TW6/1000))),"-")</f>
        <v>17.068356166002765</v>
      </c>
      <c r="TX61" s="1338"/>
      <c r="TY61" s="1339"/>
      <c r="TZ61" s="1337">
        <f>IFERROR(IF(AND(TZ54="-",TZ55="-"),"-",IF(TZ5="LV",((TZ54+TZ55)*9.5)/(TZ6/1000),((TZ54+TZ55)*8)/(TZ6/1000))),"-")</f>
        <v>16.353172701599956</v>
      </c>
      <c r="UA61" s="1338"/>
      <c r="UB61" s="1339"/>
      <c r="UC61" s="1337">
        <f>IFERROR(IF(AND(UC54="-",UC55="-"),"-",IF(UC5="LV",((UC54+UC55)*9.5)/(UC6/1000),((UC54+UC55)*8)/(UC6/1000))),"-")</f>
        <v>15.990028409026291</v>
      </c>
      <c r="UD61" s="1338"/>
      <c r="UE61" s="1339"/>
      <c r="UF61" s="1337">
        <f>IFERROR(IF(AND(UF54="-",UF55="-"),"-",IF(UF5="LV",((UF54+UF55)*9.5)/(UF6/1000),((UF54+UF55)*8)/(UF6/1000))),"-")</f>
        <v>15.401869989117641</v>
      </c>
      <c r="UG61" s="1338"/>
      <c r="UH61" s="1339"/>
      <c r="UI61" s="1337" t="str">
        <f>IFERROR(IF(AND(UI54="-",UI55="-"),"-",IF(UI5="LV",((UI54+UI55)*9.5)/(UI6/1000),((UI54+UI55)*8)/(UI6/1000))),"-")</f>
        <v>-</v>
      </c>
      <c r="UJ61" s="1338"/>
      <c r="UK61" s="1339"/>
      <c r="UL61" s="1337" t="str">
        <f>IFERROR(IF(AND(UL54="-",UL55="-"),"-",IF(UL5="LV",((UL54+UL55)*9.5)/(UL6/1000),((UL54+UL55)*8)/(UL6/1000))),"-")</f>
        <v>-</v>
      </c>
      <c r="UM61" s="1338"/>
      <c r="UN61" s="1339"/>
      <c r="UO61" s="1337">
        <f>IFERROR(IF(AND(UO54="-",UO55="-"),"-",IF(UO5="LV",((UO54+UO55)*9.5)/(UO6/1000),((UO54+UO55)*8)/(UO6/1000))),"-")</f>
        <v>15.48277403739211</v>
      </c>
      <c r="UP61" s="1338"/>
      <c r="UQ61" s="1339"/>
      <c r="UR61" s="1337">
        <f>IFERROR(IF(AND(UR54="-",UR55="-"),"-",IF(UR5="LV",((UR54+UR55)*9.5)/(UR6/1000),((UR54+UR55)*8)/(UR6/1000))),"-")</f>
        <v>17.064328904150493</v>
      </c>
      <c r="US61" s="1338"/>
      <c r="UT61" s="1339"/>
      <c r="UU61" s="1337">
        <f>IFERROR(IF(AND(UU54="-",UU55="-"),"-",IF(UU5="LV",((UU54+UU55)*9.5)/(UU6/1000),((UU54+UU55)*8)/(UU6/1000))),"-")</f>
        <v>15.927655971120114</v>
      </c>
      <c r="UV61" s="1338"/>
      <c r="UW61" s="1339"/>
      <c r="UX61" s="1337">
        <f>IFERROR(IF(AND(UX54="-",UX55="-"),"-",IF(UX5="LV",((UX54+UX55)*9.5)/(UX6/1000),((UX54+UX55)*8)/(UX6/1000))),"-")</f>
        <v>16.347806387951632</v>
      </c>
      <c r="UY61" s="1338"/>
      <c r="UZ61" s="1339"/>
      <c r="VA61" s="1337">
        <f>IFERROR(IF(AND(VA54="-",VA55="-"),"-",IF(VA5="LV",((VA54+VA55)*9.5)/(VA6/1000),((VA54+VA55)*8)/(VA6/1000))),"-")</f>
        <v>15.195106396504102</v>
      </c>
      <c r="VB61" s="1338"/>
      <c r="VC61" s="1339"/>
      <c r="VD61" s="1337" t="str">
        <f>IFERROR(IF(AND(VD54="-",VD55="-"),"-",IF(VD5="LV",((VD54+VD55)*9.5)/(VD6/1000),((VD54+VD55)*8)/(VD6/1000))),"-")</f>
        <v>-</v>
      </c>
      <c r="VE61" s="1338"/>
      <c r="VF61" s="1339"/>
      <c r="VG61" s="1337" t="str">
        <f>IFERROR(IF(AND(VG54="-",VG55="-"),"-",IF(VG5="LV",((VG54+VG55)*9.5)/(VG6/1000),((VG54+VG55)*8)/(VG6/1000))),"-")</f>
        <v>-</v>
      </c>
      <c r="VH61" s="1338"/>
      <c r="VI61" s="1339"/>
      <c r="VJ61" s="1337">
        <f>IFERROR(IF(AND(VJ54="-",VJ55="-"),"-",IF(VJ5="LV",((VJ54+VJ55)*9.5)/(VJ6/1000),((VJ54+VJ55)*8)/(VJ6/1000))),"-")</f>
        <v>27.357811375089994</v>
      </c>
      <c r="VK61" s="1338"/>
      <c r="VL61" s="1339"/>
      <c r="VM61" s="1337">
        <f>IFERROR(IF(AND(VM54="-",VM55="-"),"-",IF(VM5="LV",((VM54+VM55)*9.5)/(VM6/1000),((VM54+VM55)*8)/(VM6/1000))),"-")</f>
        <v>16.724625553581678</v>
      </c>
      <c r="VN61" s="1338"/>
      <c r="VO61" s="1339"/>
      <c r="VP61" s="1337">
        <f>IFERROR(IF(AND(VP54="-",VP55="-"),"-",IF(VP5="LV",((VP54+VP55)*9.5)/(VP6/1000),((VP54+VP55)*8)/(VP6/1000))),"-")</f>
        <v>16.487707295239574</v>
      </c>
      <c r="VQ61" s="1338"/>
      <c r="VR61" s="1339"/>
      <c r="VS61" s="1337">
        <f>IFERROR(IF(AND(VS54="-",VS55="-"),"-",IF(VS5="LV",((VS54+VS55)*9.5)/(VS6/1000),((VS54+VS55)*8)/(VS6/1000))),"-")</f>
        <v>15.272021286023728</v>
      </c>
      <c r="VT61" s="1338"/>
      <c r="VU61" s="1339"/>
      <c r="VV61" s="1337">
        <f>IFERROR(IF(AND(VV54="-",VV55="-"),"-",IF(VV5="LV",((VV54+VV55)*9.5)/(VV6/1000),((VV54+VV55)*8)/(VV6/1000))),"-")</f>
        <v>15.212137684594653</v>
      </c>
      <c r="VW61" s="1338"/>
      <c r="VX61" s="1339"/>
      <c r="VY61" s="1337" t="str">
        <f>IFERROR(IF(AND(VY54="-",VY55="-"),"-",IF(VY5="LV",((VY54+VY55)*9.5)/(VY6/1000),((VY54+VY55)*8)/(VY6/1000))),"-")</f>
        <v>-</v>
      </c>
      <c r="VZ61" s="1338"/>
      <c r="WA61" s="1339"/>
      <c r="WB61" s="1337" t="str">
        <f>IFERROR(IF(AND(WB54="-",WB55="-"),"-",IF(WB5="LV",((WB54+WB55)*9.5)/(WB6/1000),((WB54+WB55)*8)/(WB6/1000))),"-")</f>
        <v>-</v>
      </c>
      <c r="WC61" s="1338"/>
      <c r="WD61" s="1339"/>
      <c r="WE61" s="1337">
        <f>IFERROR(IF(AND(WE54="-",WE55="-"),"-",IF(WE5="LV",((WE54+WE55)*9.5)/(WE6/1000),((WE54+WE55)*8)/(WE6/1000))),"-")</f>
        <v>16.992450857190033</v>
      </c>
      <c r="WF61" s="1338"/>
      <c r="WG61" s="1339"/>
      <c r="WH61" s="1337">
        <f>IFERROR(IF(AND(WH54="-",WH55="-"),"-",IF(WH5="LV",((WH54+WH55)*9.5)/(WH6/1000),((WH54+WH55)*8)/(WH6/1000))),"-")</f>
        <v>15.353196991067231</v>
      </c>
      <c r="WI61" s="1338"/>
      <c r="WJ61" s="1339"/>
      <c r="WK61" s="1337">
        <f>IFERROR(IF(AND(WK54="-",WK55="-"),"-",IF(WK5="LV",((WK54+WK55)*9.5)/(WK6/1000),((WK54+WK55)*8)/(WK6/1000))),"-")</f>
        <v>15.5740936728299</v>
      </c>
      <c r="WL61" s="1338"/>
      <c r="WM61" s="1339"/>
      <c r="WN61" s="1337">
        <f>IFERROR(IF(AND(WN54="-",WN55="-"),"-",IF(WN5="LV",((WN54+WN55)*9.5)/(WN6/1000),((WN54+WN55)*8)/(WN6/1000))),"-")</f>
        <v>16.511867905056757</v>
      </c>
      <c r="WO61" s="1338"/>
      <c r="WP61" s="1339"/>
      <c r="WQ61" s="1337">
        <f>IFERROR(IF(AND(WQ54="-",WQ55="-"),"-",IF(WQ5="LV",((WQ54+WQ55)*9.5)/(WQ6/1000),((WQ54+WQ55)*8)/(WQ6/1000))),"-")</f>
        <v>15.976825194612447</v>
      </c>
      <c r="WR61" s="1338"/>
      <c r="WS61" s="1339"/>
      <c r="WT61" s="1337" t="str">
        <f>IFERROR(IF(AND(WT54="-",WT55="-"),"-",IF(WT5="LV",((WT54+WT55)*9.5)/(WT6/1000),((WT54+WT55)*8)/(WT6/1000))),"-")</f>
        <v>-</v>
      </c>
      <c r="WU61" s="1338"/>
      <c r="WV61" s="1339"/>
      <c r="WW61" s="1337" t="str">
        <f>IFERROR(IF(AND(WW54="-",WW55="-"),"-",IF(WW5="LV",((WW54+WW55)*9.5)/(WW6/1000),((WW54+WW55)*8)/(WW6/1000))),"-")</f>
        <v>-</v>
      </c>
      <c r="WX61" s="1338"/>
      <c r="WY61" s="1339"/>
      <c r="WZ61" s="1337">
        <f>IFERROR(IF(AND(WZ54="-",WZ55="-"),"-",IF(WZ5="LV",((WZ54+WZ55)*9.5)/(WZ6/1000),((WZ54+WZ55)*8)/(WZ6/1000))),"-")</f>
        <v>16.909623652478711</v>
      </c>
      <c r="XA61" s="1338"/>
      <c r="XB61" s="1339"/>
      <c r="XC61" s="1337">
        <f>IFERROR(IF(AND(XC54="-",XC55="-"),"-",IF(XC5="LV",((XC54+XC55)*9.5)/(XC6/1000),((XC54+XC55)*8)/(XC6/1000))),"-")</f>
        <v>15.325686346695569</v>
      </c>
      <c r="XD61" s="1338"/>
      <c r="XE61" s="1339"/>
      <c r="XF61" s="1337">
        <f>IFERROR(IF(AND(XF54="-",XF55="-"),"-",IF(XF5="LV",((XF54+XF55)*9.5)/(XF6/1000),((XF54+XF55)*8)/(XF6/1000))),"-")</f>
        <v>15.390814529261238</v>
      </c>
      <c r="XG61" s="1338"/>
      <c r="XH61" s="1339"/>
      <c r="XI61" s="1337">
        <f>IFERROR(IF(AND(XI54="-",XI55="-"),"-",IF(XI5="LV",((XI54+XI55)*9.5)/(XI6/1000),((XI54+XI55)*8)/(XI6/1000))),"-")</f>
        <v>16.734417344173441</v>
      </c>
      <c r="XJ61" s="1338"/>
      <c r="XK61" s="1339"/>
      <c r="XL61" s="1337">
        <f>IFERROR(IF(AND(XL54="-",XL55="-"),"-",IF(XL5="LV",((XL54+XL55)*9.5)/(XL6/1000),((XL54+XL55)*8)/(XL6/1000))),"-")</f>
        <v>16.668428736281165</v>
      </c>
      <c r="XM61" s="1338"/>
      <c r="XN61" s="1339"/>
      <c r="XO61" s="1337" t="str">
        <f>IFERROR(IF(AND(XO54="-",XO55="-"),"-",IF(XO5="LV",((XO54+XO55)*9.5)/(XO6/1000),((XO54+XO55)*8)/(XO6/1000))),"-")</f>
        <v>-</v>
      </c>
      <c r="XP61" s="1338"/>
      <c r="XQ61" s="1339"/>
      <c r="XR61" s="1337" t="str">
        <f>IFERROR(IF(AND(XR54="-",XR55="-"),"-",IF(XR5="LV",((XR54+XR55)*9.5)/(XR6/1000),((XR54+XR55)*8)/(XR6/1000))),"-")</f>
        <v>-</v>
      </c>
      <c r="XS61" s="1338"/>
      <c r="XT61" s="1339"/>
      <c r="XU61" s="1337">
        <f>IFERROR(IF(AND(XU54="-",XU55="-"),"-",IF(XU5="LV",((XU54+XU55)*9.5)/(XU6/1000),((XU54+XU55)*8)/(XU6/1000))),"-")</f>
        <v>15.187193501695866</v>
      </c>
      <c r="XV61" s="1338"/>
      <c r="XW61" s="1339"/>
      <c r="XX61" s="1337">
        <f>IFERROR(IF(AND(XX54="-",XX55="-"),"-",IF(XX5="LV",((XX54+XX55)*9.5)/(XX6/1000),((XX54+XX55)*8)/(XX6/1000))),"-")</f>
        <v>15.004439435850152</v>
      </c>
      <c r="XY61" s="1338"/>
      <c r="XZ61" s="1339"/>
      <c r="YA61" s="1337">
        <f>IFERROR(IF(AND(YA54="-",YA55="-"),"-",IF(YA5="LV",((YA54+YA55)*9.5)/(YA6/1000),((YA54+YA55)*8)/(YA6/1000))),"-")</f>
        <v>15.316871872079064</v>
      </c>
      <c r="YB61" s="1338"/>
      <c r="YC61" s="1339"/>
      <c r="YD61" s="1337">
        <f>IFERROR(IF(AND(YD54="-",YD55="-"),"-",IF(YD5="LV",((YD54+YD55)*9.5)/(YD6/1000),((YD54+YD55)*8)/(YD6/1000))),"-")</f>
        <v>16.482158390333634</v>
      </c>
      <c r="YE61" s="1338"/>
      <c r="YF61" s="1339"/>
      <c r="YG61" s="1337">
        <f>IFERROR(IF(AND(YG54="-",YG55="-"),"-",IF(YG5="LV",((YG54+YG55)*9.5)/(YG6/1000),((YG54+YG55)*8)/(YG6/1000))),"-")</f>
        <v>14.010852265395037</v>
      </c>
      <c r="YH61" s="1338"/>
      <c r="YI61" s="1339"/>
      <c r="YJ61" s="1337" t="str">
        <f>IFERROR(IF(AND(YJ54="-",YJ55="-"),"-",IF(YJ5="LV",((YJ54+YJ55)*9.5)/(YJ6/1000),((YJ54+YJ55)*8)/(YJ6/1000))),"-")</f>
        <v>-</v>
      </c>
      <c r="YK61" s="1338"/>
      <c r="YL61" s="1339"/>
      <c r="YM61" s="1337" t="str">
        <f>IFERROR(IF(AND(YM54="-",YM55="-"),"-",IF(YM5="LV",((YM54+YM55)*9.5)/(YM6/1000),((YM54+YM55)*8)/(YM6/1000))),"-")</f>
        <v>-</v>
      </c>
      <c r="YN61" s="1338"/>
      <c r="YO61" s="1339"/>
      <c r="YP61" s="1337">
        <f>IFERROR(IF(AND(YP54="-",YP55="-"),"-",IF(YP5="LV",((YP54+YP55)*9.5)/(YP6/1000),((YP54+YP55)*8)/(YP6/1000))),"-")</f>
        <v>14.670743032440498</v>
      </c>
      <c r="YQ61" s="1338"/>
      <c r="YR61" s="1339"/>
      <c r="YS61" s="1337">
        <f>IFERROR(IF(AND(YS54="-",YS55="-"),"-",IF(YS5="LV",((YS54+YS55)*9.5)/(YS6/1000),((YS54+YS55)*8)/(YS6/1000))),"-")</f>
        <v>16.333437396784891</v>
      </c>
      <c r="YT61" s="1338"/>
      <c r="YU61" s="1339"/>
      <c r="YV61" s="1337">
        <f>IFERROR(IF(AND(YV54="-",YV55="-"),"-",IF(YV5="LV",((YV54+YV55)*9.5)/(YV6/1000),((YV54+YV55)*8)/(YV6/1000))),"-")</f>
        <v>15.316242217248805</v>
      </c>
      <c r="YW61" s="1338"/>
      <c r="YX61" s="1339"/>
      <c r="YY61" s="1337">
        <f>IFERROR(IF(AND(YY54="-",YY55="-"),"-",IF(YY5="LV",((YY54+YY55)*9.5)/(YY6/1000),((YY54+YY55)*8)/(YY6/1000))),"-")</f>
        <v>15.691865658504144</v>
      </c>
      <c r="YZ61" s="1338"/>
      <c r="ZA61" s="1339"/>
      <c r="ZB61" s="1337">
        <f>IFERROR(IF(AND(ZB54="-",ZB55="-"),"-",IF(ZB5="LV",((ZB54+ZB55)*9.5)/(ZB6/1000),((ZB54+ZB55)*8)/(ZB6/1000))),"-")</f>
        <v>15.267224643550483</v>
      </c>
      <c r="ZC61" s="1338"/>
      <c r="ZD61" s="1339"/>
      <c r="ZE61" s="1337" t="str">
        <f>IFERROR(IF(AND(ZE54="-",ZE55="-"),"-",IF(ZE5="LV",((ZE54+ZE55)*9.5)/(ZE6/1000),((ZE54+ZE55)*8)/(ZE6/1000))),"-")</f>
        <v>-</v>
      </c>
      <c r="ZF61" s="1338"/>
      <c r="ZG61" s="1339"/>
      <c r="ZH61" s="1337" t="str">
        <f>IFERROR(IF(AND(ZH54="-",ZH55="-"),"-",IF(ZH5="LV",((ZH54+ZH55)*9.5)/(ZH6/1000),((ZH54+ZH55)*8)/(ZH6/1000))),"-")</f>
        <v>-</v>
      </c>
      <c r="ZI61" s="1338"/>
      <c r="ZJ61" s="1339"/>
      <c r="ZK61" s="1337">
        <f>IFERROR(IF(AND(ZK54="-",ZK55="-"),"-",IF(ZK5="LV",((ZK54+ZK55)*9.5)/(ZK6/1000),((ZK54+ZK55)*8)/(ZK6/1000))),"-")</f>
        <v>16.328474895890629</v>
      </c>
      <c r="ZL61" s="1338"/>
      <c r="ZM61" s="1339"/>
      <c r="ZN61" s="1337">
        <f>IFERROR(IF(AND(ZN54="-",ZN55="-"),"-",IF(ZN5="LV",((ZN54+ZN55)*9.5)/(ZN6/1000),((ZN54+ZN55)*8)/(ZN6/1000))),"-")</f>
        <v>16.480339244410178</v>
      </c>
      <c r="ZO61" s="1338"/>
      <c r="ZP61" s="1339"/>
      <c r="ZQ61" s="1337">
        <f>IFERROR(IF(AND(ZQ54="-",ZQ55="-"),"-",IF(ZQ5="LV",((ZQ54+ZQ55)*9.5)/(ZQ6/1000),((ZQ54+ZQ55)*8)/(ZQ6/1000))),"-")</f>
        <v>17.713826501670276</v>
      </c>
      <c r="ZR61" s="1338"/>
      <c r="ZS61" s="1339"/>
      <c r="ZT61" s="1337">
        <f>IFERROR(IF(AND(ZT54="-",ZT55="-"),"-",IF(ZT5="LV",((ZT54+ZT55)*9.5)/(ZT6/1000),((ZT54+ZT55)*8)/(ZT6/1000))),"-")</f>
        <v>17.102360607520474</v>
      </c>
      <c r="ZU61" s="1338"/>
      <c r="ZV61" s="1339"/>
      <c r="ZW61" s="1337">
        <f>IFERROR(IF(AND(ZW54="-",ZW55="-"),"-",IF(ZW5="LV",((ZW54+ZW55)*9.5)/(ZW6/1000),((ZW54+ZW55)*8)/(ZW6/1000))),"-")</f>
        <v>16.327963301419771</v>
      </c>
      <c r="ZX61" s="1338"/>
      <c r="ZY61" s="1339"/>
      <c r="ZZ61" s="1337">
        <f>IFERROR(IF(AND(ZZ54="-",ZZ55="-"),"-",IF(ZZ5="LV",((ZZ54+ZZ55)*9.5)/(ZZ6/1000),((ZZ54+ZZ55)*8)/(ZZ6/1000))),"-")</f>
        <v>11.683471393020293</v>
      </c>
      <c r="AAA61" s="1338"/>
      <c r="AAB61" s="1339"/>
      <c r="AAC61" s="1337" t="str">
        <f>IFERROR(IF(AND(AAC54="-",AAC55="-"),"-",IF(AAC5="LV",((AAC54+AAC55)*9.5)/(AAC6/1000),((AAC54+AAC55)*8)/(AAC6/1000))),"-")</f>
        <v>-</v>
      </c>
      <c r="AAD61" s="1338"/>
      <c r="AAE61" s="1339"/>
      <c r="AAF61" s="1337">
        <f>IFERROR(IF(AND(AAF54="-",AAF55="-"),"-",IF(AAF5="LV",((AAF54+AAF55)*9.5)/(AAF6/1000),((AAF54+AAF55)*8)/(AAF6/1000))),"-")</f>
        <v>16.981454464203569</v>
      </c>
      <c r="AAG61" s="1338"/>
      <c r="AAH61" s="1339"/>
      <c r="AAI61" s="1337">
        <f>IFERROR(IF(AND(AAI54="-",AAI55="-"),"-",IF(AAI5="LV",((AAI54+AAI55)*9.5)/(AAI6/1000),((AAI54+AAI55)*8)/(AAI6/1000))),"-")</f>
        <v>15.347121895381095</v>
      </c>
      <c r="AAJ61" s="1338"/>
      <c r="AAK61" s="1339"/>
      <c r="AAL61" s="1337">
        <f>IFERROR(IF(AND(AAL54="-",AAL55="-"),"-",IF(AAL5="LV",((AAL54+AAL55)*9.5)/(AAL6/1000),((AAL54+AAL55)*8)/(AAL6/1000))),"-")</f>
        <v>18.050439137549166</v>
      </c>
      <c r="AAM61" s="1338"/>
      <c r="AAN61" s="1339"/>
      <c r="AAO61" s="1337">
        <f>IFERROR(IF(AND(AAO54="-",AAO55="-"),"-",IF(AAO5="LV",((AAO54+AAO55)*9.5)/(AAO6/1000),((AAO54+AAO55)*8)/(AAO6/1000))),"-")</f>
        <v>14.863853943077306</v>
      </c>
      <c r="AAP61" s="1338"/>
      <c r="AAQ61" s="1339"/>
      <c r="AAR61" s="1337">
        <f>IFERROR(IF(AND(AAR54="-",AAR55="-"),"-",IF(AAR5="LV",((AAR54+AAR55)*9.5)/(AAR6/1000),((AAR54+AAR55)*8)/(AAR6/1000))),"-")</f>
        <v>16.40093429470905</v>
      </c>
      <c r="AAS61" s="1338"/>
      <c r="AAT61" s="1339"/>
      <c r="AAU61" s="1337">
        <f>IFERROR(IF(AND(AAU54="-",AAU55="-"),"-",IF(AAU5="LV",((AAU54+AAU55)*9.5)/(AAU6/1000),((AAU54+AAU55)*8)/(AAU6/1000))),"-")</f>
        <v>9.2519685039370074</v>
      </c>
      <c r="AAV61" s="1338"/>
      <c r="AAW61" s="1338"/>
      <c r="AAX61" s="1337" t="str">
        <f>IFERROR(IF(AND(AAX54="-",AAX55="-"),"-",IF(AAX5="LV",((AAX54+AAX55)*9.5)/(AAX6/1000),((AAX54+AAX55)*8)/(AAX6/1000))),"-")</f>
        <v>-</v>
      </c>
      <c r="AAY61" s="1338"/>
      <c r="AAZ61" s="1339"/>
      <c r="ABA61" s="1337">
        <f>IFERROR(IF(AND(ABA54="-",ABA55="-"),"-",IF(ABA5="LV",((ABA54+ABA55)*9.5)/(ABA6/1000),((ABA54+ABA55)*8)/(ABA6/1000))),"-")</f>
        <v>17.875376637321779</v>
      </c>
      <c r="ABB61" s="1338"/>
      <c r="ABC61" s="1339"/>
      <c r="ABD61" s="1337">
        <f>IFERROR(IF(AND(ABD54="-",ABD55="-"),"-",IF(ABD5="LV",((ABD54+ABD55)*9.5)/(ABD6/1000),((ABD54+ABD55)*8)/(ABD6/1000))),"-")</f>
        <v>20.515050128704949</v>
      </c>
      <c r="ABE61" s="1338"/>
      <c r="ABF61" s="1339"/>
      <c r="ABG61" s="1337">
        <f>IFERROR(IF(AND(ABG54="-",ABG55="-"),"-",IF(ABG5="LV",((ABG54+ABG55)*9.5)/(ABG6/1000),((ABG54+ABG55)*8)/(ABG6/1000))),"-")</f>
        <v>16.223019142460799</v>
      </c>
      <c r="ABH61" s="1338"/>
      <c r="ABI61" s="1339"/>
      <c r="ABJ61" s="1337">
        <f>IFERROR(IF(AND(ABJ54="-",ABJ55="-"),"-",IF(ABJ5="LV",((ABJ54+ABJ55)*9.5)/(ABJ6/1000),((ABJ54+ABJ55)*8)/(ABJ6/1000))),"-")</f>
        <v>20.005122221906035</v>
      </c>
      <c r="ABK61" s="1338"/>
      <c r="ABL61" s="1339"/>
      <c r="ABM61" s="1337">
        <f>IFERROR(IF(AND(ABM54="-",ABM55="-"),"-",IF(ABM5="LV",((ABM54+ABM55)*9.5)/(ABM6/1000),((ABM54+ABM55)*8)/(ABM6/1000))),"-")</f>
        <v>14.887405276603053</v>
      </c>
      <c r="ABN61" s="1338"/>
      <c r="ABO61" s="1339"/>
      <c r="ABP61" s="1337">
        <f>IFERROR(IF(AND(ABP54="-",ABP55="-"),"-",IF(ABP5="LV",((ABP54+ABP55)*9.5)/(ABP6/1000),((ABP54+ABP55)*8)/(ABP6/1000))),"-")</f>
        <v>11.04750426835392</v>
      </c>
      <c r="ABQ61" s="1338"/>
      <c r="ABR61" s="1338"/>
      <c r="ABS61" s="1337" t="str">
        <f>IFERROR(IF(AND(ABS54="-",ABS55="-"),"-",IF(ABS5="LV",((ABS54+ABS55)*9.5)/(ABS6/1000),((ABS54+ABS55)*8)/(ABS6/1000))),"-")</f>
        <v>-</v>
      </c>
      <c r="ABT61" s="1338"/>
      <c r="ABU61" s="1339"/>
      <c r="ABV61" s="1337">
        <f>IFERROR(IF(AND(ABV54="-",ABV55="-"),"-",IF(ABV5="LV",((ABV54+ABV55)*9.5)/(ABV6/1000),((ABV54+ABV55)*8)/(ABV6/1000))),"-")</f>
        <v>17.199426444389726</v>
      </c>
      <c r="ABW61" s="1338"/>
      <c r="ABX61" s="1339"/>
      <c r="ABY61" s="1337">
        <f>IFERROR(IF(AND(ABY54="-",ABY55="-"),"-",IF(ABY5="LV",((ABY54+ABY55)*9.5)/(ABY6/1000),((ABY54+ABY55)*8)/(ABY6/1000))),"-")</f>
        <v>15.622881855011656</v>
      </c>
      <c r="ABZ61" s="1338"/>
      <c r="ACA61" s="1339"/>
      <c r="ACB61" s="1337">
        <f>IFERROR(IF(AND(ACB54="-",ACB55="-"),"-",IF(ACB5="LV",((ACB54+ACB55)*9.5)/(ACB6/1000),((ACB54+ACB55)*8)/(ACB6/1000))),"-")</f>
        <v>15.256436610308853</v>
      </c>
      <c r="ACC61" s="1338"/>
      <c r="ACD61" s="1339"/>
      <c r="ACE61" s="1337">
        <f>IFERROR(IF(AND(ACE54="-",ACE55="-"),"-",IF(ACE5="LV",((ACE54+ACE55)*9.5)/(ACE6/1000),((ACE54+ACE55)*8)/(ACE6/1000))),"-")</f>
        <v>18.340606916593423</v>
      </c>
      <c r="ACF61" s="1338"/>
      <c r="ACG61" s="1339"/>
      <c r="ACH61" s="1337">
        <f>IFERROR(IF(AND(ACH54="-",ACH55="-"),"-",IF(ACH5="LV",((ACH54+ACH55)*9.5)/(ACH6/1000),((ACH54+ACH55)*8)/(ACH6/1000))),"-")</f>
        <v>13.108307389808289</v>
      </c>
      <c r="ACI61" s="1338"/>
      <c r="ACJ61" s="1339"/>
      <c r="ACK61" s="1337" t="str">
        <f>IFERROR(IF(AND(ACK54="-",ACK55="-"),"-",IF(ACK5="LV",((ACK54+ACK55)*9.5)/(ACK6/1000),((ACK54+ACK55)*8)/(ACK6/1000))),"-")</f>
        <v>-</v>
      </c>
      <c r="ACL61" s="1338"/>
      <c r="ACM61" s="1338"/>
      <c r="ACN61" s="1337" t="str">
        <f>IFERROR(IF(AND(ACN54="-",ACN55="-"),"-",IF(ACN5="LV",((ACN54+ACN55)*9.5)/(ACN6/1000),((ACN54+ACN55)*8)/(ACN6/1000))),"-")</f>
        <v>-</v>
      </c>
      <c r="ACO61" s="1338"/>
      <c r="ACP61" s="1339"/>
      <c r="ACQ61" s="1337">
        <f>IFERROR(IF(AND(ACQ54="-",ACQ55="-"),"-",IF(ACQ5="LV",((ACQ54+ACQ55)*9.5)/(ACQ6/1000),((ACQ54+ACQ55)*8)/(ACQ6/1000))),"-")</f>
        <v>17.703696034786208</v>
      </c>
      <c r="ACR61" s="1338"/>
      <c r="ACS61" s="1339"/>
      <c r="ACT61" s="1337">
        <f>IFERROR(IF(AND(ACT54="-",ACT55="-"),"-",IF(ACT5="LV",((ACT54+ACT55)*9.5)/(ACT6/1000),((ACT54+ACT55)*8)/(ACT6/1000))),"-")</f>
        <v>16.788420527247155</v>
      </c>
      <c r="ACU61" s="1338"/>
      <c r="ACV61" s="1339"/>
      <c r="ACW61" s="1337">
        <f>IFERROR(IF(AND(ACW54="-",ACW55="-"),"-",IF(ACW5="LV",((ACW54+ACW55)*9.5)/(ACW6/1000),((ACW54+ACW55)*8)/(ACW6/1000))),"-")</f>
        <v>16.220282043709393</v>
      </c>
      <c r="ACX61" s="1338"/>
      <c r="ACY61" s="1339"/>
      <c r="ACZ61" s="1337">
        <f>IFERROR(IF(AND(ACZ54="-",ACZ55="-"),"-",IF(ACZ5="LV",((ACZ54+ACZ55)*9.5)/(ACZ6/1000),((ACZ54+ACZ55)*8)/(ACZ6/1000))),"-")</f>
        <v>16.681497300824585</v>
      </c>
      <c r="ADA61" s="1338"/>
      <c r="ADB61" s="1339"/>
      <c r="ADC61" s="1337">
        <f>IFERROR(IF(AND(ADC54="-",ADC55="-"),"-",IF(ADC5="LV",((ADC54+ADC55)*9.5)/(ADC6/1000),((ADC54+ADC55)*8)/(ADC6/1000))),"-")</f>
        <v>15.914879166902486</v>
      </c>
      <c r="ADD61" s="1338"/>
      <c r="ADE61" s="1339"/>
      <c r="ADF61" s="1337" t="str">
        <f>IFERROR(IF(AND(ADF54="-",ADF55="-"),"-",IF(ADF5="LV",((ADF54+ADF55)*9.5)/(ADF6/1000),((ADF54+ADF55)*8)/(ADF6/1000))),"-")</f>
        <v>-</v>
      </c>
      <c r="ADG61" s="1338"/>
      <c r="ADH61" s="1338"/>
      <c r="ADI61" s="1337" t="str">
        <f>IFERROR(IF(AND(ADI54="-",ADI55="-"),"-",IF(ADI5="LV",((ADI54+ADI55)*9.5)/(ADI6/1000),((ADI54+ADI55)*8)/(ADI6/1000))),"-")</f>
        <v>-</v>
      </c>
      <c r="ADJ61" s="1338"/>
      <c r="ADK61" s="1339"/>
      <c r="ADL61" s="1337">
        <f>IFERROR(IF(AND(ADL54="-",ADL55="-"),"-",IF(ADL5="LV",((ADL54+ADL55)*9.5)/(ADL6/1000),((ADL54+ADL55)*8)/(ADL6/1000))),"-")</f>
        <v>17.03914457843166</v>
      </c>
      <c r="ADM61" s="1338"/>
      <c r="ADN61" s="1339"/>
      <c r="ADO61" s="1337">
        <f>IFERROR(IF(AND(ADO54="-",ADO55="-"),"-",IF(ADO5="LV",((ADO54+ADO55)*9.5)/(ADO6/1000),((ADO54+ADO55)*8)/(ADO6/1000))),"-")</f>
        <v>15.587590937242902</v>
      </c>
      <c r="ADP61" s="1338"/>
      <c r="ADQ61" s="1339"/>
      <c r="ADR61" s="1337">
        <f>IFERROR(IF(AND(ADR54="-",ADR55="-"),"-",IF(ADR5="LV",((ADR54+ADR55)*9.5)/(ADR6/1000),((ADR54+ADR55)*8)/(ADR6/1000))),"-")</f>
        <v>15.783899038428254</v>
      </c>
      <c r="ADS61" s="1338"/>
      <c r="ADT61" s="1339"/>
      <c r="ADU61" s="1337">
        <f>IFERROR(IF(AND(ADU54="-",ADU55="-"),"-",IF(ADU5="LV",((ADU54+ADU55)*9.5)/(ADU6/1000),((ADU54+ADU55)*8)/(ADU6/1000))),"-")</f>
        <v>15.699323343531566</v>
      </c>
      <c r="ADV61" s="1338"/>
      <c r="ADW61" s="1339"/>
      <c r="ADX61" s="1337">
        <f>IFERROR(IF(AND(ADX54="-",ADX55="-"),"-",IF(ADX5="LV",((ADX54+ADX55)*9.5)/(ADX6/1000),((ADX54+ADX55)*8)/(ADX6/1000))),"-")</f>
        <v>16.068352111961378</v>
      </c>
      <c r="ADY61" s="1338"/>
      <c r="ADZ61" s="1339"/>
      <c r="AEA61" s="1337" t="str">
        <f>IFERROR(IF(AND(AEA54="-",AEA55="-"),"-",IF(AEA5="LV",((AEA54+AEA55)*9.5)/(AEA6/1000),((AEA54+AEA55)*8)/(AEA6/1000))),"-")</f>
        <v>-</v>
      </c>
      <c r="AEB61" s="1338"/>
      <c r="AEC61" s="1338"/>
      <c r="AED61" s="1337" t="str">
        <f>IFERROR(IF(AND(AED54="-",AED55="-"),"-",IF(AED5="LV",((AED54+AED55)*9.5)/(AED6/1000),((AED54+AED55)*8)/(AED6/1000))),"-")</f>
        <v>-</v>
      </c>
      <c r="AEE61" s="1338"/>
      <c r="AEF61" s="1339"/>
      <c r="AEG61" s="1337">
        <f>IFERROR(IF(AND(AEG54="-",AEG55="-"),"-",IF(AEG5="LV",((AEG54+AEG55)*9.5)/(AEG6/1000),((AEG54+AEG55)*8)/(AEG6/1000))),"-")</f>
        <v>16.555844372608359</v>
      </c>
      <c r="AEH61" s="1338"/>
      <c r="AEI61" s="1339"/>
      <c r="AEJ61" s="1337">
        <f>IFERROR(IF(AND(AEJ54="-",AEJ55="-"),"-",IF(AEJ5="LV",((AEJ54+AEJ55)*9.5)/(AEJ6/1000),((AEJ54+AEJ55)*8)/(AEJ6/1000))),"-")</f>
        <v>16.181947153750667</v>
      </c>
      <c r="AEK61" s="1338"/>
      <c r="AEL61" s="1339"/>
      <c r="AEM61" s="1337">
        <f>IFERROR(IF(AND(AEM54="-",AEM55="-"),"-",IF(AEM5="LV",((AEM54+AEM55)*9.5)/(AEM6/1000),((AEM54+AEM55)*8)/(AEM6/1000))),"-")</f>
        <v>15.973042755240472</v>
      </c>
      <c r="AEN61" s="1338"/>
      <c r="AEO61" s="1339"/>
      <c r="AEP61" s="1337">
        <f>IFERROR(IF(AND(AEP54="-",AEP55="-"),"-",IF(AEP5="LV",((AEP54+AEP55)*9.5)/(AEP6/1000),((AEP54+AEP55)*8)/(AEP6/1000))),"-")</f>
        <v>17.735042203177624</v>
      </c>
      <c r="AEQ61" s="1338"/>
      <c r="AER61" s="1339"/>
      <c r="AES61" s="1337">
        <f>IFERROR(IF(AND(AES54="-",AES55="-"),"-",IF(AES5="LV",((AES54+AES55)*9.5)/(AES6/1000),((AES54+AES55)*8)/(AES6/1000))),"-")</f>
        <v>17.208586178788153</v>
      </c>
      <c r="AET61" s="1338"/>
      <c r="AEU61" s="1339"/>
      <c r="AEV61" s="1337" t="str">
        <f>IFERROR(IF(AND(AEV54="-",AEV55="-"),"-",IF(AEV5="LV",((AEV54+AEV55)*9.5)/(AEV6/1000),((AEV54+AEV55)*8)/(AEV6/1000))),"-")</f>
        <v>-</v>
      </c>
      <c r="AEW61" s="1338"/>
      <c r="AEX61" s="1338"/>
      <c r="AEY61" s="1337" t="str">
        <f>IFERROR(IF(AND(AEY54="-",AEY55="-"),"-",IF(AEY5="LV",((AEY54+AEY55)*9.5)/(AEY6/1000),((AEY54+AEY55)*8)/(AEY6/1000))),"-")</f>
        <v>-</v>
      </c>
      <c r="AEZ61" s="1338"/>
      <c r="AFA61" s="1339"/>
      <c r="AFB61" s="1337">
        <f>IFERROR(IF(AND(AFB54="-",AFB55="-"),"-",IF(AFB5="LV",((AFB54+AFB55)*9.5)/(AFB6/1000),((AFB54+AFB55)*8)/(AFB6/1000))),"-")</f>
        <v>15.350672757216991</v>
      </c>
      <c r="AFC61" s="1338"/>
      <c r="AFD61" s="1339"/>
      <c r="AFE61" s="1337">
        <f>IFERROR(IF(AND(AFE54="-",AFE55="-"),"-",IF(AFE5="LV",((AFE54+AFE55)*9.5)/(AFE6/1000),((AFE54+AFE55)*8)/(AFE6/1000))),"-")</f>
        <v>16.568645631882447</v>
      </c>
      <c r="AFF61" s="1338"/>
      <c r="AFG61" s="1339"/>
      <c r="AFH61" s="1337">
        <f>IFERROR(IF(AND(AFH54="-",AFH55="-"),"-",IF(AFH5="LV",((AFH54+AFH55)*9.5)/(AFH6/1000),((AFH54+AFH55)*8)/(AFH6/1000))),"-")</f>
        <v>18.166407392668315</v>
      </c>
      <c r="AFI61" s="1338"/>
      <c r="AFJ61" s="1339"/>
      <c r="AFK61" s="1337">
        <f>IFERROR(IF(AND(AFK54="-",AFK55="-"),"-",IF(AFK5="LV",((AFK54+AFK55)*9.5)/(AFK6/1000),((AFK54+AFK55)*8)/(AFK6/1000))),"-")</f>
        <v>16.112758869627996</v>
      </c>
      <c r="AFL61" s="1338"/>
      <c r="AFM61" s="1339"/>
      <c r="AFN61" s="1337">
        <f>IFERROR(IF(AND(AFN54="-",AFN55="-"),"-",IF(AFN5="LV",((AFN54+AFN55)*9.5)/(AFN6/1000),((AFN54+AFN55)*8)/(AFN6/1000))),"-")</f>
        <v>15.958237228564601</v>
      </c>
      <c r="AFO61" s="1338"/>
      <c r="AFP61" s="1339"/>
      <c r="AFQ61" s="1337" t="str">
        <f>IFERROR(IF(AND(AFQ54="-",AFQ55="-"),"-",IF(AFQ5="LV",((AFQ54+AFQ55)*9.5)/(AFQ6/1000),((AFQ54+AFQ55)*8)/(AFQ6/1000))),"-")</f>
        <v>-</v>
      </c>
      <c r="AFR61" s="1338"/>
      <c r="AFS61" s="1338"/>
      <c r="AFT61" s="1337" t="str">
        <f>IFERROR(IF(AND(AFT54="-",AFT55="-"),"-",IF(AFT5="LV",((AFT54+AFT55)*9.5)/(AFT6/1000),((AFT54+AFT55)*8)/(AFT6/1000))),"-")</f>
        <v>-</v>
      </c>
      <c r="AFU61" s="1338"/>
      <c r="AFV61" s="1339"/>
      <c r="AFW61" s="1337">
        <f>IFERROR(IF(AND(AFW54="-",AFW55="-"),"-",IF(AFW5="LV",((AFW54+AFW55)*9.5)/(AFW6/1000),((AFW54+AFW55)*8)/(AFW6/1000))),"-")</f>
        <v>16.98212173029474</v>
      </c>
      <c r="AFX61" s="1338"/>
      <c r="AFY61" s="1339"/>
      <c r="AFZ61" s="1337">
        <f>IFERROR(IF(AND(AFZ54="-",AFZ55="-"),"-",IF(AFZ5="LV",((AFZ54+AFZ55)*9.5)/(AFZ6/1000),((AFZ54+AFZ55)*8)/(AFZ6/1000))),"-")</f>
        <v>17.736904969923856</v>
      </c>
      <c r="AGA61" s="1338"/>
      <c r="AGB61" s="1339"/>
      <c r="AGC61" s="1337">
        <f>IFERROR(IF(AND(AGC54="-",AGC55="-"),"-",IF(AGC5="LV",((AGC54+AGC55)*9.5)/(AGC6/1000),((AGC54+AGC55)*8)/(AGC6/1000))),"-")</f>
        <v>17.463676701387215</v>
      </c>
      <c r="AGD61" s="1338"/>
      <c r="AGE61" s="1339"/>
      <c r="AGF61" s="1337">
        <f>IFERROR(IF(AND(AGF54="-",AGF55="-"),"-",IF(AGF5="LV",((AGF54+AGF55)*9.5)/(AGF6/1000),((AGF54+AGF55)*8)/(AGF6/1000))),"-")</f>
        <v>17.517211813054473</v>
      </c>
      <c r="AGG61" s="1338"/>
      <c r="AGH61" s="1339"/>
      <c r="AGI61" s="1337">
        <f>IFERROR(IF(AND(AGI54="-",AGI55="-"),"-",IF(AGI5="LV",((AGI54+AGI55)*9.5)/(AGI6/1000),((AGI54+AGI55)*8)/(AGI6/1000))),"-")</f>
        <v>20.958850381862351</v>
      </c>
      <c r="AGJ61" s="1338"/>
      <c r="AGK61" s="1339"/>
      <c r="AGL61" s="1337" t="str">
        <f>IFERROR(IF(AND(AGL54="-",AGL55="-"),"-",IF(AGL5="LV",((AGL54+AGL55)*9.5)/(AGL6/1000),((AGL54+AGL55)*8)/(AGL6/1000))),"-")</f>
        <v>-</v>
      </c>
      <c r="AGM61" s="1338"/>
      <c r="AGN61" s="1338"/>
      <c r="AGO61" s="1337" t="str">
        <f>IFERROR(IF(AND(AGO54="-",AGO55="-"),"-",IF(AGO5="LV",((AGO54+AGO55)*9.5)/(AGO6/1000),((AGO54+AGO55)*8)/(AGO6/1000))),"-")</f>
        <v>-</v>
      </c>
      <c r="AGP61" s="1338"/>
      <c r="AGQ61" s="1339"/>
      <c r="AGR61" s="1337">
        <f>IFERROR(IF(AND(AGR54="-",AGR55="-"),"-",IF(AGR5="LV",((AGR54+AGR55)*9.5)/(AGR6/1000),((AGR54+AGR55)*8)/(AGR6/1000))),"-")</f>
        <v>18.787905423222291</v>
      </c>
      <c r="AGS61" s="1338"/>
      <c r="AGT61" s="1339"/>
      <c r="AGU61" s="1337">
        <f>IFERROR(IF(AND(AGU54="-",AGU55="-"),"-",IF(AGU5="LV",((AGU54+AGU55)*9.5)/(AGU6/1000),((AGU54+AGU55)*8)/(AGU6/1000))),"-")</f>
        <v>18.590472058885943</v>
      </c>
      <c r="AGV61" s="1338"/>
      <c r="AGW61" s="1339"/>
      <c r="AGX61" s="1337">
        <f>IFERROR(IF(AND(AGX54="-",AGX55="-"),"-",IF(AGX5="LV",((AGX54+AGX55)*9.5)/(AGX6/1000),((AGX54+AGX55)*8)/(AGX6/1000))),"-")</f>
        <v>16.609036870119276</v>
      </c>
      <c r="AGY61" s="1338"/>
      <c r="AGZ61" s="1339"/>
      <c r="AHA61" s="1337">
        <f>IFERROR(IF(AND(AHA54="-",AHA55="-"),"-",IF(AHA5="LV",((AHA54+AHA55)*9.5)/(AHA6/1000),((AHA54+AHA55)*8)/(AHA6/1000))),"-")</f>
        <v>16.693346019419138</v>
      </c>
      <c r="AHB61" s="1338"/>
      <c r="AHC61" s="1339"/>
      <c r="AHD61" s="1337">
        <f>IFERROR(IF(AND(AHD54="-",AHD55="-"),"-",IF(AHD5="LV",((AHD54+AHD55)*9.5)/(AHD6/1000),((AHD54+AHD55)*8)/(AHD6/1000))),"-")</f>
        <v>16.785082478803311</v>
      </c>
      <c r="AHE61" s="1338"/>
      <c r="AHF61" s="1339"/>
      <c r="AHG61" s="1337">
        <f>IFERROR(IF(AND(AHG54="-",AHG55="-"),"-",IF(AHG5="LV",((AHG54+AHG55)*9.5)/(AHG6/1000),((AHG54+AHG55)*8)/(AHG6/1000))),"-")</f>
        <v>11.140319160371735</v>
      </c>
      <c r="AHH61" s="1338"/>
      <c r="AHI61" s="1338"/>
      <c r="AHJ61" s="1337" t="str">
        <f>IFERROR(IF(AND(AHJ54="-",AHJ55="-"),"-",IF(AHJ5="LV",((AHJ54+AHJ55)*9.5)/(AHJ6/1000),((AHJ54+AHJ55)*8)/(AHJ6/1000))),"-")</f>
        <v>-</v>
      </c>
      <c r="AHK61" s="1338"/>
      <c r="AHL61" s="1339"/>
      <c r="AHM61" s="1337" t="str">
        <f>IFERROR(IF(AND(AHM54="-",AHM55="-"),"-",IF(AHM5="LV",((AHM54+AHM55)*9.5)/(AHM6/1000),((AHM54+AHM55)*8)/(AHM6/1000))),"-")</f>
        <v>-</v>
      </c>
      <c r="AHN61" s="1338"/>
      <c r="AHO61" s="1339"/>
      <c r="AHP61" s="1337">
        <f>IFERROR(IF(AND(AHP54="-",AHP55="-"),"-",IF(AHP5="LV",((AHP54+AHP55)*9.5)/(AHP6/1000),((AHP54+AHP55)*8)/(AHP6/1000))),"-")</f>
        <v>18.651515996189712</v>
      </c>
      <c r="AHQ61" s="1338"/>
      <c r="AHR61" s="1339"/>
      <c r="AHS61" s="1337">
        <f>IFERROR(IF(AND(AHS54="-",AHS55="-"),"-",IF(AHS5="LV",((AHS54+AHS55)*9.5)/(AHS6/1000),((AHS54+AHS55)*8)/(AHS6/1000))),"-")</f>
        <v>15.992243602037119</v>
      </c>
      <c r="AHT61" s="1338"/>
      <c r="AHU61" s="1339"/>
      <c r="AHV61" s="1337">
        <f>IFERROR(IF(AND(AHV54="-",AHV55="-"),"-",IF(AHV5="LV",((AHV54+AHV55)*9.5)/(AHV6/1000),((AHV54+AHV55)*8)/(AHV6/1000))),"-")</f>
        <v>16.755293349912254</v>
      </c>
      <c r="AHW61" s="1338"/>
      <c r="AHX61" s="1339"/>
      <c r="AHY61" s="1337">
        <f>IFERROR(IF(AND(AHY54="-",AHY55="-"),"-",IF(AHY5="LV",((AHY54+AHY55)*9.5)/(AHY6/1000),((AHY54+AHY55)*8)/(AHY6/1000))),"-")</f>
        <v>17.576968620485498</v>
      </c>
      <c r="AHZ61" s="1338"/>
      <c r="AIA61" s="1339"/>
      <c r="AIB61" s="1337" t="str">
        <f>IFERROR(IF(AND(AIB54="-",AIB55="-"),"-",IF(AIB5="LV",((AIB54+AIB55)*9.5)/(AIB6/1000),((AIB54+AIB55)*8)/(AIB6/1000))),"-")</f>
        <v>-</v>
      </c>
      <c r="AIC61" s="1338"/>
      <c r="AID61" s="1338"/>
      <c r="AIE61" s="1300" t="str">
        <f>IFERROR(IF(AND(AIE54="-",AIE55="-"),"-",IF(AIE5="LV",((AIE54+AIE55)*9.5)/(AIE6/1000),((AIE54+AIE55)*8)/(AIE6/1000))),"-")</f>
        <v>-</v>
      </c>
      <c r="AIF61" s="1301"/>
      <c r="AIG61" s="1302"/>
      <c r="AIH61" s="1337">
        <f>IFERROR(IF(AND(AIH54="-",AIH55="-"),"-",IF(AIH5="LV",((AIH54+AIH55)*9.5)/(AIH6/1000),((AIH54+AIH55)*8)/(AIH6/1000))),"-")</f>
        <v>19.238029045798761</v>
      </c>
      <c r="AII61" s="1338"/>
      <c r="AIJ61" s="1339"/>
      <c r="AIK61" s="1337">
        <f>IFERROR(IF(AND(AIK54="-",AIK55="-"),"-",IF(AIK5="LV",((AIK54+AIK55)*9.5)/(AIK6/1000),((AIK54+AIK55)*8)/(AIK6/1000))),"-")</f>
        <v>16.222073842179583</v>
      </c>
      <c r="AIL61" s="1338"/>
      <c r="AIM61" s="1339"/>
      <c r="AIN61" s="1337">
        <f>IFERROR(IF(AND(AIN54="-",AIN55="-"),"-",IF(AIN5="LV",((AIN54+AIN55)*9.5)/(AIN6/1000),((AIN54+AIN55)*8)/(AIN6/1000))),"-")</f>
        <v>16.556846289456576</v>
      </c>
      <c r="AIO61" s="1338"/>
      <c r="AIP61" s="1339"/>
      <c r="AIQ61" s="1337">
        <f>IFERROR(IF(AND(AIQ54="-",AIQ55="-"),"-",IF(AIQ5="LV",((AIQ54+AIQ55)*9.5)/(AIQ6/1000),((AIQ54+AIQ55)*8)/(AIQ6/1000))),"-")</f>
        <v>15.9564846636864</v>
      </c>
      <c r="AIR61" s="1338"/>
      <c r="AIS61" s="1338"/>
      <c r="AIT61" s="1300">
        <f>IFERROR(IF(AND(AIT54="-",AIT55="-"),"-",IF(AIT5="LV",((AIT54+AIT55)*9.5)/(AIT6/1000),((AIT54+AIT55)*8)/(AIT6/1000))),"-")</f>
        <v>15.527950310559007</v>
      </c>
      <c r="AIU61" s="1301"/>
      <c r="AIV61" s="1302"/>
      <c r="AIW61" s="1337">
        <f>IFERROR(IF(AND(AIW54="-",AIW55="-"),"-",IF(AIW5="LV",((AIW54+AIW55)*9.5)/(AIW6/1000),((AIW54+AIW55)*8)/(AIW6/1000))),"-")</f>
        <v>13.413646487143145</v>
      </c>
      <c r="AIX61" s="1338"/>
      <c r="AIY61" s="1338"/>
      <c r="AIZ61" s="1300" t="str">
        <f>IFERROR(IF(AND(AIZ54="-",AIZ55="-"),"-",IF(AIZ5="LV",((AIZ54+AIZ55)*9.5)/(AIZ6/1000),((AIZ54+AIZ55)*8)/(AIZ6/1000))),"-")</f>
        <v>-</v>
      </c>
      <c r="AJA61" s="1301"/>
      <c r="AJB61" s="1302"/>
      <c r="AJC61" s="1337" t="str">
        <f>IFERROR(IF(AND(AJC54="-",AJC55="-"),"-",IF(AJC5="LV",((AJC54+AJC55)*9.5)/(AJC6/1000),((AJC54+AJC55)*8)/(AJC6/1000))),"-")</f>
        <v>-</v>
      </c>
      <c r="AJD61" s="1338"/>
      <c r="AJE61" s="1339"/>
      <c r="AJF61" s="1337">
        <f>IFERROR(IF(AND(AJF54="-",AJF55="-"),"-",IF(AJF5="LV",((AJF54+AJF55)*9.5)/(AJF6/1000),((AJF54+AJF55)*8)/(AJF6/1000))),"-")</f>
        <v>17.56323818840054</v>
      </c>
      <c r="AJG61" s="1338"/>
      <c r="AJH61" s="1339"/>
      <c r="AJI61" s="1337">
        <f>IFERROR(IF(AND(AJI54="-",AJI55="-"),"-",IF(AJI5="LV",((AJI54+AJI55)*9.5)/(AJI6/1000),((AJI54+AJI55)*8)/(AJI6/1000))),"-")</f>
        <v>16.287539922057199</v>
      </c>
      <c r="AJJ61" s="1338"/>
      <c r="AJK61" s="1339"/>
      <c r="AJL61" s="1337">
        <f>IFERROR(IF(AND(AJL54="-",AJL55="-"),"-",IF(AJL5="LV",((AJL54+AJL55)*9.5)/(AJL6/1000),((AJL54+AJL55)*8)/(AJL6/1000))),"-")</f>
        <v>20.098239980037377</v>
      </c>
      <c r="AJM61" s="1338"/>
      <c r="AJN61" s="1338"/>
      <c r="AJO61" s="1300">
        <f>IFERROR(IF(AND(AJO54="-",AJO55="-"),"-",IF(AJO5="LV",((AJO54+AJO55)*9.5)/(AJO6/1000),((AJO54+AJO55)*8)/(AJO6/1000))),"-")</f>
        <v>16.533987911993528</v>
      </c>
      <c r="AJP61" s="1301"/>
      <c r="AJQ61" s="1302"/>
      <c r="AJR61" s="1337">
        <f>IFERROR(IF(AND(AJR54="-",AJR55="-"),"-",IF(AJR5="LV",((AJR54+AJR55)*9.5)/(AJR6/1000),((AJR54+AJR55)*8)/(AJR6/1000))),"-")</f>
        <v>11.885398122414479</v>
      </c>
      <c r="AJS61" s="1338"/>
      <c r="AJT61" s="1338"/>
      <c r="AJU61" s="1300">
        <f>IFERROR(IF(AND(AJU54="-",AJU55="-"),"-",IF(AJU5="LV",((AJU54+AJU55)*9.5)/(AJU6/1000),((AJU54+AJU55)*8)/(AJU6/1000))),"-")</f>
        <v>11.587261736930532</v>
      </c>
      <c r="AJV61" s="1301"/>
      <c r="AJW61" s="1302"/>
      <c r="AJX61" s="1337">
        <f>IFERROR(IF(AND(AJX54="-",AJX55="-"),"-",IF(AJX5="LV",((AJX54+AJX55)*9.5)/(AJX6/1000),((AJX54+AJX55)*8)/(AJX6/1000))),"-")</f>
        <v>17.898281478796317</v>
      </c>
      <c r="AJY61" s="1338"/>
      <c r="AJZ61" s="1339"/>
      <c r="AKA61" s="1337">
        <f>IFERROR(IF(AND(AKA54="-",AKA55="-"),"-",IF(AKA5="LV",((AKA54+AKA55)*9.5)/(AKA6/1000),((AKA54+AKA55)*8)/(AKA6/1000))),"-")</f>
        <v>18.218691418516901</v>
      </c>
      <c r="AKB61" s="1338"/>
      <c r="AKC61" s="1339"/>
      <c r="AKD61" s="1337">
        <f>IFERROR(IF(AND(AKD54="-",AKD55="-"),"-",IF(AKD5="LV",((AKD54+AKD55)*9.5)/(AKD6/1000),((AKD54+AKD55)*8)/(AKD6/1000))),"-")</f>
        <v>20.847563166744841</v>
      </c>
      <c r="AKE61" s="1338"/>
      <c r="AKF61" s="1339"/>
      <c r="AKG61" s="1337">
        <f>IFERROR(IF(AND(AKG54="-",AKG55="-"),"-",IF(AKG5="LV",((AKG54+AKG55)*9.5)/(AKG6/1000),((AKG54+AKG55)*8)/(AKG6/1000))),"-")</f>
        <v>16.96305872992912</v>
      </c>
      <c r="AKH61" s="1338"/>
      <c r="AKI61" s="1338"/>
      <c r="AKJ61" s="1300">
        <f>IFERROR(IF(AND(AKJ54="-",AKJ55="-"),"-",IF(AKJ5="LV",((AKJ54+AKJ55)*9.5)/(AKJ6/1000),((AKJ54+AKJ55)*8)/(AKJ6/1000))),"-")</f>
        <v>17.023913362638503</v>
      </c>
      <c r="AKK61" s="1301"/>
      <c r="AKL61" s="1302"/>
      <c r="AKM61" s="1337">
        <f>IFERROR(IF(AND(AKM54="-",AKM55="-"),"-",IF(AKM5="LV",((AKM54+AKM55)*9.5)/(AKM6/1000),((AKM54+AKM55)*8)/(AKM6/1000))),"-")</f>
        <v>13.771117147450795</v>
      </c>
      <c r="AKN61" s="1338"/>
      <c r="AKO61" s="1338"/>
      <c r="AKP61" s="1300" t="str">
        <f>IFERROR(IF(AND(AKP54="-",AKP55="-"),"-",IF(AKP5="LV",((AKP54+AKP55)*9.5)/(AKP6/1000),((AKP54+AKP55)*8)/(AKP6/1000))),"-")</f>
        <v>-</v>
      </c>
      <c r="AKQ61" s="1301"/>
      <c r="AKR61" s="1302"/>
      <c r="AKS61" s="1337">
        <f>IFERROR(IF(AND(AKS54="-",AKS55="-"),"-",IF(AKS5="LV",((AKS54+AKS55)*9.5)/(AKS6/1000),((AKS54+AKS55)*8)/(AKS6/1000))),"-")</f>
        <v>16.451142272075916</v>
      </c>
      <c r="AKT61" s="1338"/>
      <c r="AKU61" s="1339"/>
      <c r="AKV61" s="1337">
        <f>IFERROR(IF(AND(AKV54="-",AKV55="-"),"-",IF(AKV5="LV",((AKV54+AKV55)*9.5)/(AKV6/1000),((AKV54+AKV55)*8)/(AKV6/1000))),"-")</f>
        <v>18.5267103316733</v>
      </c>
      <c r="AKW61" s="1338"/>
      <c r="AKX61" s="1339"/>
      <c r="AKY61" s="1337" t="str">
        <f>IFERROR(IF(AND(AKY54="-",AKY55="-"),"-",IF(AKY5="LV",((AKY54+AKY55)*9.5)/(AKY6/1000),((AKY54+AKY55)*8)/(AKY6/1000))),"-")</f>
        <v>-</v>
      </c>
      <c r="AKZ61" s="1338"/>
      <c r="ALA61" s="1339"/>
      <c r="ALB61" s="1337" t="str">
        <f>IFERROR(IF(AND(ALB54="-",ALB55="-"),"-",IF(ALB5="LV",((ALB54+ALB55)*9.5)/(ALB6/1000),((ALB54+ALB55)*8)/(ALB6/1000))),"-")</f>
        <v>-</v>
      </c>
      <c r="ALC61" s="1338"/>
      <c r="ALD61" s="1338"/>
      <c r="ALE61" s="1300">
        <f>IFERROR(IF(AND(ALE54="-",ALE55="-"),"-",IF(ALE5="LV",((ALE54+ALE55)*9.5)/(ALE6/1000),((ALE54+ALE55)*8)/(ALE6/1000))),"-")</f>
        <v>18.870191718205138</v>
      </c>
      <c r="ALF61" s="1301"/>
      <c r="ALG61" s="1302"/>
      <c r="ALH61" s="1337">
        <f>IFERROR(IF(AND(ALH54="-",ALH55="-"),"-",IF(ALH5="LV",((ALH54+ALH55)*9.5)/(ALH6/1000),((ALH54+ALH55)*8)/(ALH6/1000))),"-")</f>
        <v>12.257405515832483</v>
      </c>
      <c r="ALI61" s="1338"/>
      <c r="ALJ61" s="1338"/>
      <c r="ALK61" s="1300">
        <f>IFERROR(IF(AND(ALK54="-",ALK55="-"),"-",IF(ALK5="LV",((ALK54+ALK55)*9.5)/(ALK6/1000),((ALK54+ALK55)*8)/(ALK6/1000))),"-")</f>
        <v>15.613439209540511</v>
      </c>
      <c r="ALL61" s="1301"/>
      <c r="ALM61" s="1302"/>
      <c r="ALN61" s="1337">
        <f>IFERROR(IF(AND(ALN54="-",ALN55="-"),"-",IF(ALN5="LV",((ALN54+ALN55)*9.5)/(ALN6/1000),((ALN54+ALN55)*8)/(ALN6/1000))),"-")</f>
        <v>18.05609002937781</v>
      </c>
      <c r="ALO61" s="1338"/>
      <c r="ALP61" s="1339"/>
      <c r="ALQ61" s="1337">
        <f>IFERROR(IF(AND(ALQ54="-",ALQ55="-"),"-",IF(ALQ5="LV",((ALQ54+ALQ55)*9.5)/(ALQ6/1000),((ALQ54+ALQ55)*8)/(ALQ6/1000))),"-")</f>
        <v>17.077194379657545</v>
      </c>
      <c r="ALR61" s="1338"/>
      <c r="ALS61" s="1339"/>
      <c r="ALT61" s="1337" t="str">
        <f>IFERROR(IF(AND(ALT54="-",ALT55="-"),"-",IF(ALT5="LV",((ALT54+ALT55)*9.5)/(ALT6/1000),((ALT54+ALT55)*8)/(ALT6/1000))),"-")</f>
        <v>-</v>
      </c>
      <c r="ALU61" s="1338"/>
      <c r="ALV61" s="1339"/>
      <c r="ALW61" s="1337" t="str">
        <f>IFERROR(IF(AND(ALW54="-",ALW55="-"),"-",IF(ALW5="LV",((ALW54+ALW55)*9.5)/(ALW6/1000),((ALW54+ALW55)*8)/(ALW6/1000))),"-")</f>
        <v>-</v>
      </c>
      <c r="ALX61" s="1338"/>
      <c r="ALY61" s="1338"/>
      <c r="ALZ61" s="1300">
        <f>IFERROR(IF(AND(ALZ54="-",ALZ55="-"),"-",IF(ALZ5="LV",((ALZ54+ALZ55)*9.5)/(ALZ6/1000),((ALZ54+ALZ55)*8)/(ALZ6/1000))),"-")</f>
        <v>16.967704116213891</v>
      </c>
      <c r="AMA61" s="1301"/>
      <c r="AMB61" s="1302"/>
      <c r="AMC61" s="1337">
        <f>IFERROR(IF(AND(AMC54="-",AMC55="-"),"-",IF(AMC5="LV",((AMC54+AMC55)*9.5)/(AMC6/1000),((AMC54+AMC55)*8)/(AMC6/1000))),"-")</f>
        <v>10.623850544472342</v>
      </c>
      <c r="AMD61" s="1338"/>
      <c r="AME61" s="1338"/>
      <c r="AMF61" s="1300" t="str">
        <f>IFERROR(IF(AND(AMF54="-",AMF55="-"),"-",IF(AMF5="LV",((AMF54+AMF55)*9.5)/(AMF6/1000),((AMF54+AMF55)*8)/(AMF6/1000))),"-")</f>
        <v>-</v>
      </c>
      <c r="AMG61" s="1301"/>
      <c r="AMH61" s="1302"/>
      <c r="AMI61" s="1337">
        <f>IFERROR(IF(AND(AMI54="-",AMI55="-"),"-",IF(AMI5="LV",((AMI54+AMI55)*9.5)/(AMI6/1000),((AMI54+AMI55)*8)/(AMI6/1000))),"-")</f>
        <v>17.443405571259454</v>
      </c>
      <c r="AMJ61" s="1338"/>
      <c r="AMK61" s="1339"/>
      <c r="AML61" s="1337">
        <f>IFERROR(IF(AND(AML54="-",AML55="-"),"-",IF(AML5="LV",((AML54+AML55)*9.5)/(AML6/1000),((AML54+AML55)*8)/(AML6/1000))),"-")</f>
        <v>16.996873705224306</v>
      </c>
      <c r="AMM61" s="1338"/>
      <c r="AMN61" s="1339"/>
      <c r="AMO61" s="1337">
        <f>IFERROR(IF(AND(AMO54="-",AMO55="-"),"-",IF(AMO5="LV",((AMO54+AMO55)*9.5)/(AMO6/1000),((AMO54+AMO55)*8)/(AMO6/1000))),"-")</f>
        <v>16.229402894642131</v>
      </c>
      <c r="AMP61" s="1338"/>
      <c r="AMQ61" s="1339"/>
      <c r="AMR61" s="1337">
        <f>IFERROR(IF(AND(AMR54="-",AMR55="-"),"-",IF(AMR5="LV",((AMR54+AMR55)*9.5)/(AMR6/1000),((AMR54+AMR55)*8)/(AMR6/1000))),"-")</f>
        <v>16.333289596916131</v>
      </c>
      <c r="AMS61" s="1338"/>
      <c r="AMT61" s="1338"/>
      <c r="AMU61" s="1300">
        <f>IFERROR(IF(AND(AMU54="-",AMU55="-"),"-",IF(AMU5="LV",((AMU54+AMU55)*9.5)/(AMU6/1000),((AMU54+AMU55)*8)/(AMU6/1000))),"-")</f>
        <v>17.474731828215155</v>
      </c>
      <c r="AMV61" s="1301"/>
      <c r="AMW61" s="1302"/>
      <c r="AMX61" s="1337">
        <f>IFERROR(IF(AND(AMX54="-",AMX55="-"),"-",IF(AMX5="LV",((AMX54+AMX55)*9.5)/(AMX6/1000),((AMX54+AMX55)*8)/(AMX6/1000))),"-")</f>
        <v>12.534070250222182</v>
      </c>
      <c r="AMY61" s="1338"/>
      <c r="AMZ61" s="1338"/>
      <c r="ANA61" s="1300">
        <f>IFERROR(IF(AND(ANA54="-",ANA55="-"),"-",IF(ANA5="LV",((ANA54+ANA55)*9.5)/(ANA6/1000),((ANA54+ANA55)*8)/(ANA6/1000))),"-")</f>
        <v>12.384635827203368</v>
      </c>
      <c r="ANB61" s="1301"/>
      <c r="ANC61" s="1302"/>
      <c r="AND61" s="1337">
        <f>IFERROR(IF(AND(AND54="-",AND55="-"),"-",IF(AND5="LV",((AND54+AND55)*9.5)/(AND6/1000),((AND54+AND55)*8)/(AND6/1000))),"-")</f>
        <v>18.775054549144972</v>
      </c>
      <c r="ANE61" s="1338"/>
      <c r="ANF61" s="1339"/>
      <c r="ANG61" s="1337">
        <f>IFERROR(IF(AND(ANG54="-",ANG55="-"),"-",IF(ANG5="LV",((ANG54+ANG55)*9.5)/(ANG6/1000),((ANG54+ANG55)*8)/(ANG6/1000))),"-")</f>
        <v>18.019071374749913</v>
      </c>
      <c r="ANH61" s="1338"/>
      <c r="ANI61" s="1339"/>
      <c r="ANJ61" s="1337">
        <f>IFERROR(IF(AND(ANJ54="-",ANJ55="-"),"-",IF(ANJ5="LV",((ANJ54+ANJ55)*9.5)/(ANJ6/1000),((ANJ54+ANJ55)*8)/(ANJ6/1000))),"-")</f>
        <v>15.581610965444819</v>
      </c>
      <c r="ANK61" s="1338"/>
      <c r="ANL61" s="1339"/>
      <c r="ANM61" s="1337">
        <f>IFERROR(IF(AND(ANM54="-",ANM55="-"),"-",IF(ANM5="LV",((ANM54+ANM55)*9.5)/(ANM6/1000),((ANM54+ANM55)*8)/(ANM6/1000))),"-")</f>
        <v>14.583058572222352</v>
      </c>
      <c r="ANN61" s="1338"/>
      <c r="ANO61" s="1338"/>
      <c r="ANP61" s="1300">
        <f>IFERROR(IF(AND(ANP54="-",ANP55="-"),"-",IF(ANP5="LV",((ANP54+ANP55)*9.5)/(ANP6/1000),((ANP54+ANP55)*8)/(ANP6/1000))),"-")</f>
        <v>14.958372424109221</v>
      </c>
      <c r="ANQ61" s="1301"/>
      <c r="ANR61" s="1302"/>
      <c r="ANS61" s="1337">
        <f>IFERROR(IF(AND(ANS54="-",ANS55="-"),"-",IF(ANS5="LV",((ANS54+ANS55)*9.5)/(ANS6/1000),((ANS54+ANS55)*8)/(ANS6/1000))),"-")</f>
        <v>10.42829480789422</v>
      </c>
      <c r="ANT61" s="1338"/>
      <c r="ANU61" s="1338"/>
      <c r="ANV61" s="1300" t="str">
        <f>IFERROR(IF(AND(ANV54="-",ANV55="-"),"-",IF(ANV5="LV",((ANV54+ANV55)*9.5)/(ANV6/1000),((ANV54+ANV55)*8)/(ANV6/1000))),"-")</f>
        <v>-</v>
      </c>
      <c r="ANW61" s="1301"/>
      <c r="ANX61" s="1302"/>
      <c r="ANY61" s="1337">
        <f>IFERROR(IF(AND(ANY54="-",ANY55="-"),"-",IF(ANY5="LV",((ANY54+ANY55)*9.5)/(ANY6/1000),((ANY54+ANY55)*8)/(ANY6/1000))),"-")</f>
        <v>15.087247966860991</v>
      </c>
      <c r="ANZ61" s="1338"/>
      <c r="AOA61" s="1339"/>
      <c r="AOB61" s="1337">
        <f>IFERROR(IF(AND(AOB54="-",AOB55="-"),"-",IF(AOB5="LV",((AOB54+AOB55)*9.5)/(AOB6/1000),((AOB54+AOB55)*8)/(AOB6/1000))),"-")</f>
        <v>14.35786344916183</v>
      </c>
      <c r="AOC61" s="1338"/>
      <c r="AOD61" s="1339"/>
      <c r="AOE61" s="1337">
        <f>IFERROR(IF(AND(AOE54="-",AOE55="-"),"-",IF(AOE5="LV",((AOE54+AOE55)*9.5)/(AOE6/1000),((AOE54+AOE55)*8)/(AOE6/1000))),"-")</f>
        <v>16.336161909515813</v>
      </c>
      <c r="AOF61" s="1338"/>
      <c r="AOG61" s="1339"/>
      <c r="AOH61" s="1337">
        <f>IFERROR(IF(AND(AOH54="-",AOH55="-"),"-",IF(AOH5="LV",((AOH54+AOH55)*9.5)/(AOH6/1000),((AOH54+AOH55)*8)/(AOH6/1000))),"-")</f>
        <v>14.512864253796893</v>
      </c>
      <c r="AOI61" s="1338"/>
      <c r="AOJ61" s="1338"/>
      <c r="AOK61" s="1300">
        <f>IFERROR(IF(AND(AOK54="-",AOK55="-"),"-",IF(AOK5="LV",((AOK54+AOK55)*9.5)/(AOK6/1000),((AOK54+AOK55)*8)/(AOK6/1000))),"-")</f>
        <v>13.683940975000802</v>
      </c>
      <c r="AOL61" s="1301"/>
      <c r="AOM61" s="1302"/>
      <c r="AON61" s="1337">
        <f>IFERROR(IF(AND(AON54="-",AON55="-"),"-",IF(AON5="LV",((AON54+AON55)*9.5)/(AON6/1000),((AON54+AON55)*8)/(AON6/1000))),"-")</f>
        <v>11.251397171852755</v>
      </c>
      <c r="AOO61" s="1338"/>
      <c r="AOP61" s="1338"/>
      <c r="AOQ61" s="1300">
        <f>IFERROR(IF(AND(AOQ54="-",AOQ55="-"),"-",IF(AOQ5="LV",((AOQ54+AOQ55)*9.5)/(AOQ6/1000),((AOQ54+AOQ55)*8)/(AOQ6/1000))),"-")</f>
        <v>12.014991547611539</v>
      </c>
      <c r="AOR61" s="1301"/>
      <c r="AOS61" s="1302"/>
      <c r="AOT61" s="1337">
        <f>IFERROR(IF(AND(AOT54="-",AOT55="-"),"-",IF(AOT5="LV",((AOT54+AOT55)*9.5)/(AOT6/1000),((AOT54+AOT55)*8)/(AOT6/1000))),"-")</f>
        <v>15.147643105365127</v>
      </c>
      <c r="AOU61" s="1338"/>
      <c r="AOV61" s="1339"/>
      <c r="AOW61" s="1337">
        <f>IFERROR(IF(AND(AOW54="-",AOW55="-"),"-",IF(AOW5="LV",((AOW54+AOW55)*9.5)/(AOW6/1000),((AOW54+AOW55)*8)/(AOW6/1000))),"-")</f>
        <v>17.505995203836928</v>
      </c>
      <c r="AOX61" s="1338"/>
      <c r="AOY61" s="1339"/>
      <c r="AOZ61" s="1337">
        <f>IFERROR(IF(AND(AOZ54="-",AOZ55="-"),"-",IF(AOZ5="LV",((AOZ54+AOZ55)*9.5)/(AOZ6/1000),((AOZ54+AOZ55)*8)/(AOZ6/1000))),"-")</f>
        <v>14.143787798920807</v>
      </c>
      <c r="APA61" s="1338"/>
      <c r="APB61" s="1339"/>
      <c r="APC61" s="1337">
        <f>IFERROR(IF(AND(APC54="-",APC55="-"),"-",IF(APC5="LV",((APC54+APC55)*9.5)/(APC6/1000),((APC54+APC55)*8)/(APC6/1000))),"-")</f>
        <v>16.276525024728898</v>
      </c>
      <c r="APD61" s="1338"/>
      <c r="APE61" s="1338"/>
      <c r="APF61" s="1300">
        <f>IFERROR(IF(AND(APF54="-",APF55="-"),"-",IF(APF5="LV",((APF54+APF55)*9.5)/(APF6/1000),((APF54+APF55)*8)/(APF6/1000))),"-")</f>
        <v>14.945598023195569</v>
      </c>
      <c r="APG61" s="1301"/>
      <c r="APH61" s="1302"/>
      <c r="API61" s="1337" t="str">
        <f>IFERROR(IF(AND(API54="-",API55="-"),"-",IF(API5="LV",((API54+API55)*9.5)/(API6/1000),((API54+API55)*8)/(API6/1000))),"-")</f>
        <v>-</v>
      </c>
      <c r="APJ61" s="1338"/>
      <c r="APK61" s="1338"/>
      <c r="APL61" s="1300" t="str">
        <f>IFERROR(IF(AND(APL54="-",APL55="-"),"-",IF(APL5="LV",((APL54+APL55)*9.5)/(APL6/1000),((APL54+APL55)*8)/(APL6/1000))),"-")</f>
        <v>-</v>
      </c>
      <c r="APM61" s="1301"/>
      <c r="APN61" s="1302"/>
      <c r="APO61" s="1337">
        <f>IFERROR(IF(AND(APO54="-",APO55="-"),"-",IF(APO5="LV",((APO54+APO55)*9.5)/(APO6/1000),((APO54+APO55)*8)/(APO6/1000))),"-")</f>
        <v>17.07481464839362</v>
      </c>
      <c r="APP61" s="1338"/>
      <c r="APQ61" s="1339"/>
      <c r="APR61" s="1337">
        <f>IFERROR(IF(AND(APR54="-",APR55="-"),"-",IF(APR5="LV",((APR54+APR55)*9.5)/(APR6/1000),((APR54+APR55)*8)/(APR6/1000))),"-")</f>
        <v>15.220145938624215</v>
      </c>
      <c r="APS61" s="1338"/>
      <c r="APT61" s="1339"/>
      <c r="APU61" s="1337">
        <f>IFERROR(IF(AND(APU54="-",APU55="-"),"-",IF(APU5="LV",((APU54+APU55)*9.5)/(APU6/1000),((APU54+APU55)*8)/(APU6/1000))),"-")</f>
        <v>15.54316069057105</v>
      </c>
      <c r="APV61" s="1338"/>
      <c r="APW61" s="1339"/>
      <c r="APX61" s="1337">
        <f>IFERROR(IF(AND(APX54="-",APX55="-"),"-",IF(APX5="LV",((APX54+APX55)*9.5)/(APX6/1000),((APX54+APX55)*8)/(APX6/1000))),"-")</f>
        <v>17.304027798535344</v>
      </c>
      <c r="APY61" s="1338"/>
      <c r="APZ61" s="1338"/>
      <c r="AQA61" s="1300">
        <f>IFERROR(IF(AND(AQA54="-",AQA55="-"),"-",IF(AQA5="LV",((AQA54+AQA55)*9.5)/(AQA6/1000),((AQA54+AQA55)*8)/(AQA6/1000))),"-")</f>
        <v>16.384423772587258</v>
      </c>
      <c r="AQB61" s="1301"/>
      <c r="AQC61" s="1302"/>
      <c r="AQD61" s="1337">
        <f>IFERROR(IF(AND(AQD54="-",AQD55="-"),"-",IF(AQD5="LV",((AQD54+AQD55)*9.5)/(AQD6/1000),((AQD54+AQD55)*8)/(AQD6/1000))),"-")</f>
        <v>11.151090184441866</v>
      </c>
      <c r="AQE61" s="1338"/>
      <c r="AQF61" s="1339"/>
      <c r="AQG61" s="1337">
        <f>IFERROR(IF(AND(AQG54="-",AQG55="-"),"-",IF(AQG5="LV",((AQG54+AQG55)*9.5)/(AQG6/1000),((AQG54+AQG55)*8)/(AQG6/1000))),"-")</f>
        <v>11.75829125477088</v>
      </c>
      <c r="AQH61" s="1338"/>
      <c r="AQI61" s="1339"/>
      <c r="AQJ61" s="1337">
        <f>IFERROR(IF(AND(AQJ54="-",AQJ55="-"),"-",IF(AQJ5="LV",((AQJ54+AQJ55)*9.5)/(AQJ6/1000),((AQJ54+AQJ55)*8)/(AQJ6/1000))),"-")</f>
        <v>16.263950590529852</v>
      </c>
      <c r="AQK61" s="1338"/>
      <c r="AQL61" s="1339"/>
      <c r="AQM61" s="1337">
        <f>IFERROR(IF(AND(AQM54="-",AQM55="-"),"-",IF(AQM5="LV",((AQM54+AQM55)*9.5)/(AQM6/1000),((AQM54+AQM55)*8)/(AQM6/1000))),"-")</f>
        <v>15.37864464538838</v>
      </c>
      <c r="AQN61" s="1338"/>
      <c r="AQO61" s="1338"/>
      <c r="AQP61" s="1300">
        <f>IFERROR(IF(AND(AQP54="-",AQP55="-"),"-",IF(AQP5="LV",((AQP54+AQP55)*9.5)/(AQP6/1000),((AQP54+AQP55)*8)/(AQP6/1000))),"-")</f>
        <v>15.878149582371018</v>
      </c>
      <c r="AQQ61" s="1301"/>
      <c r="AQR61" s="1301"/>
      <c r="AQS61" s="1337">
        <f>IFERROR(IF(AND(AQS54="-",AQS55="-"),"-",IF(AQS5="LV",((AQS54+AQS55)*9.5)/(AQS6/1000),((AQS54+AQS55)*8)/(AQS6/1000))),"-")</f>
        <v>15.065109328779238</v>
      </c>
      <c r="AQT61" s="1338"/>
      <c r="AQU61" s="1339"/>
      <c r="AQV61" s="1301">
        <f>IFERROR(IF(AND(AQV54="-",AQV55="-"),"-",IF(AQV5="LV",((AQV54+AQV55)*9.5)/(AQV6/1000),((AQV54+AQV55)*8)/(AQV6/1000))),"-")</f>
        <v>15.878254724865071</v>
      </c>
      <c r="AQW61" s="1301"/>
      <c r="AQX61" s="1302"/>
      <c r="AQY61" s="1337">
        <f>IFERROR(IF(AND(AQY54="-",AQY55="-"),"-",IF(AQY5="LV",((AQY54+AQY55)*9.5)/(AQY6/1000),((AQY54+AQY55)*8)/(AQY6/1000))),"-")</f>
        <v>11.920371915603766</v>
      </c>
      <c r="AQZ61" s="1338"/>
      <c r="ARA61" s="1339"/>
      <c r="ARB61" s="1337" t="str">
        <f>IFERROR(IF(AND(ARB54="-",ARB55="-"),"-",IF(ARB5="LV",((ARB54+ARB55)*9.5)/(ARB6/1000),((ARB54+ARB55)*8)/(ARB6/1000))),"-")</f>
        <v>-</v>
      </c>
      <c r="ARC61" s="1338"/>
      <c r="ARD61" s="1339"/>
      <c r="ARE61" s="1337" t="str">
        <f>IFERROR(IF(AND(ARE54="-",ARE55="-"),"-",IF(ARE5="LV",((ARE54+ARE55)*9.5)/(ARE6/1000),((ARE54+ARE55)*8)/(ARE6/1000))),"-")</f>
        <v>-</v>
      </c>
      <c r="ARF61" s="1338"/>
      <c r="ARG61" s="1339"/>
      <c r="ARH61" s="1337">
        <f>IFERROR(IF(AND(ARH54="-",ARH55="-"),"-",IF(ARH5="LV",((ARH54+ARH55)*9.5)/(ARH6/1000),((ARH54+ARH55)*8)/(ARH6/1000))),"-")</f>
        <v>13.209937381800732</v>
      </c>
      <c r="ARI61" s="1338"/>
      <c r="ARJ61" s="1338"/>
      <c r="ARK61" s="1300">
        <f>IFERROR(IF(AND(ARK54="-",ARK55="-"),"-",IF(ARK5="LV",((ARK54+ARK55)*9.5)/(ARK6/1000),((ARK54+ARK55)*8)/(ARK6/1000))),"-")</f>
        <v>17.619071396471906</v>
      </c>
      <c r="ARL61" s="1301"/>
      <c r="ARM61" s="1302"/>
      <c r="ARN61" s="1337">
        <f>IFERROR(IF(AND(ARN54="-",ARN55="-"),"-",IF(ARN5="LV",((ARN54+ARN55)*9.5)/(ARN6/1000),((ARN54+ARN55)*8)/(ARN6/1000))),"-")</f>
        <v>15.239894657570263</v>
      </c>
      <c r="ARO61" s="1338"/>
      <c r="ARP61" s="1338"/>
      <c r="ARQ61" s="1300">
        <f>IFERROR(IF(AND(ARQ54="-",ARQ55="-"),"-",IF(ARQ5="LV",((ARQ54+ARQ55)*9.5)/(ARQ6/1000),((ARQ54+ARQ55)*8)/(ARQ6/1000))),"-")</f>
        <v>16.432063652625519</v>
      </c>
      <c r="ARR61" s="1301"/>
      <c r="ARS61" s="1302"/>
      <c r="ART61" s="1337">
        <f>IFERROR(IF(AND(ART54="-",ART55="-"),"-",IF(ART5="LV",((ART54+ART55)*9.5)/(ART6/1000),((ART54+ART55)*8)/(ART6/1000))),"-")</f>
        <v>12.222920440123707</v>
      </c>
      <c r="ARU61" s="1338"/>
      <c r="ARV61" s="1339"/>
      <c r="ARW61" s="1337">
        <f>IFERROR(IF(AND(ARW54="-",ARW55="-"),"-",IF(ARW5="LV",((ARW54+ARW55)*9.5)/(ARW6/1000),((ARW54+ARW55)*8)/(ARW6/1000))),"-")</f>
        <v>11.472851170828365</v>
      </c>
      <c r="ARX61" s="1338"/>
      <c r="ARY61" s="1339"/>
      <c r="ARZ61" s="1337">
        <f>IFERROR(IF(AND(ARZ54="-",ARZ55="-"),"-",IF(ARZ5="LV",((ARZ54+ARZ55)*9.5)/(ARZ6/1000),((ARZ54+ARZ55)*8)/(ARZ6/1000))),"-")</f>
        <v>15.463547039623887</v>
      </c>
      <c r="ASA61" s="1338"/>
      <c r="ASB61" s="1339"/>
      <c r="ASC61" s="1337">
        <f>IFERROR(IF(AND(ASC54="-",ASC55="-"),"-",IF(ASC5="LV",((ASC54+ASC55)*9.5)/(ASC6/1000),((ASC54+ASC55)*8)/(ASC6/1000))),"-")</f>
        <v>15.301750520259516</v>
      </c>
      <c r="ASD61" s="1338"/>
      <c r="ASE61" s="1338"/>
      <c r="ASF61" s="1300">
        <f>IFERROR(IF(AND(ASF54="-",ASF55="-"),"-",IF(ASF5="LV",((ASF54+ASF55)*9.5)/(ASF6/1000),((ASF54+ASF55)*8)/(ASF6/1000))),"-")</f>
        <v>16.29223117818556</v>
      </c>
      <c r="ASG61" s="1301"/>
      <c r="ASH61" s="1302"/>
      <c r="ASI61" s="1337">
        <f>IFERROR(IF(AND(ASI54="-",ASI55="-"),"-",IF(ASI5="LV",((ASI54+ASI55)*9.5)/(ASI6/1000),((ASI54+ASI55)*8)/(ASI6/1000))),"-")</f>
        <v>16.755266829320139</v>
      </c>
      <c r="ASJ61" s="1338"/>
      <c r="ASK61" s="1338"/>
      <c r="ASL61" s="1300">
        <f>IFERROR(IF(AND(ASL54="-",ASL55="-"),"-",IF(ASL5="LV",((ASL54+ASL55)*9.5)/(ASL6/1000),((ASL54+ASL55)*8)/(ASL6/1000))),"-")</f>
        <v>15.273630801996116</v>
      </c>
      <c r="ASM61" s="1301"/>
      <c r="ASN61" s="1302"/>
      <c r="ASO61" s="1337" t="str">
        <f>IFERROR(IF(AND(ASO54="-",ASO55="-"),"-",IF(ASO5="LV",((ASO54+ASO55)*9.5)/(ASO6/1000),((ASO54+ASO55)*8)/(ASO6/1000))),"-")</f>
        <v>-</v>
      </c>
      <c r="ASP61" s="1338"/>
      <c r="ASQ61" s="1338"/>
      <c r="ASR61" s="1337" t="str">
        <f>IFERROR(IF(AND(ASR54="-",ASR55="-"),"-",IF(ASR5="LV",((ASR54+ASR55)*9.5)/(ASR6/1000),((ASR54+ASR55)*8)/(ASR6/1000))),"-")</f>
        <v>-</v>
      </c>
      <c r="ASS61" s="1338"/>
      <c r="AST61" s="1339"/>
      <c r="ASU61" s="1337">
        <f>IFERROR(IF(AND(ASU54="-",ASU55="-"),"-",IF(ASU5="LV",((ASU54+ASU55)*9.5)/(ASU6/1000),((ASU54+ASU55)*8)/(ASU6/1000))),"-")</f>
        <v>16.343220871682558</v>
      </c>
      <c r="ASV61" s="1338"/>
      <c r="ASW61" s="1339"/>
      <c r="ASX61" s="1337">
        <f>IFERROR(IF(AND(ASX54="-",ASX55="-"),"-",IF(ASX5="LV",((ASX54+ASX55)*9.5)/(ASX6/1000),((ASX54+ASX55)*8)/(ASX6/1000))),"-")</f>
        <v>15.723470621936469</v>
      </c>
      <c r="ASY61" s="1338"/>
      <c r="ASZ61" s="1338"/>
      <c r="ATA61" s="1300">
        <f>IFERROR(IF(AND(ATA54="-",ATA55="-"),"-",IF(ATA5="LV",((ATA54+ATA55)*9.5)/(ATA6/1000),((ATA54+ATA55)*8)/(ATA6/1000))),"-")</f>
        <v>15.599026961281169</v>
      </c>
      <c r="ATB61" s="1301"/>
      <c r="ATC61" s="1302"/>
      <c r="ATD61" s="1337">
        <f>IFERROR(IF(AND(ATD54="-",ATD55="-"),"-",IF(ATD5="LV",((ATD54+ATD55)*9.5)/(ATD6/1000),((ATD54+ATD55)*8)/(ATD6/1000))),"-")</f>
        <v>15.930108743952848</v>
      </c>
      <c r="ATE61" s="1338"/>
      <c r="ATF61" s="1338"/>
      <c r="ATG61" s="1300">
        <f>IFERROR(IF(AND(ATG54="-",ATG55="-"),"-",IF(ATG5="LV",((ATG54+ATG55)*9.5)/(ATG6/1000),((ATG54+ATG55)*8)/(ATG6/1000))),"-")</f>
        <v>16.870264487161499</v>
      </c>
      <c r="ATH61" s="1301"/>
      <c r="ATI61" s="1302"/>
      <c r="ATJ61" s="1337" t="str">
        <f>IFERROR(IF(AND(ATJ54="-",ATJ55="-"),"-",IF(ATJ5="LV",((ATJ54+ATJ55)*9.5)/(ATJ6/1000),((ATJ54+ATJ55)*8)/(ATJ6/1000))),"-")</f>
        <v>-</v>
      </c>
      <c r="ATK61" s="1338"/>
      <c r="ATL61" s="1339"/>
      <c r="ATM61" s="1337" t="str">
        <f>IFERROR(IF(AND(ATM54="-",ATM55="-"),"-",IF(ATM5="LV",((ATM54+ATM55)*9.5)/(ATM6/1000),((ATM54+ATM55)*8)/(ATM6/1000))),"-")</f>
        <v>-</v>
      </c>
      <c r="ATN61" s="1338"/>
      <c r="ATO61" s="1339"/>
      <c r="ATP61" s="1337">
        <f>IFERROR(IF(AND(ATP54="-",ATP55="-"),"-",IF(ATP5="LV",((ATP54+ATP55)*9.5)/(ATP6/1000),((ATP54+ATP55)*8)/(ATP6/1000))),"-")</f>
        <v>15.548861338548747</v>
      </c>
      <c r="ATQ61" s="1338"/>
      <c r="ATR61" s="1339"/>
      <c r="ATS61" s="1337">
        <f>IFERROR(IF(AND(ATS54="-",ATS55="-"),"-",IF(ATS5="LV",((ATS54+ATS55)*9.5)/(ATS6/1000),((ATS54+ATS55)*8)/(ATS6/1000))),"-")</f>
        <v>16.759763736591044</v>
      </c>
      <c r="ATT61" s="1338"/>
      <c r="ATU61" s="1339"/>
      <c r="ATV61" s="1301">
        <f>IFERROR(IF(AND(ATV54="-",ATV55="-"),"-",IF(ATV5="LV",((ATV54+ATV55)*9.5)/(ATV6/1000),((ATV54+ATV55)*8)/(ATV6/1000))),"-")</f>
        <v>14.594143341977972</v>
      </c>
      <c r="ATW61" s="1301"/>
      <c r="ATX61" s="1302"/>
      <c r="ATY61" s="1337">
        <f>IFERROR(IF(AND(ATY54="-",ATY55="-"),"-",IF(ATY5="LV",((ATY54+ATY55)*9.5)/(ATY6/1000),((ATY54+ATY55)*8)/(ATY6/1000))),"-")</f>
        <v>16.615748049381594</v>
      </c>
      <c r="ATZ61" s="1338"/>
      <c r="AUA61" s="1338"/>
      <c r="AUB61" s="1300">
        <f>IFERROR(IF(AND(AUB54="-",AUB55="-"),"-",IF(AUB5="LV",((AUB54+AUB55)*9.5)/(AUB6/1000),((AUB54+AUB55)*8)/(AUB6/1000))),"-")</f>
        <v>14.013594351085182</v>
      </c>
      <c r="AUC61" s="1301"/>
      <c r="AUD61" s="1302"/>
      <c r="AUE61" s="1337" t="str">
        <f>IFERROR(IF(AND(AUE54="-",AUE55="-"),"-",IF(AUE5="LV",((AUE54+AUE55)*9.5)/(AUE6/1000),((AUE54+AUE55)*8)/(AUE6/1000))),"-")</f>
        <v>-</v>
      </c>
      <c r="AUF61" s="1338"/>
      <c r="AUG61" s="1339"/>
      <c r="AUH61" s="1337" t="str">
        <f>IFERROR(IF(AND(AUH54="-",AUH55="-"),"-",IF(AUH5="LV",((AUH54+AUH55)*9.5)/(AUH6/1000),((AUH54+AUH55)*8)/(AUH6/1000))),"-")</f>
        <v>-</v>
      </c>
      <c r="AUI61" s="1338"/>
      <c r="AUJ61" s="1339"/>
      <c r="AUK61" s="1337">
        <f>IFERROR(IF(AND(AUK54="-",AUK55="-"),"-",IF(AUK5="LV",((AUK54+AUK55)*9.5)/(AUK6/1000),((AUK54+AUK55)*8)/(AUK6/1000))),"-")</f>
        <v>14.444937398328262</v>
      </c>
      <c r="AUL61" s="1338"/>
      <c r="AUM61" s="1338"/>
      <c r="AUN61" s="1337">
        <f>IFERROR(IF(AND(AUN54="-",AUN55="-"),"-",IF(AUN5="LV",((AUN54+AUN55)*9.5)/(AUN6/1000),((AUN54+AUN55)*8)/(AUN6/1000))),"-")</f>
        <v>14.321128270409702</v>
      </c>
      <c r="AUO61" s="1338"/>
      <c r="AUP61" s="1338"/>
      <c r="AUQ61" s="1300">
        <f>IFERROR(IF(AND(AUQ54="-",AUQ55="-"),"-",IF(AUQ5="LV",((AUQ54+AUQ55)*9.5)/(AUQ6/1000),((AUQ54+AUQ55)*8)/(AUQ6/1000))),"-")</f>
        <v>14.059376634962719</v>
      </c>
      <c r="AUR61" s="1301"/>
      <c r="AUS61" s="1301"/>
      <c r="AUT61" s="1337">
        <f>IFERROR(IF(AND(AUT54="-",AUT55="-"),"-",IF(AUT5="LV",((AUT54+AUT55)*9.5)/(AUT6/1000),((AUT54+AUT55)*8)/(AUT6/1000))),"-")</f>
        <v>14.699280399942465</v>
      </c>
      <c r="AUU61" s="1338"/>
      <c r="AUV61" s="1338"/>
      <c r="AUW61" s="1300">
        <f>IFERROR(IF(AND(AUW54="-",AUW55="-"),"-",IF(AUW5="LV",((AUW54+AUW55)*9.5)/(AUW6/1000),((AUW54+AUW55)*8)/(AUW6/1000))),"-")</f>
        <v>13.677127803161335</v>
      </c>
      <c r="AUX61" s="1301"/>
      <c r="AUY61" s="1301"/>
      <c r="AUZ61" s="1337">
        <f>IFERROR(IF(AND(AUZ54="-",AUZ55="-"),"-",IF(AUZ5="LV",((AUZ54+AUZ55)*9.5)/(AUZ6/1000),((AUZ54+AUZ55)*8)/(AUZ6/1000))),"-")</f>
        <v>11.774438303465846</v>
      </c>
      <c r="AVA61" s="1338"/>
      <c r="AVB61" s="1339"/>
      <c r="AVC61" s="1301">
        <f>IFERROR(IF(AND(AVC54="-",AVC55="-"),"-",IF(AVC5="LV",((AVC54+AVC55)*9.5)/(AVC6/1000),((AVC54+AVC55)*8)/(AVC6/1000))),"-")</f>
        <v>10.43088080245845</v>
      </c>
      <c r="AVD61" s="1301"/>
      <c r="AVE61" s="1302"/>
      <c r="AVF61" s="1300" t="str">
        <f>IFERROR(IF(AND(AVF54="-",AVF55="-"),"-",IF(AVF5="LV",((AVF54+AVF55)*9.5)/(AVF6/1000),((AVF54+AVF55)*8)/(AVF6/1000))),"-")</f>
        <v>-</v>
      </c>
      <c r="AVG61" s="1301"/>
      <c r="AVH61" s="1302"/>
      <c r="AVI61" s="1300" t="str">
        <f>IFERROR(IF(AND(AVI54="-",AVI55="-"),"-",IF(AVI5="LV",((AVI54+AVI55)*9.5)/(AVI6/1000),((AVI54+AVI55)*8)/(AVI6/1000))),"-")</f>
        <v>-</v>
      </c>
      <c r="AVJ61" s="1301"/>
      <c r="AVK61" s="1301"/>
      <c r="AVL61" s="1300" t="str">
        <f>IFERROR(IF(AND(AVL54="-",AVL55="-"),"-",IF(AVL5="LV",((AVL54+AVL55)*9.5)/(AVL6/1000),((AVL54+AVL55)*8)/(AVL6/1000))),"-")</f>
        <v>-</v>
      </c>
      <c r="AVM61" s="1301"/>
      <c r="AVN61" s="1302"/>
      <c r="AVO61" s="1300" t="str">
        <f>IFERROR(IF(AND(AVO54="-",AVO55="-"),"-",IF(AVO5="LV",((AVO54+AVO55)*9.5)/(AVO6/1000),((AVO54+AVO55)*8)/(AVO6/1000))),"-")</f>
        <v>-</v>
      </c>
      <c r="AVP61" s="1301"/>
      <c r="AVQ61" s="1301"/>
      <c r="AVR61" s="1300" t="str">
        <f>IFERROR(IF(AND(AVR54="-",AVR55="-"),"-",IF(AVR5="LV",((AVR54+AVR55)*9.5)/(AVR6/1000),((AVR54+AVR55)*8)/(AVR6/1000))),"-")</f>
        <v>-</v>
      </c>
      <c r="AVS61" s="1301"/>
      <c r="AVT61" s="1302"/>
      <c r="AVU61" s="1300" t="str">
        <f>IFERROR(IF(AND(AVU54="-",AVU55="-"),"-",IF(AVU5="LV",((AVU54+AVU55)*9.5)/(AVU6/1000),((AVU54+AVU55)*8)/(AVU6/1000))),"-")</f>
        <v>-</v>
      </c>
      <c r="AVV61" s="1301"/>
      <c r="AVW61" s="1302"/>
      <c r="AVX61" s="1300" t="str">
        <f>IFERROR(IF(AND(AVX54="-",AVX55="-"),"-",IF(AVX5="LV",((AVX54+AVX55)*9.5)/(AVX6/1000),((AVX54+AVX55)*8)/(AVX6/1000))),"-")</f>
        <v>-</v>
      </c>
      <c r="AVY61" s="1301"/>
      <c r="AVZ61" s="1302"/>
      <c r="AWA61" s="1300" t="str">
        <f>IFERROR(IF(AND(AWA54="-",AWA55="-"),"-",IF(AWA5="LV",((AWA54+AWA55)*9.5)/(AWA6/1000),((AWA54+AWA55)*8)/(AWA6/1000))),"-")</f>
        <v>-</v>
      </c>
      <c r="AWB61" s="1301"/>
      <c r="AWC61" s="1302"/>
      <c r="AWD61" s="1300" t="str">
        <f>IFERROR(IF(AND(AWD54="-",AWD55="-"),"-",IF(AWD5="LV",((AWD54+AWD55)*9.5)/(AWD6/1000),((AWD54+AWD55)*8)/(AWD6/1000))),"-")</f>
        <v>-</v>
      </c>
      <c r="AWE61" s="1301"/>
      <c r="AWF61" s="1301"/>
      <c r="AWG61" s="1300" t="str">
        <f>IFERROR(IF(AND(AWG54="-",AWG55="-"),"-",IF(AWG5="LV",((AWG54+AWG55)*9.5)/(AWG6/1000),((AWG54+AWG55)*8)/(AWG6/1000))),"-")</f>
        <v>-</v>
      </c>
      <c r="AWH61" s="1301"/>
      <c r="AWI61" s="1302"/>
      <c r="AWJ61" s="1300" t="str">
        <f>IFERROR(IF(AND(AWJ54="-",AWJ55="-"),"-",IF(AWJ5="LV",((AWJ54+AWJ55)*9.5)/(AWJ6/1000),((AWJ54+AWJ55)*8)/(AWJ6/1000))),"-")</f>
        <v>-</v>
      </c>
      <c r="AWK61" s="1301"/>
      <c r="AWL61" s="1301"/>
      <c r="AWM61" s="1300" t="str">
        <f>IFERROR(IF(AND(AWM54="-",AWM55="-"),"-",IF(AWM5="LV",((AWM54+AWM55)*9.5)/(AWM6/1000),((AWM54+AWM55)*8)/(AWM6/1000))),"-")</f>
        <v>-</v>
      </c>
      <c r="AWN61" s="1301"/>
      <c r="AWO61" s="1302"/>
      <c r="AWP61" s="1337" t="str">
        <f>IFERROR(IF(AND(AWP54="-",AWP55="-"),"-",IF(AWP5="LV",((AWP54+AWP55)*9.5)/(AWP6/1000),((AWP54+AWP55)*8)/(AWP6/1000))),"-")</f>
        <v>-</v>
      </c>
      <c r="AWQ61" s="1338"/>
      <c r="AWR61" s="1339"/>
      <c r="AWS61" s="1337" t="str">
        <f>IFERROR(IF(AND(AWS54="-",AWS55="-"),"-",IF(AWS5="LV",((AWS54+AWS55)*9.5)/(AWS6/1000),((AWS54+AWS55)*8)/(AWS6/1000))),"-")</f>
        <v>-</v>
      </c>
      <c r="AWT61" s="1338"/>
      <c r="AWU61" s="1339"/>
      <c r="AWV61" s="1337" t="str">
        <f>IFERROR(IF(AND(AWV54="-",AWV55="-"),"-",IF(AWV5="LV",((AWV54+AWV55)*9.5)/(AWV6/1000),((AWV54+AWV55)*8)/(AWV6/1000))),"-")</f>
        <v>-</v>
      </c>
      <c r="AWW61" s="1338"/>
      <c r="AWX61" s="1339"/>
      <c r="AWY61" s="1337" t="str">
        <f>IFERROR(IF(AND(AWY54="-",AWY55="-"),"-",IF(AWY5="LV",((AWY54+AWY55)*9.5)/(AWY6/1000),((AWY54+AWY55)*8)/(AWY6/1000))),"-")</f>
        <v>-</v>
      </c>
      <c r="AWZ61" s="1338"/>
      <c r="AXA61" s="1338"/>
      <c r="AXB61" s="1300" t="str">
        <f>IFERROR(IF(AND(AXB54="-",AXB55="-"),"-",IF(AXB5="LV",((AXB54+AXB55)*9.5)/(AXB6/1000),((AXB54+AXB55)*8)/(AXB6/1000))),"-")</f>
        <v>-</v>
      </c>
      <c r="AXC61" s="1301"/>
      <c r="AXD61" s="1302"/>
      <c r="AXE61" s="1337" t="str">
        <f>IFERROR(IF(AND(AXE54="-",AXE55="-"),"-",IF(AXE5="LV",((AXE54+AXE55)*9.5)/(AXE6/1000),((AXE54+AXE55)*8)/(AXE6/1000))),"-")</f>
        <v>-</v>
      </c>
      <c r="AXF61" s="1338"/>
      <c r="AXG61" s="1338"/>
      <c r="AXH61" s="1300" t="str">
        <f>IFERROR(IF(AND(AXH54="-",AXH55="-"),"-",IF(AXH5="LV",((AXH54+AXH55)*9.5)/(AXH6/1000),((AXH54+AXH55)*8)/(AXH6/1000))),"-")</f>
        <v>-</v>
      </c>
      <c r="AXI61" s="1301"/>
      <c r="AXJ61" s="1302"/>
      <c r="AXK61" s="1337" t="str">
        <f>IFERROR(IF(AND(AXK54="-",AXK55="-"),"-",IF(AXK5="LV",((AXK54+AXK55)*9.5)/(AXK6/1000),((AXK54+AXK55)*8)/(AXK6/1000))),"-")</f>
        <v>-</v>
      </c>
      <c r="AXL61" s="1338"/>
      <c r="AXM61" s="1339"/>
      <c r="AXN61" s="1337" t="str">
        <f>IFERROR(IF(AND(AXN54="-",AXN55="-"),"-",IF(AXN5="LV",((AXN54+AXN55)*9.5)/(AXN6/1000),((AXN54+AXN55)*8)/(AXN6/1000))),"-")</f>
        <v>-</v>
      </c>
      <c r="AXO61" s="1338"/>
      <c r="AXP61" s="1339"/>
      <c r="AXQ61" s="1337" t="str">
        <f>IFERROR(IF(AND(AXQ54="-",AXQ55="-"),"-",IF(AXQ5="LV",((AXQ54+AXQ55)*9.5)/(AXQ6/1000),((AXQ54+AXQ55)*8)/(AXQ6/1000))),"-")</f>
        <v>-</v>
      </c>
      <c r="AXR61" s="1338"/>
      <c r="AXS61" s="1339"/>
      <c r="AXT61" s="1337" t="str">
        <f>IFERROR(IF(AND(AXT54="-",AXT55="-"),"-",IF(AXT5="LV",((AXT54+AXT55)*9.5)/(AXT6/1000),((AXT54+AXT55)*8)/(AXT6/1000))),"-")</f>
        <v>-</v>
      </c>
      <c r="AXU61" s="1338"/>
      <c r="AXV61" s="1338"/>
      <c r="AXW61" s="1300" t="str">
        <f>IFERROR(IF(AND(AXW54="-",AXW55="-"),"-",IF(AXW5="LV",((AXW54+AXW55)*9.5)/(AXW6/1000),((AXW54+AXW55)*8)/(AXW6/1000))),"-")</f>
        <v>-</v>
      </c>
      <c r="AXX61" s="1301"/>
      <c r="AXY61" s="1302"/>
      <c r="AXZ61" s="1337" t="str">
        <f>IFERROR(IF(AND(AXZ54="-",AXZ55="-"),"-",IF(AXZ5="LV",((AXZ54+AXZ55)*9.5)/(AXZ6/1000),((AXZ54+AXZ55)*8)/(AXZ6/1000))),"-")</f>
        <v>-</v>
      </c>
      <c r="AYA61" s="1338"/>
      <c r="AYB61" s="1338"/>
      <c r="AYC61" s="1300" t="str">
        <f>IFERROR(IF(AND(AYC54="-",AYC55="-"),"-",IF(AYC5="LV",((AYC54+AYC55)*9.5)/(AYC6/1000),((AYC54+AYC55)*8)/(AYC6/1000))),"-")</f>
        <v>-</v>
      </c>
      <c r="AYD61" s="1301"/>
      <c r="AYE61" s="1302"/>
      <c r="AYF61" s="1337" t="str">
        <f>IFERROR(IF(AND(AYF54="-",AYF55="-"),"-",IF(AYF5="LV",((AYF54+AYF55)*9.5)/(AYF6/1000),((AYF54+AYF55)*8)/(AYF6/1000))),"-")</f>
        <v>-</v>
      </c>
      <c r="AYG61" s="1338"/>
      <c r="AYH61" s="1339"/>
      <c r="AYI61" s="1337" t="str">
        <f>IFERROR(IF(AND(AYI54="-",AYI55="-"),"-",IF(AYI5="LV",((AYI54+AYI55)*9.5)/(AYI6/1000),((AYI54+AYI55)*8)/(AYI6/1000))),"-")</f>
        <v>-</v>
      </c>
      <c r="AYJ61" s="1338"/>
      <c r="AYK61" s="1339"/>
      <c r="AYL61" s="1337" t="str">
        <f>IFERROR(IF(AND(AYL54="-",AYL55="-"),"-",IF(AYL5="LV",((AYL54+AYL55)*9.5)/(AYL6/1000),((AYL54+AYL55)*8)/(AYL6/1000))),"-")</f>
        <v>-</v>
      </c>
      <c r="AYM61" s="1338"/>
      <c r="AYN61" s="1339"/>
      <c r="AYO61" s="1337" t="str">
        <f>IFERROR(IF(AND(AYO54="-",AYO55="-"),"-",IF(AYO5="LV",((AYO54+AYO55)*9.5)/(AYO6/1000),((AYO54+AYO55)*8)/(AYO6/1000))),"-")</f>
        <v>-</v>
      </c>
      <c r="AYP61" s="1338"/>
      <c r="AYQ61" s="1338"/>
      <c r="AYR61" s="1300" t="str">
        <f>IFERROR(IF(AND(AYR54="-",AYR55="-"),"-",IF(AYR5="LV",((AYR54+AYR55)*9.5)/(AYR6/1000),((AYR54+AYR55)*8)/(AYR6/1000))),"-")</f>
        <v>-</v>
      </c>
      <c r="AYS61" s="1301"/>
      <c r="AYT61" s="1302"/>
      <c r="AYU61" s="1337" t="str">
        <f>IFERROR(IF(AND(AYU54="-",AYU55="-"),"-",IF(AYU5="LV",((AYU54+AYU55)*9.5)/(AYU6/1000),((AYU54+AYU55)*8)/(AYU6/1000))),"-")</f>
        <v>-</v>
      </c>
      <c r="AYV61" s="1338"/>
      <c r="AYW61" s="1338"/>
      <c r="AYX61" s="1300" t="str">
        <f>IFERROR(IF(AND(AYX54="-",AYX55="-"),"-",IF(AYX5="LV",((AYX54+AYX55)*9.5)/(AYX6/1000),((AYX54+AYX55)*8)/(AYX6/1000))),"-")</f>
        <v>-</v>
      </c>
      <c r="AYY61" s="1301"/>
      <c r="AYZ61" s="1302"/>
      <c r="AZA61" s="1337" t="str">
        <f>IFERROR(IF(AND(AZA54="-",AZA55="-"),"-",IF(AZA5="LV",((AZA54+AZA55)*9.5)/(AZA6/1000),((AZA54+AZA55)*8)/(AZA6/1000))),"-")</f>
        <v>-</v>
      </c>
      <c r="AZB61" s="1338"/>
      <c r="AZC61" s="1339"/>
      <c r="AZD61" s="1337" t="str">
        <f>IFERROR(IF(AND(AZD54="-",AZD55="-"),"-",IF(AZD5="LV",((AZD54+AZD55)*9.5)/(AZD6/1000),((AZD54+AZD55)*8)/(AZD6/1000))),"-")</f>
        <v>-</v>
      </c>
      <c r="AZE61" s="1338"/>
      <c r="AZF61" s="1339"/>
      <c r="AZG61" s="1337" t="str">
        <f>IFERROR(IF(AND(AZG54="-",AZG55="-"),"-",IF(AZG5="LV",((AZG54+AZG55)*9.5)/(AZG6/1000),((AZG54+AZG55)*8)/(AZG6/1000))),"-")</f>
        <v>-</v>
      </c>
      <c r="AZH61" s="1338"/>
      <c r="AZI61" s="1339"/>
      <c r="AZJ61" s="1337" t="str">
        <f>IFERROR(IF(AND(AZJ54="-",AZJ55="-"),"-",IF(AZJ5="LV",((AZJ54+AZJ55)*9.5)/(AZJ6/1000),((AZJ54+AZJ55)*8)/(AZJ6/1000))),"-")</f>
        <v>-</v>
      </c>
      <c r="AZK61" s="1338"/>
      <c r="AZL61" s="1338"/>
      <c r="AZM61" s="1300" t="str">
        <f>IFERROR(IF(AND(AZM54="-",AZM55="-"),"-",IF(AZM5="LV",((AZM54+AZM55)*9.5)/(AZM6/1000),((AZM54+AZM55)*8)/(AZM6/1000))),"-")</f>
        <v>-</v>
      </c>
      <c r="AZN61" s="1301"/>
      <c r="AZO61" s="1302"/>
      <c r="AZP61" s="1337" t="str">
        <f>IFERROR(IF(AND(AZP54="-",AZP55="-"),"-",IF(AZP5="LV",((AZP54+AZP55)*9.5)/(AZP6/1000),((AZP54+AZP55)*8)/(AZP6/1000))),"-")</f>
        <v>-</v>
      </c>
      <c r="AZQ61" s="1338"/>
      <c r="AZR61" s="1338"/>
      <c r="AZS61" s="1300" t="str">
        <f>IFERROR(IF(AND(AZS54="-",AZS55="-"),"-",IF(AZS5="LV",((AZS54+AZS55)*9.5)/(AZS6/1000),((AZS54+AZS55)*8)/(AZS6/1000))),"-")</f>
        <v>-</v>
      </c>
      <c r="AZT61" s="1301"/>
      <c r="AZU61" s="1302"/>
      <c r="AZV61" s="1337" t="str">
        <f>IFERROR(IF(AND(AZV54="-",AZV55="-"),"-",IF(AZV5="LV",((AZV54+AZV55)*9.5)/(AZV6/1000),((AZV54+AZV55)*8)/(AZV6/1000))),"-")</f>
        <v>-</v>
      </c>
      <c r="AZW61" s="1338"/>
      <c r="AZX61" s="1339"/>
      <c r="AZY61" s="1337" t="str">
        <f>IFERROR(IF(AND(AZY54="-",AZY55="-"),"-",IF(AZY5="LV",((AZY54+AZY55)*9.5)/(AZY6/1000),((AZY54+AZY55)*8)/(AZY6/1000))),"-")</f>
        <v>-</v>
      </c>
      <c r="AZZ61" s="1338"/>
      <c r="BAA61" s="1339"/>
      <c r="BAB61" s="1337" t="str">
        <f>IFERROR(IF(AND(BAB54="-",BAB55="-"),"-",IF(BAB5="LV",((BAB54+BAB55)*9.5)/(BAB6/1000),((BAB54+BAB55)*8)/(BAB6/1000))),"-")</f>
        <v>-</v>
      </c>
      <c r="BAC61" s="1338"/>
      <c r="BAD61" s="1339"/>
      <c r="BAE61" s="1337" t="str">
        <f>IFERROR(IF(AND(BAE54="-",BAE55="-"),"-",IF(BAE5="LV",((BAE54+BAE55)*9.5)/(BAE6/1000),((BAE54+BAE55)*8)/(BAE6/1000))),"-")</f>
        <v>-</v>
      </c>
      <c r="BAF61" s="1338"/>
      <c r="BAG61" s="1338"/>
      <c r="BAH61" s="1300" t="str">
        <f>IFERROR(IF(AND(BAH54="-",BAH55="-"),"-",IF(BAH5="LV",((BAH54+BAH55)*9.5)/(BAH6/1000),((BAH54+BAH55)*8)/(BAH6/1000))),"-")</f>
        <v>-</v>
      </c>
      <c r="BAI61" s="1301"/>
      <c r="BAJ61" s="1302"/>
    </row>
    <row r="62" spans="1:1388">
      <c r="XY62" t="e">
        <f>+#REF!/#REF!</f>
        <v>#REF!</v>
      </c>
      <c r="YE62" t="e">
        <f>+#REF!/#REF!</f>
        <v>#REF!</v>
      </c>
      <c r="YH62" t="e">
        <f>+#REF!/#REF!</f>
        <v>#REF!</v>
      </c>
      <c r="YT62" t="e">
        <f>+#REF!/#REF!</f>
        <v>#REF!</v>
      </c>
      <c r="ZC62" t="e">
        <f>+#REF!/#REF!</f>
        <v>#REF!</v>
      </c>
    </row>
    <row r="63" spans="1:1388">
      <c r="UQ63" s="528"/>
    </row>
  </sheetData>
  <mergeCells count="18578">
    <mergeCell ref="AZV49:AZX49"/>
    <mergeCell ref="AZJ38:AZL38"/>
    <mergeCell ref="AZM38:AZO38"/>
    <mergeCell ref="AZP38:AZR38"/>
    <mergeCell ref="AZS38:AZU38"/>
    <mergeCell ref="AZV38:AZX38"/>
    <mergeCell ref="AZY38:BAA38"/>
    <mergeCell ref="BAB38:BAD38"/>
    <mergeCell ref="BAE38:BAG38"/>
    <mergeCell ref="BAH38:BAJ38"/>
    <mergeCell ref="AZY49:BAA49"/>
    <mergeCell ref="BAB49:BAD49"/>
    <mergeCell ref="AZS58:AZU58"/>
    <mergeCell ref="AZV58:AZX58"/>
    <mergeCell ref="AZY58:BAA58"/>
    <mergeCell ref="BAB58:BAD58"/>
    <mergeCell ref="BAE58:BAG58"/>
    <mergeCell ref="BAH58:BAJ58"/>
    <mergeCell ref="AZP50:AZR50"/>
    <mergeCell ref="AZS50:AZU50"/>
    <mergeCell ref="AZV50:AZX50"/>
    <mergeCell ref="AZY50:BAA50"/>
    <mergeCell ref="BAB50:BAD50"/>
    <mergeCell ref="BAE50:BAG50"/>
    <mergeCell ref="BAH50:BAJ50"/>
    <mergeCell ref="AZP51:AZR51"/>
    <mergeCell ref="AZS51:AZU51"/>
    <mergeCell ref="AZV51:AZX51"/>
    <mergeCell ref="AZY51:BAA51"/>
    <mergeCell ref="BAB51:BAD51"/>
    <mergeCell ref="BAE51:BAG51"/>
    <mergeCell ref="BAH51:BAJ51"/>
    <mergeCell ref="AZP52:AZR52"/>
    <mergeCell ref="AZS52:AZU52"/>
    <mergeCell ref="AZV52:AZX52"/>
    <mergeCell ref="AZY52:BAA52"/>
    <mergeCell ref="BAB52:BAD52"/>
    <mergeCell ref="BAE52:BAG52"/>
    <mergeCell ref="BAH52:BAJ52"/>
    <mergeCell ref="AZY60:BAA60"/>
    <mergeCell ref="BAB60:BAD60"/>
    <mergeCell ref="BAE60:BAG60"/>
    <mergeCell ref="BAH60:BAJ60"/>
    <mergeCell ref="AZP57:AZR57"/>
    <mergeCell ref="AZS57:AZU57"/>
    <mergeCell ref="AZV57:AZX57"/>
    <mergeCell ref="AZY57:BAA57"/>
    <mergeCell ref="BAB57:BAD57"/>
    <mergeCell ref="BAE57:BAG57"/>
    <mergeCell ref="BAH57:BAJ57"/>
    <mergeCell ref="AZP58:AZR58"/>
    <mergeCell ref="AZD38:AZF38"/>
    <mergeCell ref="AZG38:AZI38"/>
    <mergeCell ref="AWJ37:AWL37"/>
    <mergeCell ref="AWM37:AWO37"/>
    <mergeCell ref="AYO38:AYQ38"/>
    <mergeCell ref="AYR38:AYT38"/>
    <mergeCell ref="AYU38:AYW38"/>
    <mergeCell ref="AYX38:AYZ38"/>
    <mergeCell ref="AZA38:AZC38"/>
    <mergeCell ref="AZP45:AZR45"/>
    <mergeCell ref="AZS45:AZU45"/>
    <mergeCell ref="AZV45:AZX45"/>
    <mergeCell ref="AZY45:BAA45"/>
    <mergeCell ref="BAB45:BAD45"/>
    <mergeCell ref="BAE45:BAG45"/>
    <mergeCell ref="BAH45:BAJ45"/>
    <mergeCell ref="AZP46:AZR46"/>
    <mergeCell ref="AZS46:AZU46"/>
    <mergeCell ref="AZV46:AZX46"/>
    <mergeCell ref="AZY46:BAA46"/>
    <mergeCell ref="BAB46:BAD46"/>
    <mergeCell ref="BAE46:BAG46"/>
    <mergeCell ref="BAH46:BAJ46"/>
    <mergeCell ref="AZP47:AZR47"/>
    <mergeCell ref="AZS47:AZU47"/>
    <mergeCell ref="AZV47:AZX47"/>
    <mergeCell ref="AZY47:BAA47"/>
    <mergeCell ref="BAB47:BAD47"/>
    <mergeCell ref="BAH44:BAJ44"/>
    <mergeCell ref="BAE47:BAG47"/>
    <mergeCell ref="BAH47:BAJ47"/>
    <mergeCell ref="AZP48:AZR48"/>
    <mergeCell ref="AZS48:AZU48"/>
    <mergeCell ref="AZV48:AZX48"/>
    <mergeCell ref="AZY48:BAA48"/>
    <mergeCell ref="BAB48:BAD48"/>
    <mergeCell ref="BAE48:BAG48"/>
    <mergeCell ref="BAH48:BAJ48"/>
    <mergeCell ref="AZP49:AZR49"/>
    <mergeCell ref="AZS49:AZU49"/>
    <mergeCell ref="AZP61:AZR61"/>
    <mergeCell ref="AZS61:AZU61"/>
    <mergeCell ref="AZV61:AZX61"/>
    <mergeCell ref="AZY61:BAA61"/>
    <mergeCell ref="BAB61:BAD61"/>
    <mergeCell ref="BAE61:BAG61"/>
    <mergeCell ref="BAH61:BAJ61"/>
    <mergeCell ref="AZP54:AZR54"/>
    <mergeCell ref="AZS54:AZU54"/>
    <mergeCell ref="AZV54:AZX54"/>
    <mergeCell ref="AZY54:BAA54"/>
    <mergeCell ref="BAB54:BAD54"/>
    <mergeCell ref="BAE54:BAG54"/>
    <mergeCell ref="BAH54:BAJ54"/>
    <mergeCell ref="AZP55:AZR55"/>
    <mergeCell ref="AZS55:AZU55"/>
    <mergeCell ref="AZV55:AZX55"/>
    <mergeCell ref="AZY55:BAA55"/>
    <mergeCell ref="BAB55:BAD55"/>
    <mergeCell ref="BAE55:BAG55"/>
    <mergeCell ref="BAH55:BAJ55"/>
    <mergeCell ref="AZP56:AZR56"/>
    <mergeCell ref="AZS56:AZU56"/>
    <mergeCell ref="AZV56:AZX56"/>
    <mergeCell ref="AZY56:BAA56"/>
    <mergeCell ref="BAB56:BAD56"/>
    <mergeCell ref="BAE56:BAG56"/>
    <mergeCell ref="BAH56:BAJ56"/>
    <mergeCell ref="AZP59:AZR59"/>
    <mergeCell ref="AZS59:AZU59"/>
    <mergeCell ref="AZV59:AZX59"/>
    <mergeCell ref="AZY59:BAA59"/>
    <mergeCell ref="BAB59:BAD59"/>
    <mergeCell ref="BAE59:BAG59"/>
    <mergeCell ref="BAH59:BAJ59"/>
    <mergeCell ref="AZP60:AZR60"/>
    <mergeCell ref="AZS60:AZU60"/>
    <mergeCell ref="AZV60:AZX60"/>
    <mergeCell ref="BAE49:BAG49"/>
    <mergeCell ref="BAH49:BAJ49"/>
    <mergeCell ref="AZP40:AZR40"/>
    <mergeCell ref="AZS40:AZU40"/>
    <mergeCell ref="AZV40:AZX40"/>
    <mergeCell ref="AZY40:BAA40"/>
    <mergeCell ref="BAB40:BAD40"/>
    <mergeCell ref="BAE40:BAG40"/>
    <mergeCell ref="BAH40:BAJ40"/>
    <mergeCell ref="AZP41:AZR41"/>
    <mergeCell ref="AZS41:AZU41"/>
    <mergeCell ref="AZV41:AZX41"/>
    <mergeCell ref="AZY41:BAA41"/>
    <mergeCell ref="BAB41:BAD41"/>
    <mergeCell ref="BAE41:BAG41"/>
    <mergeCell ref="BAH41:BAJ41"/>
    <mergeCell ref="AZP42:AZR42"/>
    <mergeCell ref="AZS42:AZU42"/>
    <mergeCell ref="AZV42:AZX42"/>
    <mergeCell ref="AZY42:BAA42"/>
    <mergeCell ref="BAB42:BAD42"/>
    <mergeCell ref="BAE42:BAG42"/>
    <mergeCell ref="BAH42:BAJ42"/>
    <mergeCell ref="AZP43:AZR43"/>
    <mergeCell ref="AZS43:AZU43"/>
    <mergeCell ref="AZV43:AZX43"/>
    <mergeCell ref="AZY43:BAA43"/>
    <mergeCell ref="BAB43:BAD43"/>
    <mergeCell ref="BAE43:BAG43"/>
    <mergeCell ref="BAH43:BAJ43"/>
    <mergeCell ref="AZP44:AZR44"/>
    <mergeCell ref="AZS44:AZU44"/>
    <mergeCell ref="AZV44:AZX44"/>
    <mergeCell ref="AZY44:BAA44"/>
    <mergeCell ref="BAB44:BAD44"/>
    <mergeCell ref="BAE44:BAG44"/>
    <mergeCell ref="AZP36:AZR36"/>
    <mergeCell ref="AZS36:AZU36"/>
    <mergeCell ref="AZV36:AZX36"/>
    <mergeCell ref="AZY36:BAA36"/>
    <mergeCell ref="BAB36:BAD36"/>
    <mergeCell ref="BAE36:BAG36"/>
    <mergeCell ref="BAH36:BAJ36"/>
    <mergeCell ref="AZP28:AZR28"/>
    <mergeCell ref="AZS28:AZU28"/>
    <mergeCell ref="AZV28:AZX28"/>
    <mergeCell ref="AZY28:BAA28"/>
    <mergeCell ref="BAB28:BAD28"/>
    <mergeCell ref="BAE28:BAG28"/>
    <mergeCell ref="BAH28:BAJ28"/>
    <mergeCell ref="AZP39:AZR39"/>
    <mergeCell ref="AZS39:AZU39"/>
    <mergeCell ref="AZV39:AZX39"/>
    <mergeCell ref="AZY39:BAA39"/>
    <mergeCell ref="BAB39:BAD39"/>
    <mergeCell ref="BAE39:BAG39"/>
    <mergeCell ref="BAH39:BAJ39"/>
    <mergeCell ref="AZP31:AZR31"/>
    <mergeCell ref="AZS31:AZU31"/>
    <mergeCell ref="AZV31:AZX31"/>
    <mergeCell ref="AZY31:BAA31"/>
    <mergeCell ref="BAB31:BAD31"/>
    <mergeCell ref="BAE31:BAG31"/>
    <mergeCell ref="BAH31:BAJ31"/>
    <mergeCell ref="AZP32:AZR32"/>
    <mergeCell ref="AZS32:AZU32"/>
    <mergeCell ref="AZV32:AZX32"/>
    <mergeCell ref="AZY32:BAA32"/>
    <mergeCell ref="BAB32:BAD32"/>
    <mergeCell ref="BAE32:BAG32"/>
    <mergeCell ref="BAH32:BAJ32"/>
    <mergeCell ref="AZP33:AZR33"/>
    <mergeCell ref="AZS33:AZU33"/>
    <mergeCell ref="AZV33:AZX33"/>
    <mergeCell ref="AZY33:BAA33"/>
    <mergeCell ref="BAB33:BAD33"/>
    <mergeCell ref="BAE33:BAG33"/>
    <mergeCell ref="BAH33:BAJ33"/>
    <mergeCell ref="AZP34:AZR34"/>
    <mergeCell ref="AZS34:AZU34"/>
    <mergeCell ref="AZV34:AZX34"/>
    <mergeCell ref="AZY34:BAA34"/>
    <mergeCell ref="BAB34:BAD34"/>
    <mergeCell ref="BAE34:BAG34"/>
    <mergeCell ref="BAH34:BAJ34"/>
    <mergeCell ref="AZP35:AZR35"/>
    <mergeCell ref="AZS35:AZU35"/>
    <mergeCell ref="AZV35:AZX35"/>
    <mergeCell ref="AZY35:BAA35"/>
    <mergeCell ref="BAB35:BAD35"/>
    <mergeCell ref="BAE35:BAG35"/>
    <mergeCell ref="BAH35:BAJ35"/>
    <mergeCell ref="AZP16:AZR16"/>
    <mergeCell ref="AZS16:AZU16"/>
    <mergeCell ref="AZV16:AZX16"/>
    <mergeCell ref="AZY16:BAA16"/>
    <mergeCell ref="BAB16:BAD16"/>
    <mergeCell ref="BAE16:BAG16"/>
    <mergeCell ref="BAH16:BAJ16"/>
    <mergeCell ref="AZP29:AZR29"/>
    <mergeCell ref="AZS29:AZU29"/>
    <mergeCell ref="AZV29:AZX29"/>
    <mergeCell ref="AZY29:BAA29"/>
    <mergeCell ref="BAB29:BAD29"/>
    <mergeCell ref="BAE29:BAG29"/>
    <mergeCell ref="BAH29:BAJ29"/>
    <mergeCell ref="AZP30:AZR30"/>
    <mergeCell ref="AZS30:AZU30"/>
    <mergeCell ref="AZV30:AZX30"/>
    <mergeCell ref="AZY30:BAA30"/>
    <mergeCell ref="BAB30:BAD30"/>
    <mergeCell ref="BAE30:BAG30"/>
    <mergeCell ref="BAH30:BAJ30"/>
    <mergeCell ref="AZP19:AZR19"/>
    <mergeCell ref="AZS19:AZU19"/>
    <mergeCell ref="AZV19:AZX19"/>
    <mergeCell ref="AZY19:BAA19"/>
    <mergeCell ref="BAB19:BAD19"/>
    <mergeCell ref="BAE19:BAG19"/>
    <mergeCell ref="BAH19:BAJ19"/>
    <mergeCell ref="AZP20:AZR20"/>
    <mergeCell ref="AZS20:AZU20"/>
    <mergeCell ref="AZV20:AZX20"/>
    <mergeCell ref="AZY20:BAA20"/>
    <mergeCell ref="BAB20:BAD20"/>
    <mergeCell ref="BAE20:BAG20"/>
    <mergeCell ref="BAH20:BAJ20"/>
    <mergeCell ref="AZP21:AZR21"/>
    <mergeCell ref="AZS21:AZU21"/>
    <mergeCell ref="AZV21:AZX21"/>
    <mergeCell ref="AZY21:BAA21"/>
    <mergeCell ref="BAB21:BAD21"/>
    <mergeCell ref="BAE21:BAG21"/>
    <mergeCell ref="BAH21:BAJ21"/>
    <mergeCell ref="AZP22:AZR22"/>
    <mergeCell ref="AZS22:AZU22"/>
    <mergeCell ref="AZV22:AZX22"/>
    <mergeCell ref="AZY22:BAA22"/>
    <mergeCell ref="BAB22:BAD22"/>
    <mergeCell ref="BAE22:BAG22"/>
    <mergeCell ref="BAH22:BAJ22"/>
    <mergeCell ref="AZP17:AZR17"/>
    <mergeCell ref="AZP13:AZR13"/>
    <mergeCell ref="AZS13:AZU13"/>
    <mergeCell ref="AZV13:AZX13"/>
    <mergeCell ref="AZY13:BAA13"/>
    <mergeCell ref="BAB13:BAD13"/>
    <mergeCell ref="BAE13:BAG13"/>
    <mergeCell ref="BAH13:BAJ13"/>
    <mergeCell ref="AZP14:AZR14"/>
    <mergeCell ref="AZS14:AZU14"/>
    <mergeCell ref="AZV14:AZX14"/>
    <mergeCell ref="AZY14:BAA14"/>
    <mergeCell ref="BAB14:BAD14"/>
    <mergeCell ref="BAE14:BAG14"/>
    <mergeCell ref="BAH14:BAJ14"/>
    <mergeCell ref="AZP15:AZR15"/>
    <mergeCell ref="AZS15:AZU15"/>
    <mergeCell ref="AZV15:AZX15"/>
    <mergeCell ref="AZY15:BAA15"/>
    <mergeCell ref="BAB15:BAD15"/>
    <mergeCell ref="BAE15:BAG15"/>
    <mergeCell ref="BAH15:BAJ15"/>
    <mergeCell ref="AZP8:AZR8"/>
    <mergeCell ref="AZS8:AZU8"/>
    <mergeCell ref="AZV8:AZX8"/>
    <mergeCell ref="AZY8:BAA8"/>
    <mergeCell ref="BAB8:BAD8"/>
    <mergeCell ref="BAE8:BAG8"/>
    <mergeCell ref="BAH8:BAJ8"/>
    <mergeCell ref="AZP9:AZR9"/>
    <mergeCell ref="AZS9:AZU9"/>
    <mergeCell ref="AZV9:AZX9"/>
    <mergeCell ref="AZY9:BAA9"/>
    <mergeCell ref="BAB9:BAD9"/>
    <mergeCell ref="BAE9:BAG9"/>
    <mergeCell ref="BAH9:BAJ9"/>
    <mergeCell ref="AZP10:AZR10"/>
    <mergeCell ref="AZS10:AZU10"/>
    <mergeCell ref="AZV10:AZX10"/>
    <mergeCell ref="AZY10:BAA10"/>
    <mergeCell ref="BAB10:BAD10"/>
    <mergeCell ref="BAE10:BAG10"/>
    <mergeCell ref="BAH10:BAJ10"/>
    <mergeCell ref="AZP11:AZR11"/>
    <mergeCell ref="AZS11:AZU11"/>
    <mergeCell ref="AZV11:AZX11"/>
    <mergeCell ref="AZY11:BAA11"/>
    <mergeCell ref="BAB11:BAD11"/>
    <mergeCell ref="BAE11:BAG11"/>
    <mergeCell ref="BAH11:BAJ11"/>
    <mergeCell ref="AZP12:AZR12"/>
    <mergeCell ref="AZS12:AZU12"/>
    <mergeCell ref="AZV12:AZX12"/>
    <mergeCell ref="AZY12:BAA12"/>
    <mergeCell ref="BAB12:BAD12"/>
    <mergeCell ref="BAE12:BAG12"/>
    <mergeCell ref="BAH12:BAJ12"/>
    <mergeCell ref="AZP2:AZR2"/>
    <mergeCell ref="AZS2:AZU2"/>
    <mergeCell ref="AZV2:AZX2"/>
    <mergeCell ref="AZY2:BAA2"/>
    <mergeCell ref="BAB2:BAD2"/>
    <mergeCell ref="BAE2:BAG2"/>
    <mergeCell ref="BAH2:BAJ2"/>
    <mergeCell ref="AZP3:AZR3"/>
    <mergeCell ref="AZS3:AZU3"/>
    <mergeCell ref="AZV3:AZX3"/>
    <mergeCell ref="AZY3:BAA3"/>
    <mergeCell ref="BAB3:BAD3"/>
    <mergeCell ref="BAE3:BAG3"/>
    <mergeCell ref="BAH3:BAJ3"/>
    <mergeCell ref="AZP5:AZR5"/>
    <mergeCell ref="AZS5:AZU5"/>
    <mergeCell ref="AZV5:AZX5"/>
    <mergeCell ref="AZY5:BAA5"/>
    <mergeCell ref="BAB5:BAD5"/>
    <mergeCell ref="BAE5:BAG5"/>
    <mergeCell ref="BAH5:BAJ5"/>
    <mergeCell ref="AZP6:AZR6"/>
    <mergeCell ref="AZS6:AZU6"/>
    <mergeCell ref="AZV6:AZX6"/>
    <mergeCell ref="AZY6:BAA6"/>
    <mergeCell ref="BAB6:BAD6"/>
    <mergeCell ref="BAE6:BAG6"/>
    <mergeCell ref="BAH6:BAJ6"/>
    <mergeCell ref="AZP7:AZR7"/>
    <mergeCell ref="AZS7:AZU7"/>
    <mergeCell ref="AZV7:AZX7"/>
    <mergeCell ref="AZY7:BAA7"/>
    <mergeCell ref="BAB7:BAD7"/>
    <mergeCell ref="BAE7:BAG7"/>
    <mergeCell ref="BAH7:BAJ7"/>
    <mergeCell ref="AYU57:AYW57"/>
    <mergeCell ref="AYX57:AYZ57"/>
    <mergeCell ref="AZA57:AZC57"/>
    <mergeCell ref="AZD57:AZF57"/>
    <mergeCell ref="AZG57:AZI57"/>
    <mergeCell ref="AZJ57:AZL57"/>
    <mergeCell ref="AZM57:AZO57"/>
    <mergeCell ref="AYU58:AYW58"/>
    <mergeCell ref="AYX58:AYZ58"/>
    <mergeCell ref="AZA58:AZC58"/>
    <mergeCell ref="AZD58:AZF58"/>
    <mergeCell ref="AZG58:AZI58"/>
    <mergeCell ref="AZJ58:AZL58"/>
    <mergeCell ref="AZM58:AZO58"/>
    <mergeCell ref="AYU59:AYW59"/>
    <mergeCell ref="AYX59:AYZ59"/>
    <mergeCell ref="AZA59:AZC59"/>
    <mergeCell ref="AZD59:AZF59"/>
    <mergeCell ref="AZG59:AZI59"/>
    <mergeCell ref="AZJ59:AZL59"/>
    <mergeCell ref="AZM59:AZO59"/>
    <mergeCell ref="AYU60:AYW60"/>
    <mergeCell ref="AYX60:AYZ60"/>
    <mergeCell ref="AZA60:AZC60"/>
    <mergeCell ref="AZD60:AZF60"/>
    <mergeCell ref="AZG60:AZI60"/>
    <mergeCell ref="AZJ60:AZL60"/>
    <mergeCell ref="AZM60:AZO60"/>
    <mergeCell ref="AYU61:AYW61"/>
    <mergeCell ref="AYX61:AYZ61"/>
    <mergeCell ref="AZA61:AZC61"/>
    <mergeCell ref="AZD61:AZF61"/>
    <mergeCell ref="AZG61:AZI61"/>
    <mergeCell ref="AZJ61:AZL61"/>
    <mergeCell ref="AZM61:AZO61"/>
    <mergeCell ref="AYU54:AYW54"/>
    <mergeCell ref="AYX54:AYZ54"/>
    <mergeCell ref="AZA54:AZC54"/>
    <mergeCell ref="AZD54:AZF54"/>
    <mergeCell ref="AZG54:AZI54"/>
    <mergeCell ref="AZJ54:AZL54"/>
    <mergeCell ref="AZM54:AZO54"/>
    <mergeCell ref="AYU55:AYW55"/>
    <mergeCell ref="AYX55:AYZ55"/>
    <mergeCell ref="AZA55:AZC55"/>
    <mergeCell ref="AZD55:AZF55"/>
    <mergeCell ref="AZG55:AZI55"/>
    <mergeCell ref="AZJ55:AZL55"/>
    <mergeCell ref="AZM55:AZO55"/>
    <mergeCell ref="AYU56:AYW56"/>
    <mergeCell ref="AYX56:AYZ56"/>
    <mergeCell ref="AZA56:AZC56"/>
    <mergeCell ref="AZD56:AZF56"/>
    <mergeCell ref="AZG56:AZI56"/>
    <mergeCell ref="AZJ56:AZL56"/>
    <mergeCell ref="AZM56:AZO56"/>
    <mergeCell ref="AYU50:AYW50"/>
    <mergeCell ref="AYX50:AYZ50"/>
    <mergeCell ref="AZA50:AZC50"/>
    <mergeCell ref="AZD50:AZF50"/>
    <mergeCell ref="AZG50:AZI50"/>
    <mergeCell ref="AZJ50:AZL50"/>
    <mergeCell ref="AZM50:AZO50"/>
    <mergeCell ref="AYU51:AYW51"/>
    <mergeCell ref="AYX51:AYZ51"/>
    <mergeCell ref="AZA51:AZC51"/>
    <mergeCell ref="AZD51:AZF51"/>
    <mergeCell ref="AZG51:AZI51"/>
    <mergeCell ref="AZJ51:AZL51"/>
    <mergeCell ref="AZM51:AZO51"/>
    <mergeCell ref="AYU52:AYW52"/>
    <mergeCell ref="AYX52:AYZ52"/>
    <mergeCell ref="AZA52:AZC52"/>
    <mergeCell ref="AZD52:AZF52"/>
    <mergeCell ref="AZG52:AZI52"/>
    <mergeCell ref="AZJ52:AZL52"/>
    <mergeCell ref="AZM52:AZO52"/>
    <mergeCell ref="AYU45:AYW45"/>
    <mergeCell ref="AYX45:AYZ45"/>
    <mergeCell ref="AZA45:AZC45"/>
    <mergeCell ref="AZD45:AZF45"/>
    <mergeCell ref="AZG45:AZI45"/>
    <mergeCell ref="AZJ45:AZL45"/>
    <mergeCell ref="AZM45:AZO45"/>
    <mergeCell ref="AYU46:AYW46"/>
    <mergeCell ref="AYX46:AYZ46"/>
    <mergeCell ref="AZA46:AZC46"/>
    <mergeCell ref="AZD46:AZF46"/>
    <mergeCell ref="AZG46:AZI46"/>
    <mergeCell ref="AZJ46:AZL46"/>
    <mergeCell ref="AZM46:AZO46"/>
    <mergeCell ref="AYU47:AYW47"/>
    <mergeCell ref="AYX47:AYZ47"/>
    <mergeCell ref="AZA47:AZC47"/>
    <mergeCell ref="AZD47:AZF47"/>
    <mergeCell ref="AZG47:AZI47"/>
    <mergeCell ref="AZJ47:AZL47"/>
    <mergeCell ref="AZM47:AZO47"/>
    <mergeCell ref="AYU48:AYW48"/>
    <mergeCell ref="AYX48:AYZ48"/>
    <mergeCell ref="AZA48:AZC48"/>
    <mergeCell ref="AZD48:AZF48"/>
    <mergeCell ref="AZG48:AZI48"/>
    <mergeCell ref="AZJ48:AZL48"/>
    <mergeCell ref="AZM48:AZO48"/>
    <mergeCell ref="AYU49:AYW49"/>
    <mergeCell ref="AYX49:AYZ49"/>
    <mergeCell ref="AZA49:AZC49"/>
    <mergeCell ref="AZD49:AZF49"/>
    <mergeCell ref="AZG49:AZI49"/>
    <mergeCell ref="AZJ49:AZL49"/>
    <mergeCell ref="AZM49:AZO49"/>
    <mergeCell ref="AYU40:AYW40"/>
    <mergeCell ref="AYX40:AYZ40"/>
    <mergeCell ref="AZA40:AZC40"/>
    <mergeCell ref="AZD40:AZF40"/>
    <mergeCell ref="AZG40:AZI40"/>
    <mergeCell ref="AZJ40:AZL40"/>
    <mergeCell ref="AZM40:AZO40"/>
    <mergeCell ref="AYU41:AYW41"/>
    <mergeCell ref="AYX41:AYZ41"/>
    <mergeCell ref="AZA41:AZC41"/>
    <mergeCell ref="AZD41:AZF41"/>
    <mergeCell ref="AZG41:AZI41"/>
    <mergeCell ref="AZJ41:AZL41"/>
    <mergeCell ref="AZM41:AZO41"/>
    <mergeCell ref="AYU42:AYW42"/>
    <mergeCell ref="AYX42:AYZ42"/>
    <mergeCell ref="AZA42:AZC42"/>
    <mergeCell ref="AZD42:AZF42"/>
    <mergeCell ref="AZG42:AZI42"/>
    <mergeCell ref="AZJ42:AZL42"/>
    <mergeCell ref="AZM42:AZO42"/>
    <mergeCell ref="AYU43:AYW43"/>
    <mergeCell ref="AYX43:AYZ43"/>
    <mergeCell ref="AZA43:AZC43"/>
    <mergeCell ref="AZD43:AZF43"/>
    <mergeCell ref="AZG43:AZI43"/>
    <mergeCell ref="AZJ43:AZL43"/>
    <mergeCell ref="AZM43:AZO43"/>
    <mergeCell ref="AYU44:AYW44"/>
    <mergeCell ref="AYX44:AYZ44"/>
    <mergeCell ref="AZA44:AZC44"/>
    <mergeCell ref="AZD44:AZF44"/>
    <mergeCell ref="AZG44:AZI44"/>
    <mergeCell ref="AZJ44:AZL44"/>
    <mergeCell ref="AZM44:AZO44"/>
    <mergeCell ref="AYU39:AYW39"/>
    <mergeCell ref="AYX39:AYZ39"/>
    <mergeCell ref="AZA39:AZC39"/>
    <mergeCell ref="AZD39:AZF39"/>
    <mergeCell ref="AZG39:AZI39"/>
    <mergeCell ref="AZJ39:AZL39"/>
    <mergeCell ref="AZM39:AZO39"/>
    <mergeCell ref="AYU19:AYW19"/>
    <mergeCell ref="AYX19:AYZ19"/>
    <mergeCell ref="AZA19:AZC19"/>
    <mergeCell ref="AZD19:AZF19"/>
    <mergeCell ref="AZG19:AZI19"/>
    <mergeCell ref="AZJ19:AZL19"/>
    <mergeCell ref="AZM19:AZO19"/>
    <mergeCell ref="AZG17:AZI17"/>
    <mergeCell ref="AZJ17:AZL17"/>
    <mergeCell ref="AZM17:AZO17"/>
    <mergeCell ref="AYU20:AYW20"/>
    <mergeCell ref="AYX20:AYZ20"/>
    <mergeCell ref="AZA20:AZC20"/>
    <mergeCell ref="AZD20:AZF20"/>
    <mergeCell ref="AZG20:AZI20"/>
    <mergeCell ref="AZJ20:AZL20"/>
    <mergeCell ref="AZM20:AZO20"/>
    <mergeCell ref="AYU21:AYW21"/>
    <mergeCell ref="AYX21:AYZ21"/>
    <mergeCell ref="AZA21:AZC21"/>
    <mergeCell ref="AZD21:AZF21"/>
    <mergeCell ref="AZG21:AZI21"/>
    <mergeCell ref="AZJ21:AZL21"/>
    <mergeCell ref="AZM21:AZO21"/>
    <mergeCell ref="AYU22:AYW22"/>
    <mergeCell ref="AYX22:AYZ22"/>
    <mergeCell ref="AZA22:AZC22"/>
    <mergeCell ref="AZD22:AZF22"/>
    <mergeCell ref="AZG22:AZI22"/>
    <mergeCell ref="AZJ22:AZL22"/>
    <mergeCell ref="AZM22:AZO22"/>
    <mergeCell ref="AYU36:AYW36"/>
    <mergeCell ref="AYX36:AYZ36"/>
    <mergeCell ref="AZA36:AZC36"/>
    <mergeCell ref="AZD36:AZF36"/>
    <mergeCell ref="AZG36:AZI36"/>
    <mergeCell ref="AZJ36:AZL36"/>
    <mergeCell ref="AZM36:AZO36"/>
    <mergeCell ref="AZA28:AZC28"/>
    <mergeCell ref="AZD28:AZF28"/>
    <mergeCell ref="AZG28:AZI28"/>
    <mergeCell ref="AZJ28:AZL28"/>
    <mergeCell ref="AZM28:AZO28"/>
    <mergeCell ref="AYU28:AYW28"/>
    <mergeCell ref="AYX28:AYZ28"/>
    <mergeCell ref="AYU31:AYW31"/>
    <mergeCell ref="AYX31:AYZ31"/>
    <mergeCell ref="AZA31:AZC31"/>
    <mergeCell ref="AZD31:AZF31"/>
    <mergeCell ref="AZG31:AZI31"/>
    <mergeCell ref="AZJ31:AZL31"/>
    <mergeCell ref="AZM31:AZO31"/>
    <mergeCell ref="AYU32:AYW32"/>
    <mergeCell ref="AYX32:AYZ32"/>
    <mergeCell ref="AZA32:AZC32"/>
    <mergeCell ref="AZD32:AZF32"/>
    <mergeCell ref="AZG32:AZI32"/>
    <mergeCell ref="AZJ32:AZL32"/>
    <mergeCell ref="AZM32:AZO32"/>
    <mergeCell ref="AYU33:AYW33"/>
    <mergeCell ref="AYX33:AYZ33"/>
    <mergeCell ref="AZA33:AZC33"/>
    <mergeCell ref="AZD33:AZF33"/>
    <mergeCell ref="AZG33:AZI33"/>
    <mergeCell ref="AZJ33:AZL33"/>
    <mergeCell ref="AZM33:AZO33"/>
    <mergeCell ref="AYU34:AYW34"/>
    <mergeCell ref="AYX34:AYZ34"/>
    <mergeCell ref="AZA34:AZC34"/>
    <mergeCell ref="AZD34:AZF34"/>
    <mergeCell ref="AZG34:AZI34"/>
    <mergeCell ref="AZJ34:AZL34"/>
    <mergeCell ref="AZM34:AZO34"/>
    <mergeCell ref="AYU35:AYW35"/>
    <mergeCell ref="AYX35:AYZ35"/>
    <mergeCell ref="AZA35:AZC35"/>
    <mergeCell ref="AZD35:AZF35"/>
    <mergeCell ref="AZG35:AZI35"/>
    <mergeCell ref="AZJ35:AZL35"/>
    <mergeCell ref="AZM35:AZO35"/>
    <mergeCell ref="AYU16:AYW16"/>
    <mergeCell ref="AYX16:AYZ16"/>
    <mergeCell ref="AZA16:AZC16"/>
    <mergeCell ref="AZD16:AZF16"/>
    <mergeCell ref="AZG16:AZI16"/>
    <mergeCell ref="AZJ16:AZL16"/>
    <mergeCell ref="AZM16:AZO16"/>
    <mergeCell ref="AYU29:AYW29"/>
    <mergeCell ref="AYX29:AYZ29"/>
    <mergeCell ref="AZA29:AZC29"/>
    <mergeCell ref="AZD29:AZF29"/>
    <mergeCell ref="AZG29:AZI29"/>
    <mergeCell ref="AZJ29:AZL29"/>
    <mergeCell ref="AZM29:AZO29"/>
    <mergeCell ref="AYU30:AYW30"/>
    <mergeCell ref="AYX30:AYZ30"/>
    <mergeCell ref="AZA30:AZC30"/>
    <mergeCell ref="AZD30:AZF30"/>
    <mergeCell ref="AZG30:AZI30"/>
    <mergeCell ref="AZJ30:AZL30"/>
    <mergeCell ref="AZM30:AZO30"/>
    <mergeCell ref="AYU18:AYW18"/>
    <mergeCell ref="AYX18:AYZ18"/>
    <mergeCell ref="AZA18:AZC18"/>
    <mergeCell ref="AZD18:AZF18"/>
    <mergeCell ref="AZG18:AZI18"/>
    <mergeCell ref="AZJ18:AZL18"/>
    <mergeCell ref="AYU15:AYW15"/>
    <mergeCell ref="AYX15:AYZ15"/>
    <mergeCell ref="AZA15:AZC15"/>
    <mergeCell ref="AZD15:AZF15"/>
    <mergeCell ref="AZG15:AZI15"/>
    <mergeCell ref="AZJ15:AZL15"/>
    <mergeCell ref="AZM15:AZO15"/>
    <mergeCell ref="AYX10:AYZ10"/>
    <mergeCell ref="AZA10:AZC10"/>
    <mergeCell ref="AZD10:AZF10"/>
    <mergeCell ref="AZG10:AZI10"/>
    <mergeCell ref="AZJ10:AZL10"/>
    <mergeCell ref="AZM10:AZO10"/>
    <mergeCell ref="AYU11:AYW11"/>
    <mergeCell ref="AYX11:AYZ11"/>
    <mergeCell ref="AZA11:AZC11"/>
    <mergeCell ref="AZD11:AZF11"/>
    <mergeCell ref="AZG11:AZI11"/>
    <mergeCell ref="AZJ11:AZL11"/>
    <mergeCell ref="AZM11:AZO11"/>
    <mergeCell ref="AYU12:AYW12"/>
    <mergeCell ref="AYX12:AYZ12"/>
    <mergeCell ref="AZA12:AZC12"/>
    <mergeCell ref="AZD12:AZF12"/>
    <mergeCell ref="AZG12:AZI12"/>
    <mergeCell ref="AZJ12:AZL12"/>
    <mergeCell ref="AZM12:AZO12"/>
    <mergeCell ref="AYU13:AYW13"/>
    <mergeCell ref="AYX13:AYZ13"/>
    <mergeCell ref="AZA13:AZC13"/>
    <mergeCell ref="AZD13:AZF13"/>
    <mergeCell ref="AZG13:AZI13"/>
    <mergeCell ref="AZJ13:AZL13"/>
    <mergeCell ref="AZM13:AZO13"/>
    <mergeCell ref="AYU14:AYW14"/>
    <mergeCell ref="AYX14:AYZ14"/>
    <mergeCell ref="AZA14:AZC14"/>
    <mergeCell ref="AZD14:AZF14"/>
    <mergeCell ref="AZG14:AZI14"/>
    <mergeCell ref="AZJ14:AZL14"/>
    <mergeCell ref="AZM14:AZO14"/>
    <mergeCell ref="AXZ60:AYB60"/>
    <mergeCell ref="AYC60:AYE60"/>
    <mergeCell ref="AYF60:AYH60"/>
    <mergeCell ref="AYI60:AYK60"/>
    <mergeCell ref="AYL60:AYN60"/>
    <mergeCell ref="AYO60:AYQ60"/>
    <mergeCell ref="AYR60:AYT60"/>
    <mergeCell ref="AXZ61:AYB61"/>
    <mergeCell ref="AYC61:AYE61"/>
    <mergeCell ref="AYF61:AYH61"/>
    <mergeCell ref="AYI61:AYK61"/>
    <mergeCell ref="AYL61:AYN61"/>
    <mergeCell ref="AYO61:AYQ61"/>
    <mergeCell ref="AYR61:AYT61"/>
    <mergeCell ref="AYU2:AYW2"/>
    <mergeCell ref="AYX2:AYZ2"/>
    <mergeCell ref="AZA2:AZC2"/>
    <mergeCell ref="AZD2:AZF2"/>
    <mergeCell ref="AZG2:AZI2"/>
    <mergeCell ref="AZJ2:AZL2"/>
    <mergeCell ref="AZM2:AZO2"/>
    <mergeCell ref="AYU3:AYW3"/>
    <mergeCell ref="AYX3:AYZ3"/>
    <mergeCell ref="AZA3:AZC3"/>
    <mergeCell ref="AZD3:AZF3"/>
    <mergeCell ref="AZG3:AZI3"/>
    <mergeCell ref="AZJ3:AZL3"/>
    <mergeCell ref="AZM3:AZO3"/>
    <mergeCell ref="AYU5:AYW5"/>
    <mergeCell ref="AYX5:AYZ5"/>
    <mergeCell ref="AZA5:AZC5"/>
    <mergeCell ref="AZD5:AZF5"/>
    <mergeCell ref="AZG5:AZI5"/>
    <mergeCell ref="AZJ5:AZL5"/>
    <mergeCell ref="AZM5:AZO5"/>
    <mergeCell ref="AYU6:AYW6"/>
    <mergeCell ref="AYX6:AYZ6"/>
    <mergeCell ref="AZA6:AZC6"/>
    <mergeCell ref="AZD6:AZF6"/>
    <mergeCell ref="AZG6:AZI6"/>
    <mergeCell ref="AZJ6:AZL6"/>
    <mergeCell ref="AZM6:AZO6"/>
    <mergeCell ref="AYU7:AYW7"/>
    <mergeCell ref="AYX7:AYZ7"/>
    <mergeCell ref="AZA7:AZC7"/>
    <mergeCell ref="AZD7:AZF7"/>
    <mergeCell ref="AZG7:AZI7"/>
    <mergeCell ref="AZJ7:AZL7"/>
    <mergeCell ref="AZM7:AZO7"/>
    <mergeCell ref="AYU8:AYW8"/>
    <mergeCell ref="AYX8:AYZ8"/>
    <mergeCell ref="AZA8:AZC8"/>
    <mergeCell ref="AZD8:AZF8"/>
    <mergeCell ref="AZG8:AZI8"/>
    <mergeCell ref="AZJ8:AZL8"/>
    <mergeCell ref="AZM8:AZO8"/>
    <mergeCell ref="AYU9:AYW9"/>
    <mergeCell ref="AYX9:AYZ9"/>
    <mergeCell ref="AZA9:AZC9"/>
    <mergeCell ref="AZD9:AZF9"/>
    <mergeCell ref="AZG9:AZI9"/>
    <mergeCell ref="AZJ9:AZL9"/>
    <mergeCell ref="AZM9:AZO9"/>
    <mergeCell ref="AYU10:AYW10"/>
    <mergeCell ref="AXZ55:AYB55"/>
    <mergeCell ref="AYC55:AYE55"/>
    <mergeCell ref="AYF55:AYH55"/>
    <mergeCell ref="AYI55:AYK55"/>
    <mergeCell ref="AYL55:AYN55"/>
    <mergeCell ref="AYO55:AYQ55"/>
    <mergeCell ref="AYR55:AYT55"/>
    <mergeCell ref="AXZ56:AYB56"/>
    <mergeCell ref="AYC56:AYE56"/>
    <mergeCell ref="AYF56:AYH56"/>
    <mergeCell ref="AYI56:AYK56"/>
    <mergeCell ref="AYL56:AYN56"/>
    <mergeCell ref="AYO56:AYQ56"/>
    <mergeCell ref="AYR56:AYT56"/>
    <mergeCell ref="AXZ57:AYB57"/>
    <mergeCell ref="AYC57:AYE57"/>
    <mergeCell ref="AYF57:AYH57"/>
    <mergeCell ref="AYI57:AYK57"/>
    <mergeCell ref="AYL57:AYN57"/>
    <mergeCell ref="AYO57:AYQ57"/>
    <mergeCell ref="AYR57:AYT57"/>
    <mergeCell ref="AXZ58:AYB58"/>
    <mergeCell ref="AYC58:AYE58"/>
    <mergeCell ref="AYF58:AYH58"/>
    <mergeCell ref="AYI58:AYK58"/>
    <mergeCell ref="AYL58:AYN58"/>
    <mergeCell ref="AYO58:AYQ58"/>
    <mergeCell ref="AYR58:AYT58"/>
    <mergeCell ref="AXZ59:AYB59"/>
    <mergeCell ref="AYC59:AYE59"/>
    <mergeCell ref="AYF59:AYH59"/>
    <mergeCell ref="AYI59:AYK59"/>
    <mergeCell ref="AYL59:AYN59"/>
    <mergeCell ref="AYO59:AYQ59"/>
    <mergeCell ref="AYR59:AYT59"/>
    <mergeCell ref="AXZ54:AYB54"/>
    <mergeCell ref="AYC54:AYE54"/>
    <mergeCell ref="AYF54:AYH54"/>
    <mergeCell ref="AYI54:AYK54"/>
    <mergeCell ref="AYL54:AYN54"/>
    <mergeCell ref="AYO54:AYQ54"/>
    <mergeCell ref="AYR54:AYT54"/>
    <mergeCell ref="AXZ48:AYB48"/>
    <mergeCell ref="AYC48:AYE48"/>
    <mergeCell ref="AYF48:AYH48"/>
    <mergeCell ref="AYI48:AYK48"/>
    <mergeCell ref="AYL48:AYN48"/>
    <mergeCell ref="AYO48:AYQ48"/>
    <mergeCell ref="AYR48:AYT48"/>
    <mergeCell ref="AXZ49:AYB49"/>
    <mergeCell ref="AYC49:AYE49"/>
    <mergeCell ref="AYF49:AYH49"/>
    <mergeCell ref="AYI49:AYK49"/>
    <mergeCell ref="AYL49:AYN49"/>
    <mergeCell ref="AYO49:AYQ49"/>
    <mergeCell ref="AYR49:AYT49"/>
    <mergeCell ref="AXZ50:AYB50"/>
    <mergeCell ref="AYC50:AYE50"/>
    <mergeCell ref="AYF50:AYH50"/>
    <mergeCell ref="AYI50:AYK50"/>
    <mergeCell ref="AYL50:AYN50"/>
    <mergeCell ref="AYO50:AYQ50"/>
    <mergeCell ref="AYR50:AYT50"/>
    <mergeCell ref="AXZ51:AYB51"/>
    <mergeCell ref="AYC51:AYE51"/>
    <mergeCell ref="AYF51:AYH51"/>
    <mergeCell ref="AYI51:AYK51"/>
    <mergeCell ref="AYL51:AYN51"/>
    <mergeCell ref="AYO51:AYQ51"/>
    <mergeCell ref="AYR51:AYT51"/>
    <mergeCell ref="AXZ52:AYB52"/>
    <mergeCell ref="AYC52:AYE52"/>
    <mergeCell ref="AYF52:AYH52"/>
    <mergeCell ref="AYI52:AYK52"/>
    <mergeCell ref="AYL52:AYN52"/>
    <mergeCell ref="AYO52:AYQ52"/>
    <mergeCell ref="AYR52:AYT52"/>
    <mergeCell ref="AXZ43:AYB43"/>
    <mergeCell ref="AYC43:AYE43"/>
    <mergeCell ref="AYF43:AYH43"/>
    <mergeCell ref="AYI43:AYK43"/>
    <mergeCell ref="AYL43:AYN43"/>
    <mergeCell ref="AYO43:AYQ43"/>
    <mergeCell ref="AYR43:AYT43"/>
    <mergeCell ref="AXZ44:AYB44"/>
    <mergeCell ref="AYC44:AYE44"/>
    <mergeCell ref="AYF44:AYH44"/>
    <mergeCell ref="AYI44:AYK44"/>
    <mergeCell ref="AYL44:AYN44"/>
    <mergeCell ref="AYO44:AYQ44"/>
    <mergeCell ref="AYR44:AYT44"/>
    <mergeCell ref="AXZ45:AYB45"/>
    <mergeCell ref="AYC45:AYE45"/>
    <mergeCell ref="AYF45:AYH45"/>
    <mergeCell ref="AYI45:AYK45"/>
    <mergeCell ref="AYL45:AYN45"/>
    <mergeCell ref="AYO45:AYQ45"/>
    <mergeCell ref="AYR45:AYT45"/>
    <mergeCell ref="AXZ46:AYB46"/>
    <mergeCell ref="AYC46:AYE46"/>
    <mergeCell ref="AYF46:AYH46"/>
    <mergeCell ref="AYI46:AYK46"/>
    <mergeCell ref="AYL46:AYN46"/>
    <mergeCell ref="AYO46:AYQ46"/>
    <mergeCell ref="AYR46:AYT46"/>
    <mergeCell ref="AXZ47:AYB47"/>
    <mergeCell ref="AYC47:AYE47"/>
    <mergeCell ref="AYF47:AYH47"/>
    <mergeCell ref="AYI47:AYK47"/>
    <mergeCell ref="AYL47:AYN47"/>
    <mergeCell ref="AYO47:AYQ47"/>
    <mergeCell ref="AYR47:AYT47"/>
    <mergeCell ref="AXZ40:AYB40"/>
    <mergeCell ref="AYC40:AYE40"/>
    <mergeCell ref="AYF40:AYH40"/>
    <mergeCell ref="AYI40:AYK40"/>
    <mergeCell ref="AYL40:AYN40"/>
    <mergeCell ref="AYO40:AYQ40"/>
    <mergeCell ref="AYR40:AYT40"/>
    <mergeCell ref="AXZ41:AYB41"/>
    <mergeCell ref="AYC41:AYE41"/>
    <mergeCell ref="AYF41:AYH41"/>
    <mergeCell ref="AYI41:AYK41"/>
    <mergeCell ref="AYL41:AYN41"/>
    <mergeCell ref="AYO41:AYQ41"/>
    <mergeCell ref="AYR41:AYT41"/>
    <mergeCell ref="AXZ42:AYB42"/>
    <mergeCell ref="AYC42:AYE42"/>
    <mergeCell ref="AYF42:AYH42"/>
    <mergeCell ref="AYI42:AYK42"/>
    <mergeCell ref="AYL42:AYN42"/>
    <mergeCell ref="AYO42:AYQ42"/>
    <mergeCell ref="AYR42:AYT42"/>
    <mergeCell ref="AXZ36:AYB36"/>
    <mergeCell ref="AYC36:AYE36"/>
    <mergeCell ref="AYF36:AYH36"/>
    <mergeCell ref="AYI36:AYK36"/>
    <mergeCell ref="AYL36:AYN36"/>
    <mergeCell ref="AYO36:AYQ36"/>
    <mergeCell ref="AYR36:AYT36"/>
    <mergeCell ref="AYO28:AYQ28"/>
    <mergeCell ref="AYR28:AYT28"/>
    <mergeCell ref="AXZ39:AYB39"/>
    <mergeCell ref="AYC39:AYE39"/>
    <mergeCell ref="AYF39:AYH39"/>
    <mergeCell ref="AYI39:AYK39"/>
    <mergeCell ref="AYL39:AYN39"/>
    <mergeCell ref="AYO39:AYQ39"/>
    <mergeCell ref="AYR39:AYT39"/>
    <mergeCell ref="AXZ28:AYB28"/>
    <mergeCell ref="AYC28:AYE28"/>
    <mergeCell ref="AYF28:AYH28"/>
    <mergeCell ref="AYI28:AYK28"/>
    <mergeCell ref="AYL28:AYN28"/>
    <mergeCell ref="AXZ38:AYB38"/>
    <mergeCell ref="AYC38:AYE38"/>
    <mergeCell ref="AYF38:AYH38"/>
    <mergeCell ref="AYI38:AYK38"/>
    <mergeCell ref="AYL38:AYN38"/>
    <mergeCell ref="AXZ31:AYB31"/>
    <mergeCell ref="AYC31:AYE31"/>
    <mergeCell ref="AYF31:AYH31"/>
    <mergeCell ref="AYI31:AYK31"/>
    <mergeCell ref="AYL31:AYN31"/>
    <mergeCell ref="AYO31:AYQ31"/>
    <mergeCell ref="AYR31:AYT31"/>
    <mergeCell ref="AXZ32:AYB32"/>
    <mergeCell ref="AYC32:AYE32"/>
    <mergeCell ref="AYF32:AYH32"/>
    <mergeCell ref="AYI32:AYK32"/>
    <mergeCell ref="AYL32:AYN32"/>
    <mergeCell ref="AYO32:AYQ32"/>
    <mergeCell ref="AYR32:AYT32"/>
    <mergeCell ref="AXZ33:AYB33"/>
    <mergeCell ref="AYC33:AYE33"/>
    <mergeCell ref="AYF33:AYH33"/>
    <mergeCell ref="AYI33:AYK33"/>
    <mergeCell ref="AYL33:AYN33"/>
    <mergeCell ref="AYO33:AYQ33"/>
    <mergeCell ref="AYR33:AYT33"/>
    <mergeCell ref="AXZ34:AYB34"/>
    <mergeCell ref="AYC34:AYE34"/>
    <mergeCell ref="AYF34:AYH34"/>
    <mergeCell ref="AYI34:AYK34"/>
    <mergeCell ref="AYL34:AYN34"/>
    <mergeCell ref="AYO34:AYQ34"/>
    <mergeCell ref="AYR34:AYT34"/>
    <mergeCell ref="AXZ35:AYB35"/>
    <mergeCell ref="AYC35:AYE35"/>
    <mergeCell ref="AYF35:AYH35"/>
    <mergeCell ref="AYI35:AYK35"/>
    <mergeCell ref="AYL35:AYN35"/>
    <mergeCell ref="AYO35:AYQ35"/>
    <mergeCell ref="AYR35:AYT35"/>
    <mergeCell ref="AXZ16:AYB16"/>
    <mergeCell ref="AYC16:AYE16"/>
    <mergeCell ref="AYF16:AYH16"/>
    <mergeCell ref="AYI16:AYK16"/>
    <mergeCell ref="AYL16:AYN16"/>
    <mergeCell ref="AYO16:AYQ16"/>
    <mergeCell ref="AYR16:AYT16"/>
    <mergeCell ref="AXZ29:AYB29"/>
    <mergeCell ref="AYC29:AYE29"/>
    <mergeCell ref="AYF29:AYH29"/>
    <mergeCell ref="AYI29:AYK29"/>
    <mergeCell ref="AYL29:AYN29"/>
    <mergeCell ref="AYO29:AYQ29"/>
    <mergeCell ref="AYR29:AYT29"/>
    <mergeCell ref="AXZ30:AYB30"/>
    <mergeCell ref="AYC30:AYE30"/>
    <mergeCell ref="AYF30:AYH30"/>
    <mergeCell ref="AYI30:AYK30"/>
    <mergeCell ref="AYL30:AYN30"/>
    <mergeCell ref="AYO30:AYQ30"/>
    <mergeCell ref="AYR30:AYT30"/>
    <mergeCell ref="AXZ19:AYB19"/>
    <mergeCell ref="AYC19:AYE19"/>
    <mergeCell ref="AYF19:AYH19"/>
    <mergeCell ref="AYI19:AYK19"/>
    <mergeCell ref="AYL19:AYN19"/>
    <mergeCell ref="AYO19:AYQ19"/>
    <mergeCell ref="AYR19:AYT19"/>
    <mergeCell ref="AXZ20:AYB20"/>
    <mergeCell ref="AYC20:AYE20"/>
    <mergeCell ref="AYF20:AYH20"/>
    <mergeCell ref="AYI20:AYK20"/>
    <mergeCell ref="AYL20:AYN20"/>
    <mergeCell ref="AYO20:AYQ20"/>
    <mergeCell ref="AYR20:AYT20"/>
    <mergeCell ref="AXZ21:AYB21"/>
    <mergeCell ref="AYC21:AYE21"/>
    <mergeCell ref="AYF21:AYH21"/>
    <mergeCell ref="AYI21:AYK21"/>
    <mergeCell ref="AYL21:AYN21"/>
    <mergeCell ref="AYO21:AYQ21"/>
    <mergeCell ref="AYR21:AYT21"/>
    <mergeCell ref="AXZ22:AYB22"/>
    <mergeCell ref="AYC22:AYE22"/>
    <mergeCell ref="AYF22:AYH22"/>
    <mergeCell ref="AYI22:AYK22"/>
    <mergeCell ref="AYL22:AYN22"/>
    <mergeCell ref="AYO22:AYQ22"/>
    <mergeCell ref="AYR22:AYT22"/>
    <mergeCell ref="AYO18:AYQ18"/>
    <mergeCell ref="AXZ18:AYB18"/>
    <mergeCell ref="AYC18:AYE18"/>
    <mergeCell ref="AYF18:AYH18"/>
    <mergeCell ref="AYI18:AYK18"/>
    <mergeCell ref="AYL18:AYN18"/>
    <mergeCell ref="AYR18:AYT18"/>
    <mergeCell ref="AYR11:AYT11"/>
    <mergeCell ref="AXZ12:AYB12"/>
    <mergeCell ref="AYC12:AYE12"/>
    <mergeCell ref="AYF12:AYH12"/>
    <mergeCell ref="AYI12:AYK12"/>
    <mergeCell ref="AYL12:AYN12"/>
    <mergeCell ref="AYO12:AYQ12"/>
    <mergeCell ref="AYR12:AYT12"/>
    <mergeCell ref="AXZ13:AYB13"/>
    <mergeCell ref="AYC13:AYE13"/>
    <mergeCell ref="AYF13:AYH13"/>
    <mergeCell ref="AYI13:AYK13"/>
    <mergeCell ref="AYL13:AYN13"/>
    <mergeCell ref="AYO13:AYQ13"/>
    <mergeCell ref="AYR13:AYT13"/>
    <mergeCell ref="AXZ14:AYB14"/>
    <mergeCell ref="AYC14:AYE14"/>
    <mergeCell ref="AYF14:AYH14"/>
    <mergeCell ref="AYI14:AYK14"/>
    <mergeCell ref="AYL14:AYN14"/>
    <mergeCell ref="AYO14:AYQ14"/>
    <mergeCell ref="AYR14:AYT14"/>
    <mergeCell ref="AXZ15:AYB15"/>
    <mergeCell ref="AYC15:AYE15"/>
    <mergeCell ref="AYF15:AYH15"/>
    <mergeCell ref="AYI15:AYK15"/>
    <mergeCell ref="AYL15:AYN15"/>
    <mergeCell ref="AYO15:AYQ15"/>
    <mergeCell ref="AYR15:AYT15"/>
    <mergeCell ref="AXZ2:AYB2"/>
    <mergeCell ref="AYC2:AYE2"/>
    <mergeCell ref="AYF2:AYH2"/>
    <mergeCell ref="AYI2:AYK2"/>
    <mergeCell ref="AYL2:AYN2"/>
    <mergeCell ref="AYO2:AYQ2"/>
    <mergeCell ref="AYR2:AYT2"/>
    <mergeCell ref="AXZ3:AYB3"/>
    <mergeCell ref="AYC3:AYE3"/>
    <mergeCell ref="AYF3:AYH3"/>
    <mergeCell ref="AYI3:AYK3"/>
    <mergeCell ref="AYL3:AYN3"/>
    <mergeCell ref="AYO3:AYQ3"/>
    <mergeCell ref="AYR3:AYT3"/>
    <mergeCell ref="AXZ5:AYB5"/>
    <mergeCell ref="AYC5:AYE5"/>
    <mergeCell ref="AYF5:AYH5"/>
    <mergeCell ref="AYI5:AYK5"/>
    <mergeCell ref="AYL5:AYN5"/>
    <mergeCell ref="AYO5:AYQ5"/>
    <mergeCell ref="AYR5:AYT5"/>
    <mergeCell ref="AXZ6:AYB6"/>
    <mergeCell ref="AYC6:AYE6"/>
    <mergeCell ref="AYF6:AYH6"/>
    <mergeCell ref="AYI6:AYK6"/>
    <mergeCell ref="AYL6:AYN6"/>
    <mergeCell ref="AYO6:AYQ6"/>
    <mergeCell ref="AYR6:AYT6"/>
    <mergeCell ref="AXZ7:AYB7"/>
    <mergeCell ref="AYC7:AYE7"/>
    <mergeCell ref="AYF7:AYH7"/>
    <mergeCell ref="AYI7:AYK7"/>
    <mergeCell ref="AYL7:AYN7"/>
    <mergeCell ref="AYO7:AYQ7"/>
    <mergeCell ref="AYR7:AYT7"/>
    <mergeCell ref="AXZ8:AYB8"/>
    <mergeCell ref="AYC8:AYE8"/>
    <mergeCell ref="AYF8:AYH8"/>
    <mergeCell ref="AYI8:AYK8"/>
    <mergeCell ref="AYL8:AYN8"/>
    <mergeCell ref="AYO8:AYQ8"/>
    <mergeCell ref="AYR8:AYT8"/>
    <mergeCell ref="AXZ9:AYB9"/>
    <mergeCell ref="AYC9:AYE9"/>
    <mergeCell ref="AYF9:AYH9"/>
    <mergeCell ref="AYI9:AYK9"/>
    <mergeCell ref="AYL9:AYN9"/>
    <mergeCell ref="AYO9:AYQ9"/>
    <mergeCell ref="AYR9:AYT9"/>
    <mergeCell ref="AXZ10:AYB10"/>
    <mergeCell ref="AYC10:AYE10"/>
    <mergeCell ref="AYF10:AYH10"/>
    <mergeCell ref="AYI10:AYK10"/>
    <mergeCell ref="AYL10:AYN10"/>
    <mergeCell ref="AYO10:AYQ10"/>
    <mergeCell ref="AYR10:AYT10"/>
    <mergeCell ref="AXZ11:AYB11"/>
    <mergeCell ref="AYC11:AYE11"/>
    <mergeCell ref="AYF11:AYH11"/>
    <mergeCell ref="AYI11:AYK11"/>
    <mergeCell ref="AYL11:AYN11"/>
    <mergeCell ref="AYO11:AYQ11"/>
    <mergeCell ref="AXE61:AXG61"/>
    <mergeCell ref="AXH61:AXJ61"/>
    <mergeCell ref="AXK61:AXM61"/>
    <mergeCell ref="AXN61:AXP61"/>
    <mergeCell ref="AXQ61:AXS61"/>
    <mergeCell ref="AXT61:AXV61"/>
    <mergeCell ref="AXW61:AXY61"/>
    <mergeCell ref="AXE54:AXG54"/>
    <mergeCell ref="AXH54:AXJ54"/>
    <mergeCell ref="AXK54:AXM54"/>
    <mergeCell ref="AXN54:AXP54"/>
    <mergeCell ref="AXQ54:AXS54"/>
    <mergeCell ref="AXT54:AXV54"/>
    <mergeCell ref="AXW54:AXY54"/>
    <mergeCell ref="AXE55:AXG55"/>
    <mergeCell ref="AXH55:AXJ55"/>
    <mergeCell ref="AXK55:AXM55"/>
    <mergeCell ref="AXN55:AXP55"/>
    <mergeCell ref="AXQ55:AXS55"/>
    <mergeCell ref="AXT55:AXV55"/>
    <mergeCell ref="AXW55:AXY55"/>
    <mergeCell ref="AXE56:AXG56"/>
    <mergeCell ref="AXH56:AXJ56"/>
    <mergeCell ref="AXK56:AXM56"/>
    <mergeCell ref="AXN56:AXP56"/>
    <mergeCell ref="AXQ56:AXS56"/>
    <mergeCell ref="AXT56:AXV56"/>
    <mergeCell ref="AXW56:AXY56"/>
    <mergeCell ref="AXE57:AXG57"/>
    <mergeCell ref="AXH57:AXJ57"/>
    <mergeCell ref="AXK57:AXM57"/>
    <mergeCell ref="AXN57:AXP57"/>
    <mergeCell ref="AXQ57:AXS57"/>
    <mergeCell ref="AXT57:AXV57"/>
    <mergeCell ref="AXW57:AXY57"/>
    <mergeCell ref="AXE58:AXG58"/>
    <mergeCell ref="AXH58:AXJ58"/>
    <mergeCell ref="AXK58:AXM58"/>
    <mergeCell ref="AXN58:AXP58"/>
    <mergeCell ref="AXQ58:AXS58"/>
    <mergeCell ref="AXT58:AXV58"/>
    <mergeCell ref="AXW58:AXY58"/>
    <mergeCell ref="AXE59:AXG59"/>
    <mergeCell ref="AXH59:AXJ59"/>
    <mergeCell ref="AXK59:AXM59"/>
    <mergeCell ref="AXN59:AXP59"/>
    <mergeCell ref="AXQ59:AXS59"/>
    <mergeCell ref="AXT59:AXV59"/>
    <mergeCell ref="AXW59:AXY59"/>
    <mergeCell ref="AXE60:AXG60"/>
    <mergeCell ref="AXH60:AXJ60"/>
    <mergeCell ref="AXK60:AXM60"/>
    <mergeCell ref="AXN60:AXP60"/>
    <mergeCell ref="AXQ60:AXS60"/>
    <mergeCell ref="AXT60:AXV60"/>
    <mergeCell ref="AXW60:AXY60"/>
    <mergeCell ref="AXE49:AXG49"/>
    <mergeCell ref="AXH49:AXJ49"/>
    <mergeCell ref="AXK49:AXM49"/>
    <mergeCell ref="AXN49:AXP49"/>
    <mergeCell ref="AXQ49:AXS49"/>
    <mergeCell ref="AXT49:AXV49"/>
    <mergeCell ref="AXW49:AXY49"/>
    <mergeCell ref="AXE50:AXG50"/>
    <mergeCell ref="AXH50:AXJ50"/>
    <mergeCell ref="AXK50:AXM50"/>
    <mergeCell ref="AXN50:AXP50"/>
    <mergeCell ref="AXQ50:AXS50"/>
    <mergeCell ref="AXT50:AXV50"/>
    <mergeCell ref="AXW50:AXY50"/>
    <mergeCell ref="AXE51:AXG51"/>
    <mergeCell ref="AXH51:AXJ51"/>
    <mergeCell ref="AXK51:AXM51"/>
    <mergeCell ref="AXN51:AXP51"/>
    <mergeCell ref="AXQ51:AXS51"/>
    <mergeCell ref="AXT51:AXV51"/>
    <mergeCell ref="AXW51:AXY51"/>
    <mergeCell ref="AXE52:AXG52"/>
    <mergeCell ref="AXH52:AXJ52"/>
    <mergeCell ref="AXK52:AXM52"/>
    <mergeCell ref="AXN52:AXP52"/>
    <mergeCell ref="AXQ52:AXS52"/>
    <mergeCell ref="AXT52:AXV52"/>
    <mergeCell ref="AXW52:AXY52"/>
    <mergeCell ref="AXE44:AXG44"/>
    <mergeCell ref="AXH44:AXJ44"/>
    <mergeCell ref="AXK44:AXM44"/>
    <mergeCell ref="AXN44:AXP44"/>
    <mergeCell ref="AXQ44:AXS44"/>
    <mergeCell ref="AXT44:AXV44"/>
    <mergeCell ref="AXW44:AXY44"/>
    <mergeCell ref="AXE45:AXG45"/>
    <mergeCell ref="AXH45:AXJ45"/>
    <mergeCell ref="AXK45:AXM45"/>
    <mergeCell ref="AXN45:AXP45"/>
    <mergeCell ref="AXQ45:AXS45"/>
    <mergeCell ref="AXT45:AXV45"/>
    <mergeCell ref="AXW45:AXY45"/>
    <mergeCell ref="AXE46:AXG46"/>
    <mergeCell ref="AXH46:AXJ46"/>
    <mergeCell ref="AXK46:AXM46"/>
    <mergeCell ref="AXN46:AXP46"/>
    <mergeCell ref="AXQ46:AXS46"/>
    <mergeCell ref="AXT46:AXV46"/>
    <mergeCell ref="AXW46:AXY46"/>
    <mergeCell ref="AXE47:AXG47"/>
    <mergeCell ref="AXH47:AXJ47"/>
    <mergeCell ref="AXK47:AXM47"/>
    <mergeCell ref="AXN47:AXP47"/>
    <mergeCell ref="AXQ47:AXS47"/>
    <mergeCell ref="AXT47:AXV47"/>
    <mergeCell ref="AXW47:AXY47"/>
    <mergeCell ref="AXE48:AXG48"/>
    <mergeCell ref="AXH48:AXJ48"/>
    <mergeCell ref="AXK48:AXM48"/>
    <mergeCell ref="AXN48:AXP48"/>
    <mergeCell ref="AXQ48:AXS48"/>
    <mergeCell ref="AXT48:AXV48"/>
    <mergeCell ref="AXW48:AXY48"/>
    <mergeCell ref="AXE40:AXG40"/>
    <mergeCell ref="AXH40:AXJ40"/>
    <mergeCell ref="AXK40:AXM40"/>
    <mergeCell ref="AXN40:AXP40"/>
    <mergeCell ref="AXQ40:AXS40"/>
    <mergeCell ref="AXT40:AXV40"/>
    <mergeCell ref="AXW40:AXY40"/>
    <mergeCell ref="AXE41:AXG41"/>
    <mergeCell ref="AXH41:AXJ41"/>
    <mergeCell ref="AXK41:AXM41"/>
    <mergeCell ref="AXN41:AXP41"/>
    <mergeCell ref="AXQ41:AXS41"/>
    <mergeCell ref="AXT41:AXV41"/>
    <mergeCell ref="AXW41:AXY41"/>
    <mergeCell ref="AXE42:AXG42"/>
    <mergeCell ref="AXH42:AXJ42"/>
    <mergeCell ref="AXK42:AXM42"/>
    <mergeCell ref="AXN42:AXP42"/>
    <mergeCell ref="AXQ42:AXS42"/>
    <mergeCell ref="AXT42:AXV42"/>
    <mergeCell ref="AXW42:AXY42"/>
    <mergeCell ref="AXE43:AXG43"/>
    <mergeCell ref="AXH43:AXJ43"/>
    <mergeCell ref="AXK43:AXM43"/>
    <mergeCell ref="AXN43:AXP43"/>
    <mergeCell ref="AXQ43:AXS43"/>
    <mergeCell ref="AXT43:AXV43"/>
    <mergeCell ref="AXW43:AXY43"/>
    <mergeCell ref="AXW38:AXY38"/>
    <mergeCell ref="AXE38:AXG38"/>
    <mergeCell ref="AXH38:AXJ38"/>
    <mergeCell ref="AXK38:AXM38"/>
    <mergeCell ref="AXN38:AXP38"/>
    <mergeCell ref="AXQ38:AXS38"/>
    <mergeCell ref="AXT38:AXV38"/>
    <mergeCell ref="AXT39:AXV39"/>
    <mergeCell ref="AXW39:AXY39"/>
    <mergeCell ref="AXH36:AXJ36"/>
    <mergeCell ref="AXK36:AXM36"/>
    <mergeCell ref="AXN36:AXP36"/>
    <mergeCell ref="AXQ36:AXS36"/>
    <mergeCell ref="AXT36:AXV36"/>
    <mergeCell ref="AXW36:AXY36"/>
    <mergeCell ref="AXK28:AXM28"/>
    <mergeCell ref="AXN28:AXP28"/>
    <mergeCell ref="AXQ28:AXS28"/>
    <mergeCell ref="AXT28:AXV28"/>
    <mergeCell ref="AXW28:AXY28"/>
    <mergeCell ref="AVI28:AVK28"/>
    <mergeCell ref="AVL28:AVN28"/>
    <mergeCell ref="AVO28:AVQ28"/>
    <mergeCell ref="AVR28:AVT28"/>
    <mergeCell ref="AVU28:AVW28"/>
    <mergeCell ref="AVX28:AVZ28"/>
    <mergeCell ref="AWA28:AWC28"/>
    <mergeCell ref="AWD28:AWF28"/>
    <mergeCell ref="AWG28:AWI28"/>
    <mergeCell ref="AWJ28:AWL28"/>
    <mergeCell ref="AWM28:AWO28"/>
    <mergeCell ref="AWP28:AWR28"/>
    <mergeCell ref="AWS28:AWU28"/>
    <mergeCell ref="AWV28:AWX28"/>
    <mergeCell ref="AWY28:AXA28"/>
    <mergeCell ref="AXB28:AXD28"/>
    <mergeCell ref="AXE28:AXG28"/>
    <mergeCell ref="AXH28:AXJ28"/>
    <mergeCell ref="AXE34:AXG34"/>
    <mergeCell ref="AXH34:AXJ34"/>
    <mergeCell ref="AXK34:AXM34"/>
    <mergeCell ref="AXN34:AXP34"/>
    <mergeCell ref="AXQ34:AXS34"/>
    <mergeCell ref="AXT34:AXV34"/>
    <mergeCell ref="AWJ36:AWL36"/>
    <mergeCell ref="AWM36:AWO36"/>
    <mergeCell ref="AWP36:AWR36"/>
    <mergeCell ref="AWS36:AWU36"/>
    <mergeCell ref="AWV36:AWX36"/>
    <mergeCell ref="AWY36:AXA36"/>
    <mergeCell ref="AXB36:AXD36"/>
    <mergeCell ref="AXW34:AXY34"/>
    <mergeCell ref="AXW35:AXY35"/>
    <mergeCell ref="AXE32:AXG32"/>
    <mergeCell ref="AXH32:AXJ32"/>
    <mergeCell ref="AXK32:AXM32"/>
    <mergeCell ref="AXN32:AXP32"/>
    <mergeCell ref="AXQ32:AXS32"/>
    <mergeCell ref="AXT32:AXV32"/>
    <mergeCell ref="AXW32:AXY32"/>
    <mergeCell ref="AXE33:AXG33"/>
    <mergeCell ref="AXH33:AXJ33"/>
    <mergeCell ref="AXK33:AXM33"/>
    <mergeCell ref="AXN33:AXP33"/>
    <mergeCell ref="AWJ35:AWL35"/>
    <mergeCell ref="AWM35:AWO35"/>
    <mergeCell ref="AWP35:AWR35"/>
    <mergeCell ref="AWS35:AWU35"/>
    <mergeCell ref="AWV35:AWX35"/>
    <mergeCell ref="AWY35:AXA35"/>
    <mergeCell ref="AXB35:AXD35"/>
    <mergeCell ref="AVO35:AVQ35"/>
    <mergeCell ref="AVR35:AVT35"/>
    <mergeCell ref="AUT35:AUV35"/>
    <mergeCell ref="AUW35:AUY35"/>
    <mergeCell ref="AUZ35:AVB35"/>
    <mergeCell ref="AVC35:AVE35"/>
    <mergeCell ref="AVF35:AVH35"/>
    <mergeCell ref="AVI35:AVK35"/>
    <mergeCell ref="AVL35:AVN35"/>
    <mergeCell ref="AUT39:AUV39"/>
    <mergeCell ref="AUW39:AUY39"/>
    <mergeCell ref="AXE21:AXG21"/>
    <mergeCell ref="AXH21:AXJ21"/>
    <mergeCell ref="AXK21:AXM21"/>
    <mergeCell ref="AXN21:AXP21"/>
    <mergeCell ref="AXQ21:AXS21"/>
    <mergeCell ref="AXT21:AXV21"/>
    <mergeCell ref="AUZ39:AVB39"/>
    <mergeCell ref="AVC39:AVE39"/>
    <mergeCell ref="AVF39:AVH39"/>
    <mergeCell ref="AVI39:AVK39"/>
    <mergeCell ref="AVL39:AVN39"/>
    <mergeCell ref="AWJ31:AWL31"/>
    <mergeCell ref="AWM31:AWO31"/>
    <mergeCell ref="AWP31:AWR31"/>
    <mergeCell ref="AWS31:AWU31"/>
    <mergeCell ref="AWV31:AWX31"/>
    <mergeCell ref="AWY31:AXA31"/>
    <mergeCell ref="AXB31:AXD31"/>
    <mergeCell ref="AWJ32:AWL32"/>
    <mergeCell ref="AWM32:AWO32"/>
    <mergeCell ref="AWP32:AWR32"/>
    <mergeCell ref="AWS32:AWU32"/>
    <mergeCell ref="AWV32:AWX32"/>
    <mergeCell ref="AWY32:AXA32"/>
    <mergeCell ref="AXB32:AXD32"/>
    <mergeCell ref="AWJ33:AWL33"/>
    <mergeCell ref="AWM33:AWO33"/>
    <mergeCell ref="AWP33:AWR33"/>
    <mergeCell ref="AWS33:AWU33"/>
    <mergeCell ref="AWV33:AWX33"/>
    <mergeCell ref="AWY33:AXA33"/>
    <mergeCell ref="AXB33:AXD33"/>
    <mergeCell ref="AWJ34:AWL34"/>
    <mergeCell ref="AWM34:AWO34"/>
    <mergeCell ref="AWP34:AWR34"/>
    <mergeCell ref="AWS34:AWU34"/>
    <mergeCell ref="AWV34:AWX34"/>
    <mergeCell ref="AXE35:AXG35"/>
    <mergeCell ref="AXH35:AXJ35"/>
    <mergeCell ref="AXK35:AXM35"/>
    <mergeCell ref="AXN35:AXP35"/>
    <mergeCell ref="AXQ35:AXS35"/>
    <mergeCell ref="AXT35:AXV35"/>
    <mergeCell ref="AXE39:AXG39"/>
    <mergeCell ref="AXH39:AXJ39"/>
    <mergeCell ref="AXK39:AXM39"/>
    <mergeCell ref="AXN39:AXP39"/>
    <mergeCell ref="AXQ39:AXS39"/>
    <mergeCell ref="AXE22:AXG22"/>
    <mergeCell ref="AXH22:AXJ22"/>
    <mergeCell ref="AXK22:AXM22"/>
    <mergeCell ref="AXN22:AXP22"/>
    <mergeCell ref="AXQ22:AXS22"/>
    <mergeCell ref="AXT22:AXV22"/>
    <mergeCell ref="AXE36:AXG36"/>
    <mergeCell ref="AXT19:AXV19"/>
    <mergeCell ref="AXW19:AXY19"/>
    <mergeCell ref="AXE20:AXG20"/>
    <mergeCell ref="AXH20:AXJ20"/>
    <mergeCell ref="AXK20:AXM20"/>
    <mergeCell ref="AXN20:AXP20"/>
    <mergeCell ref="AXQ20:AXS20"/>
    <mergeCell ref="AXT20:AXV20"/>
    <mergeCell ref="AXW20:AXY20"/>
    <mergeCell ref="AXE29:AXG29"/>
    <mergeCell ref="AXH29:AXJ29"/>
    <mergeCell ref="AXK29:AXM29"/>
    <mergeCell ref="AXN29:AXP29"/>
    <mergeCell ref="AXQ29:AXS29"/>
    <mergeCell ref="AXT29:AXV29"/>
    <mergeCell ref="AXW29:AXY29"/>
    <mergeCell ref="AXE30:AXG30"/>
    <mergeCell ref="AXH30:AXJ30"/>
    <mergeCell ref="AXK30:AXM30"/>
    <mergeCell ref="AXN30:AXP30"/>
    <mergeCell ref="AXQ30:AXS30"/>
    <mergeCell ref="AXT30:AXV30"/>
    <mergeCell ref="AXW30:AXY30"/>
    <mergeCell ref="AXE31:AXG31"/>
    <mergeCell ref="AXH31:AXJ31"/>
    <mergeCell ref="AXK31:AXM31"/>
    <mergeCell ref="AXN31:AXP31"/>
    <mergeCell ref="AXQ31:AXS31"/>
    <mergeCell ref="AXT31:AXV31"/>
    <mergeCell ref="AXW31:AXY31"/>
    <mergeCell ref="AUT34:AUV34"/>
    <mergeCell ref="AUW34:AUY34"/>
    <mergeCell ref="AUZ34:AVB34"/>
    <mergeCell ref="AVC34:AVE34"/>
    <mergeCell ref="AVF34:AVH34"/>
    <mergeCell ref="AVI34:AVK34"/>
    <mergeCell ref="AVL34:AVN34"/>
    <mergeCell ref="AXW21:AXY21"/>
    <mergeCell ref="AXW22:AXY22"/>
    <mergeCell ref="AXQ33:AXS33"/>
    <mergeCell ref="AXT33:AXV33"/>
    <mergeCell ref="AXW33:AXY33"/>
    <mergeCell ref="AWY34:AXA34"/>
    <mergeCell ref="AXB34:AXD34"/>
    <mergeCell ref="AVI32:AVK32"/>
    <mergeCell ref="AVL32:AVN32"/>
    <mergeCell ref="AUT33:AUV33"/>
    <mergeCell ref="AUW33:AUY33"/>
    <mergeCell ref="AUZ33:AVB33"/>
    <mergeCell ref="AVC33:AVE33"/>
    <mergeCell ref="AVF33:AVH33"/>
    <mergeCell ref="AVI33:AVK33"/>
    <mergeCell ref="AVL33:AVN33"/>
    <mergeCell ref="AVC22:AVE22"/>
    <mergeCell ref="AUT22:AUV22"/>
    <mergeCell ref="AUW22:AUY22"/>
    <mergeCell ref="AUZ22:AVB22"/>
    <mergeCell ref="AVO34:AVQ34"/>
    <mergeCell ref="AVR34:AVT34"/>
    <mergeCell ref="AVU34:AVW34"/>
    <mergeCell ref="AVX34:AVZ34"/>
    <mergeCell ref="AWA34:AWC34"/>
    <mergeCell ref="AWD34:AWF34"/>
    <mergeCell ref="AWG34:AWI34"/>
    <mergeCell ref="AXE16:AXG16"/>
    <mergeCell ref="AXH16:AXJ16"/>
    <mergeCell ref="AXK16:AXM16"/>
    <mergeCell ref="AXN16:AXP16"/>
    <mergeCell ref="AXQ16:AXS16"/>
    <mergeCell ref="AXT16:AXV16"/>
    <mergeCell ref="AXW16:AXY16"/>
    <mergeCell ref="AXK19:AXM19"/>
    <mergeCell ref="AXN19:AXP19"/>
    <mergeCell ref="AXQ19:AXS19"/>
    <mergeCell ref="AXE15:AXG15"/>
    <mergeCell ref="AXH15:AXJ15"/>
    <mergeCell ref="AXK15:AXM15"/>
    <mergeCell ref="AXN15:AXP15"/>
    <mergeCell ref="AXQ15:AXS15"/>
    <mergeCell ref="AXT15:AXV15"/>
    <mergeCell ref="AXW15:AXY15"/>
    <mergeCell ref="AXH10:AXJ10"/>
    <mergeCell ref="AXK10:AXM10"/>
    <mergeCell ref="AXN10:AXP10"/>
    <mergeCell ref="AXQ10:AXS10"/>
    <mergeCell ref="AXT10:AXV10"/>
    <mergeCell ref="AXW10:AXY10"/>
    <mergeCell ref="AXE11:AXG11"/>
    <mergeCell ref="AXH11:AXJ11"/>
    <mergeCell ref="AXK11:AXM11"/>
    <mergeCell ref="AXN11:AXP11"/>
    <mergeCell ref="AXQ11:AXS11"/>
    <mergeCell ref="AXT11:AXV11"/>
    <mergeCell ref="AXW11:AXY11"/>
    <mergeCell ref="AXE12:AXG12"/>
    <mergeCell ref="AXH12:AXJ12"/>
    <mergeCell ref="AXK12:AXM12"/>
    <mergeCell ref="AXN12:AXP12"/>
    <mergeCell ref="AXQ12:AXS12"/>
    <mergeCell ref="AXT12:AXV12"/>
    <mergeCell ref="AXW12:AXY12"/>
    <mergeCell ref="AXE13:AXG13"/>
    <mergeCell ref="AXH13:AXJ13"/>
    <mergeCell ref="AXK13:AXM13"/>
    <mergeCell ref="AXN13:AXP13"/>
    <mergeCell ref="AXQ13:AXS13"/>
    <mergeCell ref="AXT13:AXV13"/>
    <mergeCell ref="AXW13:AXY13"/>
    <mergeCell ref="AXE14:AXG14"/>
    <mergeCell ref="AXH14:AXJ14"/>
    <mergeCell ref="AXK14:AXM14"/>
    <mergeCell ref="AXN14:AXP14"/>
    <mergeCell ref="AXQ14:AXS14"/>
    <mergeCell ref="AXT14:AXV14"/>
    <mergeCell ref="AXW14:AXY14"/>
    <mergeCell ref="AWJ60:AWL60"/>
    <mergeCell ref="AWM60:AWO60"/>
    <mergeCell ref="AWP60:AWR60"/>
    <mergeCell ref="AWS60:AWU60"/>
    <mergeCell ref="AWV60:AWX60"/>
    <mergeCell ref="AWY60:AXA60"/>
    <mergeCell ref="AXB60:AXD60"/>
    <mergeCell ref="AWJ61:AWL61"/>
    <mergeCell ref="AWM61:AWO61"/>
    <mergeCell ref="AWP61:AWR61"/>
    <mergeCell ref="AWS61:AWU61"/>
    <mergeCell ref="AWV61:AWX61"/>
    <mergeCell ref="AWY61:AXA61"/>
    <mergeCell ref="AXB61:AXD61"/>
    <mergeCell ref="AXE2:AXG2"/>
    <mergeCell ref="AXH2:AXJ2"/>
    <mergeCell ref="AXK2:AXM2"/>
    <mergeCell ref="AXN2:AXP2"/>
    <mergeCell ref="AXQ2:AXS2"/>
    <mergeCell ref="AXT2:AXV2"/>
    <mergeCell ref="AXW2:AXY2"/>
    <mergeCell ref="AXE3:AXG3"/>
    <mergeCell ref="AXH3:AXJ3"/>
    <mergeCell ref="AXK3:AXM3"/>
    <mergeCell ref="AXN3:AXP3"/>
    <mergeCell ref="AXQ3:AXS3"/>
    <mergeCell ref="AXT3:AXV3"/>
    <mergeCell ref="AXW3:AXY3"/>
    <mergeCell ref="AXE5:AXG5"/>
    <mergeCell ref="AXH5:AXJ5"/>
    <mergeCell ref="AXK5:AXM5"/>
    <mergeCell ref="AXN5:AXP5"/>
    <mergeCell ref="AXQ5:AXS5"/>
    <mergeCell ref="AXT5:AXV5"/>
    <mergeCell ref="AXW5:AXY5"/>
    <mergeCell ref="AXE6:AXG6"/>
    <mergeCell ref="AXH6:AXJ6"/>
    <mergeCell ref="AXK6:AXM6"/>
    <mergeCell ref="AXN6:AXP6"/>
    <mergeCell ref="AXQ6:AXS6"/>
    <mergeCell ref="AXT6:AXV6"/>
    <mergeCell ref="AXW6:AXY6"/>
    <mergeCell ref="AXE7:AXG7"/>
    <mergeCell ref="AXH7:AXJ7"/>
    <mergeCell ref="AXK7:AXM7"/>
    <mergeCell ref="AXN7:AXP7"/>
    <mergeCell ref="AXQ7:AXS7"/>
    <mergeCell ref="AXT7:AXV7"/>
    <mergeCell ref="AXW7:AXY7"/>
    <mergeCell ref="AXE8:AXG8"/>
    <mergeCell ref="AXH8:AXJ8"/>
    <mergeCell ref="AXK8:AXM8"/>
    <mergeCell ref="AXN8:AXP8"/>
    <mergeCell ref="AXQ8:AXS8"/>
    <mergeCell ref="AXT8:AXV8"/>
    <mergeCell ref="AXW8:AXY8"/>
    <mergeCell ref="AXE9:AXG9"/>
    <mergeCell ref="AXH9:AXJ9"/>
    <mergeCell ref="AXK9:AXM9"/>
    <mergeCell ref="AXN9:AXP9"/>
    <mergeCell ref="AXQ9:AXS9"/>
    <mergeCell ref="AXT9:AXV9"/>
    <mergeCell ref="AXW9:AXY9"/>
    <mergeCell ref="AXE10:AXG10"/>
    <mergeCell ref="AWJ55:AWL55"/>
    <mergeCell ref="AWM55:AWO55"/>
    <mergeCell ref="AWP55:AWR55"/>
    <mergeCell ref="AWS55:AWU55"/>
    <mergeCell ref="AWV55:AWX55"/>
    <mergeCell ref="AWY55:AXA55"/>
    <mergeCell ref="AXB55:AXD55"/>
    <mergeCell ref="AWJ56:AWL56"/>
    <mergeCell ref="AWM56:AWO56"/>
    <mergeCell ref="AWP56:AWR56"/>
    <mergeCell ref="AWS56:AWU56"/>
    <mergeCell ref="AWV56:AWX56"/>
    <mergeCell ref="AWY56:AXA56"/>
    <mergeCell ref="AXB56:AXD56"/>
    <mergeCell ref="AWJ57:AWL57"/>
    <mergeCell ref="AWM57:AWO57"/>
    <mergeCell ref="AWP57:AWR57"/>
    <mergeCell ref="AWS57:AWU57"/>
    <mergeCell ref="AWV57:AWX57"/>
    <mergeCell ref="AWY57:AXA57"/>
    <mergeCell ref="AXB57:AXD57"/>
    <mergeCell ref="AWJ58:AWL58"/>
    <mergeCell ref="AWM58:AWO58"/>
    <mergeCell ref="AWP58:AWR58"/>
    <mergeCell ref="AWS58:AWU58"/>
    <mergeCell ref="AWV58:AWX58"/>
    <mergeCell ref="AWY58:AXA58"/>
    <mergeCell ref="AXB58:AXD58"/>
    <mergeCell ref="AWJ59:AWL59"/>
    <mergeCell ref="AWM59:AWO59"/>
    <mergeCell ref="AWP59:AWR59"/>
    <mergeCell ref="AWS59:AWU59"/>
    <mergeCell ref="AWV59:AWX59"/>
    <mergeCell ref="AWY59:AXA59"/>
    <mergeCell ref="AXB59:AXD59"/>
    <mergeCell ref="AWJ54:AWL54"/>
    <mergeCell ref="AWM54:AWO54"/>
    <mergeCell ref="AWP54:AWR54"/>
    <mergeCell ref="AWS54:AWU54"/>
    <mergeCell ref="AWV54:AWX54"/>
    <mergeCell ref="AWY54:AXA54"/>
    <mergeCell ref="AXB54:AXD54"/>
    <mergeCell ref="AWJ48:AWL48"/>
    <mergeCell ref="AWM48:AWO48"/>
    <mergeCell ref="AWP48:AWR48"/>
    <mergeCell ref="AWS48:AWU48"/>
    <mergeCell ref="AWV48:AWX48"/>
    <mergeCell ref="AWY48:AXA48"/>
    <mergeCell ref="AXB48:AXD48"/>
    <mergeCell ref="AWJ49:AWL49"/>
    <mergeCell ref="AWM49:AWO49"/>
    <mergeCell ref="AWP49:AWR49"/>
    <mergeCell ref="AWS49:AWU49"/>
    <mergeCell ref="AWV49:AWX49"/>
    <mergeCell ref="AWY49:AXA49"/>
    <mergeCell ref="AXB49:AXD49"/>
    <mergeCell ref="AWJ50:AWL50"/>
    <mergeCell ref="AWM50:AWO50"/>
    <mergeCell ref="AWP50:AWR50"/>
    <mergeCell ref="AWS50:AWU50"/>
    <mergeCell ref="AWV50:AWX50"/>
    <mergeCell ref="AWY50:AXA50"/>
    <mergeCell ref="AXB50:AXD50"/>
    <mergeCell ref="AWJ51:AWL51"/>
    <mergeCell ref="AWM51:AWO51"/>
    <mergeCell ref="AWP51:AWR51"/>
    <mergeCell ref="AWS51:AWU51"/>
    <mergeCell ref="AWV51:AWX51"/>
    <mergeCell ref="AWY51:AXA51"/>
    <mergeCell ref="AXB51:AXD51"/>
    <mergeCell ref="AWJ52:AWL52"/>
    <mergeCell ref="AWM52:AWO52"/>
    <mergeCell ref="AWP52:AWR52"/>
    <mergeCell ref="AWS52:AWU52"/>
    <mergeCell ref="AWV52:AWX52"/>
    <mergeCell ref="AWY52:AXA52"/>
    <mergeCell ref="AXB52:AXD52"/>
    <mergeCell ref="AWJ43:AWL43"/>
    <mergeCell ref="AWM43:AWO43"/>
    <mergeCell ref="AWP43:AWR43"/>
    <mergeCell ref="AWS43:AWU43"/>
    <mergeCell ref="AWV43:AWX43"/>
    <mergeCell ref="AWY43:AXA43"/>
    <mergeCell ref="AXB43:AXD43"/>
    <mergeCell ref="AWJ44:AWL44"/>
    <mergeCell ref="AWM44:AWO44"/>
    <mergeCell ref="AWP44:AWR44"/>
    <mergeCell ref="AWS44:AWU44"/>
    <mergeCell ref="AWV44:AWX44"/>
    <mergeCell ref="AWY44:AXA44"/>
    <mergeCell ref="AXB44:AXD44"/>
    <mergeCell ref="AWJ45:AWL45"/>
    <mergeCell ref="AWM45:AWO45"/>
    <mergeCell ref="AWP45:AWR45"/>
    <mergeCell ref="AWS45:AWU45"/>
    <mergeCell ref="AWV45:AWX45"/>
    <mergeCell ref="AWY45:AXA45"/>
    <mergeCell ref="AXB45:AXD45"/>
    <mergeCell ref="AWJ46:AWL46"/>
    <mergeCell ref="AWM46:AWO46"/>
    <mergeCell ref="AWP46:AWR46"/>
    <mergeCell ref="AWS46:AWU46"/>
    <mergeCell ref="AWV46:AWX46"/>
    <mergeCell ref="AWY46:AXA46"/>
    <mergeCell ref="AXB46:AXD46"/>
    <mergeCell ref="AWJ47:AWL47"/>
    <mergeCell ref="AWM47:AWO47"/>
    <mergeCell ref="AWP47:AWR47"/>
    <mergeCell ref="AWS47:AWU47"/>
    <mergeCell ref="AWV47:AWX47"/>
    <mergeCell ref="AWY47:AXA47"/>
    <mergeCell ref="AXB47:AXD47"/>
    <mergeCell ref="AWJ40:AWL40"/>
    <mergeCell ref="AWM40:AWO40"/>
    <mergeCell ref="AWP40:AWR40"/>
    <mergeCell ref="AWS40:AWU40"/>
    <mergeCell ref="AWV40:AWX40"/>
    <mergeCell ref="AWY40:AXA40"/>
    <mergeCell ref="AXB40:AXD40"/>
    <mergeCell ref="AWJ41:AWL41"/>
    <mergeCell ref="AWM41:AWO41"/>
    <mergeCell ref="AWP41:AWR41"/>
    <mergeCell ref="AWS41:AWU41"/>
    <mergeCell ref="AWV41:AWX41"/>
    <mergeCell ref="AWY41:AXA41"/>
    <mergeCell ref="AXB41:AXD41"/>
    <mergeCell ref="AWJ42:AWL42"/>
    <mergeCell ref="AWM42:AWO42"/>
    <mergeCell ref="AWP42:AWR42"/>
    <mergeCell ref="AWS42:AWU42"/>
    <mergeCell ref="AWV42:AWX42"/>
    <mergeCell ref="AWY42:AXA42"/>
    <mergeCell ref="AXB42:AXD42"/>
    <mergeCell ref="AWJ39:AWL39"/>
    <mergeCell ref="AWM39:AWO39"/>
    <mergeCell ref="AWP39:AWR39"/>
    <mergeCell ref="AWS39:AWU39"/>
    <mergeCell ref="AWV39:AWX39"/>
    <mergeCell ref="AWY39:AXA39"/>
    <mergeCell ref="AXB39:AXD39"/>
    <mergeCell ref="AWJ19:AWL19"/>
    <mergeCell ref="AWM19:AWO19"/>
    <mergeCell ref="AWP19:AWR19"/>
    <mergeCell ref="AWS19:AWU19"/>
    <mergeCell ref="AWV19:AWX19"/>
    <mergeCell ref="AWY19:AXA19"/>
    <mergeCell ref="AXB19:AXD19"/>
    <mergeCell ref="AWJ20:AWL20"/>
    <mergeCell ref="AWM20:AWO20"/>
    <mergeCell ref="AWP20:AWR20"/>
    <mergeCell ref="AWS20:AWU20"/>
    <mergeCell ref="AWV20:AWX20"/>
    <mergeCell ref="AWY20:AXA20"/>
    <mergeCell ref="AXB20:AXD20"/>
    <mergeCell ref="AWJ21:AWL21"/>
    <mergeCell ref="AWM21:AWO21"/>
    <mergeCell ref="AWP21:AWR21"/>
    <mergeCell ref="AWS21:AWU21"/>
    <mergeCell ref="AWV21:AWX21"/>
    <mergeCell ref="AWY21:AXA21"/>
    <mergeCell ref="AXB21:AXD21"/>
    <mergeCell ref="AWJ22:AWL22"/>
    <mergeCell ref="AWM22:AWO22"/>
    <mergeCell ref="AWP22:AWR22"/>
    <mergeCell ref="AWS22:AWU22"/>
    <mergeCell ref="AWV22:AWX22"/>
    <mergeCell ref="AWY22:AXA22"/>
    <mergeCell ref="AXB22:AXD22"/>
    <mergeCell ref="AWJ38:AWL38"/>
    <mergeCell ref="AWM38:AWO38"/>
    <mergeCell ref="AWP38:AWR38"/>
    <mergeCell ref="AWS38:AWU38"/>
    <mergeCell ref="AWV38:AWX38"/>
    <mergeCell ref="AWY38:AXA38"/>
    <mergeCell ref="AXB38:AXD38"/>
    <mergeCell ref="AWJ23:AWL23"/>
    <mergeCell ref="AWJ16:AWL16"/>
    <mergeCell ref="AWM16:AWO16"/>
    <mergeCell ref="AWP16:AWR16"/>
    <mergeCell ref="AWS16:AWU16"/>
    <mergeCell ref="AWV16:AWX16"/>
    <mergeCell ref="AWY16:AXA16"/>
    <mergeCell ref="AXB16:AXD16"/>
    <mergeCell ref="AWJ29:AWL29"/>
    <mergeCell ref="AWM29:AWO29"/>
    <mergeCell ref="AWP29:AWR29"/>
    <mergeCell ref="AWS29:AWU29"/>
    <mergeCell ref="AWV29:AWX29"/>
    <mergeCell ref="AWY29:AXA29"/>
    <mergeCell ref="AXB29:AXD29"/>
    <mergeCell ref="AWJ30:AWL30"/>
    <mergeCell ref="AWM30:AWO30"/>
    <mergeCell ref="AWP30:AWR30"/>
    <mergeCell ref="AWS30:AWU30"/>
    <mergeCell ref="AWV30:AWX30"/>
    <mergeCell ref="AWY30:AXA30"/>
    <mergeCell ref="AXB30:AXD30"/>
    <mergeCell ref="AWJ18:AWL18"/>
    <mergeCell ref="AWM18:AWO18"/>
    <mergeCell ref="AWP18:AWR18"/>
    <mergeCell ref="AWS18:AWU18"/>
    <mergeCell ref="AWV18:AWX18"/>
    <mergeCell ref="AWY18:AXA18"/>
    <mergeCell ref="AXB18:AXD18"/>
    <mergeCell ref="AWY27:AXA27"/>
    <mergeCell ref="AXB27:AXD27"/>
    <mergeCell ref="AWJ13:AWL13"/>
    <mergeCell ref="AWM13:AWO13"/>
    <mergeCell ref="AWP13:AWR13"/>
    <mergeCell ref="AWS13:AWU13"/>
    <mergeCell ref="AWV13:AWX13"/>
    <mergeCell ref="AWY13:AXA13"/>
    <mergeCell ref="AXB13:AXD13"/>
    <mergeCell ref="AWJ14:AWL14"/>
    <mergeCell ref="AWM14:AWO14"/>
    <mergeCell ref="AWP14:AWR14"/>
    <mergeCell ref="AWS14:AWU14"/>
    <mergeCell ref="AWV14:AWX14"/>
    <mergeCell ref="AWY14:AXA14"/>
    <mergeCell ref="AXB14:AXD14"/>
    <mergeCell ref="AWJ15:AWL15"/>
    <mergeCell ref="AWM15:AWO15"/>
    <mergeCell ref="AWP15:AWR15"/>
    <mergeCell ref="AWS15:AWU15"/>
    <mergeCell ref="AWV15:AWX15"/>
    <mergeCell ref="AWY15:AXA15"/>
    <mergeCell ref="AXB15:AXD15"/>
    <mergeCell ref="AWJ8:AWL8"/>
    <mergeCell ref="AWM8:AWO8"/>
    <mergeCell ref="AWP8:AWR8"/>
    <mergeCell ref="AWS8:AWU8"/>
    <mergeCell ref="AWV8:AWX8"/>
    <mergeCell ref="AWY8:AXA8"/>
    <mergeCell ref="AXB8:AXD8"/>
    <mergeCell ref="AWJ9:AWL9"/>
    <mergeCell ref="AWM9:AWO9"/>
    <mergeCell ref="AWP9:AWR9"/>
    <mergeCell ref="AWS9:AWU9"/>
    <mergeCell ref="AWV9:AWX9"/>
    <mergeCell ref="AWY9:AXA9"/>
    <mergeCell ref="AXB9:AXD9"/>
    <mergeCell ref="AWJ10:AWL10"/>
    <mergeCell ref="AWM10:AWO10"/>
    <mergeCell ref="AWP10:AWR10"/>
    <mergeCell ref="AWS10:AWU10"/>
    <mergeCell ref="AWV10:AWX10"/>
    <mergeCell ref="AWY10:AXA10"/>
    <mergeCell ref="AXB10:AXD10"/>
    <mergeCell ref="AWJ11:AWL11"/>
    <mergeCell ref="AWM11:AWO11"/>
    <mergeCell ref="AWP11:AWR11"/>
    <mergeCell ref="AWS11:AWU11"/>
    <mergeCell ref="AWV11:AWX11"/>
    <mergeCell ref="AWY11:AXA11"/>
    <mergeCell ref="AXB11:AXD11"/>
    <mergeCell ref="AWJ12:AWL12"/>
    <mergeCell ref="AWM12:AWO12"/>
    <mergeCell ref="AWP12:AWR12"/>
    <mergeCell ref="AWS12:AWU12"/>
    <mergeCell ref="AWV12:AWX12"/>
    <mergeCell ref="AWY12:AXA12"/>
    <mergeCell ref="AXB12:AXD12"/>
    <mergeCell ref="AWJ2:AWL2"/>
    <mergeCell ref="AWM2:AWO2"/>
    <mergeCell ref="AWP2:AWR2"/>
    <mergeCell ref="AWS2:AWU2"/>
    <mergeCell ref="AWV2:AWX2"/>
    <mergeCell ref="AWY2:AXA2"/>
    <mergeCell ref="AXB2:AXD2"/>
    <mergeCell ref="AWJ3:AWL3"/>
    <mergeCell ref="AWM3:AWO3"/>
    <mergeCell ref="AWP3:AWR3"/>
    <mergeCell ref="AWS3:AWU3"/>
    <mergeCell ref="AWV3:AWX3"/>
    <mergeCell ref="AWY3:AXA3"/>
    <mergeCell ref="AXB3:AXD3"/>
    <mergeCell ref="AWJ5:AWL5"/>
    <mergeCell ref="AWM5:AWO5"/>
    <mergeCell ref="AWP5:AWR5"/>
    <mergeCell ref="AWS5:AWU5"/>
    <mergeCell ref="AWV5:AWX5"/>
    <mergeCell ref="AWY5:AXA5"/>
    <mergeCell ref="AXB5:AXD5"/>
    <mergeCell ref="AWJ6:AWL6"/>
    <mergeCell ref="AWM6:AWO6"/>
    <mergeCell ref="AWP6:AWR6"/>
    <mergeCell ref="AWS6:AWU6"/>
    <mergeCell ref="AWV6:AWX6"/>
    <mergeCell ref="AWY6:AXA6"/>
    <mergeCell ref="AXB6:AXD6"/>
    <mergeCell ref="AWJ7:AWL7"/>
    <mergeCell ref="AWM7:AWO7"/>
    <mergeCell ref="AWP7:AWR7"/>
    <mergeCell ref="AWS7:AWU7"/>
    <mergeCell ref="AWV7:AWX7"/>
    <mergeCell ref="AWY7:AXA7"/>
    <mergeCell ref="AXB7:AXD7"/>
    <mergeCell ref="API59:APK59"/>
    <mergeCell ref="API52:APK52"/>
    <mergeCell ref="API47:APK47"/>
    <mergeCell ref="API42:APK42"/>
    <mergeCell ref="API22:APK22"/>
    <mergeCell ref="API35:APK35"/>
    <mergeCell ref="API30:APK30"/>
    <mergeCell ref="AON59:AOP59"/>
    <mergeCell ref="AOQ59:AOS59"/>
    <mergeCell ref="AOT59:AOV59"/>
    <mergeCell ref="AOW59:AOY59"/>
    <mergeCell ref="AOZ59:APB59"/>
    <mergeCell ref="APC59:APE59"/>
    <mergeCell ref="APF59:APH59"/>
    <mergeCell ref="AON55:AOP55"/>
    <mergeCell ref="AOQ55:AOS55"/>
    <mergeCell ref="AOT55:AOV55"/>
    <mergeCell ref="AOW55:AOY55"/>
    <mergeCell ref="AOZ55:APB55"/>
    <mergeCell ref="APC55:APE55"/>
    <mergeCell ref="APF55:APH55"/>
    <mergeCell ref="AON56:AOP56"/>
    <mergeCell ref="AOQ56:AOS56"/>
    <mergeCell ref="AOT56:AOV56"/>
    <mergeCell ref="AOW56:AOY56"/>
    <mergeCell ref="APO58:APQ58"/>
    <mergeCell ref="APR58:APT58"/>
    <mergeCell ref="APU58:APW58"/>
    <mergeCell ref="APX58:APZ58"/>
    <mergeCell ref="AQA58:AQC58"/>
    <mergeCell ref="APL59:APN59"/>
    <mergeCell ref="APO59:APQ59"/>
    <mergeCell ref="APR59:APT59"/>
    <mergeCell ref="APU59:APW59"/>
    <mergeCell ref="APX59:APZ59"/>
    <mergeCell ref="AQA59:AQC59"/>
    <mergeCell ref="API60:APK60"/>
    <mergeCell ref="APL60:APN60"/>
    <mergeCell ref="APO60:APQ60"/>
    <mergeCell ref="APR60:APT60"/>
    <mergeCell ref="APU60:APW60"/>
    <mergeCell ref="APX60:APZ60"/>
    <mergeCell ref="AQA60:AQC60"/>
    <mergeCell ref="API61:APK61"/>
    <mergeCell ref="APL61:APN61"/>
    <mergeCell ref="APO61:APQ61"/>
    <mergeCell ref="APR61:APT61"/>
    <mergeCell ref="APU61:APW61"/>
    <mergeCell ref="APX61:APZ61"/>
    <mergeCell ref="AQA61:AQC61"/>
    <mergeCell ref="API54:APK54"/>
    <mergeCell ref="APL54:APN54"/>
    <mergeCell ref="APO54:APQ54"/>
    <mergeCell ref="APR54:APT54"/>
    <mergeCell ref="APU54:APW54"/>
    <mergeCell ref="APX54:APZ54"/>
    <mergeCell ref="AQA54:AQC54"/>
    <mergeCell ref="API55:APK55"/>
    <mergeCell ref="APL55:APN55"/>
    <mergeCell ref="APO55:APQ55"/>
    <mergeCell ref="APR55:APT55"/>
    <mergeCell ref="APU55:APW55"/>
    <mergeCell ref="APX55:APZ55"/>
    <mergeCell ref="AQA55:AQC55"/>
    <mergeCell ref="API56:APK56"/>
    <mergeCell ref="APL56:APN56"/>
    <mergeCell ref="APO56:APQ56"/>
    <mergeCell ref="APR56:APT56"/>
    <mergeCell ref="APU56:APW56"/>
    <mergeCell ref="APX56:APZ56"/>
    <mergeCell ref="AQA56:AQC56"/>
    <mergeCell ref="API57:APK57"/>
    <mergeCell ref="APL57:APN57"/>
    <mergeCell ref="APO57:APQ57"/>
    <mergeCell ref="APR57:APT57"/>
    <mergeCell ref="APU57:APW57"/>
    <mergeCell ref="APX57:APZ57"/>
    <mergeCell ref="AQA57:AQC57"/>
    <mergeCell ref="API58:APK58"/>
    <mergeCell ref="APL58:APN58"/>
    <mergeCell ref="API50:APK50"/>
    <mergeCell ref="APL50:APN50"/>
    <mergeCell ref="APO50:APQ50"/>
    <mergeCell ref="APR50:APT50"/>
    <mergeCell ref="APU50:APW50"/>
    <mergeCell ref="APX50:APZ50"/>
    <mergeCell ref="AQA50:AQC50"/>
    <mergeCell ref="API51:APK51"/>
    <mergeCell ref="APL51:APN51"/>
    <mergeCell ref="APO51:APQ51"/>
    <mergeCell ref="APR51:APT51"/>
    <mergeCell ref="APU51:APW51"/>
    <mergeCell ref="APX51:APZ51"/>
    <mergeCell ref="AQA51:AQC51"/>
    <mergeCell ref="APL52:APN52"/>
    <mergeCell ref="APO52:APQ52"/>
    <mergeCell ref="APR52:APT52"/>
    <mergeCell ref="APU52:APW52"/>
    <mergeCell ref="APX52:APZ52"/>
    <mergeCell ref="AQA52:AQC52"/>
    <mergeCell ref="API45:APK45"/>
    <mergeCell ref="APL45:APN45"/>
    <mergeCell ref="APO45:APQ45"/>
    <mergeCell ref="APR45:APT45"/>
    <mergeCell ref="APU45:APW45"/>
    <mergeCell ref="APX45:APZ45"/>
    <mergeCell ref="AQA45:AQC45"/>
    <mergeCell ref="API46:APK46"/>
    <mergeCell ref="APL46:APN46"/>
    <mergeCell ref="APO46:APQ46"/>
    <mergeCell ref="APR46:APT46"/>
    <mergeCell ref="APU46:APW46"/>
    <mergeCell ref="APX46:APZ46"/>
    <mergeCell ref="AQA46:AQC46"/>
    <mergeCell ref="APL47:APN47"/>
    <mergeCell ref="APO47:APQ47"/>
    <mergeCell ref="APR47:APT47"/>
    <mergeCell ref="APU47:APW47"/>
    <mergeCell ref="APX47:APZ47"/>
    <mergeCell ref="AQA47:AQC47"/>
    <mergeCell ref="API48:APK48"/>
    <mergeCell ref="APL48:APN48"/>
    <mergeCell ref="APO48:APQ48"/>
    <mergeCell ref="APR48:APT48"/>
    <mergeCell ref="APU48:APW48"/>
    <mergeCell ref="APX48:APZ48"/>
    <mergeCell ref="AQA48:AQC48"/>
    <mergeCell ref="API49:APK49"/>
    <mergeCell ref="APL49:APN49"/>
    <mergeCell ref="APO49:APQ49"/>
    <mergeCell ref="APR49:APT49"/>
    <mergeCell ref="APU49:APW49"/>
    <mergeCell ref="APX49:APZ49"/>
    <mergeCell ref="AQA49:AQC49"/>
    <mergeCell ref="API40:APK40"/>
    <mergeCell ref="APL40:APN40"/>
    <mergeCell ref="APO40:APQ40"/>
    <mergeCell ref="APR40:APT40"/>
    <mergeCell ref="APU40:APW40"/>
    <mergeCell ref="APX40:APZ40"/>
    <mergeCell ref="AQA40:AQC40"/>
    <mergeCell ref="API41:APK41"/>
    <mergeCell ref="APL41:APN41"/>
    <mergeCell ref="APO41:APQ41"/>
    <mergeCell ref="APR41:APT41"/>
    <mergeCell ref="APU41:APW41"/>
    <mergeCell ref="APX41:APZ41"/>
    <mergeCell ref="AQA41:AQC41"/>
    <mergeCell ref="APL42:APN42"/>
    <mergeCell ref="APO42:APQ42"/>
    <mergeCell ref="APR42:APT42"/>
    <mergeCell ref="APU42:APW42"/>
    <mergeCell ref="APX42:APZ42"/>
    <mergeCell ref="AQA42:AQC42"/>
    <mergeCell ref="API43:APK43"/>
    <mergeCell ref="APL43:APN43"/>
    <mergeCell ref="APO43:APQ43"/>
    <mergeCell ref="APR43:APT43"/>
    <mergeCell ref="APU43:APW43"/>
    <mergeCell ref="APX43:APZ43"/>
    <mergeCell ref="AQA43:AQC43"/>
    <mergeCell ref="API44:APK44"/>
    <mergeCell ref="APL44:APN44"/>
    <mergeCell ref="APO44:APQ44"/>
    <mergeCell ref="APR44:APT44"/>
    <mergeCell ref="APU44:APW44"/>
    <mergeCell ref="APX44:APZ44"/>
    <mergeCell ref="AQA44:AQC44"/>
    <mergeCell ref="APR21:APT21"/>
    <mergeCell ref="APU21:APW21"/>
    <mergeCell ref="APX21:APZ21"/>
    <mergeCell ref="AQA21:AQC21"/>
    <mergeCell ref="APL22:APN22"/>
    <mergeCell ref="APO22:APQ22"/>
    <mergeCell ref="APR22:APT22"/>
    <mergeCell ref="APU22:APW22"/>
    <mergeCell ref="APX22:APZ22"/>
    <mergeCell ref="AQA22:AQC22"/>
    <mergeCell ref="API36:APK36"/>
    <mergeCell ref="APL36:APN36"/>
    <mergeCell ref="APO36:APQ36"/>
    <mergeCell ref="APR36:APT36"/>
    <mergeCell ref="APU36:APW36"/>
    <mergeCell ref="APX36:APZ36"/>
    <mergeCell ref="AQA36:AQC36"/>
    <mergeCell ref="API33:APK33"/>
    <mergeCell ref="APL33:APN33"/>
    <mergeCell ref="APO33:APQ33"/>
    <mergeCell ref="APR33:APT33"/>
    <mergeCell ref="APU33:APW33"/>
    <mergeCell ref="APX33:APZ33"/>
    <mergeCell ref="AQA33:AQC33"/>
    <mergeCell ref="API34:APK34"/>
    <mergeCell ref="APL34:APN34"/>
    <mergeCell ref="APO34:APQ34"/>
    <mergeCell ref="APR34:APT34"/>
    <mergeCell ref="APU34:APW34"/>
    <mergeCell ref="APX34:APZ34"/>
    <mergeCell ref="AQA34:AQC34"/>
    <mergeCell ref="APL35:APN35"/>
    <mergeCell ref="APO35:APQ35"/>
    <mergeCell ref="APR35:APT35"/>
    <mergeCell ref="APU35:APW35"/>
    <mergeCell ref="APX35:APZ35"/>
    <mergeCell ref="AQA35:AQC35"/>
    <mergeCell ref="API27:APK27"/>
    <mergeCell ref="APL27:APN27"/>
    <mergeCell ref="APO27:APQ27"/>
    <mergeCell ref="APR27:APT27"/>
    <mergeCell ref="APU27:APW27"/>
    <mergeCell ref="APX27:APZ27"/>
    <mergeCell ref="AQA27:AQC27"/>
    <mergeCell ref="APX28:APZ28"/>
    <mergeCell ref="AQA28:AQC28"/>
    <mergeCell ref="API39:APK39"/>
    <mergeCell ref="APL39:APN39"/>
    <mergeCell ref="APO39:APQ39"/>
    <mergeCell ref="APR39:APT39"/>
    <mergeCell ref="APU39:APW39"/>
    <mergeCell ref="APX39:APZ39"/>
    <mergeCell ref="AQA39:AQC39"/>
    <mergeCell ref="API19:APK19"/>
    <mergeCell ref="APL19:APN19"/>
    <mergeCell ref="APO19:APQ19"/>
    <mergeCell ref="APR19:APT19"/>
    <mergeCell ref="APU19:APW19"/>
    <mergeCell ref="APX19:APZ19"/>
    <mergeCell ref="AQA19:AQC19"/>
    <mergeCell ref="API16:APK16"/>
    <mergeCell ref="APL16:APN16"/>
    <mergeCell ref="APO16:APQ16"/>
    <mergeCell ref="APR16:APT16"/>
    <mergeCell ref="APU16:APW16"/>
    <mergeCell ref="APX16:APZ16"/>
    <mergeCell ref="AQA16:AQC16"/>
    <mergeCell ref="API29:APK29"/>
    <mergeCell ref="APL29:APN29"/>
    <mergeCell ref="APO29:APQ29"/>
    <mergeCell ref="APR29:APT29"/>
    <mergeCell ref="APU29:APW29"/>
    <mergeCell ref="APX29:APZ29"/>
    <mergeCell ref="AQA29:AQC29"/>
    <mergeCell ref="APL30:APN30"/>
    <mergeCell ref="APO30:APQ30"/>
    <mergeCell ref="APR30:APT30"/>
    <mergeCell ref="APU30:APW30"/>
    <mergeCell ref="APX30:APZ30"/>
    <mergeCell ref="AQA30:AQC30"/>
    <mergeCell ref="API31:APK31"/>
    <mergeCell ref="APL31:APN31"/>
    <mergeCell ref="APO31:APQ31"/>
    <mergeCell ref="APR31:APT31"/>
    <mergeCell ref="APU31:APW31"/>
    <mergeCell ref="APX31:APZ31"/>
    <mergeCell ref="AQA31:AQC31"/>
    <mergeCell ref="API32:APK32"/>
    <mergeCell ref="APL32:APN32"/>
    <mergeCell ref="APO32:APQ32"/>
    <mergeCell ref="APR32:APT32"/>
    <mergeCell ref="APU32:APW32"/>
    <mergeCell ref="APX32:APZ32"/>
    <mergeCell ref="AQA32:AQC32"/>
    <mergeCell ref="AQA18:AQC18"/>
    <mergeCell ref="API20:APK20"/>
    <mergeCell ref="APL20:APN20"/>
    <mergeCell ref="APO20:APQ20"/>
    <mergeCell ref="APR20:APT20"/>
    <mergeCell ref="APU20:APW20"/>
    <mergeCell ref="APX20:APZ20"/>
    <mergeCell ref="AQA20:AQC20"/>
    <mergeCell ref="API21:APK21"/>
    <mergeCell ref="APL21:APN21"/>
    <mergeCell ref="APO21:APQ21"/>
    <mergeCell ref="API14:APK14"/>
    <mergeCell ref="APL14:APN14"/>
    <mergeCell ref="APO14:APQ14"/>
    <mergeCell ref="APR14:APT14"/>
    <mergeCell ref="APU14:APW14"/>
    <mergeCell ref="APX14:APZ14"/>
    <mergeCell ref="AQA14:AQC14"/>
    <mergeCell ref="API15:APK15"/>
    <mergeCell ref="APL15:APN15"/>
    <mergeCell ref="APO15:APQ15"/>
    <mergeCell ref="APR15:APT15"/>
    <mergeCell ref="APU15:APW15"/>
    <mergeCell ref="APX15:APZ15"/>
    <mergeCell ref="AQA15:AQC15"/>
    <mergeCell ref="APL9:APN9"/>
    <mergeCell ref="APO9:APQ9"/>
    <mergeCell ref="APR9:APT9"/>
    <mergeCell ref="APU9:APW9"/>
    <mergeCell ref="APX9:APZ9"/>
    <mergeCell ref="AQA9:AQC9"/>
    <mergeCell ref="API10:APK10"/>
    <mergeCell ref="APL10:APN10"/>
    <mergeCell ref="APO10:APQ10"/>
    <mergeCell ref="APR10:APT10"/>
    <mergeCell ref="APU10:APW10"/>
    <mergeCell ref="APX10:APZ10"/>
    <mergeCell ref="AQA10:AQC10"/>
    <mergeCell ref="API11:APK11"/>
    <mergeCell ref="APL11:APN11"/>
    <mergeCell ref="APO11:APQ11"/>
    <mergeCell ref="APR11:APT11"/>
    <mergeCell ref="APU11:APW11"/>
    <mergeCell ref="APX11:APZ11"/>
    <mergeCell ref="AQA11:AQC11"/>
    <mergeCell ref="API12:APK12"/>
    <mergeCell ref="APL12:APN12"/>
    <mergeCell ref="APO12:APQ12"/>
    <mergeCell ref="APR12:APT12"/>
    <mergeCell ref="APU12:APW12"/>
    <mergeCell ref="APX12:APZ12"/>
    <mergeCell ref="AQA12:AQC12"/>
    <mergeCell ref="API13:APK13"/>
    <mergeCell ref="APL13:APN13"/>
    <mergeCell ref="APO13:APQ13"/>
    <mergeCell ref="APR13:APT13"/>
    <mergeCell ref="APU13:APW13"/>
    <mergeCell ref="APX13:APZ13"/>
    <mergeCell ref="AQA13:AQC13"/>
    <mergeCell ref="AON60:AOP60"/>
    <mergeCell ref="AOQ60:AOS60"/>
    <mergeCell ref="AOT60:AOV60"/>
    <mergeCell ref="AOW60:AOY60"/>
    <mergeCell ref="AOZ60:APB60"/>
    <mergeCell ref="APC60:APE60"/>
    <mergeCell ref="APF60:APH60"/>
    <mergeCell ref="AON61:AOP61"/>
    <mergeCell ref="AOQ61:AOS61"/>
    <mergeCell ref="AOT61:AOV61"/>
    <mergeCell ref="AOW61:AOY61"/>
    <mergeCell ref="AOZ61:APB61"/>
    <mergeCell ref="APC61:APE61"/>
    <mergeCell ref="APF61:APH61"/>
    <mergeCell ref="AON52:AOP52"/>
    <mergeCell ref="AOQ52:AOS52"/>
    <mergeCell ref="AOT52:AOV52"/>
    <mergeCell ref="AOW52:AOY52"/>
    <mergeCell ref="AOZ52:APB52"/>
    <mergeCell ref="APC52:APE52"/>
    <mergeCell ref="APF52:APH52"/>
    <mergeCell ref="API2:APK2"/>
    <mergeCell ref="APL2:APN2"/>
    <mergeCell ref="APO2:APQ2"/>
    <mergeCell ref="APR2:APT2"/>
    <mergeCell ref="APU2:APW2"/>
    <mergeCell ref="APX2:APZ2"/>
    <mergeCell ref="AQA2:AQC2"/>
    <mergeCell ref="API3:APK3"/>
    <mergeCell ref="APL3:APN3"/>
    <mergeCell ref="APO3:APQ3"/>
    <mergeCell ref="APR3:APT3"/>
    <mergeCell ref="APU3:APW3"/>
    <mergeCell ref="APX3:APZ3"/>
    <mergeCell ref="AQA3:AQC3"/>
    <mergeCell ref="API5:APK5"/>
    <mergeCell ref="APL5:APN5"/>
    <mergeCell ref="APO5:APQ5"/>
    <mergeCell ref="APR5:APT5"/>
    <mergeCell ref="APU5:APW5"/>
    <mergeCell ref="APX5:APZ5"/>
    <mergeCell ref="AQA5:AQC5"/>
    <mergeCell ref="API6:APK6"/>
    <mergeCell ref="APL6:APN6"/>
    <mergeCell ref="APO6:APQ6"/>
    <mergeCell ref="APR6:APT6"/>
    <mergeCell ref="APU6:APW6"/>
    <mergeCell ref="APX6:APZ6"/>
    <mergeCell ref="AQA6:AQC6"/>
    <mergeCell ref="API7:APK7"/>
    <mergeCell ref="APL7:APN7"/>
    <mergeCell ref="APO7:APQ7"/>
    <mergeCell ref="APR7:APT7"/>
    <mergeCell ref="APU7:APW7"/>
    <mergeCell ref="APX7:APZ7"/>
    <mergeCell ref="AQA7:AQC7"/>
    <mergeCell ref="API8:APK8"/>
    <mergeCell ref="APL8:APN8"/>
    <mergeCell ref="APO8:APQ8"/>
    <mergeCell ref="APR8:APT8"/>
    <mergeCell ref="APU8:APW8"/>
    <mergeCell ref="APX8:APZ8"/>
    <mergeCell ref="AQA8:AQC8"/>
    <mergeCell ref="API9:APK9"/>
    <mergeCell ref="AON54:AOP54"/>
    <mergeCell ref="AOQ54:AOS54"/>
    <mergeCell ref="AOT54:AOV54"/>
    <mergeCell ref="AOW54:AOY54"/>
    <mergeCell ref="AOZ54:APB54"/>
    <mergeCell ref="APC54:APE54"/>
    <mergeCell ref="APF54:APH54"/>
    <mergeCell ref="AOZ56:APB56"/>
    <mergeCell ref="APC56:APE56"/>
    <mergeCell ref="APF56:APH56"/>
    <mergeCell ref="AON57:AOP57"/>
    <mergeCell ref="AOQ57:AOS57"/>
    <mergeCell ref="AOT57:AOV57"/>
    <mergeCell ref="AOW57:AOY57"/>
    <mergeCell ref="AOZ57:APB57"/>
    <mergeCell ref="APC57:APE57"/>
    <mergeCell ref="APF57:APH57"/>
    <mergeCell ref="AON58:AOP58"/>
    <mergeCell ref="AOQ58:AOS58"/>
    <mergeCell ref="AOT58:AOV58"/>
    <mergeCell ref="AOW58:AOY58"/>
    <mergeCell ref="AOZ58:APB58"/>
    <mergeCell ref="APC58:APE58"/>
    <mergeCell ref="APF58:APH58"/>
    <mergeCell ref="AON47:AOP47"/>
    <mergeCell ref="AOQ47:AOS47"/>
    <mergeCell ref="AOT47:AOV47"/>
    <mergeCell ref="AOW47:AOY47"/>
    <mergeCell ref="AOZ47:APB47"/>
    <mergeCell ref="APC47:APE47"/>
    <mergeCell ref="APF47:APH47"/>
    <mergeCell ref="AON48:AOP48"/>
    <mergeCell ref="AOQ48:AOS48"/>
    <mergeCell ref="AOT48:AOV48"/>
    <mergeCell ref="AOW48:AOY48"/>
    <mergeCell ref="AOZ48:APB48"/>
    <mergeCell ref="APC48:APE48"/>
    <mergeCell ref="APF48:APH48"/>
    <mergeCell ref="AON49:AOP49"/>
    <mergeCell ref="AOQ49:AOS49"/>
    <mergeCell ref="AOT49:AOV49"/>
    <mergeCell ref="AOW49:AOY49"/>
    <mergeCell ref="AOZ49:APB49"/>
    <mergeCell ref="APC49:APE49"/>
    <mergeCell ref="APF49:APH49"/>
    <mergeCell ref="AON50:AOP50"/>
    <mergeCell ref="AOQ50:AOS50"/>
    <mergeCell ref="AOT50:AOV50"/>
    <mergeCell ref="AOW50:AOY50"/>
    <mergeCell ref="AOZ50:APB50"/>
    <mergeCell ref="APC50:APE50"/>
    <mergeCell ref="APF50:APH50"/>
    <mergeCell ref="AON51:AOP51"/>
    <mergeCell ref="AOQ51:AOS51"/>
    <mergeCell ref="AOT51:AOV51"/>
    <mergeCell ref="AOW51:AOY51"/>
    <mergeCell ref="AOZ51:APB51"/>
    <mergeCell ref="APC51:APE51"/>
    <mergeCell ref="APF51:APH51"/>
    <mergeCell ref="AON42:AOP42"/>
    <mergeCell ref="AOQ42:AOS42"/>
    <mergeCell ref="AOT42:AOV42"/>
    <mergeCell ref="AOW42:AOY42"/>
    <mergeCell ref="AOZ42:APB42"/>
    <mergeCell ref="APC42:APE42"/>
    <mergeCell ref="APF42:APH42"/>
    <mergeCell ref="AON43:AOP43"/>
    <mergeCell ref="AOQ43:AOS43"/>
    <mergeCell ref="AOT43:AOV43"/>
    <mergeCell ref="AOW43:AOY43"/>
    <mergeCell ref="AOZ43:APB43"/>
    <mergeCell ref="APC43:APE43"/>
    <mergeCell ref="APF43:APH43"/>
    <mergeCell ref="AON44:AOP44"/>
    <mergeCell ref="AOQ44:AOS44"/>
    <mergeCell ref="AOT44:AOV44"/>
    <mergeCell ref="AOW44:AOY44"/>
    <mergeCell ref="AOZ44:APB44"/>
    <mergeCell ref="APC44:APE44"/>
    <mergeCell ref="APF44:APH44"/>
    <mergeCell ref="AON45:AOP45"/>
    <mergeCell ref="AOQ45:AOS45"/>
    <mergeCell ref="AOT45:AOV45"/>
    <mergeCell ref="AOW45:AOY45"/>
    <mergeCell ref="AOZ45:APB45"/>
    <mergeCell ref="APC45:APE45"/>
    <mergeCell ref="APF45:APH45"/>
    <mergeCell ref="AON46:AOP46"/>
    <mergeCell ref="AOQ46:AOS46"/>
    <mergeCell ref="AOT46:AOV46"/>
    <mergeCell ref="AOW46:AOY46"/>
    <mergeCell ref="AOZ46:APB46"/>
    <mergeCell ref="APC46:APE46"/>
    <mergeCell ref="APF46:APH46"/>
    <mergeCell ref="AON40:AOP40"/>
    <mergeCell ref="AOQ40:AOS40"/>
    <mergeCell ref="AOT40:AOV40"/>
    <mergeCell ref="AOW40:AOY40"/>
    <mergeCell ref="AOZ40:APB40"/>
    <mergeCell ref="APC40:APE40"/>
    <mergeCell ref="APF40:APH40"/>
    <mergeCell ref="AON41:AOP41"/>
    <mergeCell ref="AOQ41:AOS41"/>
    <mergeCell ref="AOT41:AOV41"/>
    <mergeCell ref="AOW41:AOY41"/>
    <mergeCell ref="AOZ41:APB41"/>
    <mergeCell ref="APC41:APE41"/>
    <mergeCell ref="APF41:APH41"/>
    <mergeCell ref="AON34:AOP34"/>
    <mergeCell ref="AOQ34:AOS34"/>
    <mergeCell ref="AOT34:AOV34"/>
    <mergeCell ref="AOW34:AOY34"/>
    <mergeCell ref="AOZ34:APB34"/>
    <mergeCell ref="APC34:APE34"/>
    <mergeCell ref="APF34:APH34"/>
    <mergeCell ref="AON22:AOP22"/>
    <mergeCell ref="AOQ22:AOS22"/>
    <mergeCell ref="AOT22:AOV22"/>
    <mergeCell ref="AOW22:AOY22"/>
    <mergeCell ref="AOZ22:APB22"/>
    <mergeCell ref="APC22:APE22"/>
    <mergeCell ref="APF22:APH22"/>
    <mergeCell ref="AON36:AOP36"/>
    <mergeCell ref="AOQ36:AOS36"/>
    <mergeCell ref="AOT36:AOV36"/>
    <mergeCell ref="AOW36:AOY36"/>
    <mergeCell ref="AOZ36:APB36"/>
    <mergeCell ref="APC36:APE36"/>
    <mergeCell ref="APF36:APH36"/>
    <mergeCell ref="AON35:AOP35"/>
    <mergeCell ref="AOQ35:AOS35"/>
    <mergeCell ref="AOT35:AOV35"/>
    <mergeCell ref="AOW35:AOY35"/>
    <mergeCell ref="AOZ35:APB35"/>
    <mergeCell ref="APC35:APE35"/>
    <mergeCell ref="APF35:APH35"/>
    <mergeCell ref="AON39:AOP39"/>
    <mergeCell ref="AOQ39:AOS39"/>
    <mergeCell ref="AOT39:AOV39"/>
    <mergeCell ref="AOW39:AOY39"/>
    <mergeCell ref="AOZ39:APB39"/>
    <mergeCell ref="APC39:APE39"/>
    <mergeCell ref="APF39:APH39"/>
    <mergeCell ref="AOT27:AOV27"/>
    <mergeCell ref="AON27:AOP27"/>
    <mergeCell ref="AOQ27:AOS27"/>
    <mergeCell ref="AON30:AOP30"/>
    <mergeCell ref="AOQ30:AOS30"/>
    <mergeCell ref="AOT30:AOV30"/>
    <mergeCell ref="AOW30:AOY30"/>
    <mergeCell ref="AOZ30:APB30"/>
    <mergeCell ref="APC30:APE30"/>
    <mergeCell ref="APF30:APH30"/>
    <mergeCell ref="AON31:AOP31"/>
    <mergeCell ref="AOQ31:AOS31"/>
    <mergeCell ref="AOT31:AOV31"/>
    <mergeCell ref="AOW31:AOY31"/>
    <mergeCell ref="AOZ31:APB31"/>
    <mergeCell ref="APC31:APE31"/>
    <mergeCell ref="APF31:APH31"/>
    <mergeCell ref="AON32:AOP32"/>
    <mergeCell ref="AOQ32:AOS32"/>
    <mergeCell ref="AOT32:AOV32"/>
    <mergeCell ref="AOW32:AOY32"/>
    <mergeCell ref="AOZ32:APB32"/>
    <mergeCell ref="APC32:APE32"/>
    <mergeCell ref="APF32:APH32"/>
    <mergeCell ref="AON33:AOP33"/>
    <mergeCell ref="AOQ33:AOS33"/>
    <mergeCell ref="AOT33:AOV33"/>
    <mergeCell ref="AOW33:AOY33"/>
    <mergeCell ref="AOZ33:APB33"/>
    <mergeCell ref="APC33:APE33"/>
    <mergeCell ref="APF33:APH33"/>
    <mergeCell ref="AON19:AOP19"/>
    <mergeCell ref="AOQ19:AOS19"/>
    <mergeCell ref="AOT19:AOV19"/>
    <mergeCell ref="AOW19:AOY19"/>
    <mergeCell ref="AOZ19:APB19"/>
    <mergeCell ref="APC19:APE19"/>
    <mergeCell ref="APF19:APH19"/>
    <mergeCell ref="AON20:AOP20"/>
    <mergeCell ref="AOQ20:AOS20"/>
    <mergeCell ref="AOT20:AOV20"/>
    <mergeCell ref="AOW20:AOY20"/>
    <mergeCell ref="AOZ20:APB20"/>
    <mergeCell ref="APC20:APE20"/>
    <mergeCell ref="APF20:APH20"/>
    <mergeCell ref="AON21:AOP21"/>
    <mergeCell ref="AOQ21:AOS21"/>
    <mergeCell ref="AOT21:AOV21"/>
    <mergeCell ref="AOW21:AOY21"/>
    <mergeCell ref="AOZ21:APB21"/>
    <mergeCell ref="APC21:APE21"/>
    <mergeCell ref="APF21:APH21"/>
    <mergeCell ref="AOW27:AOY27"/>
    <mergeCell ref="AOZ27:APB27"/>
    <mergeCell ref="APC27:APE27"/>
    <mergeCell ref="APF27:APH27"/>
    <mergeCell ref="AON16:AOP16"/>
    <mergeCell ref="AOQ16:AOS16"/>
    <mergeCell ref="AOT16:AOV16"/>
    <mergeCell ref="AOW16:AOY16"/>
    <mergeCell ref="AOZ16:APB16"/>
    <mergeCell ref="APC16:APE16"/>
    <mergeCell ref="APF16:APH16"/>
    <mergeCell ref="AON29:AOP29"/>
    <mergeCell ref="AOQ29:AOS29"/>
    <mergeCell ref="AOT29:AOV29"/>
    <mergeCell ref="AOW29:AOY29"/>
    <mergeCell ref="AOZ29:APB29"/>
    <mergeCell ref="APC29:APE29"/>
    <mergeCell ref="APF29:APH29"/>
    <mergeCell ref="APC15:APE15"/>
    <mergeCell ref="APF15:APH15"/>
    <mergeCell ref="APC9:APE9"/>
    <mergeCell ref="APF9:APH9"/>
    <mergeCell ref="AON10:AOP10"/>
    <mergeCell ref="AOQ10:AOS10"/>
    <mergeCell ref="AOT10:AOV10"/>
    <mergeCell ref="AOW10:AOY10"/>
    <mergeCell ref="AOZ10:APB10"/>
    <mergeCell ref="APC10:APE10"/>
    <mergeCell ref="APF10:APH10"/>
    <mergeCell ref="AON11:AOP11"/>
    <mergeCell ref="AOQ11:AOS11"/>
    <mergeCell ref="AOT11:AOV11"/>
    <mergeCell ref="AOW11:AOY11"/>
    <mergeCell ref="AOZ11:APB11"/>
    <mergeCell ref="APC11:APE11"/>
    <mergeCell ref="APF11:APH11"/>
    <mergeCell ref="AON12:AOP12"/>
    <mergeCell ref="AOQ12:AOS12"/>
    <mergeCell ref="AOT12:AOV12"/>
    <mergeCell ref="AOW12:AOY12"/>
    <mergeCell ref="AOZ12:APB12"/>
    <mergeCell ref="APC12:APE12"/>
    <mergeCell ref="APF12:APH12"/>
    <mergeCell ref="AON13:AOP13"/>
    <mergeCell ref="AOQ13:AOS13"/>
    <mergeCell ref="AOT13:AOV13"/>
    <mergeCell ref="AOW13:AOY13"/>
    <mergeCell ref="AOZ13:APB13"/>
    <mergeCell ref="APC13:APE13"/>
    <mergeCell ref="APF13:APH13"/>
    <mergeCell ref="AON14:AOP14"/>
    <mergeCell ref="AOQ14:AOS14"/>
    <mergeCell ref="AOT14:AOV14"/>
    <mergeCell ref="AOW14:AOY14"/>
    <mergeCell ref="AOZ14:APB14"/>
    <mergeCell ref="APC14:APE14"/>
    <mergeCell ref="APF14:APH14"/>
    <mergeCell ref="APC2:APE2"/>
    <mergeCell ref="APF2:APH2"/>
    <mergeCell ref="AON3:AOP3"/>
    <mergeCell ref="AOQ3:AOS3"/>
    <mergeCell ref="AOT3:AOV3"/>
    <mergeCell ref="AOW3:AOY3"/>
    <mergeCell ref="AOZ3:APB3"/>
    <mergeCell ref="APC3:APE3"/>
    <mergeCell ref="APF3:APH3"/>
    <mergeCell ref="AON5:AOP5"/>
    <mergeCell ref="AOQ5:AOS5"/>
    <mergeCell ref="AOT5:AOV5"/>
    <mergeCell ref="AOW5:AOY5"/>
    <mergeCell ref="AOZ5:APB5"/>
    <mergeCell ref="APC5:APE5"/>
    <mergeCell ref="APF5:APH5"/>
    <mergeCell ref="AON6:AOP6"/>
    <mergeCell ref="AOQ6:AOS6"/>
    <mergeCell ref="AOT6:AOV6"/>
    <mergeCell ref="AOW6:AOY6"/>
    <mergeCell ref="AOZ6:APB6"/>
    <mergeCell ref="APC6:APE6"/>
    <mergeCell ref="APF6:APH6"/>
    <mergeCell ref="AON7:AOP7"/>
    <mergeCell ref="AOQ7:AOS7"/>
    <mergeCell ref="AOT7:AOV7"/>
    <mergeCell ref="AOW7:AOY7"/>
    <mergeCell ref="AOZ7:APB7"/>
    <mergeCell ref="APC7:APE7"/>
    <mergeCell ref="APF7:APH7"/>
    <mergeCell ref="AON8:AOP8"/>
    <mergeCell ref="AOQ8:AOS8"/>
    <mergeCell ref="AOT8:AOV8"/>
    <mergeCell ref="AOW8:AOY8"/>
    <mergeCell ref="AOZ8:APB8"/>
    <mergeCell ref="APC8:APE8"/>
    <mergeCell ref="APF8:APH8"/>
    <mergeCell ref="ANS58:ANU58"/>
    <mergeCell ref="ANV58:ANX58"/>
    <mergeCell ref="ANY58:AOA58"/>
    <mergeCell ref="AOB58:AOD58"/>
    <mergeCell ref="AOE58:AOG58"/>
    <mergeCell ref="AOH58:AOJ58"/>
    <mergeCell ref="AOK58:AOM58"/>
    <mergeCell ref="ANS59:ANU59"/>
    <mergeCell ref="ANV59:ANX59"/>
    <mergeCell ref="ANY59:AOA59"/>
    <mergeCell ref="AOB59:AOD59"/>
    <mergeCell ref="AOE59:AOG59"/>
    <mergeCell ref="AOH59:AOJ59"/>
    <mergeCell ref="AOK59:AOM59"/>
    <mergeCell ref="ANS60:ANU60"/>
    <mergeCell ref="ANV60:ANX60"/>
    <mergeCell ref="ANY60:AOA60"/>
    <mergeCell ref="AOB60:AOD60"/>
    <mergeCell ref="AOE60:AOG60"/>
    <mergeCell ref="AOH60:AOJ60"/>
    <mergeCell ref="AOK60:AOM60"/>
    <mergeCell ref="ANS61:ANU61"/>
    <mergeCell ref="ANV61:ANX61"/>
    <mergeCell ref="ANY61:AOA61"/>
    <mergeCell ref="AOB61:AOD61"/>
    <mergeCell ref="AOE61:AOG61"/>
    <mergeCell ref="AOH61:AOJ61"/>
    <mergeCell ref="AOK61:AOM61"/>
    <mergeCell ref="AON2:AOP2"/>
    <mergeCell ref="AOQ2:AOS2"/>
    <mergeCell ref="AOT2:AOV2"/>
    <mergeCell ref="AOW2:AOY2"/>
    <mergeCell ref="AOZ2:APB2"/>
    <mergeCell ref="AON9:AOP9"/>
    <mergeCell ref="AOQ9:AOS9"/>
    <mergeCell ref="AOT9:AOV9"/>
    <mergeCell ref="AOW9:AOY9"/>
    <mergeCell ref="AOZ9:APB9"/>
    <mergeCell ref="AON15:AOP15"/>
    <mergeCell ref="AOQ15:AOS15"/>
    <mergeCell ref="AOT15:AOV15"/>
    <mergeCell ref="AOW15:AOY15"/>
    <mergeCell ref="AOZ15:APB15"/>
    <mergeCell ref="ANS54:ANU54"/>
    <mergeCell ref="ANV54:ANX54"/>
    <mergeCell ref="ANY54:AOA54"/>
    <mergeCell ref="AOB54:AOD54"/>
    <mergeCell ref="AOE54:AOG54"/>
    <mergeCell ref="AOH54:AOJ54"/>
    <mergeCell ref="AOK54:AOM54"/>
    <mergeCell ref="ANS55:ANU55"/>
    <mergeCell ref="ANV55:ANX55"/>
    <mergeCell ref="ANY55:AOA55"/>
    <mergeCell ref="AOB55:AOD55"/>
    <mergeCell ref="AOE55:AOG55"/>
    <mergeCell ref="AOH55:AOJ55"/>
    <mergeCell ref="AOK55:AOM55"/>
    <mergeCell ref="ANS56:ANU56"/>
    <mergeCell ref="ANV56:ANX56"/>
    <mergeCell ref="ANY56:AOA56"/>
    <mergeCell ref="AOB56:AOD56"/>
    <mergeCell ref="AOE56:AOG56"/>
    <mergeCell ref="AOH56:AOJ56"/>
    <mergeCell ref="AOK56:AOM56"/>
    <mergeCell ref="ANS57:ANU57"/>
    <mergeCell ref="ANV57:ANX57"/>
    <mergeCell ref="ANY57:AOA57"/>
    <mergeCell ref="AOB57:AOD57"/>
    <mergeCell ref="AOE57:AOG57"/>
    <mergeCell ref="AOH57:AOJ57"/>
    <mergeCell ref="AOK57:AOM57"/>
    <mergeCell ref="ANS51:ANU51"/>
    <mergeCell ref="ANV51:ANX51"/>
    <mergeCell ref="ANY51:AOA51"/>
    <mergeCell ref="AOB51:AOD51"/>
    <mergeCell ref="AOE51:AOG51"/>
    <mergeCell ref="AOH51:AOJ51"/>
    <mergeCell ref="AOK51:AOM51"/>
    <mergeCell ref="ANS52:ANU52"/>
    <mergeCell ref="ANV52:ANX52"/>
    <mergeCell ref="ANY52:AOA52"/>
    <mergeCell ref="AOB52:AOD52"/>
    <mergeCell ref="AOE52:AOG52"/>
    <mergeCell ref="AOH52:AOJ52"/>
    <mergeCell ref="AOK52:AOM52"/>
    <mergeCell ref="ANS46:ANU46"/>
    <mergeCell ref="ANV46:ANX46"/>
    <mergeCell ref="ANY46:AOA46"/>
    <mergeCell ref="AOB46:AOD46"/>
    <mergeCell ref="AOE46:AOG46"/>
    <mergeCell ref="AOH46:AOJ46"/>
    <mergeCell ref="AOK46:AOM46"/>
    <mergeCell ref="ANS47:ANU47"/>
    <mergeCell ref="ANV47:ANX47"/>
    <mergeCell ref="ANY47:AOA47"/>
    <mergeCell ref="AOB47:AOD47"/>
    <mergeCell ref="AOE47:AOG47"/>
    <mergeCell ref="AOH47:AOJ47"/>
    <mergeCell ref="AOK47:AOM47"/>
    <mergeCell ref="ANS48:ANU48"/>
    <mergeCell ref="ANV48:ANX48"/>
    <mergeCell ref="ANY48:AOA48"/>
    <mergeCell ref="AOB48:AOD48"/>
    <mergeCell ref="AOE48:AOG48"/>
    <mergeCell ref="AOH48:AOJ48"/>
    <mergeCell ref="AOK48:AOM48"/>
    <mergeCell ref="ANS49:ANU49"/>
    <mergeCell ref="ANV49:ANX49"/>
    <mergeCell ref="ANY49:AOA49"/>
    <mergeCell ref="AOB49:AOD49"/>
    <mergeCell ref="AOE49:AOG49"/>
    <mergeCell ref="AOH49:AOJ49"/>
    <mergeCell ref="AOK49:AOM49"/>
    <mergeCell ref="ANS50:ANU50"/>
    <mergeCell ref="ANV50:ANX50"/>
    <mergeCell ref="ANY50:AOA50"/>
    <mergeCell ref="AOB50:AOD50"/>
    <mergeCell ref="AOE50:AOG50"/>
    <mergeCell ref="AOH50:AOJ50"/>
    <mergeCell ref="AOK50:AOM50"/>
    <mergeCell ref="ANS41:ANU41"/>
    <mergeCell ref="ANV41:ANX41"/>
    <mergeCell ref="ANY41:AOA41"/>
    <mergeCell ref="AOB41:AOD41"/>
    <mergeCell ref="AOE41:AOG41"/>
    <mergeCell ref="AOH41:AOJ41"/>
    <mergeCell ref="AOK41:AOM41"/>
    <mergeCell ref="ANS42:ANU42"/>
    <mergeCell ref="ANV42:ANX42"/>
    <mergeCell ref="ANY42:AOA42"/>
    <mergeCell ref="AOB42:AOD42"/>
    <mergeCell ref="AOE42:AOG42"/>
    <mergeCell ref="AOH42:AOJ42"/>
    <mergeCell ref="AOK42:AOM42"/>
    <mergeCell ref="ANS43:ANU43"/>
    <mergeCell ref="ANV43:ANX43"/>
    <mergeCell ref="ANY43:AOA43"/>
    <mergeCell ref="AOB43:AOD43"/>
    <mergeCell ref="AOE43:AOG43"/>
    <mergeCell ref="AOH43:AOJ43"/>
    <mergeCell ref="AOK43:AOM43"/>
    <mergeCell ref="ANS44:ANU44"/>
    <mergeCell ref="ANV44:ANX44"/>
    <mergeCell ref="ANY44:AOA44"/>
    <mergeCell ref="AOB44:AOD44"/>
    <mergeCell ref="AOE44:AOG44"/>
    <mergeCell ref="AOH44:AOJ44"/>
    <mergeCell ref="AOK44:AOM44"/>
    <mergeCell ref="ANS45:ANU45"/>
    <mergeCell ref="ANV45:ANX45"/>
    <mergeCell ref="ANY45:AOA45"/>
    <mergeCell ref="AOB45:AOD45"/>
    <mergeCell ref="AOE45:AOG45"/>
    <mergeCell ref="AOH45:AOJ45"/>
    <mergeCell ref="AOK45:AOM45"/>
    <mergeCell ref="ANS40:ANU40"/>
    <mergeCell ref="ANV40:ANX40"/>
    <mergeCell ref="ANY40:AOA40"/>
    <mergeCell ref="AOB40:AOD40"/>
    <mergeCell ref="AOE40:AOG40"/>
    <mergeCell ref="AOH40:AOJ40"/>
    <mergeCell ref="AOK40:AOM40"/>
    <mergeCell ref="ANS36:ANU36"/>
    <mergeCell ref="ANV36:ANX36"/>
    <mergeCell ref="ANY36:AOA36"/>
    <mergeCell ref="AOB36:AOD36"/>
    <mergeCell ref="AOE36:AOG36"/>
    <mergeCell ref="AOH36:AOJ36"/>
    <mergeCell ref="AOK36:AOM36"/>
    <mergeCell ref="ANS34:ANU34"/>
    <mergeCell ref="ANV34:ANX34"/>
    <mergeCell ref="ANY34:AOA34"/>
    <mergeCell ref="AOB34:AOD34"/>
    <mergeCell ref="AOE34:AOG34"/>
    <mergeCell ref="AOH34:AOJ34"/>
    <mergeCell ref="AOK34:AOM34"/>
    <mergeCell ref="ANS35:ANU35"/>
    <mergeCell ref="ANV35:ANX35"/>
    <mergeCell ref="ANY35:AOA35"/>
    <mergeCell ref="AOB35:AOD35"/>
    <mergeCell ref="AOE35:AOG35"/>
    <mergeCell ref="AOH35:AOJ35"/>
    <mergeCell ref="AOK35:AOM35"/>
    <mergeCell ref="ANS39:ANU39"/>
    <mergeCell ref="ANV39:ANX39"/>
    <mergeCell ref="ANY39:AOA39"/>
    <mergeCell ref="AOB39:AOD39"/>
    <mergeCell ref="AOE39:AOG39"/>
    <mergeCell ref="AOH39:AOJ39"/>
    <mergeCell ref="AOK39:AOM39"/>
    <mergeCell ref="ANS30:ANU30"/>
    <mergeCell ref="ANV30:ANX30"/>
    <mergeCell ref="ANY30:AOA30"/>
    <mergeCell ref="AOB30:AOD30"/>
    <mergeCell ref="AOE30:AOG30"/>
    <mergeCell ref="AOH30:AOJ30"/>
    <mergeCell ref="AOK30:AOM30"/>
    <mergeCell ref="ANS31:ANU31"/>
    <mergeCell ref="ANV31:ANX31"/>
    <mergeCell ref="ANY31:AOA31"/>
    <mergeCell ref="AOB31:AOD31"/>
    <mergeCell ref="AOE31:AOG31"/>
    <mergeCell ref="AOH31:AOJ31"/>
    <mergeCell ref="AOK31:AOM31"/>
    <mergeCell ref="ANS32:ANU32"/>
    <mergeCell ref="ANV32:ANX32"/>
    <mergeCell ref="ANY32:AOA32"/>
    <mergeCell ref="AOB32:AOD32"/>
    <mergeCell ref="AOE32:AOG32"/>
    <mergeCell ref="AOH32:AOJ32"/>
    <mergeCell ref="AOK32:AOM32"/>
    <mergeCell ref="ANS33:ANU33"/>
    <mergeCell ref="ANV33:ANX33"/>
    <mergeCell ref="ANY33:AOA33"/>
    <mergeCell ref="AOB33:AOD33"/>
    <mergeCell ref="AOE33:AOG33"/>
    <mergeCell ref="AOH33:AOJ33"/>
    <mergeCell ref="AOK33:AOM33"/>
    <mergeCell ref="ANS27:ANU27"/>
    <mergeCell ref="ANV27:ANX27"/>
    <mergeCell ref="ANY27:AOA27"/>
    <mergeCell ref="AOB27:AOD27"/>
    <mergeCell ref="AOE27:AOG27"/>
    <mergeCell ref="AOH27:AOJ27"/>
    <mergeCell ref="AOK27:AOM27"/>
    <mergeCell ref="ANS21:ANU21"/>
    <mergeCell ref="ANV21:ANX21"/>
    <mergeCell ref="ANY21:AOA21"/>
    <mergeCell ref="AOB21:AOD21"/>
    <mergeCell ref="AOE21:AOG21"/>
    <mergeCell ref="AOH21:AOJ21"/>
    <mergeCell ref="AOK21:AOM21"/>
    <mergeCell ref="ANS22:ANU22"/>
    <mergeCell ref="ANV22:ANX22"/>
    <mergeCell ref="ANY22:AOA22"/>
    <mergeCell ref="AOB22:AOD22"/>
    <mergeCell ref="AOE22:AOG22"/>
    <mergeCell ref="AOH22:AOJ22"/>
    <mergeCell ref="AOK22:AOM22"/>
    <mergeCell ref="ANS19:ANU19"/>
    <mergeCell ref="ANV19:ANX19"/>
    <mergeCell ref="ANY19:AOA19"/>
    <mergeCell ref="AOB19:AOD19"/>
    <mergeCell ref="AOE19:AOG19"/>
    <mergeCell ref="AOH19:AOJ19"/>
    <mergeCell ref="AOK19:AOM19"/>
    <mergeCell ref="ANS20:ANU20"/>
    <mergeCell ref="ANS16:ANU16"/>
    <mergeCell ref="ANV16:ANX16"/>
    <mergeCell ref="ANY16:AOA16"/>
    <mergeCell ref="AOB16:AOD16"/>
    <mergeCell ref="AOE16:AOG16"/>
    <mergeCell ref="AOH16:AOJ16"/>
    <mergeCell ref="AOK16:AOM16"/>
    <mergeCell ref="ANS29:ANU29"/>
    <mergeCell ref="ANV29:ANX29"/>
    <mergeCell ref="ANY29:AOA29"/>
    <mergeCell ref="AOB29:AOD29"/>
    <mergeCell ref="AOE29:AOG29"/>
    <mergeCell ref="AOH29:AOJ29"/>
    <mergeCell ref="AOK29:AOM29"/>
    <mergeCell ref="ANV20:ANX20"/>
    <mergeCell ref="ANY20:AOA20"/>
    <mergeCell ref="AOB20:AOD20"/>
    <mergeCell ref="AOE20:AOG20"/>
    <mergeCell ref="AOH20:AOJ20"/>
    <mergeCell ref="AOK20:AOM20"/>
    <mergeCell ref="ANS17:ANU17"/>
    <mergeCell ref="ANV17:ANX17"/>
    <mergeCell ref="ANS15:ANU15"/>
    <mergeCell ref="ANV15:ANX15"/>
    <mergeCell ref="ANY15:AOA15"/>
    <mergeCell ref="AOB15:AOD15"/>
    <mergeCell ref="AOE15:AOG15"/>
    <mergeCell ref="AOH15:AOJ15"/>
    <mergeCell ref="AOK15:AOM15"/>
    <mergeCell ref="ANV10:ANX10"/>
    <mergeCell ref="ANY10:AOA10"/>
    <mergeCell ref="AOB10:AOD10"/>
    <mergeCell ref="AOE10:AOG10"/>
    <mergeCell ref="AOH10:AOJ10"/>
    <mergeCell ref="AOK10:AOM10"/>
    <mergeCell ref="ANS11:ANU11"/>
    <mergeCell ref="ANV11:ANX11"/>
    <mergeCell ref="ANY11:AOA11"/>
    <mergeCell ref="AOB11:AOD11"/>
    <mergeCell ref="AOE11:AOG11"/>
    <mergeCell ref="AOH11:AOJ11"/>
    <mergeCell ref="AOK11:AOM11"/>
    <mergeCell ref="ANS12:ANU12"/>
    <mergeCell ref="ANV12:ANX12"/>
    <mergeCell ref="ANY12:AOA12"/>
    <mergeCell ref="AOB12:AOD12"/>
    <mergeCell ref="AOE12:AOG12"/>
    <mergeCell ref="AOH12:AOJ12"/>
    <mergeCell ref="AOK12:AOM12"/>
    <mergeCell ref="ANS13:ANU13"/>
    <mergeCell ref="ANV13:ANX13"/>
    <mergeCell ref="ANY13:AOA13"/>
    <mergeCell ref="AOB13:AOD13"/>
    <mergeCell ref="AOE13:AOG13"/>
    <mergeCell ref="AOH13:AOJ13"/>
    <mergeCell ref="AOK13:AOM13"/>
    <mergeCell ref="ANS14:ANU14"/>
    <mergeCell ref="ANV14:ANX14"/>
    <mergeCell ref="ANY14:AOA14"/>
    <mergeCell ref="AOB14:AOD14"/>
    <mergeCell ref="AOE14:AOG14"/>
    <mergeCell ref="AOH14:AOJ14"/>
    <mergeCell ref="AOK14:AOM14"/>
    <mergeCell ref="AMX60:AMZ60"/>
    <mergeCell ref="ANA60:ANC60"/>
    <mergeCell ref="AND60:ANF60"/>
    <mergeCell ref="ANG60:ANI60"/>
    <mergeCell ref="ANJ60:ANL60"/>
    <mergeCell ref="ANM60:ANO60"/>
    <mergeCell ref="ANP60:ANR60"/>
    <mergeCell ref="AMX61:AMZ61"/>
    <mergeCell ref="ANA61:ANC61"/>
    <mergeCell ref="AND61:ANF61"/>
    <mergeCell ref="ANG61:ANI61"/>
    <mergeCell ref="ANJ61:ANL61"/>
    <mergeCell ref="ANM61:ANO61"/>
    <mergeCell ref="ANP61:ANR61"/>
    <mergeCell ref="ANS2:ANU2"/>
    <mergeCell ref="ANV2:ANX2"/>
    <mergeCell ref="ANY2:AOA2"/>
    <mergeCell ref="AOB2:AOD2"/>
    <mergeCell ref="AOE2:AOG2"/>
    <mergeCell ref="AOH2:AOJ2"/>
    <mergeCell ref="AOK2:AOM2"/>
    <mergeCell ref="ANS3:ANU3"/>
    <mergeCell ref="ANV3:ANX3"/>
    <mergeCell ref="ANY3:AOA3"/>
    <mergeCell ref="AOB3:AOD3"/>
    <mergeCell ref="AOE3:AOG3"/>
    <mergeCell ref="AOH3:AOJ3"/>
    <mergeCell ref="AOK3:AOM3"/>
    <mergeCell ref="ANS5:ANU5"/>
    <mergeCell ref="ANV5:ANX5"/>
    <mergeCell ref="ANY5:AOA5"/>
    <mergeCell ref="AOB5:AOD5"/>
    <mergeCell ref="AOE5:AOG5"/>
    <mergeCell ref="AOH5:AOJ5"/>
    <mergeCell ref="AOK5:AOM5"/>
    <mergeCell ref="ANS6:ANU6"/>
    <mergeCell ref="ANV6:ANX6"/>
    <mergeCell ref="ANY6:AOA6"/>
    <mergeCell ref="AOB6:AOD6"/>
    <mergeCell ref="AOE6:AOG6"/>
    <mergeCell ref="AOH6:AOJ6"/>
    <mergeCell ref="AOK6:AOM6"/>
    <mergeCell ref="ANS7:ANU7"/>
    <mergeCell ref="ANV7:ANX7"/>
    <mergeCell ref="ANY7:AOA7"/>
    <mergeCell ref="AOB7:AOD7"/>
    <mergeCell ref="AOE7:AOG7"/>
    <mergeCell ref="AOH7:AOJ7"/>
    <mergeCell ref="AOK7:AOM7"/>
    <mergeCell ref="ANS8:ANU8"/>
    <mergeCell ref="ANV8:ANX8"/>
    <mergeCell ref="ANY8:AOA8"/>
    <mergeCell ref="AOB8:AOD8"/>
    <mergeCell ref="AOE8:AOG8"/>
    <mergeCell ref="AOH8:AOJ8"/>
    <mergeCell ref="AOK8:AOM8"/>
    <mergeCell ref="ANS9:ANU9"/>
    <mergeCell ref="ANV9:ANX9"/>
    <mergeCell ref="ANY9:AOA9"/>
    <mergeCell ref="AOB9:AOD9"/>
    <mergeCell ref="AOE9:AOG9"/>
    <mergeCell ref="AOH9:AOJ9"/>
    <mergeCell ref="AOK9:AOM9"/>
    <mergeCell ref="ANS10:ANU10"/>
    <mergeCell ref="AMX55:AMZ55"/>
    <mergeCell ref="ANA55:ANC55"/>
    <mergeCell ref="AND55:ANF55"/>
    <mergeCell ref="ANG55:ANI55"/>
    <mergeCell ref="ANJ55:ANL55"/>
    <mergeCell ref="ANM55:ANO55"/>
    <mergeCell ref="ANP55:ANR55"/>
    <mergeCell ref="AMX56:AMZ56"/>
    <mergeCell ref="ANA56:ANC56"/>
    <mergeCell ref="AND56:ANF56"/>
    <mergeCell ref="ANG56:ANI56"/>
    <mergeCell ref="ANJ56:ANL56"/>
    <mergeCell ref="ANM56:ANO56"/>
    <mergeCell ref="ANP56:ANR56"/>
    <mergeCell ref="AMX57:AMZ57"/>
    <mergeCell ref="ANA57:ANC57"/>
    <mergeCell ref="AND57:ANF57"/>
    <mergeCell ref="ANG57:ANI57"/>
    <mergeCell ref="ANJ57:ANL57"/>
    <mergeCell ref="ANM57:ANO57"/>
    <mergeCell ref="ANP57:ANR57"/>
    <mergeCell ref="AMX58:AMZ58"/>
    <mergeCell ref="ANA58:ANC58"/>
    <mergeCell ref="AND58:ANF58"/>
    <mergeCell ref="ANG58:ANI58"/>
    <mergeCell ref="ANJ58:ANL58"/>
    <mergeCell ref="ANM58:ANO58"/>
    <mergeCell ref="ANP58:ANR58"/>
    <mergeCell ref="AMX59:AMZ59"/>
    <mergeCell ref="ANA59:ANC59"/>
    <mergeCell ref="AND59:ANF59"/>
    <mergeCell ref="ANG59:ANI59"/>
    <mergeCell ref="ANJ59:ANL59"/>
    <mergeCell ref="ANM59:ANO59"/>
    <mergeCell ref="ANP59:ANR59"/>
    <mergeCell ref="AMX54:AMZ54"/>
    <mergeCell ref="ANA54:ANC54"/>
    <mergeCell ref="AND54:ANF54"/>
    <mergeCell ref="ANG54:ANI54"/>
    <mergeCell ref="ANJ54:ANL54"/>
    <mergeCell ref="ANM54:ANO54"/>
    <mergeCell ref="ANP54:ANR54"/>
    <mergeCell ref="AMX48:AMZ48"/>
    <mergeCell ref="ANA48:ANC48"/>
    <mergeCell ref="AND48:ANF48"/>
    <mergeCell ref="ANG48:ANI48"/>
    <mergeCell ref="ANJ48:ANL48"/>
    <mergeCell ref="ANM48:ANO48"/>
    <mergeCell ref="ANP48:ANR48"/>
    <mergeCell ref="AMX49:AMZ49"/>
    <mergeCell ref="ANA49:ANC49"/>
    <mergeCell ref="AND49:ANF49"/>
    <mergeCell ref="ANG49:ANI49"/>
    <mergeCell ref="ANJ49:ANL49"/>
    <mergeCell ref="ANM49:ANO49"/>
    <mergeCell ref="ANP49:ANR49"/>
    <mergeCell ref="AMX50:AMZ50"/>
    <mergeCell ref="ANA50:ANC50"/>
    <mergeCell ref="AND50:ANF50"/>
    <mergeCell ref="ANG50:ANI50"/>
    <mergeCell ref="ANJ50:ANL50"/>
    <mergeCell ref="ANM50:ANO50"/>
    <mergeCell ref="ANP50:ANR50"/>
    <mergeCell ref="AMX51:AMZ51"/>
    <mergeCell ref="ANA51:ANC51"/>
    <mergeCell ref="AND51:ANF51"/>
    <mergeCell ref="ANG51:ANI51"/>
    <mergeCell ref="ANJ51:ANL51"/>
    <mergeCell ref="ANM51:ANO51"/>
    <mergeCell ref="ANP51:ANR51"/>
    <mergeCell ref="AMX52:AMZ52"/>
    <mergeCell ref="ANA52:ANC52"/>
    <mergeCell ref="AND52:ANF52"/>
    <mergeCell ref="ANG52:ANI52"/>
    <mergeCell ref="ANJ52:ANL52"/>
    <mergeCell ref="ANM52:ANO52"/>
    <mergeCell ref="ANP52:ANR52"/>
    <mergeCell ref="AMX43:AMZ43"/>
    <mergeCell ref="ANA43:ANC43"/>
    <mergeCell ref="AND43:ANF43"/>
    <mergeCell ref="ANG43:ANI43"/>
    <mergeCell ref="ANJ43:ANL43"/>
    <mergeCell ref="ANM43:ANO43"/>
    <mergeCell ref="ANP43:ANR43"/>
    <mergeCell ref="AMX44:AMZ44"/>
    <mergeCell ref="ANA44:ANC44"/>
    <mergeCell ref="AND44:ANF44"/>
    <mergeCell ref="ANG44:ANI44"/>
    <mergeCell ref="ANJ44:ANL44"/>
    <mergeCell ref="ANM44:ANO44"/>
    <mergeCell ref="ANP44:ANR44"/>
    <mergeCell ref="AMX45:AMZ45"/>
    <mergeCell ref="ANA45:ANC45"/>
    <mergeCell ref="AND45:ANF45"/>
    <mergeCell ref="ANG45:ANI45"/>
    <mergeCell ref="ANJ45:ANL45"/>
    <mergeCell ref="ANM45:ANO45"/>
    <mergeCell ref="ANP45:ANR45"/>
    <mergeCell ref="AMX46:AMZ46"/>
    <mergeCell ref="ANA46:ANC46"/>
    <mergeCell ref="AND46:ANF46"/>
    <mergeCell ref="ANG46:ANI46"/>
    <mergeCell ref="ANJ46:ANL46"/>
    <mergeCell ref="ANM46:ANO46"/>
    <mergeCell ref="ANP46:ANR46"/>
    <mergeCell ref="AMX47:AMZ47"/>
    <mergeCell ref="ANA47:ANC47"/>
    <mergeCell ref="AND47:ANF47"/>
    <mergeCell ref="ANG47:ANI47"/>
    <mergeCell ref="ANJ47:ANL47"/>
    <mergeCell ref="ANM47:ANO47"/>
    <mergeCell ref="ANP47:ANR47"/>
    <mergeCell ref="AMX40:AMZ40"/>
    <mergeCell ref="ANA40:ANC40"/>
    <mergeCell ref="AND40:ANF40"/>
    <mergeCell ref="ANG40:ANI40"/>
    <mergeCell ref="ANJ40:ANL40"/>
    <mergeCell ref="ANM40:ANO40"/>
    <mergeCell ref="ANP40:ANR40"/>
    <mergeCell ref="AMX41:AMZ41"/>
    <mergeCell ref="ANA41:ANC41"/>
    <mergeCell ref="AND41:ANF41"/>
    <mergeCell ref="ANG41:ANI41"/>
    <mergeCell ref="ANJ41:ANL41"/>
    <mergeCell ref="ANM41:ANO41"/>
    <mergeCell ref="ANP41:ANR41"/>
    <mergeCell ref="AMX42:AMZ42"/>
    <mergeCell ref="ANA42:ANC42"/>
    <mergeCell ref="AND42:ANF42"/>
    <mergeCell ref="ANG42:ANI42"/>
    <mergeCell ref="ANJ42:ANL42"/>
    <mergeCell ref="ANM42:ANO42"/>
    <mergeCell ref="ANP42:ANR42"/>
    <mergeCell ref="AMX36:AMZ36"/>
    <mergeCell ref="ANA36:ANC36"/>
    <mergeCell ref="AND36:ANF36"/>
    <mergeCell ref="ANG36:ANI36"/>
    <mergeCell ref="ANJ36:ANL36"/>
    <mergeCell ref="ANM36:ANO36"/>
    <mergeCell ref="ANP36:ANR36"/>
    <mergeCell ref="AMX39:AMZ39"/>
    <mergeCell ref="ANA39:ANC39"/>
    <mergeCell ref="AND39:ANF39"/>
    <mergeCell ref="ANG39:ANI39"/>
    <mergeCell ref="ANJ39:ANL39"/>
    <mergeCell ref="ANM39:ANO39"/>
    <mergeCell ref="ANP39:ANR39"/>
    <mergeCell ref="AMX31:AMZ31"/>
    <mergeCell ref="ANA31:ANC31"/>
    <mergeCell ref="AND31:ANF31"/>
    <mergeCell ref="ANG31:ANI31"/>
    <mergeCell ref="ANJ31:ANL31"/>
    <mergeCell ref="ANM31:ANO31"/>
    <mergeCell ref="ANP31:ANR31"/>
    <mergeCell ref="AMX32:AMZ32"/>
    <mergeCell ref="ANA32:ANC32"/>
    <mergeCell ref="AND32:ANF32"/>
    <mergeCell ref="ANG32:ANI32"/>
    <mergeCell ref="ANJ32:ANL32"/>
    <mergeCell ref="ANM32:ANO32"/>
    <mergeCell ref="ANP32:ANR32"/>
    <mergeCell ref="AMX33:AMZ33"/>
    <mergeCell ref="ANA33:ANC33"/>
    <mergeCell ref="AND33:ANF33"/>
    <mergeCell ref="ANG33:ANI33"/>
    <mergeCell ref="ANJ33:ANL33"/>
    <mergeCell ref="ANM33:ANO33"/>
    <mergeCell ref="ANP33:ANR33"/>
    <mergeCell ref="AMX34:AMZ34"/>
    <mergeCell ref="ANA34:ANC34"/>
    <mergeCell ref="AND34:ANF34"/>
    <mergeCell ref="ANG34:ANI34"/>
    <mergeCell ref="ANJ34:ANL34"/>
    <mergeCell ref="ANM34:ANO34"/>
    <mergeCell ref="ANP34:ANR34"/>
    <mergeCell ref="AMX35:AMZ35"/>
    <mergeCell ref="ANA35:ANC35"/>
    <mergeCell ref="AND35:ANF35"/>
    <mergeCell ref="ANG35:ANI35"/>
    <mergeCell ref="ANJ35:ANL35"/>
    <mergeCell ref="ANM35:ANO35"/>
    <mergeCell ref="ANP35:ANR35"/>
    <mergeCell ref="AMX30:AMZ30"/>
    <mergeCell ref="ANA30:ANC30"/>
    <mergeCell ref="AND30:ANF30"/>
    <mergeCell ref="ANG30:ANI30"/>
    <mergeCell ref="ANJ30:ANL30"/>
    <mergeCell ref="ANM30:ANO30"/>
    <mergeCell ref="ANP30:ANR30"/>
    <mergeCell ref="AMX27:AMZ27"/>
    <mergeCell ref="ANA27:ANC27"/>
    <mergeCell ref="AND27:ANF27"/>
    <mergeCell ref="ANG27:ANI27"/>
    <mergeCell ref="ANJ27:ANL27"/>
    <mergeCell ref="ANM27:ANO27"/>
    <mergeCell ref="ANP27:ANR27"/>
    <mergeCell ref="AMX19:AMZ19"/>
    <mergeCell ref="ANA19:ANC19"/>
    <mergeCell ref="AND19:ANF19"/>
    <mergeCell ref="ANG19:ANI19"/>
    <mergeCell ref="ANJ19:ANL19"/>
    <mergeCell ref="ANM19:ANO19"/>
    <mergeCell ref="ANP19:ANR19"/>
    <mergeCell ref="AMX20:AMZ20"/>
    <mergeCell ref="ANA20:ANC20"/>
    <mergeCell ref="AND20:ANF20"/>
    <mergeCell ref="ANG20:ANI20"/>
    <mergeCell ref="ANJ20:ANL20"/>
    <mergeCell ref="ANM20:ANO20"/>
    <mergeCell ref="ANP20:ANR20"/>
    <mergeCell ref="AMX21:AMZ21"/>
    <mergeCell ref="ANA21:ANC21"/>
    <mergeCell ref="AND21:ANF21"/>
    <mergeCell ref="ANG21:ANI21"/>
    <mergeCell ref="ANJ21:ANL21"/>
    <mergeCell ref="ANM21:ANO21"/>
    <mergeCell ref="ANP21:ANR21"/>
    <mergeCell ref="AMX22:AMZ22"/>
    <mergeCell ref="ANA22:ANC22"/>
    <mergeCell ref="AND22:ANF22"/>
    <mergeCell ref="ANG22:ANI22"/>
    <mergeCell ref="ANJ22:ANL22"/>
    <mergeCell ref="ANM22:ANO22"/>
    <mergeCell ref="ANP22:ANR22"/>
    <mergeCell ref="AMX16:AMZ16"/>
    <mergeCell ref="ANA16:ANC16"/>
    <mergeCell ref="AND16:ANF16"/>
    <mergeCell ref="ANG16:ANI16"/>
    <mergeCell ref="ANJ16:ANL16"/>
    <mergeCell ref="ANM16:ANO16"/>
    <mergeCell ref="ANP16:ANR16"/>
    <mergeCell ref="AMX29:AMZ29"/>
    <mergeCell ref="ANA29:ANC29"/>
    <mergeCell ref="AND29:ANF29"/>
    <mergeCell ref="ANG29:ANI29"/>
    <mergeCell ref="ANJ29:ANL29"/>
    <mergeCell ref="ANM29:ANO29"/>
    <mergeCell ref="ANP29:ANR29"/>
    <mergeCell ref="ANP17:ANR17"/>
    <mergeCell ref="AMX13:AMZ13"/>
    <mergeCell ref="ANA13:ANC13"/>
    <mergeCell ref="AND13:ANF13"/>
    <mergeCell ref="ANG13:ANI13"/>
    <mergeCell ref="ANJ13:ANL13"/>
    <mergeCell ref="ANM13:ANO13"/>
    <mergeCell ref="ANP13:ANR13"/>
    <mergeCell ref="AMX14:AMZ14"/>
    <mergeCell ref="ANA14:ANC14"/>
    <mergeCell ref="AND14:ANF14"/>
    <mergeCell ref="ANG14:ANI14"/>
    <mergeCell ref="ANJ14:ANL14"/>
    <mergeCell ref="ANM14:ANO14"/>
    <mergeCell ref="ANP14:ANR14"/>
    <mergeCell ref="AMX15:AMZ15"/>
    <mergeCell ref="ANA15:ANC15"/>
    <mergeCell ref="AND15:ANF15"/>
    <mergeCell ref="ANG15:ANI15"/>
    <mergeCell ref="ANJ15:ANL15"/>
    <mergeCell ref="ANM15:ANO15"/>
    <mergeCell ref="ANP15:ANR15"/>
    <mergeCell ref="AMX8:AMZ8"/>
    <mergeCell ref="ANA8:ANC8"/>
    <mergeCell ref="AND8:ANF8"/>
    <mergeCell ref="ANG8:ANI8"/>
    <mergeCell ref="ANJ8:ANL8"/>
    <mergeCell ref="ANM8:ANO8"/>
    <mergeCell ref="ANP8:ANR8"/>
    <mergeCell ref="AMX9:AMZ9"/>
    <mergeCell ref="ANA9:ANC9"/>
    <mergeCell ref="AND9:ANF9"/>
    <mergeCell ref="ANG9:ANI9"/>
    <mergeCell ref="ANJ9:ANL9"/>
    <mergeCell ref="ANM9:ANO9"/>
    <mergeCell ref="ANP9:ANR9"/>
    <mergeCell ref="AMX10:AMZ10"/>
    <mergeCell ref="ANA10:ANC10"/>
    <mergeCell ref="AND10:ANF10"/>
    <mergeCell ref="ANG10:ANI10"/>
    <mergeCell ref="ANJ10:ANL10"/>
    <mergeCell ref="ANM10:ANO10"/>
    <mergeCell ref="ANP10:ANR10"/>
    <mergeCell ref="AMX11:AMZ11"/>
    <mergeCell ref="ANA11:ANC11"/>
    <mergeCell ref="AND11:ANF11"/>
    <mergeCell ref="ANG11:ANI11"/>
    <mergeCell ref="ANJ11:ANL11"/>
    <mergeCell ref="ANM11:ANO11"/>
    <mergeCell ref="ANP11:ANR11"/>
    <mergeCell ref="AMX12:AMZ12"/>
    <mergeCell ref="ANA12:ANC12"/>
    <mergeCell ref="AND12:ANF12"/>
    <mergeCell ref="ANG12:ANI12"/>
    <mergeCell ref="ANJ12:ANL12"/>
    <mergeCell ref="ANM12:ANO12"/>
    <mergeCell ref="ANP12:ANR12"/>
    <mergeCell ref="AMX2:AMZ2"/>
    <mergeCell ref="ANA2:ANC2"/>
    <mergeCell ref="AND2:ANF2"/>
    <mergeCell ref="ANG2:ANI2"/>
    <mergeCell ref="ANJ2:ANL2"/>
    <mergeCell ref="ANM2:ANO2"/>
    <mergeCell ref="ANP2:ANR2"/>
    <mergeCell ref="AMX3:AMZ3"/>
    <mergeCell ref="ANA3:ANC3"/>
    <mergeCell ref="AND3:ANF3"/>
    <mergeCell ref="ANG3:ANI3"/>
    <mergeCell ref="ANJ3:ANL3"/>
    <mergeCell ref="ANM3:ANO3"/>
    <mergeCell ref="ANP3:ANR3"/>
    <mergeCell ref="AMX5:AMZ5"/>
    <mergeCell ref="ANA5:ANC5"/>
    <mergeCell ref="AND5:ANF5"/>
    <mergeCell ref="ANG5:ANI5"/>
    <mergeCell ref="ANJ5:ANL5"/>
    <mergeCell ref="ANM5:ANO5"/>
    <mergeCell ref="ANP5:ANR5"/>
    <mergeCell ref="AMX6:AMZ6"/>
    <mergeCell ref="ANA6:ANC6"/>
    <mergeCell ref="AND6:ANF6"/>
    <mergeCell ref="ANG6:ANI6"/>
    <mergeCell ref="ANJ6:ANL6"/>
    <mergeCell ref="ANM6:ANO6"/>
    <mergeCell ref="ANP6:ANR6"/>
    <mergeCell ref="AMX7:AMZ7"/>
    <mergeCell ref="ANA7:ANC7"/>
    <mergeCell ref="AND7:ANF7"/>
    <mergeCell ref="ANG7:ANI7"/>
    <mergeCell ref="ANJ7:ANL7"/>
    <mergeCell ref="ANM7:ANO7"/>
    <mergeCell ref="ANP7:ANR7"/>
    <mergeCell ref="AMC60:AME60"/>
    <mergeCell ref="AMF60:AMH60"/>
    <mergeCell ref="AMI60:AMK60"/>
    <mergeCell ref="AML60:AMN60"/>
    <mergeCell ref="AMO60:AMQ60"/>
    <mergeCell ref="AMR60:AMT60"/>
    <mergeCell ref="AMU60:AMW60"/>
    <mergeCell ref="AMC61:AME61"/>
    <mergeCell ref="AMF61:AMH61"/>
    <mergeCell ref="AMI61:AMK61"/>
    <mergeCell ref="AML61:AMN61"/>
    <mergeCell ref="AMO61:AMQ61"/>
    <mergeCell ref="AMR61:AMT61"/>
    <mergeCell ref="AMU61:AMW61"/>
    <mergeCell ref="AMC55:AME55"/>
    <mergeCell ref="AMF55:AMH55"/>
    <mergeCell ref="AMI55:AMK55"/>
    <mergeCell ref="AML55:AMN55"/>
    <mergeCell ref="AMO55:AMQ55"/>
    <mergeCell ref="AMR55:AMT55"/>
    <mergeCell ref="AMU55:AMW55"/>
    <mergeCell ref="AMC56:AME56"/>
    <mergeCell ref="AMF56:AMH56"/>
    <mergeCell ref="AMI56:AMK56"/>
    <mergeCell ref="AML56:AMN56"/>
    <mergeCell ref="AMO56:AMQ56"/>
    <mergeCell ref="AMR56:AMT56"/>
    <mergeCell ref="AMU56:AMW56"/>
    <mergeCell ref="AMC57:AME57"/>
    <mergeCell ref="AMF57:AMH57"/>
    <mergeCell ref="AMI57:AMK57"/>
    <mergeCell ref="AML57:AMN57"/>
    <mergeCell ref="AMO57:AMQ57"/>
    <mergeCell ref="AMR57:AMT57"/>
    <mergeCell ref="AMU57:AMW57"/>
    <mergeCell ref="AMC58:AME58"/>
    <mergeCell ref="AMF58:AMH58"/>
    <mergeCell ref="AMI58:AMK58"/>
    <mergeCell ref="AML58:AMN58"/>
    <mergeCell ref="AMO58:AMQ58"/>
    <mergeCell ref="AMR58:AMT58"/>
    <mergeCell ref="AMU58:AMW58"/>
    <mergeCell ref="AMC59:AME59"/>
    <mergeCell ref="AMF59:AMH59"/>
    <mergeCell ref="AMI59:AMK59"/>
    <mergeCell ref="AML59:AMN59"/>
    <mergeCell ref="AMO59:AMQ59"/>
    <mergeCell ref="AMR59:AMT59"/>
    <mergeCell ref="AMU59:AMW59"/>
    <mergeCell ref="AMC54:AME54"/>
    <mergeCell ref="AMF54:AMH54"/>
    <mergeCell ref="AMI54:AMK54"/>
    <mergeCell ref="AML54:AMN54"/>
    <mergeCell ref="AMO54:AMQ54"/>
    <mergeCell ref="AMR54:AMT54"/>
    <mergeCell ref="AMU54:AMW54"/>
    <mergeCell ref="AMC48:AME48"/>
    <mergeCell ref="AMF48:AMH48"/>
    <mergeCell ref="AMI48:AMK48"/>
    <mergeCell ref="AML48:AMN48"/>
    <mergeCell ref="AMO48:AMQ48"/>
    <mergeCell ref="AMR48:AMT48"/>
    <mergeCell ref="AMU48:AMW48"/>
    <mergeCell ref="AMC49:AME49"/>
    <mergeCell ref="AMF49:AMH49"/>
    <mergeCell ref="AMI49:AMK49"/>
    <mergeCell ref="AML49:AMN49"/>
    <mergeCell ref="AMO49:AMQ49"/>
    <mergeCell ref="AMR49:AMT49"/>
    <mergeCell ref="AMU49:AMW49"/>
    <mergeCell ref="AMC50:AME50"/>
    <mergeCell ref="AMF50:AMH50"/>
    <mergeCell ref="AMI50:AMK50"/>
    <mergeCell ref="AML50:AMN50"/>
    <mergeCell ref="AMO50:AMQ50"/>
    <mergeCell ref="AMR50:AMT50"/>
    <mergeCell ref="AMU50:AMW50"/>
    <mergeCell ref="AMC51:AME51"/>
    <mergeCell ref="AMF51:AMH51"/>
    <mergeCell ref="AMI51:AMK51"/>
    <mergeCell ref="AML51:AMN51"/>
    <mergeCell ref="AMO51:AMQ51"/>
    <mergeCell ref="AMR51:AMT51"/>
    <mergeCell ref="AMU51:AMW51"/>
    <mergeCell ref="AMC52:AME52"/>
    <mergeCell ref="AMF52:AMH52"/>
    <mergeCell ref="AMI52:AMK52"/>
    <mergeCell ref="AML52:AMN52"/>
    <mergeCell ref="AMO52:AMQ52"/>
    <mergeCell ref="AMR52:AMT52"/>
    <mergeCell ref="AMU52:AMW52"/>
    <mergeCell ref="AMC43:AME43"/>
    <mergeCell ref="AMF43:AMH43"/>
    <mergeCell ref="AMI43:AMK43"/>
    <mergeCell ref="AML43:AMN43"/>
    <mergeCell ref="AMO43:AMQ43"/>
    <mergeCell ref="AMR43:AMT43"/>
    <mergeCell ref="AMU43:AMW43"/>
    <mergeCell ref="AMC44:AME44"/>
    <mergeCell ref="AMF44:AMH44"/>
    <mergeCell ref="AMI44:AMK44"/>
    <mergeCell ref="AML44:AMN44"/>
    <mergeCell ref="AMO44:AMQ44"/>
    <mergeCell ref="AMR44:AMT44"/>
    <mergeCell ref="AMU44:AMW44"/>
    <mergeCell ref="AMC45:AME45"/>
    <mergeCell ref="AMF45:AMH45"/>
    <mergeCell ref="AMI45:AMK45"/>
    <mergeCell ref="AML45:AMN45"/>
    <mergeCell ref="AMO45:AMQ45"/>
    <mergeCell ref="AMR45:AMT45"/>
    <mergeCell ref="AMU45:AMW45"/>
    <mergeCell ref="AMC46:AME46"/>
    <mergeCell ref="AMF46:AMH46"/>
    <mergeCell ref="AMI46:AMK46"/>
    <mergeCell ref="AML46:AMN46"/>
    <mergeCell ref="AMO46:AMQ46"/>
    <mergeCell ref="AMR46:AMT46"/>
    <mergeCell ref="AMU46:AMW46"/>
    <mergeCell ref="AMC47:AME47"/>
    <mergeCell ref="AMF47:AMH47"/>
    <mergeCell ref="AMI47:AMK47"/>
    <mergeCell ref="AML47:AMN47"/>
    <mergeCell ref="AMO47:AMQ47"/>
    <mergeCell ref="AMR47:AMT47"/>
    <mergeCell ref="AMU47:AMW47"/>
    <mergeCell ref="AMC40:AME40"/>
    <mergeCell ref="AMF40:AMH40"/>
    <mergeCell ref="AMI40:AMK40"/>
    <mergeCell ref="AML40:AMN40"/>
    <mergeCell ref="AMO40:AMQ40"/>
    <mergeCell ref="AMR40:AMT40"/>
    <mergeCell ref="AMU40:AMW40"/>
    <mergeCell ref="AMC41:AME41"/>
    <mergeCell ref="AMF41:AMH41"/>
    <mergeCell ref="AMI41:AMK41"/>
    <mergeCell ref="AML41:AMN41"/>
    <mergeCell ref="AMO41:AMQ41"/>
    <mergeCell ref="AMR41:AMT41"/>
    <mergeCell ref="AMU41:AMW41"/>
    <mergeCell ref="AMC42:AME42"/>
    <mergeCell ref="AMF42:AMH42"/>
    <mergeCell ref="AMI42:AMK42"/>
    <mergeCell ref="AML42:AMN42"/>
    <mergeCell ref="AMO42:AMQ42"/>
    <mergeCell ref="AMR42:AMT42"/>
    <mergeCell ref="AMU42:AMW42"/>
    <mergeCell ref="AMC35:AME35"/>
    <mergeCell ref="AMF35:AMH35"/>
    <mergeCell ref="AMI35:AMK35"/>
    <mergeCell ref="AML35:AMN35"/>
    <mergeCell ref="AMO35:AMQ35"/>
    <mergeCell ref="AMR35:AMT35"/>
    <mergeCell ref="AMU35:AMW35"/>
    <mergeCell ref="AMC18:AME18"/>
    <mergeCell ref="AMC36:AME36"/>
    <mergeCell ref="AMF36:AMH36"/>
    <mergeCell ref="AMI36:AMK36"/>
    <mergeCell ref="AML36:AMN36"/>
    <mergeCell ref="AMO36:AMQ36"/>
    <mergeCell ref="AMR36:AMT36"/>
    <mergeCell ref="AMU36:AMW36"/>
    <mergeCell ref="AMC39:AME39"/>
    <mergeCell ref="AMF39:AMH39"/>
    <mergeCell ref="AMI39:AMK39"/>
    <mergeCell ref="AML39:AMN39"/>
    <mergeCell ref="AMO39:AMQ39"/>
    <mergeCell ref="AMR39:AMT39"/>
    <mergeCell ref="AMU39:AMW39"/>
    <mergeCell ref="AMU21:AMW21"/>
    <mergeCell ref="AMC22:AME22"/>
    <mergeCell ref="AMF22:AMH22"/>
    <mergeCell ref="AMI22:AMK22"/>
    <mergeCell ref="AML22:AMN22"/>
    <mergeCell ref="AMO22:AMQ22"/>
    <mergeCell ref="AMR22:AMT22"/>
    <mergeCell ref="AMU22:AMW22"/>
    <mergeCell ref="AMC31:AME31"/>
    <mergeCell ref="AMF31:AMH31"/>
    <mergeCell ref="AMI31:AMK31"/>
    <mergeCell ref="AML31:AMN31"/>
    <mergeCell ref="AMO31:AMQ31"/>
    <mergeCell ref="AMR31:AMT31"/>
    <mergeCell ref="AMU31:AMW31"/>
    <mergeCell ref="AMC32:AME32"/>
    <mergeCell ref="AMF32:AMH32"/>
    <mergeCell ref="AMI32:AMK32"/>
    <mergeCell ref="AML32:AMN32"/>
    <mergeCell ref="AMO32:AMQ32"/>
    <mergeCell ref="AMR32:AMT32"/>
    <mergeCell ref="AMU32:AMW32"/>
    <mergeCell ref="AMC33:AME33"/>
    <mergeCell ref="AMF33:AMH33"/>
    <mergeCell ref="AMI33:AMK33"/>
    <mergeCell ref="AML33:AMN33"/>
    <mergeCell ref="AMO33:AMQ33"/>
    <mergeCell ref="AMR33:AMT33"/>
    <mergeCell ref="AMU33:AMW33"/>
    <mergeCell ref="AMC34:AME34"/>
    <mergeCell ref="AMF34:AMH34"/>
    <mergeCell ref="AMI34:AMK34"/>
    <mergeCell ref="AML34:AMN34"/>
    <mergeCell ref="AMO34:AMQ34"/>
    <mergeCell ref="AMR34:AMT34"/>
    <mergeCell ref="AMU34:AMW34"/>
    <mergeCell ref="AMC16:AME16"/>
    <mergeCell ref="AMF16:AMH16"/>
    <mergeCell ref="AMI16:AMK16"/>
    <mergeCell ref="AML16:AMN16"/>
    <mergeCell ref="AMO16:AMQ16"/>
    <mergeCell ref="AMR16:AMT16"/>
    <mergeCell ref="AMU16:AMW16"/>
    <mergeCell ref="AMC29:AME29"/>
    <mergeCell ref="AMF29:AMH29"/>
    <mergeCell ref="AMI29:AMK29"/>
    <mergeCell ref="AML29:AMN29"/>
    <mergeCell ref="AMO29:AMQ29"/>
    <mergeCell ref="AMR29:AMT29"/>
    <mergeCell ref="AMU29:AMW29"/>
    <mergeCell ref="AMC30:AME30"/>
    <mergeCell ref="AMF30:AMH30"/>
    <mergeCell ref="AMI30:AMK30"/>
    <mergeCell ref="AML30:AMN30"/>
    <mergeCell ref="AMO30:AMQ30"/>
    <mergeCell ref="AMR30:AMT30"/>
    <mergeCell ref="AMU30:AMW30"/>
    <mergeCell ref="AMC27:AME27"/>
    <mergeCell ref="AMF27:AMH27"/>
    <mergeCell ref="AMI27:AMK27"/>
    <mergeCell ref="AML27:AMN27"/>
    <mergeCell ref="AMO27:AMQ27"/>
    <mergeCell ref="AMR27:AMT27"/>
    <mergeCell ref="AMU27:AMW27"/>
    <mergeCell ref="AMC19:AME19"/>
    <mergeCell ref="AMF19:AMH19"/>
    <mergeCell ref="AMI19:AMK19"/>
    <mergeCell ref="AML19:AMN19"/>
    <mergeCell ref="AMO19:AMQ19"/>
    <mergeCell ref="AMR19:AMT19"/>
    <mergeCell ref="AMU19:AMW19"/>
    <mergeCell ref="AMC20:AME20"/>
    <mergeCell ref="AMF20:AMH20"/>
    <mergeCell ref="AMI20:AMK20"/>
    <mergeCell ref="AML20:AMN20"/>
    <mergeCell ref="AMO20:AMQ20"/>
    <mergeCell ref="AMR20:AMT20"/>
    <mergeCell ref="AMU20:AMW20"/>
    <mergeCell ref="AMU18:AMW18"/>
    <mergeCell ref="AMF17:AMH17"/>
    <mergeCell ref="AMI17:AMK17"/>
    <mergeCell ref="AML17:AMN17"/>
    <mergeCell ref="AMO17:AMQ17"/>
    <mergeCell ref="AMR17:AMT17"/>
    <mergeCell ref="AMU17:AMW17"/>
    <mergeCell ref="AMR11:AMT11"/>
    <mergeCell ref="AMU11:AMW11"/>
    <mergeCell ref="AMC12:AME12"/>
    <mergeCell ref="AMF12:AMH12"/>
    <mergeCell ref="AMI12:AMK12"/>
    <mergeCell ref="AML12:AMN12"/>
    <mergeCell ref="AMO12:AMQ12"/>
    <mergeCell ref="AMR12:AMT12"/>
    <mergeCell ref="AMU12:AMW12"/>
    <mergeCell ref="AMC13:AME13"/>
    <mergeCell ref="AMF13:AMH13"/>
    <mergeCell ref="AMI13:AMK13"/>
    <mergeCell ref="AML13:AMN13"/>
    <mergeCell ref="AMO13:AMQ13"/>
    <mergeCell ref="AMR13:AMT13"/>
    <mergeCell ref="AMU13:AMW13"/>
    <mergeCell ref="AMC14:AME14"/>
    <mergeCell ref="AMF14:AMH14"/>
    <mergeCell ref="AMI14:AMK14"/>
    <mergeCell ref="AML14:AMN14"/>
    <mergeCell ref="AMO14:AMQ14"/>
    <mergeCell ref="AMR14:AMT14"/>
    <mergeCell ref="AMU14:AMW14"/>
    <mergeCell ref="AMC15:AME15"/>
    <mergeCell ref="AMF15:AMH15"/>
    <mergeCell ref="AMI15:AMK15"/>
    <mergeCell ref="AML15:AMN15"/>
    <mergeCell ref="AMO15:AMQ15"/>
    <mergeCell ref="AMR15:AMT15"/>
    <mergeCell ref="AMU15:AMW15"/>
    <mergeCell ref="ALK16:ALM16"/>
    <mergeCell ref="ALH19:ALJ19"/>
    <mergeCell ref="ALK19:ALM19"/>
    <mergeCell ref="AMC2:AME2"/>
    <mergeCell ref="AMF2:AMH2"/>
    <mergeCell ref="AMI2:AMK2"/>
    <mergeCell ref="AML2:AMN2"/>
    <mergeCell ref="AMO2:AMQ2"/>
    <mergeCell ref="AMR2:AMT2"/>
    <mergeCell ref="AMU2:AMW2"/>
    <mergeCell ref="AMC3:AME3"/>
    <mergeCell ref="AMF3:AMH3"/>
    <mergeCell ref="AMI3:AMK3"/>
    <mergeCell ref="AML3:AMN3"/>
    <mergeCell ref="AMO3:AMQ3"/>
    <mergeCell ref="AMR3:AMT3"/>
    <mergeCell ref="AMU3:AMW3"/>
    <mergeCell ref="AMC5:AME5"/>
    <mergeCell ref="AMF5:AMH5"/>
    <mergeCell ref="AMI5:AMK5"/>
    <mergeCell ref="AML5:AMN5"/>
    <mergeCell ref="AMO5:AMQ5"/>
    <mergeCell ref="AMR5:AMT5"/>
    <mergeCell ref="AMU5:AMW5"/>
    <mergeCell ref="AMC6:AME6"/>
    <mergeCell ref="AMF6:AMH6"/>
    <mergeCell ref="AMI6:AMK6"/>
    <mergeCell ref="AML6:AMN6"/>
    <mergeCell ref="AMO6:AMQ6"/>
    <mergeCell ref="AMR6:AMT6"/>
    <mergeCell ref="AMU6:AMW6"/>
    <mergeCell ref="AMC7:AME7"/>
    <mergeCell ref="AMF7:AMH7"/>
    <mergeCell ref="AMI7:AMK7"/>
    <mergeCell ref="AML7:AMN7"/>
    <mergeCell ref="AMO7:AMQ7"/>
    <mergeCell ref="AMR7:AMT7"/>
    <mergeCell ref="AMU7:AMW7"/>
    <mergeCell ref="AMC8:AME8"/>
    <mergeCell ref="AMF8:AMH8"/>
    <mergeCell ref="AMI8:AMK8"/>
    <mergeCell ref="AML8:AMN8"/>
    <mergeCell ref="AMO8:AMQ8"/>
    <mergeCell ref="AMR8:AMT8"/>
    <mergeCell ref="AMU8:AMW8"/>
    <mergeCell ref="AMC9:AME9"/>
    <mergeCell ref="AMF9:AMH9"/>
    <mergeCell ref="AMI9:AMK9"/>
    <mergeCell ref="AML9:AMN9"/>
    <mergeCell ref="AMO9:AMQ9"/>
    <mergeCell ref="AMR9:AMT9"/>
    <mergeCell ref="AMU9:AMW9"/>
    <mergeCell ref="AMC10:AME10"/>
    <mergeCell ref="AMF10:AMH10"/>
    <mergeCell ref="AMI10:AMK10"/>
    <mergeCell ref="AML10:AMN10"/>
    <mergeCell ref="AMO10:AMQ10"/>
    <mergeCell ref="AMR10:AMT10"/>
    <mergeCell ref="AMU10:AMW10"/>
    <mergeCell ref="AMC11:AME11"/>
    <mergeCell ref="AMF11:AMH11"/>
    <mergeCell ref="AMI11:AMK11"/>
    <mergeCell ref="AML11:AMN11"/>
    <mergeCell ref="AMO11:AMQ11"/>
    <mergeCell ref="ALH43:ALJ43"/>
    <mergeCell ref="ALH16:ALJ16"/>
    <mergeCell ref="ALW41:ALY41"/>
    <mergeCell ref="ALZ41:AMB41"/>
    <mergeCell ref="ALH42:ALJ42"/>
    <mergeCell ref="ALK42:ALM42"/>
    <mergeCell ref="ALN42:ALP42"/>
    <mergeCell ref="ALQ42:ALS42"/>
    <mergeCell ref="ALT42:ALV42"/>
    <mergeCell ref="ALW42:ALY42"/>
    <mergeCell ref="ALZ42:AMB42"/>
    <mergeCell ref="ALK43:ALM43"/>
    <mergeCell ref="ALN43:ALP43"/>
    <mergeCell ref="ALQ43:ALS43"/>
    <mergeCell ref="ALT43:ALV43"/>
    <mergeCell ref="ALH51:ALJ51"/>
    <mergeCell ref="ALK51:ALM51"/>
    <mergeCell ref="ALN51:ALP51"/>
    <mergeCell ref="ALQ51:ALS51"/>
    <mergeCell ref="ALT51:ALV51"/>
    <mergeCell ref="ALW51:ALY51"/>
    <mergeCell ref="ALZ51:AMB51"/>
    <mergeCell ref="ALB50:ALD50"/>
    <mergeCell ref="ALE50:ALG50"/>
    <mergeCell ref="ALH50:ALJ50"/>
    <mergeCell ref="ALK50:ALM50"/>
    <mergeCell ref="ALN50:ALP50"/>
    <mergeCell ref="ALQ50:ALS50"/>
    <mergeCell ref="ALW43:ALY43"/>
    <mergeCell ref="ALZ43:AMB43"/>
    <mergeCell ref="ALH44:ALJ44"/>
    <mergeCell ref="ALH41:ALJ41"/>
    <mergeCell ref="ALK41:ALM41"/>
    <mergeCell ref="ALN41:ALP41"/>
    <mergeCell ref="ALQ41:ALS41"/>
    <mergeCell ref="ALT41:ALV41"/>
    <mergeCell ref="ALB48:ALD48"/>
    <mergeCell ref="ALE48:ALG48"/>
    <mergeCell ref="ALN49:ALP49"/>
    <mergeCell ref="ALN44:ALP44"/>
    <mergeCell ref="ALQ44:ALS44"/>
    <mergeCell ref="ALT44:ALV44"/>
    <mergeCell ref="ALW44:ALY44"/>
    <mergeCell ref="ALZ44:AMB44"/>
    <mergeCell ref="ALH45:ALJ45"/>
    <mergeCell ref="ALK44:ALM44"/>
    <mergeCell ref="ALB51:ALD51"/>
    <mergeCell ref="ALE51:ALG51"/>
    <mergeCell ref="ALB49:ALD49"/>
    <mergeCell ref="ALE49:ALG49"/>
    <mergeCell ref="ALH49:ALJ49"/>
    <mergeCell ref="ALK49:ALM49"/>
    <mergeCell ref="ALN56:ALP56"/>
    <mergeCell ref="ALQ56:ALS56"/>
    <mergeCell ref="ALT56:ALV56"/>
    <mergeCell ref="ALW56:ALY56"/>
    <mergeCell ref="ALZ56:AMB56"/>
    <mergeCell ref="ALK45:ALM45"/>
    <mergeCell ref="ALN45:ALP45"/>
    <mergeCell ref="ALQ45:ALS45"/>
    <mergeCell ref="ALT45:ALV45"/>
    <mergeCell ref="ALW45:ALY45"/>
    <mergeCell ref="ALZ45:AMB45"/>
    <mergeCell ref="ALH46:ALJ46"/>
    <mergeCell ref="ALK46:ALM46"/>
    <mergeCell ref="ALN46:ALP46"/>
    <mergeCell ref="ALQ46:ALS46"/>
    <mergeCell ref="ALT46:ALV46"/>
    <mergeCell ref="ALW46:ALY46"/>
    <mergeCell ref="ALZ46:AMB46"/>
    <mergeCell ref="ALH47:ALJ47"/>
    <mergeCell ref="ALK47:ALM47"/>
    <mergeCell ref="ALN47:ALP47"/>
    <mergeCell ref="ALQ47:ALS47"/>
    <mergeCell ref="ALT47:ALV47"/>
    <mergeCell ref="ALW47:ALY47"/>
    <mergeCell ref="ALZ47:AMB47"/>
    <mergeCell ref="ALZ59:AMB59"/>
    <mergeCell ref="ALH48:ALJ48"/>
    <mergeCell ref="ALK48:ALM48"/>
    <mergeCell ref="ALN48:ALP48"/>
    <mergeCell ref="ALQ48:ALS48"/>
    <mergeCell ref="ALT48:ALV48"/>
    <mergeCell ref="ALW48:ALY48"/>
    <mergeCell ref="ALZ48:AMB48"/>
    <mergeCell ref="ALH52:ALJ52"/>
    <mergeCell ref="ALK52:ALM52"/>
    <mergeCell ref="ALN52:ALP52"/>
    <mergeCell ref="ALQ52:ALS52"/>
    <mergeCell ref="ALT52:ALV52"/>
    <mergeCell ref="ALW52:ALY52"/>
    <mergeCell ref="ALZ52:AMB52"/>
    <mergeCell ref="ALT50:ALV50"/>
    <mergeCell ref="ALW50:ALY50"/>
    <mergeCell ref="ALZ50:AMB50"/>
    <mergeCell ref="ALW49:ALY49"/>
    <mergeCell ref="ALZ49:AMB49"/>
    <mergeCell ref="ALQ49:ALS49"/>
    <mergeCell ref="ALT49:ALV49"/>
    <mergeCell ref="ALH60:ALJ60"/>
    <mergeCell ref="ALK60:ALM60"/>
    <mergeCell ref="ALN60:ALP60"/>
    <mergeCell ref="ALQ60:ALS60"/>
    <mergeCell ref="ALT60:ALV60"/>
    <mergeCell ref="ALW60:ALY60"/>
    <mergeCell ref="ALZ60:AMB60"/>
    <mergeCell ref="ALH61:ALJ61"/>
    <mergeCell ref="ALK61:ALM61"/>
    <mergeCell ref="ALN61:ALP61"/>
    <mergeCell ref="ALQ61:ALS61"/>
    <mergeCell ref="ALT61:ALV61"/>
    <mergeCell ref="ALW61:ALY61"/>
    <mergeCell ref="ALZ61:AMB61"/>
    <mergeCell ref="ALH54:ALJ54"/>
    <mergeCell ref="ALK54:ALM54"/>
    <mergeCell ref="ALN54:ALP54"/>
    <mergeCell ref="ALQ54:ALS54"/>
    <mergeCell ref="ALT54:ALV54"/>
    <mergeCell ref="ALW54:ALY54"/>
    <mergeCell ref="ALZ54:AMB54"/>
    <mergeCell ref="ALH55:ALJ55"/>
    <mergeCell ref="ALK55:ALM55"/>
    <mergeCell ref="ALN55:ALP55"/>
    <mergeCell ref="ALQ55:ALS55"/>
    <mergeCell ref="ALT55:ALV55"/>
    <mergeCell ref="ALW55:ALY55"/>
    <mergeCell ref="ALZ55:AMB55"/>
    <mergeCell ref="ALH56:ALJ56"/>
    <mergeCell ref="ALK56:ALM56"/>
    <mergeCell ref="ALH57:ALJ57"/>
    <mergeCell ref="ALK57:ALM57"/>
    <mergeCell ref="ALN57:ALP57"/>
    <mergeCell ref="ALQ57:ALS57"/>
    <mergeCell ref="ALT57:ALV57"/>
    <mergeCell ref="ALW57:ALY57"/>
    <mergeCell ref="ALZ57:AMB57"/>
    <mergeCell ref="ALH58:ALJ58"/>
    <mergeCell ref="ALK58:ALM58"/>
    <mergeCell ref="ALN58:ALP58"/>
    <mergeCell ref="ALQ58:ALS58"/>
    <mergeCell ref="ALT58:ALV58"/>
    <mergeCell ref="ALW58:ALY58"/>
    <mergeCell ref="ALZ58:AMB58"/>
    <mergeCell ref="ALH59:ALJ59"/>
    <mergeCell ref="ALK59:ALM59"/>
    <mergeCell ref="ALN59:ALP59"/>
    <mergeCell ref="ALQ59:ALS59"/>
    <mergeCell ref="ALT59:ALV59"/>
    <mergeCell ref="ALW59:ALY59"/>
    <mergeCell ref="ALH40:ALJ40"/>
    <mergeCell ref="ALK40:ALM40"/>
    <mergeCell ref="ALN40:ALP40"/>
    <mergeCell ref="ALQ40:ALS40"/>
    <mergeCell ref="ALT40:ALV40"/>
    <mergeCell ref="ALW40:ALY40"/>
    <mergeCell ref="ALZ40:AMB40"/>
    <mergeCell ref="ALH36:ALJ36"/>
    <mergeCell ref="ALK36:ALM36"/>
    <mergeCell ref="ALN36:ALP36"/>
    <mergeCell ref="ALQ36:ALS36"/>
    <mergeCell ref="ALT36:ALV36"/>
    <mergeCell ref="ALW36:ALY36"/>
    <mergeCell ref="ALZ36:AMB36"/>
    <mergeCell ref="ALH39:ALJ39"/>
    <mergeCell ref="ALK39:ALM39"/>
    <mergeCell ref="ALN39:ALP39"/>
    <mergeCell ref="ALQ39:ALS39"/>
    <mergeCell ref="ALT39:ALV39"/>
    <mergeCell ref="ALW39:ALY39"/>
    <mergeCell ref="ALZ39:AMB39"/>
    <mergeCell ref="ALW22:ALY22"/>
    <mergeCell ref="ALZ22:AMB22"/>
    <mergeCell ref="ALN19:ALP19"/>
    <mergeCell ref="ALQ19:ALS19"/>
    <mergeCell ref="ALT19:ALV19"/>
    <mergeCell ref="ALW19:ALY19"/>
    <mergeCell ref="ALZ19:AMB19"/>
    <mergeCell ref="ALH20:ALJ20"/>
    <mergeCell ref="ALK20:ALM20"/>
    <mergeCell ref="ALN20:ALP20"/>
    <mergeCell ref="ALQ20:ALS20"/>
    <mergeCell ref="ALT20:ALV20"/>
    <mergeCell ref="ALW20:ALY20"/>
    <mergeCell ref="ALZ20:AMB20"/>
    <mergeCell ref="ALH21:ALJ21"/>
    <mergeCell ref="ALK21:ALM21"/>
    <mergeCell ref="ALN21:ALP21"/>
    <mergeCell ref="ALQ21:ALS21"/>
    <mergeCell ref="ALT21:ALV21"/>
    <mergeCell ref="ALW21:ALY21"/>
    <mergeCell ref="ALZ21:AMB21"/>
    <mergeCell ref="ALH22:ALJ22"/>
    <mergeCell ref="ALK22:ALM22"/>
    <mergeCell ref="ALN22:ALP22"/>
    <mergeCell ref="ALQ22:ALS22"/>
    <mergeCell ref="ALT22:ALV22"/>
    <mergeCell ref="ALZ27:AMB27"/>
    <mergeCell ref="ALN29:ALP29"/>
    <mergeCell ref="ALQ29:ALS29"/>
    <mergeCell ref="ALT29:ALV29"/>
    <mergeCell ref="ALW29:ALY29"/>
    <mergeCell ref="ALZ29:AMB29"/>
    <mergeCell ref="ALH33:ALJ33"/>
    <mergeCell ref="ALK33:ALM33"/>
    <mergeCell ref="ALN33:ALP33"/>
    <mergeCell ref="ALQ33:ALS33"/>
    <mergeCell ref="ALT33:ALV33"/>
    <mergeCell ref="ALW33:ALY33"/>
    <mergeCell ref="ALZ33:AMB33"/>
    <mergeCell ref="ALH30:ALJ30"/>
    <mergeCell ref="ALK30:ALM30"/>
    <mergeCell ref="ALN30:ALP30"/>
    <mergeCell ref="ALQ30:ALS30"/>
    <mergeCell ref="ALT30:ALV30"/>
    <mergeCell ref="ALW30:ALY30"/>
    <mergeCell ref="ALZ30:AMB30"/>
    <mergeCell ref="ALW28:ALY28"/>
    <mergeCell ref="ALZ28:AMB28"/>
    <mergeCell ref="ALH31:ALJ31"/>
    <mergeCell ref="ALK31:ALM31"/>
    <mergeCell ref="ALN31:ALP31"/>
    <mergeCell ref="ALQ31:ALS31"/>
    <mergeCell ref="ALT31:ALV31"/>
    <mergeCell ref="ALW31:ALY31"/>
    <mergeCell ref="ALZ31:AMB31"/>
    <mergeCell ref="ALH32:ALJ32"/>
    <mergeCell ref="ALK32:ALM32"/>
    <mergeCell ref="ALN32:ALP32"/>
    <mergeCell ref="ALQ32:ALS32"/>
    <mergeCell ref="ALT32:ALV32"/>
    <mergeCell ref="ALW32:ALY32"/>
    <mergeCell ref="ALZ32:AMB32"/>
    <mergeCell ref="ALN16:ALP16"/>
    <mergeCell ref="ALQ16:ALS16"/>
    <mergeCell ref="ALT16:ALV16"/>
    <mergeCell ref="ALW16:ALY16"/>
    <mergeCell ref="ALZ16:AMB16"/>
    <mergeCell ref="ALH29:ALJ29"/>
    <mergeCell ref="ALK29:ALM29"/>
    <mergeCell ref="ALH13:ALJ13"/>
    <mergeCell ref="ALK13:ALM13"/>
    <mergeCell ref="ALN13:ALP13"/>
    <mergeCell ref="ALQ13:ALS13"/>
    <mergeCell ref="ALT13:ALV13"/>
    <mergeCell ref="ALW13:ALY13"/>
    <mergeCell ref="ALZ13:AMB13"/>
    <mergeCell ref="ALH14:ALJ14"/>
    <mergeCell ref="ALK14:ALM14"/>
    <mergeCell ref="ALN14:ALP14"/>
    <mergeCell ref="ALQ14:ALS14"/>
    <mergeCell ref="ALT14:ALV14"/>
    <mergeCell ref="ALW14:ALY14"/>
    <mergeCell ref="ALZ14:AMB14"/>
    <mergeCell ref="ALH15:ALJ15"/>
    <mergeCell ref="ALK15:ALM15"/>
    <mergeCell ref="ALN15:ALP15"/>
    <mergeCell ref="ALQ15:ALS15"/>
    <mergeCell ref="ALT15:ALV15"/>
    <mergeCell ref="ALW15:ALY15"/>
    <mergeCell ref="ALZ15:AMB15"/>
    <mergeCell ref="ALH8:ALJ8"/>
    <mergeCell ref="ALK8:ALM8"/>
    <mergeCell ref="ALN8:ALP8"/>
    <mergeCell ref="ALQ8:ALS8"/>
    <mergeCell ref="ALT8:ALV8"/>
    <mergeCell ref="ALW8:ALY8"/>
    <mergeCell ref="ALZ8:AMB8"/>
    <mergeCell ref="ALH9:ALJ9"/>
    <mergeCell ref="ALK9:ALM9"/>
    <mergeCell ref="ALN9:ALP9"/>
    <mergeCell ref="ALQ9:ALS9"/>
    <mergeCell ref="ALT9:ALV9"/>
    <mergeCell ref="ALW9:ALY9"/>
    <mergeCell ref="ALZ9:AMB9"/>
    <mergeCell ref="ALH10:ALJ10"/>
    <mergeCell ref="ALK10:ALM10"/>
    <mergeCell ref="ALN10:ALP10"/>
    <mergeCell ref="ALQ10:ALS10"/>
    <mergeCell ref="ALT10:ALV10"/>
    <mergeCell ref="ALW10:ALY10"/>
    <mergeCell ref="ALZ10:AMB10"/>
    <mergeCell ref="ALH11:ALJ11"/>
    <mergeCell ref="ALK11:ALM11"/>
    <mergeCell ref="ALN11:ALP11"/>
    <mergeCell ref="ALQ11:ALS11"/>
    <mergeCell ref="ALT11:ALV11"/>
    <mergeCell ref="ALW11:ALY11"/>
    <mergeCell ref="ALZ11:AMB11"/>
    <mergeCell ref="ALH12:ALJ12"/>
    <mergeCell ref="ALK12:ALM12"/>
    <mergeCell ref="ALN12:ALP12"/>
    <mergeCell ref="ALQ12:ALS12"/>
    <mergeCell ref="ALT12:ALV12"/>
    <mergeCell ref="ALW12:ALY12"/>
    <mergeCell ref="ALZ12:AMB12"/>
    <mergeCell ref="ALH2:ALJ2"/>
    <mergeCell ref="ALK2:ALM2"/>
    <mergeCell ref="ALN2:ALP2"/>
    <mergeCell ref="ALQ2:ALS2"/>
    <mergeCell ref="ALT2:ALV2"/>
    <mergeCell ref="ALW2:ALY2"/>
    <mergeCell ref="ALZ2:AMB2"/>
    <mergeCell ref="ALH3:ALJ3"/>
    <mergeCell ref="ALK3:ALM3"/>
    <mergeCell ref="ALN3:ALP3"/>
    <mergeCell ref="ALQ3:ALS3"/>
    <mergeCell ref="ALT3:ALV3"/>
    <mergeCell ref="ALW3:ALY3"/>
    <mergeCell ref="ALZ3:AMB3"/>
    <mergeCell ref="ALH5:ALJ5"/>
    <mergeCell ref="ALK5:ALM5"/>
    <mergeCell ref="ALN5:ALP5"/>
    <mergeCell ref="ALQ5:ALS5"/>
    <mergeCell ref="ALT5:ALV5"/>
    <mergeCell ref="ALW5:ALY5"/>
    <mergeCell ref="ALZ5:AMB5"/>
    <mergeCell ref="ALH6:ALJ6"/>
    <mergeCell ref="ALK6:ALM6"/>
    <mergeCell ref="ALN6:ALP6"/>
    <mergeCell ref="ALQ6:ALS6"/>
    <mergeCell ref="ALT6:ALV6"/>
    <mergeCell ref="ALW6:ALY6"/>
    <mergeCell ref="ALZ6:AMB6"/>
    <mergeCell ref="ALH7:ALJ7"/>
    <mergeCell ref="ALK7:ALM7"/>
    <mergeCell ref="ALN7:ALP7"/>
    <mergeCell ref="ALQ7:ALS7"/>
    <mergeCell ref="ALT7:ALV7"/>
    <mergeCell ref="ALW7:ALY7"/>
    <mergeCell ref="ALZ7:AMB7"/>
    <mergeCell ref="AKM57:AKO57"/>
    <mergeCell ref="AKP57:AKR57"/>
    <mergeCell ref="AKS57:AKU57"/>
    <mergeCell ref="AKV57:AKX57"/>
    <mergeCell ref="AKY57:ALA57"/>
    <mergeCell ref="ALB57:ALD57"/>
    <mergeCell ref="ALE57:ALG57"/>
    <mergeCell ref="AKM58:AKO58"/>
    <mergeCell ref="AKP58:AKR58"/>
    <mergeCell ref="AKS58:AKU58"/>
    <mergeCell ref="AKV58:AKX58"/>
    <mergeCell ref="AKY58:ALA58"/>
    <mergeCell ref="ALB58:ALD58"/>
    <mergeCell ref="ALE58:ALG58"/>
    <mergeCell ref="AKM59:AKO59"/>
    <mergeCell ref="AKP59:AKR59"/>
    <mergeCell ref="AKS59:AKU59"/>
    <mergeCell ref="AKV59:AKX59"/>
    <mergeCell ref="AKY59:ALA59"/>
    <mergeCell ref="ALB59:ALD59"/>
    <mergeCell ref="ALE59:ALG59"/>
    <mergeCell ref="AKM60:AKO60"/>
    <mergeCell ref="AKP60:AKR60"/>
    <mergeCell ref="AKS60:AKU60"/>
    <mergeCell ref="AKV60:AKX60"/>
    <mergeCell ref="AKY60:ALA60"/>
    <mergeCell ref="ALB60:ALD60"/>
    <mergeCell ref="ALE60:ALG60"/>
    <mergeCell ref="AKM61:AKO61"/>
    <mergeCell ref="AKP61:AKR61"/>
    <mergeCell ref="AKS61:AKU61"/>
    <mergeCell ref="AKV61:AKX61"/>
    <mergeCell ref="AKY61:ALA61"/>
    <mergeCell ref="ALB61:ALD61"/>
    <mergeCell ref="ALE61:ALG61"/>
    <mergeCell ref="AKM55:AKO55"/>
    <mergeCell ref="AKP55:AKR55"/>
    <mergeCell ref="AKS55:AKU55"/>
    <mergeCell ref="AKV55:AKX55"/>
    <mergeCell ref="AKY55:ALA55"/>
    <mergeCell ref="ALB55:ALD55"/>
    <mergeCell ref="ALE55:ALG55"/>
    <mergeCell ref="AKM56:AKO56"/>
    <mergeCell ref="AKP56:AKR56"/>
    <mergeCell ref="AKS56:AKU56"/>
    <mergeCell ref="AKV56:AKX56"/>
    <mergeCell ref="AKY56:ALA56"/>
    <mergeCell ref="ALB56:ALD56"/>
    <mergeCell ref="ALE56:ALG56"/>
    <mergeCell ref="AKP52:AKR52"/>
    <mergeCell ref="AKS52:AKU52"/>
    <mergeCell ref="AKV52:AKX52"/>
    <mergeCell ref="AKY52:ALA52"/>
    <mergeCell ref="ALB52:ALD52"/>
    <mergeCell ref="ALE52:ALG52"/>
    <mergeCell ref="AKS44:AKU44"/>
    <mergeCell ref="AKV44:AKX44"/>
    <mergeCell ref="AKY44:ALA44"/>
    <mergeCell ref="ALB44:ALD44"/>
    <mergeCell ref="ALE44:ALG44"/>
    <mergeCell ref="AKM45:AKO45"/>
    <mergeCell ref="AKP45:AKR45"/>
    <mergeCell ref="AKS45:AKU45"/>
    <mergeCell ref="AKV45:AKX45"/>
    <mergeCell ref="AKY45:ALA45"/>
    <mergeCell ref="ALB45:ALD45"/>
    <mergeCell ref="ALE45:ALG45"/>
    <mergeCell ref="AKM46:AKO46"/>
    <mergeCell ref="AKP46:AKR46"/>
    <mergeCell ref="AKS46:AKU46"/>
    <mergeCell ref="AKV46:AKX46"/>
    <mergeCell ref="AKY46:ALA46"/>
    <mergeCell ref="ALB46:ALD46"/>
    <mergeCell ref="ALE46:ALG46"/>
    <mergeCell ref="AKM47:AKO47"/>
    <mergeCell ref="AKP47:AKR47"/>
    <mergeCell ref="AKS47:AKU47"/>
    <mergeCell ref="AKV47:AKX47"/>
    <mergeCell ref="AKY47:ALA47"/>
    <mergeCell ref="ALB47:ALD47"/>
    <mergeCell ref="ALE47:ALG47"/>
    <mergeCell ref="AKM54:AKO54"/>
    <mergeCell ref="AKP54:AKR54"/>
    <mergeCell ref="AKS54:AKU54"/>
    <mergeCell ref="AKV54:AKX54"/>
    <mergeCell ref="AKY54:ALA54"/>
    <mergeCell ref="ALB54:ALD54"/>
    <mergeCell ref="ALE54:ALG54"/>
    <mergeCell ref="AKV49:AKX49"/>
    <mergeCell ref="AKV50:AKX50"/>
    <mergeCell ref="AKV51:AKX51"/>
    <mergeCell ref="AKY49:ALA49"/>
    <mergeCell ref="AKY50:ALA50"/>
    <mergeCell ref="AKY51:ALA51"/>
    <mergeCell ref="AKM31:AKO31"/>
    <mergeCell ref="AKP31:AKR31"/>
    <mergeCell ref="AKS31:AKU31"/>
    <mergeCell ref="AKV31:AKX31"/>
    <mergeCell ref="AKY31:ALA31"/>
    <mergeCell ref="ALB31:ALD31"/>
    <mergeCell ref="ALE31:ALG31"/>
    <mergeCell ref="AKM32:AKO32"/>
    <mergeCell ref="AKP32:AKR32"/>
    <mergeCell ref="AKS32:AKU32"/>
    <mergeCell ref="AKV32:AKX32"/>
    <mergeCell ref="AKY32:ALA32"/>
    <mergeCell ref="ALB32:ALD32"/>
    <mergeCell ref="ALE32:ALG32"/>
    <mergeCell ref="AKM48:AKO48"/>
    <mergeCell ref="AKP48:AKR48"/>
    <mergeCell ref="AKS48:AKU48"/>
    <mergeCell ref="AKV48:AKX48"/>
    <mergeCell ref="AKY48:ALA48"/>
    <mergeCell ref="AKM52:AKO52"/>
    <mergeCell ref="AKM40:AKO40"/>
    <mergeCell ref="AKP40:AKR40"/>
    <mergeCell ref="AKS40:AKU40"/>
    <mergeCell ref="AKV40:AKX40"/>
    <mergeCell ref="AKY40:ALA40"/>
    <mergeCell ref="ALB40:ALD40"/>
    <mergeCell ref="ALE40:ALG40"/>
    <mergeCell ref="AKM41:AKO41"/>
    <mergeCell ref="AKP41:AKR41"/>
    <mergeCell ref="AKS41:AKU41"/>
    <mergeCell ref="AKV41:AKX41"/>
    <mergeCell ref="AKY41:ALA41"/>
    <mergeCell ref="ALB41:ALD41"/>
    <mergeCell ref="ALE41:ALG41"/>
    <mergeCell ref="AKM42:AKO42"/>
    <mergeCell ref="AKP42:AKR42"/>
    <mergeCell ref="AKS42:AKU42"/>
    <mergeCell ref="AKV42:AKX42"/>
    <mergeCell ref="AKY42:ALA42"/>
    <mergeCell ref="ALB42:ALD42"/>
    <mergeCell ref="ALE42:ALG42"/>
    <mergeCell ref="AKM43:AKO43"/>
    <mergeCell ref="AKP43:AKR43"/>
    <mergeCell ref="AKS43:AKU43"/>
    <mergeCell ref="AKV43:AKX43"/>
    <mergeCell ref="AKY43:ALA43"/>
    <mergeCell ref="ALB43:ALD43"/>
    <mergeCell ref="ALE43:ALG43"/>
    <mergeCell ref="AKM44:AKO44"/>
    <mergeCell ref="AKP44:AKR44"/>
    <mergeCell ref="AKM36:AKO36"/>
    <mergeCell ref="AKP36:AKR36"/>
    <mergeCell ref="AKS36:AKU36"/>
    <mergeCell ref="AKV36:AKX36"/>
    <mergeCell ref="AKY36:ALA36"/>
    <mergeCell ref="ALB36:ALD36"/>
    <mergeCell ref="ALE36:ALG36"/>
    <mergeCell ref="AKP39:AKR39"/>
    <mergeCell ref="AKS39:AKU39"/>
    <mergeCell ref="AKV39:AKX39"/>
    <mergeCell ref="AKY39:ALA39"/>
    <mergeCell ref="ALB39:ALD39"/>
    <mergeCell ref="ALE39:ALG39"/>
    <mergeCell ref="AKM19:AKO19"/>
    <mergeCell ref="AKP19:AKR19"/>
    <mergeCell ref="AKS19:AKU19"/>
    <mergeCell ref="AKV19:AKX19"/>
    <mergeCell ref="AKY19:ALA19"/>
    <mergeCell ref="ALB19:ALD19"/>
    <mergeCell ref="ALE19:ALG19"/>
    <mergeCell ref="AKM20:AKO20"/>
    <mergeCell ref="AKP20:AKR20"/>
    <mergeCell ref="AKS20:AKU20"/>
    <mergeCell ref="AKV20:AKX20"/>
    <mergeCell ref="AKY20:ALA20"/>
    <mergeCell ref="ALB20:ALD20"/>
    <mergeCell ref="ALE20:ALG20"/>
    <mergeCell ref="AKP30:AKR30"/>
    <mergeCell ref="AKS30:AKU30"/>
    <mergeCell ref="AKV30:AKX30"/>
    <mergeCell ref="AKY30:ALA30"/>
    <mergeCell ref="ALB30:ALD30"/>
    <mergeCell ref="ALE30:ALG30"/>
    <mergeCell ref="AKM21:AKO21"/>
    <mergeCell ref="AKP21:AKR21"/>
    <mergeCell ref="AKS21:AKU21"/>
    <mergeCell ref="AKV21:AKX21"/>
    <mergeCell ref="AKY21:ALA21"/>
    <mergeCell ref="ALB21:ALD21"/>
    <mergeCell ref="ALE21:ALG21"/>
    <mergeCell ref="AKM22:AKO22"/>
    <mergeCell ref="AKP22:AKR22"/>
    <mergeCell ref="AKS22:AKU22"/>
    <mergeCell ref="AKV22:AKX22"/>
    <mergeCell ref="AKY22:ALA22"/>
    <mergeCell ref="ALB22:ALD22"/>
    <mergeCell ref="ALE22:ALG22"/>
    <mergeCell ref="ALB29:ALD29"/>
    <mergeCell ref="ALE29:ALG29"/>
    <mergeCell ref="AKM30:AKO30"/>
    <mergeCell ref="AKM16:AKO16"/>
    <mergeCell ref="AKP16:AKR16"/>
    <mergeCell ref="AKS16:AKU16"/>
    <mergeCell ref="AKV16:AKX16"/>
    <mergeCell ref="AKY16:ALA16"/>
    <mergeCell ref="ALB16:ALD16"/>
    <mergeCell ref="ALE16:ALG16"/>
    <mergeCell ref="ALB15:ALD15"/>
    <mergeCell ref="ALE15:ALG15"/>
    <mergeCell ref="ALB9:ALD9"/>
    <mergeCell ref="ALE9:ALG9"/>
    <mergeCell ref="AKM10:AKO10"/>
    <mergeCell ref="AKP10:AKR10"/>
    <mergeCell ref="AKS10:AKU10"/>
    <mergeCell ref="AKV10:AKX10"/>
    <mergeCell ref="AKY10:ALA10"/>
    <mergeCell ref="ALB10:ALD10"/>
    <mergeCell ref="ALE10:ALG10"/>
    <mergeCell ref="AKM11:AKO11"/>
    <mergeCell ref="AKP11:AKR11"/>
    <mergeCell ref="AKS11:AKU11"/>
    <mergeCell ref="AKV11:AKX11"/>
    <mergeCell ref="AKY11:ALA11"/>
    <mergeCell ref="ALB11:ALD11"/>
    <mergeCell ref="ALE11:ALG11"/>
    <mergeCell ref="AKM12:AKO12"/>
    <mergeCell ref="AKP12:AKR12"/>
    <mergeCell ref="AKS12:AKU12"/>
    <mergeCell ref="AKV12:AKX12"/>
    <mergeCell ref="AKY12:ALA12"/>
    <mergeCell ref="ALB12:ALD12"/>
    <mergeCell ref="ALE12:ALG12"/>
    <mergeCell ref="AKM13:AKO13"/>
    <mergeCell ref="AKP13:AKR13"/>
    <mergeCell ref="AKS13:AKU13"/>
    <mergeCell ref="AKV13:AKX13"/>
    <mergeCell ref="AKY13:ALA13"/>
    <mergeCell ref="ALB13:ALD13"/>
    <mergeCell ref="ALE13:ALG13"/>
    <mergeCell ref="AKM14:AKO14"/>
    <mergeCell ref="AKP14:AKR14"/>
    <mergeCell ref="AKS14:AKU14"/>
    <mergeCell ref="AKV14:AKX14"/>
    <mergeCell ref="AKY14:ALA14"/>
    <mergeCell ref="ALB14:ALD14"/>
    <mergeCell ref="ALE14:ALG14"/>
    <mergeCell ref="ALB2:ALD2"/>
    <mergeCell ref="ALE2:ALG2"/>
    <mergeCell ref="AKM3:AKO3"/>
    <mergeCell ref="AKP3:AKR3"/>
    <mergeCell ref="AKS3:AKU3"/>
    <mergeCell ref="AKV3:AKX3"/>
    <mergeCell ref="AKY3:ALA3"/>
    <mergeCell ref="ALB3:ALD3"/>
    <mergeCell ref="ALE3:ALG3"/>
    <mergeCell ref="AKM5:AKO5"/>
    <mergeCell ref="AKP5:AKR5"/>
    <mergeCell ref="AKS5:AKU5"/>
    <mergeCell ref="AKV5:AKX5"/>
    <mergeCell ref="AKY5:ALA5"/>
    <mergeCell ref="ALB5:ALD5"/>
    <mergeCell ref="ALE5:ALG5"/>
    <mergeCell ref="AKM6:AKO6"/>
    <mergeCell ref="AKP6:AKR6"/>
    <mergeCell ref="AKS6:AKU6"/>
    <mergeCell ref="AKV6:AKX6"/>
    <mergeCell ref="AKY6:ALA6"/>
    <mergeCell ref="ALB6:ALD6"/>
    <mergeCell ref="ALE6:ALG6"/>
    <mergeCell ref="AKM7:AKO7"/>
    <mergeCell ref="AKP7:AKR7"/>
    <mergeCell ref="AKS7:AKU7"/>
    <mergeCell ref="AKV7:AKX7"/>
    <mergeCell ref="AKY7:ALA7"/>
    <mergeCell ref="ALB7:ALD7"/>
    <mergeCell ref="ALE7:ALG7"/>
    <mergeCell ref="AKM8:AKO8"/>
    <mergeCell ref="AKP8:AKR8"/>
    <mergeCell ref="AKS8:AKU8"/>
    <mergeCell ref="AKV8:AKX8"/>
    <mergeCell ref="AKY8:ALA8"/>
    <mergeCell ref="ALB8:ALD8"/>
    <mergeCell ref="ALE8:ALG8"/>
    <mergeCell ref="AJR58:AJT58"/>
    <mergeCell ref="AJU58:AJW58"/>
    <mergeCell ref="AJX58:AJZ58"/>
    <mergeCell ref="AKA58:AKC58"/>
    <mergeCell ref="AKD58:AKF58"/>
    <mergeCell ref="AKG58:AKI58"/>
    <mergeCell ref="AKJ58:AKL58"/>
    <mergeCell ref="AJR59:AJT59"/>
    <mergeCell ref="AJU59:AJW59"/>
    <mergeCell ref="AJX59:AJZ59"/>
    <mergeCell ref="AKA59:AKC59"/>
    <mergeCell ref="AKD59:AKF59"/>
    <mergeCell ref="AKG59:AKI59"/>
    <mergeCell ref="AKJ59:AKL59"/>
    <mergeCell ref="AJR60:AJT60"/>
    <mergeCell ref="AJU60:AJW60"/>
    <mergeCell ref="AJX60:AJZ60"/>
    <mergeCell ref="AKA60:AKC60"/>
    <mergeCell ref="AKD60:AKF60"/>
    <mergeCell ref="AKG60:AKI60"/>
    <mergeCell ref="AKJ60:AKL60"/>
    <mergeCell ref="AJR61:AJT61"/>
    <mergeCell ref="AJU61:AJW61"/>
    <mergeCell ref="AJX61:AJZ61"/>
    <mergeCell ref="AKA61:AKC61"/>
    <mergeCell ref="AKD61:AKF61"/>
    <mergeCell ref="AKG61:AKI61"/>
    <mergeCell ref="AKJ61:AKL61"/>
    <mergeCell ref="AKM2:AKO2"/>
    <mergeCell ref="AKP2:AKR2"/>
    <mergeCell ref="AKS2:AKU2"/>
    <mergeCell ref="AKV2:AKX2"/>
    <mergeCell ref="AKY2:ALA2"/>
    <mergeCell ref="AKM9:AKO9"/>
    <mergeCell ref="AKP9:AKR9"/>
    <mergeCell ref="AKS9:AKU9"/>
    <mergeCell ref="AKV9:AKX9"/>
    <mergeCell ref="AKY9:ALA9"/>
    <mergeCell ref="AKM15:AKO15"/>
    <mergeCell ref="AKP15:AKR15"/>
    <mergeCell ref="AKS15:AKU15"/>
    <mergeCell ref="AKV15:AKX15"/>
    <mergeCell ref="AKY15:ALA15"/>
    <mergeCell ref="AKM29:AKO29"/>
    <mergeCell ref="AKP29:AKR29"/>
    <mergeCell ref="AKS29:AKU29"/>
    <mergeCell ref="AKV29:AKX29"/>
    <mergeCell ref="AKY29:ALA29"/>
    <mergeCell ref="AKM39:AKO39"/>
    <mergeCell ref="AJR54:AJT54"/>
    <mergeCell ref="AJU54:AJW54"/>
    <mergeCell ref="AJX54:AJZ54"/>
    <mergeCell ref="AKA54:AKC54"/>
    <mergeCell ref="AKD54:AKF54"/>
    <mergeCell ref="AKG54:AKI54"/>
    <mergeCell ref="AKJ54:AKL54"/>
    <mergeCell ref="AJR55:AJT55"/>
    <mergeCell ref="AJU55:AJW55"/>
    <mergeCell ref="AJX55:AJZ55"/>
    <mergeCell ref="AKA55:AKC55"/>
    <mergeCell ref="AKD55:AKF55"/>
    <mergeCell ref="AKG55:AKI55"/>
    <mergeCell ref="AKJ55:AKL55"/>
    <mergeCell ref="AJR56:AJT56"/>
    <mergeCell ref="AJU56:AJW56"/>
    <mergeCell ref="AJX56:AJZ56"/>
    <mergeCell ref="AKA56:AKC56"/>
    <mergeCell ref="AKD56:AKF56"/>
    <mergeCell ref="AKG56:AKI56"/>
    <mergeCell ref="AKJ56:AKL56"/>
    <mergeCell ref="AJR57:AJT57"/>
    <mergeCell ref="AJU57:AJW57"/>
    <mergeCell ref="AJX57:AJZ57"/>
    <mergeCell ref="AKA57:AKC57"/>
    <mergeCell ref="AKD57:AKF57"/>
    <mergeCell ref="AKG57:AKI57"/>
    <mergeCell ref="AKJ57:AKL57"/>
    <mergeCell ref="AJR47:AJT47"/>
    <mergeCell ref="AJU47:AJW47"/>
    <mergeCell ref="AJX47:AJZ47"/>
    <mergeCell ref="AKA47:AKC47"/>
    <mergeCell ref="AKD47:AKF47"/>
    <mergeCell ref="AKG47:AKI47"/>
    <mergeCell ref="AKJ47:AKL47"/>
    <mergeCell ref="AJR48:AJT48"/>
    <mergeCell ref="AJU48:AJW48"/>
    <mergeCell ref="AJX48:AJZ48"/>
    <mergeCell ref="AKA48:AKC48"/>
    <mergeCell ref="AKD48:AKF48"/>
    <mergeCell ref="AKG48:AKI48"/>
    <mergeCell ref="AKJ48:AKL48"/>
    <mergeCell ref="AJR52:AJT52"/>
    <mergeCell ref="AJU52:AJW52"/>
    <mergeCell ref="AJX52:AJZ52"/>
    <mergeCell ref="AKA52:AKC52"/>
    <mergeCell ref="AKD52:AKF52"/>
    <mergeCell ref="AKG52:AKI52"/>
    <mergeCell ref="AKJ52:AKL52"/>
    <mergeCell ref="AJX49:AJZ49"/>
    <mergeCell ref="AJX50:AJZ50"/>
    <mergeCell ref="AJX51:AJZ51"/>
    <mergeCell ref="AJR42:AJT42"/>
    <mergeCell ref="AJU42:AJW42"/>
    <mergeCell ref="AJX42:AJZ42"/>
    <mergeCell ref="AKA42:AKC42"/>
    <mergeCell ref="AKD41:AKF41"/>
    <mergeCell ref="AKG42:AKI42"/>
    <mergeCell ref="AKJ42:AKL42"/>
    <mergeCell ref="AJR43:AJT43"/>
    <mergeCell ref="AJU43:AJW43"/>
    <mergeCell ref="AJX43:AJZ43"/>
    <mergeCell ref="AKA43:AKC43"/>
    <mergeCell ref="AKD43:AKF43"/>
    <mergeCell ref="AKG43:AKI43"/>
    <mergeCell ref="AKJ43:AKL43"/>
    <mergeCell ref="AJR44:AJT44"/>
    <mergeCell ref="AJU44:AJW44"/>
    <mergeCell ref="AJX44:AJZ44"/>
    <mergeCell ref="AKA44:AKC44"/>
    <mergeCell ref="AKD44:AKF44"/>
    <mergeCell ref="AKG44:AKI44"/>
    <mergeCell ref="AKJ44:AKL44"/>
    <mergeCell ref="AJR45:AJT45"/>
    <mergeCell ref="AJU45:AJW45"/>
    <mergeCell ref="AJX45:AJZ45"/>
    <mergeCell ref="AKA45:AKC45"/>
    <mergeCell ref="AKD45:AKF45"/>
    <mergeCell ref="AKG45:AKI45"/>
    <mergeCell ref="AKJ45:AKL45"/>
    <mergeCell ref="AJR46:AJT46"/>
    <mergeCell ref="AJU46:AJW46"/>
    <mergeCell ref="AJX46:AJZ46"/>
    <mergeCell ref="AKA46:AKC46"/>
    <mergeCell ref="AKD46:AKF46"/>
    <mergeCell ref="AKG46:AKI46"/>
    <mergeCell ref="AKJ46:AKL46"/>
    <mergeCell ref="AJR40:AJT40"/>
    <mergeCell ref="AJU40:AJW40"/>
    <mergeCell ref="AJX40:AJZ40"/>
    <mergeCell ref="AKA40:AKC40"/>
    <mergeCell ref="AKD40:AKF40"/>
    <mergeCell ref="AKG40:AKI40"/>
    <mergeCell ref="AKJ40:AKL40"/>
    <mergeCell ref="AJR41:AJT41"/>
    <mergeCell ref="AJU41:AJW41"/>
    <mergeCell ref="AJX41:AJZ41"/>
    <mergeCell ref="AKA41:AKC41"/>
    <mergeCell ref="AKG41:AKI41"/>
    <mergeCell ref="AKJ41:AKL41"/>
    <mergeCell ref="AJR36:AJT36"/>
    <mergeCell ref="AJU36:AJW36"/>
    <mergeCell ref="AJX36:AJZ36"/>
    <mergeCell ref="AKA36:AKC36"/>
    <mergeCell ref="AKD36:AKF36"/>
    <mergeCell ref="AKG36:AKI36"/>
    <mergeCell ref="AKJ36:AKL36"/>
    <mergeCell ref="AJR31:AJT31"/>
    <mergeCell ref="AJU31:AJW31"/>
    <mergeCell ref="AJX31:AJZ31"/>
    <mergeCell ref="AKA31:AKC31"/>
    <mergeCell ref="AKD31:AKF31"/>
    <mergeCell ref="AKG31:AKI31"/>
    <mergeCell ref="AJR39:AJT39"/>
    <mergeCell ref="AJU39:AJW39"/>
    <mergeCell ref="AJX39:AJZ39"/>
    <mergeCell ref="AKA39:AKC39"/>
    <mergeCell ref="AKD39:AKF39"/>
    <mergeCell ref="AKG39:AKI39"/>
    <mergeCell ref="AKJ39:AKL39"/>
    <mergeCell ref="AJR19:AJT19"/>
    <mergeCell ref="AJU19:AJW19"/>
    <mergeCell ref="AJX19:AJZ19"/>
    <mergeCell ref="AKA19:AKC19"/>
    <mergeCell ref="AKD19:AKF19"/>
    <mergeCell ref="AKG19:AKI19"/>
    <mergeCell ref="AKJ19:AKL19"/>
    <mergeCell ref="AJR20:AJT20"/>
    <mergeCell ref="AJU20:AJW20"/>
    <mergeCell ref="AJX20:AJZ20"/>
    <mergeCell ref="AKA20:AKC20"/>
    <mergeCell ref="AKD20:AKF20"/>
    <mergeCell ref="AKG20:AKI20"/>
    <mergeCell ref="AKJ20:AKL20"/>
    <mergeCell ref="AJR21:AJT21"/>
    <mergeCell ref="AJU21:AJW21"/>
    <mergeCell ref="AJX21:AJZ21"/>
    <mergeCell ref="AKA21:AKC21"/>
    <mergeCell ref="AKD21:AKF21"/>
    <mergeCell ref="AKG21:AKI21"/>
    <mergeCell ref="AKJ21:AKL21"/>
    <mergeCell ref="AKJ31:AKL31"/>
    <mergeCell ref="AJR32:AJT32"/>
    <mergeCell ref="AJU32:AJW32"/>
    <mergeCell ref="AJX32:AJZ32"/>
    <mergeCell ref="AKA32:AKC32"/>
    <mergeCell ref="AKD32:AKF32"/>
    <mergeCell ref="AKG32:AKI32"/>
    <mergeCell ref="AKJ32:AKL32"/>
    <mergeCell ref="AKJ16:AKL16"/>
    <mergeCell ref="AKJ29:AKL29"/>
    <mergeCell ref="AJR22:AJT22"/>
    <mergeCell ref="AJU22:AJW22"/>
    <mergeCell ref="AJX22:AJZ22"/>
    <mergeCell ref="AKA22:AKC22"/>
    <mergeCell ref="AKD22:AKF22"/>
    <mergeCell ref="AKG22:AKI22"/>
    <mergeCell ref="AKJ22:AKL22"/>
    <mergeCell ref="AKJ30:AKL30"/>
    <mergeCell ref="AJR16:AJT16"/>
    <mergeCell ref="AJU16:AJW16"/>
    <mergeCell ref="AJX16:AJZ16"/>
    <mergeCell ref="AKA16:AKC16"/>
    <mergeCell ref="AKD16:AKF16"/>
    <mergeCell ref="AKG16:AKI16"/>
    <mergeCell ref="AJR29:AJT29"/>
    <mergeCell ref="AJU29:AJW29"/>
    <mergeCell ref="AJX29:AJZ29"/>
    <mergeCell ref="AKA29:AKC29"/>
    <mergeCell ref="AKD29:AKF29"/>
    <mergeCell ref="AKG29:AKI29"/>
    <mergeCell ref="AJR30:AJT30"/>
    <mergeCell ref="AJU30:AJW30"/>
    <mergeCell ref="AJX30:AJZ30"/>
    <mergeCell ref="AKA30:AKC30"/>
    <mergeCell ref="AKD30:AKF30"/>
    <mergeCell ref="AKG30:AKI30"/>
    <mergeCell ref="AJR13:AJT13"/>
    <mergeCell ref="AJU13:AJW13"/>
    <mergeCell ref="AJX13:AJZ13"/>
    <mergeCell ref="AKA13:AKC13"/>
    <mergeCell ref="AKD13:AKF13"/>
    <mergeCell ref="AKG13:AKI13"/>
    <mergeCell ref="AKJ13:AKL13"/>
    <mergeCell ref="AJR14:AJT14"/>
    <mergeCell ref="AJU14:AJW14"/>
    <mergeCell ref="AJX14:AJZ14"/>
    <mergeCell ref="AKA14:AKC14"/>
    <mergeCell ref="AKD14:AKF14"/>
    <mergeCell ref="AKG14:AKI14"/>
    <mergeCell ref="AKJ14:AKL14"/>
    <mergeCell ref="AJR15:AJT15"/>
    <mergeCell ref="AJU15:AJW15"/>
    <mergeCell ref="AJX15:AJZ15"/>
    <mergeCell ref="AKA15:AKC15"/>
    <mergeCell ref="AKD15:AKF15"/>
    <mergeCell ref="AKG15:AKI15"/>
    <mergeCell ref="AKJ15:AKL15"/>
    <mergeCell ref="AJR8:AJT8"/>
    <mergeCell ref="AJU8:AJW8"/>
    <mergeCell ref="AJX8:AJZ8"/>
    <mergeCell ref="AKA8:AKC8"/>
    <mergeCell ref="AKD8:AKF8"/>
    <mergeCell ref="AKG8:AKI8"/>
    <mergeCell ref="AKJ8:AKL8"/>
    <mergeCell ref="AJR9:AJT9"/>
    <mergeCell ref="AJU9:AJW9"/>
    <mergeCell ref="AJX9:AJZ9"/>
    <mergeCell ref="AKA9:AKC9"/>
    <mergeCell ref="AKD9:AKF9"/>
    <mergeCell ref="AKG9:AKI9"/>
    <mergeCell ref="AKJ9:AKL9"/>
    <mergeCell ref="AJR10:AJT10"/>
    <mergeCell ref="AJU10:AJW10"/>
    <mergeCell ref="AJX10:AJZ10"/>
    <mergeCell ref="AKA10:AKC10"/>
    <mergeCell ref="AKD10:AKF10"/>
    <mergeCell ref="AKG10:AKI10"/>
    <mergeCell ref="AKJ10:AKL10"/>
    <mergeCell ref="AJR11:AJT11"/>
    <mergeCell ref="AJU11:AJW11"/>
    <mergeCell ref="AJX11:AJZ11"/>
    <mergeCell ref="AKA11:AKC11"/>
    <mergeCell ref="AKD11:AKF11"/>
    <mergeCell ref="AKG11:AKI11"/>
    <mergeCell ref="AKJ11:AKL11"/>
    <mergeCell ref="AJR12:AJT12"/>
    <mergeCell ref="AJU12:AJW12"/>
    <mergeCell ref="AJX12:AJZ12"/>
    <mergeCell ref="AKA12:AKC12"/>
    <mergeCell ref="AKD12:AKF12"/>
    <mergeCell ref="AKG12:AKI12"/>
    <mergeCell ref="AKJ12:AKL12"/>
    <mergeCell ref="AJR2:AJT2"/>
    <mergeCell ref="AJU2:AJW2"/>
    <mergeCell ref="AJX2:AJZ2"/>
    <mergeCell ref="AKA2:AKC2"/>
    <mergeCell ref="AKD2:AKF2"/>
    <mergeCell ref="AKG2:AKI2"/>
    <mergeCell ref="AKJ2:AKL2"/>
    <mergeCell ref="AJR3:AJT3"/>
    <mergeCell ref="AJU3:AJW3"/>
    <mergeCell ref="AJX3:AJZ3"/>
    <mergeCell ref="AKA3:AKC3"/>
    <mergeCell ref="AKD3:AKF3"/>
    <mergeCell ref="AKG3:AKI3"/>
    <mergeCell ref="AKJ3:AKL3"/>
    <mergeCell ref="AJR5:AJT5"/>
    <mergeCell ref="AJU5:AJW5"/>
    <mergeCell ref="AJX5:AJZ5"/>
    <mergeCell ref="AKA5:AKC5"/>
    <mergeCell ref="AKD5:AKF5"/>
    <mergeCell ref="AKG5:AKI5"/>
    <mergeCell ref="AKJ5:AKL5"/>
    <mergeCell ref="AJR6:AJT6"/>
    <mergeCell ref="AJU6:AJW6"/>
    <mergeCell ref="AJX6:AJZ6"/>
    <mergeCell ref="AKA6:AKC6"/>
    <mergeCell ref="AKD6:AKF6"/>
    <mergeCell ref="AKG6:AKI6"/>
    <mergeCell ref="AKJ6:AKL6"/>
    <mergeCell ref="AJR7:AJT7"/>
    <mergeCell ref="AJU7:AJW7"/>
    <mergeCell ref="AJX7:AJZ7"/>
    <mergeCell ref="AKA7:AKC7"/>
    <mergeCell ref="AKD7:AKF7"/>
    <mergeCell ref="AKG7:AKI7"/>
    <mergeCell ref="AKJ7:AKL7"/>
    <mergeCell ref="AIW57:AIY57"/>
    <mergeCell ref="AIZ57:AJB57"/>
    <mergeCell ref="AJC57:AJE57"/>
    <mergeCell ref="AJF57:AJH57"/>
    <mergeCell ref="AJI57:AJK57"/>
    <mergeCell ref="AJL57:AJN57"/>
    <mergeCell ref="AJO57:AJQ57"/>
    <mergeCell ref="AIW58:AIY58"/>
    <mergeCell ref="AIZ58:AJB58"/>
    <mergeCell ref="AJC58:AJE58"/>
    <mergeCell ref="AJF58:AJH58"/>
    <mergeCell ref="AJI58:AJK58"/>
    <mergeCell ref="AJL58:AJN58"/>
    <mergeCell ref="AJO58:AJQ58"/>
    <mergeCell ref="AIW59:AIY59"/>
    <mergeCell ref="AIZ59:AJB59"/>
    <mergeCell ref="AJC59:AJE59"/>
    <mergeCell ref="AJF59:AJH59"/>
    <mergeCell ref="AJI59:AJK59"/>
    <mergeCell ref="AJL59:AJN59"/>
    <mergeCell ref="AJO59:AJQ59"/>
    <mergeCell ref="AIW60:AIY60"/>
    <mergeCell ref="AIZ60:AJB60"/>
    <mergeCell ref="AJC60:AJE60"/>
    <mergeCell ref="AJF60:AJH60"/>
    <mergeCell ref="AJI60:AJK60"/>
    <mergeCell ref="AJL60:AJN60"/>
    <mergeCell ref="AJO60:AJQ60"/>
    <mergeCell ref="AIW61:AIY61"/>
    <mergeCell ref="AIZ61:AJB61"/>
    <mergeCell ref="AJC61:AJE61"/>
    <mergeCell ref="AJF61:AJH61"/>
    <mergeCell ref="AJI61:AJK61"/>
    <mergeCell ref="AJL61:AJN61"/>
    <mergeCell ref="AJO61:AJQ61"/>
    <mergeCell ref="AIW55:AIY55"/>
    <mergeCell ref="AIZ55:AJB55"/>
    <mergeCell ref="AJC55:AJE55"/>
    <mergeCell ref="AJF55:AJH55"/>
    <mergeCell ref="AJI55:AJK55"/>
    <mergeCell ref="AJL55:AJN55"/>
    <mergeCell ref="AJO55:AJQ55"/>
    <mergeCell ref="AIW56:AIY56"/>
    <mergeCell ref="AIZ56:AJB56"/>
    <mergeCell ref="AJC56:AJE56"/>
    <mergeCell ref="AJF56:AJH56"/>
    <mergeCell ref="AJI56:AJK56"/>
    <mergeCell ref="AJL56:AJN56"/>
    <mergeCell ref="AJO56:AJQ56"/>
    <mergeCell ref="AJF49:AJH49"/>
    <mergeCell ref="AJF51:AJH51"/>
    <mergeCell ref="AJF50:AJH50"/>
    <mergeCell ref="AJO49:AJQ49"/>
    <mergeCell ref="AJO50:AJQ50"/>
    <mergeCell ref="AJO51:AJQ51"/>
    <mergeCell ref="AIW48:AIY48"/>
    <mergeCell ref="AIZ48:AJB48"/>
    <mergeCell ref="AJC48:AJE48"/>
    <mergeCell ref="AJF48:AJH48"/>
    <mergeCell ref="AJI48:AJK48"/>
    <mergeCell ref="AJL48:AJN48"/>
    <mergeCell ref="AJO48:AJQ48"/>
    <mergeCell ref="AIW52:AIY52"/>
    <mergeCell ref="AIZ52:AJB52"/>
    <mergeCell ref="AJC52:AJE52"/>
    <mergeCell ref="AJF52:AJH52"/>
    <mergeCell ref="AJI52:AJK52"/>
    <mergeCell ref="AJL52:AJN52"/>
    <mergeCell ref="AJO52:AJQ52"/>
    <mergeCell ref="AIW54:AIY54"/>
    <mergeCell ref="AIZ54:AJB54"/>
    <mergeCell ref="AJC54:AJE54"/>
    <mergeCell ref="AJF54:AJH54"/>
    <mergeCell ref="AJI54:AJK54"/>
    <mergeCell ref="AJL54:AJN54"/>
    <mergeCell ref="AJO54:AJQ54"/>
    <mergeCell ref="AIW43:AIY43"/>
    <mergeCell ref="AIZ43:AJB43"/>
    <mergeCell ref="AJC43:AJE43"/>
    <mergeCell ref="AJF43:AJH43"/>
    <mergeCell ref="AJI43:AJK43"/>
    <mergeCell ref="AJL43:AJN43"/>
    <mergeCell ref="AJO43:AJQ43"/>
    <mergeCell ref="AIW44:AIY44"/>
    <mergeCell ref="AIZ44:AJB44"/>
    <mergeCell ref="AJC44:AJE44"/>
    <mergeCell ref="AJF44:AJH44"/>
    <mergeCell ref="AJI44:AJK44"/>
    <mergeCell ref="AJL44:AJN44"/>
    <mergeCell ref="AJO44:AJQ44"/>
    <mergeCell ref="AIW45:AIY45"/>
    <mergeCell ref="AIZ45:AJB45"/>
    <mergeCell ref="AJC45:AJE45"/>
    <mergeCell ref="AJF45:AJH45"/>
    <mergeCell ref="AJI45:AJK45"/>
    <mergeCell ref="AJL45:AJN45"/>
    <mergeCell ref="AJO45:AJQ45"/>
    <mergeCell ref="AIW46:AIY46"/>
    <mergeCell ref="AIZ46:AJB46"/>
    <mergeCell ref="AJC46:AJE46"/>
    <mergeCell ref="AJF46:AJH46"/>
    <mergeCell ref="AJI46:AJK46"/>
    <mergeCell ref="AJL46:AJN46"/>
    <mergeCell ref="AJO46:AJQ46"/>
    <mergeCell ref="AIW47:AIY47"/>
    <mergeCell ref="AIZ47:AJB47"/>
    <mergeCell ref="AJC47:AJE47"/>
    <mergeCell ref="AJF47:AJH47"/>
    <mergeCell ref="AJI47:AJK47"/>
    <mergeCell ref="AJL47:AJN47"/>
    <mergeCell ref="AJO47:AJQ47"/>
    <mergeCell ref="AIW40:AIY40"/>
    <mergeCell ref="AIZ40:AJB40"/>
    <mergeCell ref="AJC40:AJE40"/>
    <mergeCell ref="AJF40:AJH40"/>
    <mergeCell ref="AJI40:AJK40"/>
    <mergeCell ref="AJL40:AJN40"/>
    <mergeCell ref="AJO40:AJQ40"/>
    <mergeCell ref="AIW41:AIY41"/>
    <mergeCell ref="AIZ41:AJB41"/>
    <mergeCell ref="AJC41:AJE41"/>
    <mergeCell ref="AJF41:AJH41"/>
    <mergeCell ref="AJI41:AJK41"/>
    <mergeCell ref="AJL41:AJN41"/>
    <mergeCell ref="AJO41:AJQ41"/>
    <mergeCell ref="AIW42:AIY42"/>
    <mergeCell ref="AIZ42:AJB42"/>
    <mergeCell ref="AJC42:AJE42"/>
    <mergeCell ref="AJF42:AJH42"/>
    <mergeCell ref="AJI42:AJK42"/>
    <mergeCell ref="AJL42:AJN42"/>
    <mergeCell ref="AJO42:AJQ42"/>
    <mergeCell ref="AIW21:AIY21"/>
    <mergeCell ref="AIZ21:AJB21"/>
    <mergeCell ref="AJC21:AJE21"/>
    <mergeCell ref="AJF21:AJH21"/>
    <mergeCell ref="AJI21:AJK21"/>
    <mergeCell ref="AJL21:AJN21"/>
    <mergeCell ref="AJO21:AJQ21"/>
    <mergeCell ref="AIW22:AIY22"/>
    <mergeCell ref="AIZ22:AJB22"/>
    <mergeCell ref="AJC22:AJE22"/>
    <mergeCell ref="AJF22:AJH22"/>
    <mergeCell ref="AJI22:AJK22"/>
    <mergeCell ref="AJL22:AJN22"/>
    <mergeCell ref="AJO22:AJQ22"/>
    <mergeCell ref="AIW36:AIY36"/>
    <mergeCell ref="AIZ36:AJB36"/>
    <mergeCell ref="AJC36:AJE36"/>
    <mergeCell ref="AJF36:AJH36"/>
    <mergeCell ref="AJI36:AJK36"/>
    <mergeCell ref="AJL36:AJN36"/>
    <mergeCell ref="AJO36:AJQ36"/>
    <mergeCell ref="AJF30:AJH30"/>
    <mergeCell ref="AJI30:AJK30"/>
    <mergeCell ref="AJL30:AJN30"/>
    <mergeCell ref="AJO30:AJQ30"/>
    <mergeCell ref="AIW31:AIY31"/>
    <mergeCell ref="AIZ31:AJB31"/>
    <mergeCell ref="AJC31:AJE31"/>
    <mergeCell ref="AJF31:AJH31"/>
    <mergeCell ref="AJI31:AJK31"/>
    <mergeCell ref="AJL31:AJN31"/>
    <mergeCell ref="AJO31:AJQ31"/>
    <mergeCell ref="AIW32:AIY32"/>
    <mergeCell ref="AIZ32:AJB32"/>
    <mergeCell ref="AJC32:AJE32"/>
    <mergeCell ref="AJF32:AJH32"/>
    <mergeCell ref="AJI32:AJK32"/>
    <mergeCell ref="AJL32:AJN32"/>
    <mergeCell ref="AJO32:AJQ32"/>
    <mergeCell ref="AJI29:AJK29"/>
    <mergeCell ref="AJL29:AJN29"/>
    <mergeCell ref="AJO29:AJQ29"/>
    <mergeCell ref="AIW34:AIY34"/>
    <mergeCell ref="AIZ34:AJB34"/>
    <mergeCell ref="AJC34:AJE34"/>
    <mergeCell ref="AJF34:AJH34"/>
    <mergeCell ref="AJI34:AJK34"/>
    <mergeCell ref="AJL34:AJN34"/>
    <mergeCell ref="AJO34:AJQ34"/>
    <mergeCell ref="AIW39:AIY39"/>
    <mergeCell ref="AIZ39:AJB39"/>
    <mergeCell ref="AJC39:AJE39"/>
    <mergeCell ref="AJF39:AJH39"/>
    <mergeCell ref="AJI39:AJK39"/>
    <mergeCell ref="AJL39:AJN39"/>
    <mergeCell ref="AJO39:AJQ39"/>
    <mergeCell ref="AIW19:AIY19"/>
    <mergeCell ref="AIZ19:AJB19"/>
    <mergeCell ref="AJC19:AJE19"/>
    <mergeCell ref="AJF19:AJH19"/>
    <mergeCell ref="AJI19:AJK19"/>
    <mergeCell ref="AJL19:AJN19"/>
    <mergeCell ref="AJO19:AJQ19"/>
    <mergeCell ref="AIW35:AIY35"/>
    <mergeCell ref="AIZ35:AJB35"/>
    <mergeCell ref="AJC35:AJE35"/>
    <mergeCell ref="AJF35:AJH35"/>
    <mergeCell ref="AJI35:AJK35"/>
    <mergeCell ref="AJL35:AJN35"/>
    <mergeCell ref="AJO35:AJQ35"/>
    <mergeCell ref="AIW20:AIY20"/>
    <mergeCell ref="AIZ20:AJB20"/>
    <mergeCell ref="AJC20:AJE20"/>
    <mergeCell ref="AJF20:AJH20"/>
    <mergeCell ref="AJI20:AJK20"/>
    <mergeCell ref="AJL20:AJN20"/>
    <mergeCell ref="AJO20:AJQ20"/>
    <mergeCell ref="AIW16:AIY16"/>
    <mergeCell ref="AIZ16:AJB16"/>
    <mergeCell ref="AJC16:AJE16"/>
    <mergeCell ref="AJF16:AJH16"/>
    <mergeCell ref="AJI16:AJK16"/>
    <mergeCell ref="AJL16:AJN16"/>
    <mergeCell ref="AJO16:AJQ16"/>
    <mergeCell ref="AIW29:AIY29"/>
    <mergeCell ref="AIZ29:AJB29"/>
    <mergeCell ref="AJC29:AJE29"/>
    <mergeCell ref="AJF29:AJH29"/>
    <mergeCell ref="AIW14:AIY14"/>
    <mergeCell ref="AIZ14:AJB14"/>
    <mergeCell ref="AJC14:AJE14"/>
    <mergeCell ref="AJF14:AJH14"/>
    <mergeCell ref="AJI14:AJK14"/>
    <mergeCell ref="AJL14:AJN14"/>
    <mergeCell ref="AJO14:AJQ14"/>
    <mergeCell ref="AIW15:AIY15"/>
    <mergeCell ref="AIZ15:AJB15"/>
    <mergeCell ref="AJC15:AJE15"/>
    <mergeCell ref="AJF15:AJH15"/>
    <mergeCell ref="AJI15:AJK15"/>
    <mergeCell ref="AJL15:AJN15"/>
    <mergeCell ref="AJO15:AJQ15"/>
    <mergeCell ref="AJC9:AJE9"/>
    <mergeCell ref="AJF9:AJH9"/>
    <mergeCell ref="AJI9:AJK9"/>
    <mergeCell ref="AJL9:AJN9"/>
    <mergeCell ref="AJO9:AJQ9"/>
    <mergeCell ref="AIW10:AIY10"/>
    <mergeCell ref="AIZ10:AJB10"/>
    <mergeCell ref="AJC10:AJE10"/>
    <mergeCell ref="AJF10:AJH10"/>
    <mergeCell ref="AJI10:AJK10"/>
    <mergeCell ref="AJL10:AJN10"/>
    <mergeCell ref="AJO10:AJQ10"/>
    <mergeCell ref="AIW11:AIY11"/>
    <mergeCell ref="AIZ11:AJB11"/>
    <mergeCell ref="AJC11:AJE11"/>
    <mergeCell ref="AJF11:AJH11"/>
    <mergeCell ref="AJI11:AJK11"/>
    <mergeCell ref="AJL11:AJN11"/>
    <mergeCell ref="AJO11:AJQ11"/>
    <mergeCell ref="AIW12:AIY12"/>
    <mergeCell ref="AIZ12:AJB12"/>
    <mergeCell ref="AJC12:AJE12"/>
    <mergeCell ref="AJF12:AJH12"/>
    <mergeCell ref="AJI12:AJK12"/>
    <mergeCell ref="AJL12:AJN12"/>
    <mergeCell ref="AJO12:AJQ12"/>
    <mergeCell ref="AIW13:AIY13"/>
    <mergeCell ref="AIZ13:AJB13"/>
    <mergeCell ref="AJC13:AJE13"/>
    <mergeCell ref="AJF13:AJH13"/>
    <mergeCell ref="AJI13:AJK13"/>
    <mergeCell ref="AJL13:AJN13"/>
    <mergeCell ref="AJO13:AJQ13"/>
    <mergeCell ref="AIH58:AIJ58"/>
    <mergeCell ref="AIK58:AIM58"/>
    <mergeCell ref="AIN58:AIP58"/>
    <mergeCell ref="AIQ58:AIS58"/>
    <mergeCell ref="AIT58:AIV58"/>
    <mergeCell ref="AIH59:AIJ59"/>
    <mergeCell ref="AIK59:AIM59"/>
    <mergeCell ref="AIN59:AIP59"/>
    <mergeCell ref="AIQ59:AIS59"/>
    <mergeCell ref="AIT59:AIV59"/>
    <mergeCell ref="AIH60:AIJ60"/>
    <mergeCell ref="AIK60:AIM60"/>
    <mergeCell ref="AIN60:AIP60"/>
    <mergeCell ref="AIQ60:AIS60"/>
    <mergeCell ref="AIT60:AIV60"/>
    <mergeCell ref="AIH61:AIJ61"/>
    <mergeCell ref="AIK61:AIM61"/>
    <mergeCell ref="AIN61:AIP61"/>
    <mergeCell ref="AIQ61:AIS61"/>
    <mergeCell ref="AIT61:AIV61"/>
    <mergeCell ref="AIW2:AIY2"/>
    <mergeCell ref="AIZ2:AJB2"/>
    <mergeCell ref="AJC2:AJE2"/>
    <mergeCell ref="AJF2:AJH2"/>
    <mergeCell ref="AJI2:AJK2"/>
    <mergeCell ref="AJL2:AJN2"/>
    <mergeCell ref="AJO2:AJQ2"/>
    <mergeCell ref="AIW3:AIY3"/>
    <mergeCell ref="AIZ3:AJB3"/>
    <mergeCell ref="AJC3:AJE3"/>
    <mergeCell ref="AJF3:AJH3"/>
    <mergeCell ref="AJI3:AJK3"/>
    <mergeCell ref="AJL3:AJN3"/>
    <mergeCell ref="AJO3:AJQ3"/>
    <mergeCell ref="AIW5:AIY5"/>
    <mergeCell ref="AIZ5:AJB5"/>
    <mergeCell ref="AJC5:AJE5"/>
    <mergeCell ref="AJF5:AJH5"/>
    <mergeCell ref="AJI5:AJK5"/>
    <mergeCell ref="AJL5:AJN5"/>
    <mergeCell ref="AJO5:AJQ5"/>
    <mergeCell ref="AIW6:AIY6"/>
    <mergeCell ref="AIZ6:AJB6"/>
    <mergeCell ref="AJC6:AJE6"/>
    <mergeCell ref="AJF6:AJH6"/>
    <mergeCell ref="AJI6:AJK6"/>
    <mergeCell ref="AJL6:AJN6"/>
    <mergeCell ref="AJO6:AJQ6"/>
    <mergeCell ref="AIW7:AIY7"/>
    <mergeCell ref="AIZ7:AJB7"/>
    <mergeCell ref="AJC7:AJE7"/>
    <mergeCell ref="AJF7:AJH7"/>
    <mergeCell ref="AJI7:AJK7"/>
    <mergeCell ref="AJL7:AJN7"/>
    <mergeCell ref="AJO7:AJQ7"/>
    <mergeCell ref="AIW8:AIY8"/>
    <mergeCell ref="AIZ8:AJB8"/>
    <mergeCell ref="AJC8:AJE8"/>
    <mergeCell ref="AJF8:AJH8"/>
    <mergeCell ref="AJI8:AJK8"/>
    <mergeCell ref="AJL8:AJN8"/>
    <mergeCell ref="AJO8:AJQ8"/>
    <mergeCell ref="AIW9:AIY9"/>
    <mergeCell ref="AIZ9:AJB9"/>
    <mergeCell ref="AIH54:AIJ54"/>
    <mergeCell ref="AIK54:AIM54"/>
    <mergeCell ref="AIN54:AIP54"/>
    <mergeCell ref="AIQ54:AIS54"/>
    <mergeCell ref="AIT54:AIV54"/>
    <mergeCell ref="AIH55:AIJ55"/>
    <mergeCell ref="AIK55:AIM55"/>
    <mergeCell ref="AIN55:AIP55"/>
    <mergeCell ref="AIQ55:AIS55"/>
    <mergeCell ref="AIT55:AIV55"/>
    <mergeCell ref="AIH56:AIJ56"/>
    <mergeCell ref="AIK56:AIM56"/>
    <mergeCell ref="AIN56:AIP56"/>
    <mergeCell ref="AIQ56:AIS56"/>
    <mergeCell ref="AIT56:AIV56"/>
    <mergeCell ref="AIH57:AIJ57"/>
    <mergeCell ref="AIK57:AIM57"/>
    <mergeCell ref="AIN57:AIP57"/>
    <mergeCell ref="AIQ57:AIS57"/>
    <mergeCell ref="AIT57:AIV57"/>
    <mergeCell ref="AIH48:AIJ48"/>
    <mergeCell ref="AIK48:AIM48"/>
    <mergeCell ref="AIN48:AIP48"/>
    <mergeCell ref="AIQ48:AIS48"/>
    <mergeCell ref="AIT48:AIV48"/>
    <mergeCell ref="AIH52:AIJ52"/>
    <mergeCell ref="AIK52:AIM52"/>
    <mergeCell ref="AIN52:AIP52"/>
    <mergeCell ref="AIQ52:AIS52"/>
    <mergeCell ref="AIT52:AIV52"/>
    <mergeCell ref="AIH41:AIJ41"/>
    <mergeCell ref="AIK41:AIM41"/>
    <mergeCell ref="AIN41:AIP41"/>
    <mergeCell ref="AIQ41:AIS41"/>
    <mergeCell ref="AIT41:AIV41"/>
    <mergeCell ref="AIH42:AIJ42"/>
    <mergeCell ref="AIK42:AIM42"/>
    <mergeCell ref="AIN42:AIP42"/>
    <mergeCell ref="AIQ42:AIS42"/>
    <mergeCell ref="AIT42:AIV42"/>
    <mergeCell ref="AIH43:AIJ43"/>
    <mergeCell ref="AIK43:AIM43"/>
    <mergeCell ref="AIN43:AIP43"/>
    <mergeCell ref="AIQ43:AIS43"/>
    <mergeCell ref="AIT43:AIV43"/>
    <mergeCell ref="AIH44:AIJ44"/>
    <mergeCell ref="AIK44:AIM44"/>
    <mergeCell ref="AIN44:AIP44"/>
    <mergeCell ref="AIQ44:AIS44"/>
    <mergeCell ref="AIT44:AIV44"/>
    <mergeCell ref="AIH45:AIJ45"/>
    <mergeCell ref="AIK45:AIM45"/>
    <mergeCell ref="AIN45:AIP45"/>
    <mergeCell ref="AIQ45:AIS45"/>
    <mergeCell ref="AIT45:AIV45"/>
    <mergeCell ref="AIH46:AIJ46"/>
    <mergeCell ref="AIK46:AIM46"/>
    <mergeCell ref="AIN46:AIP46"/>
    <mergeCell ref="AIQ46:AIS46"/>
    <mergeCell ref="AIT46:AIV46"/>
    <mergeCell ref="AIH47:AIJ47"/>
    <mergeCell ref="AIK47:AIM47"/>
    <mergeCell ref="AIN47:AIP47"/>
    <mergeCell ref="AIQ47:AIS47"/>
    <mergeCell ref="AIT47:AIV47"/>
    <mergeCell ref="AIH33:AIJ33"/>
    <mergeCell ref="AIK33:AIM33"/>
    <mergeCell ref="AIN33:AIP33"/>
    <mergeCell ref="AIQ33:AIS33"/>
    <mergeCell ref="AIT33:AIV33"/>
    <mergeCell ref="AIH40:AIJ40"/>
    <mergeCell ref="AIK40:AIM40"/>
    <mergeCell ref="AIN40:AIP40"/>
    <mergeCell ref="AIQ40:AIS40"/>
    <mergeCell ref="AIT40:AIV40"/>
    <mergeCell ref="AIH30:AIJ30"/>
    <mergeCell ref="AIK30:AIM30"/>
    <mergeCell ref="AIN30:AIP30"/>
    <mergeCell ref="AIQ30:AIS30"/>
    <mergeCell ref="AIT30:AIV30"/>
    <mergeCell ref="AIH31:AIJ31"/>
    <mergeCell ref="AIK31:AIM31"/>
    <mergeCell ref="AIN31:AIP31"/>
    <mergeCell ref="AIQ31:AIS31"/>
    <mergeCell ref="AIT31:AIV31"/>
    <mergeCell ref="AIH32:AIJ32"/>
    <mergeCell ref="AIK32:AIM32"/>
    <mergeCell ref="AIN32:AIP32"/>
    <mergeCell ref="AIQ32:AIS32"/>
    <mergeCell ref="AIT32:AIV32"/>
    <mergeCell ref="AIH39:AIJ39"/>
    <mergeCell ref="AIK39:AIM39"/>
    <mergeCell ref="AIN39:AIP39"/>
    <mergeCell ref="AIQ39:AIS39"/>
    <mergeCell ref="AIT39:AIV39"/>
    <mergeCell ref="AIH19:AIJ19"/>
    <mergeCell ref="AIK19:AIM19"/>
    <mergeCell ref="AIN19:AIP19"/>
    <mergeCell ref="AIQ19:AIS19"/>
    <mergeCell ref="AIT19:AIV19"/>
    <mergeCell ref="AIH20:AIJ20"/>
    <mergeCell ref="AIK20:AIM20"/>
    <mergeCell ref="AIN20:AIP20"/>
    <mergeCell ref="AIQ20:AIS20"/>
    <mergeCell ref="AIT20:AIV20"/>
    <mergeCell ref="AIT34:AIV34"/>
    <mergeCell ref="AIK35:AIM35"/>
    <mergeCell ref="AIN35:AIP35"/>
    <mergeCell ref="AIQ35:AIS35"/>
    <mergeCell ref="AIT35:AIV35"/>
    <mergeCell ref="AIH21:AIJ21"/>
    <mergeCell ref="AIK21:AIM21"/>
    <mergeCell ref="AIN21:AIP21"/>
    <mergeCell ref="AIQ21:AIS21"/>
    <mergeCell ref="AIT21:AIV21"/>
    <mergeCell ref="AIH22:AIJ22"/>
    <mergeCell ref="AIK22:AIM22"/>
    <mergeCell ref="AIN22:AIP22"/>
    <mergeCell ref="AIQ22:AIS22"/>
    <mergeCell ref="AIT22:AIV22"/>
    <mergeCell ref="AIH36:AIJ36"/>
    <mergeCell ref="AIK36:AIM36"/>
    <mergeCell ref="AIN36:AIP36"/>
    <mergeCell ref="AIQ36:AIS36"/>
    <mergeCell ref="AIT36:AIV36"/>
    <mergeCell ref="AIQ34:AIS34"/>
    <mergeCell ref="AIH16:AIJ16"/>
    <mergeCell ref="AIK16:AIM16"/>
    <mergeCell ref="AIN16:AIP16"/>
    <mergeCell ref="AIQ16:AIS16"/>
    <mergeCell ref="AIT16:AIV16"/>
    <mergeCell ref="AIH29:AIJ29"/>
    <mergeCell ref="AIK29:AIM29"/>
    <mergeCell ref="AIN29:AIP29"/>
    <mergeCell ref="AIQ29:AIS29"/>
    <mergeCell ref="AIT29:AIV29"/>
    <mergeCell ref="AIH10:AIJ10"/>
    <mergeCell ref="AIK10:AIM10"/>
    <mergeCell ref="AIN10:AIP10"/>
    <mergeCell ref="AIQ10:AIS10"/>
    <mergeCell ref="AIT10:AIV10"/>
    <mergeCell ref="AIH11:AIJ11"/>
    <mergeCell ref="AIK11:AIM11"/>
    <mergeCell ref="AIN11:AIP11"/>
    <mergeCell ref="AIQ11:AIS11"/>
    <mergeCell ref="AIT11:AIV11"/>
    <mergeCell ref="AIH12:AIJ12"/>
    <mergeCell ref="AIK12:AIM12"/>
    <mergeCell ref="AIN12:AIP12"/>
    <mergeCell ref="AIQ12:AIS12"/>
    <mergeCell ref="AIT12:AIV12"/>
    <mergeCell ref="AIH13:AIJ13"/>
    <mergeCell ref="AIK13:AIM13"/>
    <mergeCell ref="AIN13:AIP13"/>
    <mergeCell ref="AIQ13:AIS13"/>
    <mergeCell ref="AIT13:AIV13"/>
    <mergeCell ref="AIH14:AIJ14"/>
    <mergeCell ref="AIK14:AIM14"/>
    <mergeCell ref="AIN14:AIP14"/>
    <mergeCell ref="AIQ14:AIS14"/>
    <mergeCell ref="AIT14:AIV14"/>
    <mergeCell ref="AIH15:AIJ15"/>
    <mergeCell ref="AIK15:AIM15"/>
    <mergeCell ref="AIN15:AIP15"/>
    <mergeCell ref="AIQ15:AIS15"/>
    <mergeCell ref="AIT15:AIV15"/>
    <mergeCell ref="AIH2:AIJ2"/>
    <mergeCell ref="AIK2:AIM2"/>
    <mergeCell ref="AIN2:AIP2"/>
    <mergeCell ref="AIQ2:AIS2"/>
    <mergeCell ref="AIT2:AIV2"/>
    <mergeCell ref="AIH3:AIJ3"/>
    <mergeCell ref="AIK3:AIM3"/>
    <mergeCell ref="AIN3:AIP3"/>
    <mergeCell ref="AIQ3:AIS3"/>
    <mergeCell ref="AIT3:AIV3"/>
    <mergeCell ref="AIH5:AIJ5"/>
    <mergeCell ref="AIK5:AIM5"/>
    <mergeCell ref="AIN5:AIP5"/>
    <mergeCell ref="AIQ5:AIS5"/>
    <mergeCell ref="AIT5:AIV5"/>
    <mergeCell ref="AIH6:AIJ6"/>
    <mergeCell ref="AIK6:AIM6"/>
    <mergeCell ref="AIN6:AIP6"/>
    <mergeCell ref="AIQ6:AIS6"/>
    <mergeCell ref="AIT6:AIV6"/>
    <mergeCell ref="AIH7:AIJ7"/>
    <mergeCell ref="AIK7:AIM7"/>
    <mergeCell ref="AIN7:AIP7"/>
    <mergeCell ref="AIQ7:AIS7"/>
    <mergeCell ref="AIT7:AIV7"/>
    <mergeCell ref="AIH8:AIJ8"/>
    <mergeCell ref="AIK8:AIM8"/>
    <mergeCell ref="AIN8:AIP8"/>
    <mergeCell ref="AIQ8:AIS8"/>
    <mergeCell ref="AIT8:AIV8"/>
    <mergeCell ref="AIH9:AIJ9"/>
    <mergeCell ref="AIK9:AIM9"/>
    <mergeCell ref="AIN9:AIP9"/>
    <mergeCell ref="AIQ9:AIS9"/>
    <mergeCell ref="AIT9:AIV9"/>
    <mergeCell ref="AHM59:AHO59"/>
    <mergeCell ref="AHP59:AHR59"/>
    <mergeCell ref="AHS59:AHU59"/>
    <mergeCell ref="AHV59:AHX59"/>
    <mergeCell ref="AHY59:AIA59"/>
    <mergeCell ref="AIB59:AID59"/>
    <mergeCell ref="AIE59:AIG59"/>
    <mergeCell ref="AHM60:AHO60"/>
    <mergeCell ref="AHP60:AHR60"/>
    <mergeCell ref="AHS60:AHU60"/>
    <mergeCell ref="AHV60:AHX60"/>
    <mergeCell ref="AHY60:AIA60"/>
    <mergeCell ref="AIB60:AID60"/>
    <mergeCell ref="AIE60:AIG60"/>
    <mergeCell ref="AHM61:AHO61"/>
    <mergeCell ref="AHP61:AHR61"/>
    <mergeCell ref="AHS61:AHU61"/>
    <mergeCell ref="AHV61:AHX61"/>
    <mergeCell ref="AHY61:AIA61"/>
    <mergeCell ref="AIB61:AID61"/>
    <mergeCell ref="AIE61:AIG61"/>
    <mergeCell ref="AHM54:AHO54"/>
    <mergeCell ref="AHP54:AHR54"/>
    <mergeCell ref="AHS54:AHU54"/>
    <mergeCell ref="AHV54:AHX54"/>
    <mergeCell ref="AHY54:AIA54"/>
    <mergeCell ref="AIB54:AID54"/>
    <mergeCell ref="AIE54:AIG54"/>
    <mergeCell ref="AHM55:AHO55"/>
    <mergeCell ref="AHP55:AHR55"/>
    <mergeCell ref="AHS55:AHU55"/>
    <mergeCell ref="AHV55:AHX55"/>
    <mergeCell ref="AHY55:AIA55"/>
    <mergeCell ref="AIB55:AID55"/>
    <mergeCell ref="AIE55:AIG55"/>
    <mergeCell ref="AHM56:AHO56"/>
    <mergeCell ref="AHP56:AHR56"/>
    <mergeCell ref="AHS56:AHU56"/>
    <mergeCell ref="AHV56:AHX56"/>
    <mergeCell ref="AHY56:AIA56"/>
    <mergeCell ref="AIB56:AID56"/>
    <mergeCell ref="AIE56:AIG56"/>
    <mergeCell ref="AHM57:AHO57"/>
    <mergeCell ref="AHP57:AHR57"/>
    <mergeCell ref="AHS57:AHU57"/>
    <mergeCell ref="AHV57:AHX57"/>
    <mergeCell ref="AHY57:AIA57"/>
    <mergeCell ref="AIB57:AID57"/>
    <mergeCell ref="AIE57:AIG57"/>
    <mergeCell ref="AHM58:AHO58"/>
    <mergeCell ref="AHP58:AHR58"/>
    <mergeCell ref="AHS58:AHU58"/>
    <mergeCell ref="AHV58:AHX58"/>
    <mergeCell ref="AHY58:AIA58"/>
    <mergeCell ref="AIB58:AID58"/>
    <mergeCell ref="AIE58:AIG58"/>
    <mergeCell ref="AIB45:AID45"/>
    <mergeCell ref="AIE45:AIG45"/>
    <mergeCell ref="AIB48:AID48"/>
    <mergeCell ref="AIE48:AIG48"/>
    <mergeCell ref="AHM46:AHO46"/>
    <mergeCell ref="AHP46:AHR46"/>
    <mergeCell ref="AHS46:AHU46"/>
    <mergeCell ref="AHV46:AHX46"/>
    <mergeCell ref="AHY46:AIA46"/>
    <mergeCell ref="AIB46:AID46"/>
    <mergeCell ref="AIE46:AIG46"/>
    <mergeCell ref="AIB52:AID52"/>
    <mergeCell ref="AIE52:AIG52"/>
    <mergeCell ref="AHM47:AHO47"/>
    <mergeCell ref="AHP47:AHR47"/>
    <mergeCell ref="AHS47:AHU47"/>
    <mergeCell ref="AHV47:AHX47"/>
    <mergeCell ref="AHY47:AIA47"/>
    <mergeCell ref="AIB47:AID47"/>
    <mergeCell ref="AIE47:AIG47"/>
    <mergeCell ref="AHM48:AHO48"/>
    <mergeCell ref="AHP48:AHR48"/>
    <mergeCell ref="AHS48:AHU48"/>
    <mergeCell ref="AHV48:AHX48"/>
    <mergeCell ref="AHY48:AIA48"/>
    <mergeCell ref="AHV52:AHX52"/>
    <mergeCell ref="AHY52:AIA52"/>
    <mergeCell ref="AHM45:AHO45"/>
    <mergeCell ref="AHP45:AHR45"/>
    <mergeCell ref="AHS45:AHU45"/>
    <mergeCell ref="AHV45:AHX45"/>
    <mergeCell ref="AHY45:AIA45"/>
    <mergeCell ref="AHP52:AHR52"/>
    <mergeCell ref="AHS52:AHU52"/>
    <mergeCell ref="AHM40:AHO40"/>
    <mergeCell ref="AHP40:AHR40"/>
    <mergeCell ref="AHS40:AHU40"/>
    <mergeCell ref="AHV40:AHX40"/>
    <mergeCell ref="AHY40:AIA40"/>
    <mergeCell ref="AIB40:AID40"/>
    <mergeCell ref="AIE40:AIG40"/>
    <mergeCell ref="AHM41:AHO41"/>
    <mergeCell ref="AHP41:AHR41"/>
    <mergeCell ref="AHS41:AHU41"/>
    <mergeCell ref="AHV41:AHX41"/>
    <mergeCell ref="AHY41:AIA41"/>
    <mergeCell ref="AIB41:AID41"/>
    <mergeCell ref="AIE41:AIG41"/>
    <mergeCell ref="AHM42:AHO42"/>
    <mergeCell ref="AHP42:AHR42"/>
    <mergeCell ref="AHS42:AHU42"/>
    <mergeCell ref="AHV42:AHX42"/>
    <mergeCell ref="AHY42:AIA42"/>
    <mergeCell ref="AIB42:AID42"/>
    <mergeCell ref="AIE42:AIG42"/>
    <mergeCell ref="AHM43:AHO43"/>
    <mergeCell ref="AHP43:AHR43"/>
    <mergeCell ref="AHS43:AHU43"/>
    <mergeCell ref="AHV43:AHX43"/>
    <mergeCell ref="AHY43:AIA43"/>
    <mergeCell ref="AIB43:AID43"/>
    <mergeCell ref="AIE43:AIG43"/>
    <mergeCell ref="AHM44:AHO44"/>
    <mergeCell ref="AHP44:AHR44"/>
    <mergeCell ref="AHS44:AHU44"/>
    <mergeCell ref="AHV44:AHX44"/>
    <mergeCell ref="AHY44:AIA44"/>
    <mergeCell ref="AIB44:AID44"/>
    <mergeCell ref="AIE44:AIG44"/>
    <mergeCell ref="AHM39:AHO39"/>
    <mergeCell ref="AHP39:AHR39"/>
    <mergeCell ref="AHS39:AHU39"/>
    <mergeCell ref="AHV39:AHX39"/>
    <mergeCell ref="AHY39:AIA39"/>
    <mergeCell ref="AIB39:AID39"/>
    <mergeCell ref="AIE39:AIG39"/>
    <mergeCell ref="AHM33:AHO33"/>
    <mergeCell ref="AHP33:AHR33"/>
    <mergeCell ref="AHS33:AHU33"/>
    <mergeCell ref="AHV33:AHX33"/>
    <mergeCell ref="AHY33:AIA33"/>
    <mergeCell ref="AIB33:AID33"/>
    <mergeCell ref="AIE33:AIG33"/>
    <mergeCell ref="AHM30:AHO30"/>
    <mergeCell ref="AHP30:AHR30"/>
    <mergeCell ref="AHS30:AHU30"/>
    <mergeCell ref="AHV30:AHX30"/>
    <mergeCell ref="AHY30:AIA30"/>
    <mergeCell ref="AIB30:AID30"/>
    <mergeCell ref="AIE30:AIG30"/>
    <mergeCell ref="AHM36:AHO36"/>
    <mergeCell ref="AHP36:AHR36"/>
    <mergeCell ref="AHS36:AHU36"/>
    <mergeCell ref="AHV36:AHX36"/>
    <mergeCell ref="AHY36:AIA36"/>
    <mergeCell ref="AIB36:AID36"/>
    <mergeCell ref="AIE36:AIG36"/>
    <mergeCell ref="AHP20:AHR20"/>
    <mergeCell ref="AHS20:AHU20"/>
    <mergeCell ref="AHV20:AHX20"/>
    <mergeCell ref="AHY20:AIA20"/>
    <mergeCell ref="AIB20:AID20"/>
    <mergeCell ref="AIE20:AIG20"/>
    <mergeCell ref="AHM21:AHO21"/>
    <mergeCell ref="AHP21:AHR21"/>
    <mergeCell ref="AHS21:AHU21"/>
    <mergeCell ref="AHV21:AHX21"/>
    <mergeCell ref="AHY21:AIA21"/>
    <mergeCell ref="AIB21:AID21"/>
    <mergeCell ref="AIE21:AIG21"/>
    <mergeCell ref="AHM22:AHO22"/>
    <mergeCell ref="AHP22:AHR22"/>
    <mergeCell ref="AHS22:AHU22"/>
    <mergeCell ref="AHV22:AHX22"/>
    <mergeCell ref="AHY22:AIA22"/>
    <mergeCell ref="AIB22:AID22"/>
    <mergeCell ref="AIE22:AIG22"/>
    <mergeCell ref="AHM16:AHO16"/>
    <mergeCell ref="AHP16:AHR16"/>
    <mergeCell ref="AHS16:AHU16"/>
    <mergeCell ref="AHV16:AHX16"/>
    <mergeCell ref="AHY16:AIA16"/>
    <mergeCell ref="AIB16:AID16"/>
    <mergeCell ref="AIE16:AIG16"/>
    <mergeCell ref="AHM31:AHO31"/>
    <mergeCell ref="AHP31:AHR31"/>
    <mergeCell ref="AHS31:AHU31"/>
    <mergeCell ref="AHV31:AHX31"/>
    <mergeCell ref="AHY31:AIA31"/>
    <mergeCell ref="AIB31:AID31"/>
    <mergeCell ref="AIE31:AIG31"/>
    <mergeCell ref="AHM32:AHO32"/>
    <mergeCell ref="AHP32:AHR32"/>
    <mergeCell ref="AHS32:AHU32"/>
    <mergeCell ref="AHV32:AHX32"/>
    <mergeCell ref="AHY32:AIA32"/>
    <mergeCell ref="AIB32:AID32"/>
    <mergeCell ref="AIE32:AIG32"/>
    <mergeCell ref="AHM29:AHO29"/>
    <mergeCell ref="AHP29:AHR29"/>
    <mergeCell ref="AHS29:AHU29"/>
    <mergeCell ref="AHV29:AHX29"/>
    <mergeCell ref="AHY29:AIA29"/>
    <mergeCell ref="AIB29:AID29"/>
    <mergeCell ref="AIE29:AIG29"/>
    <mergeCell ref="AHM19:AHO19"/>
    <mergeCell ref="AHP19:AHR19"/>
    <mergeCell ref="AHS19:AHU19"/>
    <mergeCell ref="AHV19:AHX19"/>
    <mergeCell ref="AHY19:AIA19"/>
    <mergeCell ref="AIB19:AID19"/>
    <mergeCell ref="AIE19:AIG19"/>
    <mergeCell ref="AHM20:AHO20"/>
    <mergeCell ref="AHM15:AHO15"/>
    <mergeCell ref="AHP15:AHR15"/>
    <mergeCell ref="AHS15:AHU15"/>
    <mergeCell ref="AHV15:AHX15"/>
    <mergeCell ref="AHY15:AIA15"/>
    <mergeCell ref="AIB15:AID15"/>
    <mergeCell ref="AIE15:AIG15"/>
    <mergeCell ref="AHP10:AHR10"/>
    <mergeCell ref="AHS10:AHU10"/>
    <mergeCell ref="AHV10:AHX10"/>
    <mergeCell ref="AHY10:AIA10"/>
    <mergeCell ref="AIB10:AID10"/>
    <mergeCell ref="AIE10:AIG10"/>
    <mergeCell ref="AHM11:AHO11"/>
    <mergeCell ref="AHP11:AHR11"/>
    <mergeCell ref="AHS11:AHU11"/>
    <mergeCell ref="AHV11:AHX11"/>
    <mergeCell ref="AHY11:AIA11"/>
    <mergeCell ref="AIB11:AID11"/>
    <mergeCell ref="AIE11:AIG11"/>
    <mergeCell ref="AHM12:AHO12"/>
    <mergeCell ref="AHP12:AHR12"/>
    <mergeCell ref="AHS12:AHU12"/>
    <mergeCell ref="AHV12:AHX12"/>
    <mergeCell ref="AHY12:AIA12"/>
    <mergeCell ref="AIB12:AID12"/>
    <mergeCell ref="AIE12:AIG12"/>
    <mergeCell ref="AHM13:AHO13"/>
    <mergeCell ref="AHP13:AHR13"/>
    <mergeCell ref="AHS13:AHU13"/>
    <mergeCell ref="AHV13:AHX13"/>
    <mergeCell ref="AHY13:AIA13"/>
    <mergeCell ref="AIB13:AID13"/>
    <mergeCell ref="AIE13:AIG13"/>
    <mergeCell ref="AHM14:AHO14"/>
    <mergeCell ref="AHP14:AHR14"/>
    <mergeCell ref="AHS14:AHU14"/>
    <mergeCell ref="AHV14:AHX14"/>
    <mergeCell ref="AHY14:AIA14"/>
    <mergeCell ref="AIB14:AID14"/>
    <mergeCell ref="AIE14:AIG14"/>
    <mergeCell ref="AGR60:AGT60"/>
    <mergeCell ref="AGU60:AGW60"/>
    <mergeCell ref="AGX60:AGZ60"/>
    <mergeCell ref="AHA60:AHC60"/>
    <mergeCell ref="AHD60:AHF60"/>
    <mergeCell ref="AHG60:AHI60"/>
    <mergeCell ref="AHJ60:AHL60"/>
    <mergeCell ref="AGR61:AGT61"/>
    <mergeCell ref="AGU61:AGW61"/>
    <mergeCell ref="AGX61:AGZ61"/>
    <mergeCell ref="AHA61:AHC61"/>
    <mergeCell ref="AHD61:AHF61"/>
    <mergeCell ref="AHG61:AHI61"/>
    <mergeCell ref="AHJ61:AHL61"/>
    <mergeCell ref="AHM2:AHO2"/>
    <mergeCell ref="AHP2:AHR2"/>
    <mergeCell ref="AHS2:AHU2"/>
    <mergeCell ref="AHV2:AHX2"/>
    <mergeCell ref="AHY2:AIA2"/>
    <mergeCell ref="AIB2:AID2"/>
    <mergeCell ref="AIE2:AIG2"/>
    <mergeCell ref="AHM3:AHO3"/>
    <mergeCell ref="AHP3:AHR3"/>
    <mergeCell ref="AHS3:AHU3"/>
    <mergeCell ref="AHV3:AHX3"/>
    <mergeCell ref="AHY3:AIA3"/>
    <mergeCell ref="AIB3:AID3"/>
    <mergeCell ref="AIE3:AIG3"/>
    <mergeCell ref="AHM5:AHO5"/>
    <mergeCell ref="AHP5:AHR5"/>
    <mergeCell ref="AHS5:AHU5"/>
    <mergeCell ref="AHV5:AHX5"/>
    <mergeCell ref="AHY5:AIA5"/>
    <mergeCell ref="AIB5:AID5"/>
    <mergeCell ref="AIE5:AIG5"/>
    <mergeCell ref="AHM6:AHO6"/>
    <mergeCell ref="AHP6:AHR6"/>
    <mergeCell ref="AHS6:AHU6"/>
    <mergeCell ref="AHV6:AHX6"/>
    <mergeCell ref="AHY6:AIA6"/>
    <mergeCell ref="AIB6:AID6"/>
    <mergeCell ref="AIE6:AIG6"/>
    <mergeCell ref="AHM7:AHO7"/>
    <mergeCell ref="AHP7:AHR7"/>
    <mergeCell ref="AHS7:AHU7"/>
    <mergeCell ref="AHV7:AHX7"/>
    <mergeCell ref="AHY7:AIA7"/>
    <mergeCell ref="AIB7:AID7"/>
    <mergeCell ref="AIE7:AIG7"/>
    <mergeCell ref="AHM8:AHO8"/>
    <mergeCell ref="AHP8:AHR8"/>
    <mergeCell ref="AHS8:AHU8"/>
    <mergeCell ref="AHV8:AHX8"/>
    <mergeCell ref="AHY8:AIA8"/>
    <mergeCell ref="AIB8:AID8"/>
    <mergeCell ref="AIE8:AIG8"/>
    <mergeCell ref="AHM9:AHO9"/>
    <mergeCell ref="AHP9:AHR9"/>
    <mergeCell ref="AHS9:AHU9"/>
    <mergeCell ref="AHV9:AHX9"/>
    <mergeCell ref="AHY9:AIA9"/>
    <mergeCell ref="AIB9:AID9"/>
    <mergeCell ref="AIE9:AIG9"/>
    <mergeCell ref="AHM10:AHO10"/>
    <mergeCell ref="AGR57:AGT57"/>
    <mergeCell ref="AGU57:AGW57"/>
    <mergeCell ref="AGX57:AGZ57"/>
    <mergeCell ref="AHA57:AHC57"/>
    <mergeCell ref="AHD57:AHF57"/>
    <mergeCell ref="AHG57:AHI57"/>
    <mergeCell ref="AHJ57:AHL57"/>
    <mergeCell ref="AGR58:AGT58"/>
    <mergeCell ref="AGU58:AGW58"/>
    <mergeCell ref="AGX58:AGZ58"/>
    <mergeCell ref="AHA58:AHC58"/>
    <mergeCell ref="AHD58:AHF58"/>
    <mergeCell ref="AHG58:AHI58"/>
    <mergeCell ref="AHJ58:AHL58"/>
    <mergeCell ref="AGR59:AGT59"/>
    <mergeCell ref="AGU59:AGW59"/>
    <mergeCell ref="AGX59:AGZ59"/>
    <mergeCell ref="AHA59:AHC59"/>
    <mergeCell ref="AHD59:AHF59"/>
    <mergeCell ref="AHG59:AHI59"/>
    <mergeCell ref="AHJ59:AHL59"/>
    <mergeCell ref="AGR54:AGT54"/>
    <mergeCell ref="AGU54:AGW54"/>
    <mergeCell ref="AGX54:AGZ54"/>
    <mergeCell ref="AHA54:AHC54"/>
    <mergeCell ref="AHD54:AHF54"/>
    <mergeCell ref="AHG54:AHI54"/>
    <mergeCell ref="AHJ54:AHL54"/>
    <mergeCell ref="AGR45:AGT45"/>
    <mergeCell ref="AGU45:AGW45"/>
    <mergeCell ref="AGX45:AGZ45"/>
    <mergeCell ref="AHA45:AHC45"/>
    <mergeCell ref="AHD45:AHF45"/>
    <mergeCell ref="AHG45:AHI45"/>
    <mergeCell ref="AHJ45:AHL45"/>
    <mergeCell ref="AGR55:AGT55"/>
    <mergeCell ref="AGU55:AGW55"/>
    <mergeCell ref="AGX55:AGZ55"/>
    <mergeCell ref="AHA55:AHC55"/>
    <mergeCell ref="AHD55:AHF55"/>
    <mergeCell ref="AHG55:AHI55"/>
    <mergeCell ref="AHJ55:AHL55"/>
    <mergeCell ref="AGR56:AGT56"/>
    <mergeCell ref="AGU56:AGW56"/>
    <mergeCell ref="AGX56:AGZ56"/>
    <mergeCell ref="AHA56:AHC56"/>
    <mergeCell ref="AHD56:AHF56"/>
    <mergeCell ref="AHG56:AHI56"/>
    <mergeCell ref="AHJ56:AHL56"/>
    <mergeCell ref="AGR43:AGT43"/>
    <mergeCell ref="AGU43:AGW43"/>
    <mergeCell ref="AGX43:AGZ43"/>
    <mergeCell ref="AHA43:AHC43"/>
    <mergeCell ref="AHD43:AHF43"/>
    <mergeCell ref="AHG43:AHI43"/>
    <mergeCell ref="AHJ43:AHL43"/>
    <mergeCell ref="AGR44:AGT44"/>
    <mergeCell ref="AGU44:AGW44"/>
    <mergeCell ref="AGX44:AGZ44"/>
    <mergeCell ref="AHA44:AHC44"/>
    <mergeCell ref="AHD44:AHF44"/>
    <mergeCell ref="AHG44:AHI44"/>
    <mergeCell ref="AHJ44:AHL44"/>
    <mergeCell ref="AGR46:AGT46"/>
    <mergeCell ref="AGR40:AGT40"/>
    <mergeCell ref="AGU40:AGW40"/>
    <mergeCell ref="AGX40:AGZ40"/>
    <mergeCell ref="AHA40:AHC40"/>
    <mergeCell ref="AHD40:AHF40"/>
    <mergeCell ref="AHG40:AHI40"/>
    <mergeCell ref="AHJ40:AHL40"/>
    <mergeCell ref="AGR41:AGT41"/>
    <mergeCell ref="AGU41:AGW41"/>
    <mergeCell ref="AGX41:AGZ41"/>
    <mergeCell ref="AHA41:AHC41"/>
    <mergeCell ref="AHD41:AHF41"/>
    <mergeCell ref="AHG41:AHI41"/>
    <mergeCell ref="AHJ41:AHL41"/>
    <mergeCell ref="AGR42:AGT42"/>
    <mergeCell ref="AGU42:AGW42"/>
    <mergeCell ref="AGX42:AGZ42"/>
    <mergeCell ref="AHA42:AHC42"/>
    <mergeCell ref="AHD42:AHF42"/>
    <mergeCell ref="AHG42:AHI42"/>
    <mergeCell ref="AHJ42:AHL42"/>
    <mergeCell ref="AGU46:AGW46"/>
    <mergeCell ref="AGX46:AGZ46"/>
    <mergeCell ref="AHA46:AHC46"/>
    <mergeCell ref="AHD46:AHF46"/>
    <mergeCell ref="AHG46:AHI46"/>
    <mergeCell ref="AHJ46:AHL46"/>
    <mergeCell ref="AGR47:AGT47"/>
    <mergeCell ref="AGU47:AGW47"/>
    <mergeCell ref="AGX47:AGZ47"/>
    <mergeCell ref="AHA47:AHC47"/>
    <mergeCell ref="AHD47:AHF47"/>
    <mergeCell ref="AHG47:AHI47"/>
    <mergeCell ref="AHJ47:AHL47"/>
    <mergeCell ref="AGU48:AGW48"/>
    <mergeCell ref="AGX48:AGZ48"/>
    <mergeCell ref="AHA48:AHC48"/>
    <mergeCell ref="AHD48:AHF48"/>
    <mergeCell ref="AHG48:AHI48"/>
    <mergeCell ref="AHJ48:AHL48"/>
    <mergeCell ref="AGR48:AGT48"/>
    <mergeCell ref="AGR52:AGT52"/>
    <mergeCell ref="AGU52:AGW52"/>
    <mergeCell ref="AHG22:AHI22"/>
    <mergeCell ref="AHJ22:AHL22"/>
    <mergeCell ref="AGR33:AGT33"/>
    <mergeCell ref="AGU33:AGW33"/>
    <mergeCell ref="AGX33:AGZ33"/>
    <mergeCell ref="AHA33:AHC33"/>
    <mergeCell ref="AHD33:AHF33"/>
    <mergeCell ref="AHG33:AHI33"/>
    <mergeCell ref="AHJ33:AHL33"/>
    <mergeCell ref="AGR36:AGT36"/>
    <mergeCell ref="AGU36:AGW36"/>
    <mergeCell ref="AGX36:AGZ36"/>
    <mergeCell ref="AHA36:AHC36"/>
    <mergeCell ref="AHD36:AHF36"/>
    <mergeCell ref="AHG36:AHI36"/>
    <mergeCell ref="AHJ36:AHL36"/>
    <mergeCell ref="AGR30:AGT30"/>
    <mergeCell ref="AGU30:AGW30"/>
    <mergeCell ref="AGX30:AGZ30"/>
    <mergeCell ref="AHA30:AHC30"/>
    <mergeCell ref="AHD30:AHF30"/>
    <mergeCell ref="AHG30:AHI30"/>
    <mergeCell ref="AHJ30:AHL30"/>
    <mergeCell ref="AGR31:AGT31"/>
    <mergeCell ref="AGU31:AGW31"/>
    <mergeCell ref="AGX31:AGZ31"/>
    <mergeCell ref="AHA31:AHC31"/>
    <mergeCell ref="AHD31:AHF31"/>
    <mergeCell ref="AHG31:AHI31"/>
    <mergeCell ref="AHJ31:AHL31"/>
    <mergeCell ref="AGR32:AGT32"/>
    <mergeCell ref="AGU32:AGW32"/>
    <mergeCell ref="AGX32:AGZ32"/>
    <mergeCell ref="AHA32:AHC32"/>
    <mergeCell ref="AHD32:AHF32"/>
    <mergeCell ref="AHG32:AHI32"/>
    <mergeCell ref="AHJ32:AHL32"/>
    <mergeCell ref="AGR39:AGT39"/>
    <mergeCell ref="AGU39:AGW39"/>
    <mergeCell ref="AGX39:AGZ39"/>
    <mergeCell ref="AHA39:AHC39"/>
    <mergeCell ref="AHD39:AHF39"/>
    <mergeCell ref="AHG39:AHI39"/>
    <mergeCell ref="AHJ39:AHL39"/>
    <mergeCell ref="AGR19:AGT19"/>
    <mergeCell ref="AGU19:AGW19"/>
    <mergeCell ref="AGX19:AGZ19"/>
    <mergeCell ref="AHA19:AHC19"/>
    <mergeCell ref="AHD19:AHF19"/>
    <mergeCell ref="AHG19:AHI19"/>
    <mergeCell ref="AHJ19:AHL19"/>
    <mergeCell ref="AGR20:AGT20"/>
    <mergeCell ref="AGU20:AGW20"/>
    <mergeCell ref="AGX20:AGZ20"/>
    <mergeCell ref="AHA20:AHC20"/>
    <mergeCell ref="AHD20:AHF20"/>
    <mergeCell ref="AHG20:AHI20"/>
    <mergeCell ref="AHJ20:AHL20"/>
    <mergeCell ref="AGR21:AGT21"/>
    <mergeCell ref="AGU21:AGW21"/>
    <mergeCell ref="AGX21:AGZ21"/>
    <mergeCell ref="AHA21:AHC21"/>
    <mergeCell ref="AHD21:AHF21"/>
    <mergeCell ref="AHG21:AHI21"/>
    <mergeCell ref="AHJ21:AHL21"/>
    <mergeCell ref="AGR22:AGT22"/>
    <mergeCell ref="AGU22:AGW22"/>
    <mergeCell ref="AGX22:AGZ22"/>
    <mergeCell ref="AHA22:AHC22"/>
    <mergeCell ref="AHD22:AHF22"/>
    <mergeCell ref="AGR16:AGT16"/>
    <mergeCell ref="AGU16:AGW16"/>
    <mergeCell ref="AGX16:AGZ16"/>
    <mergeCell ref="AHA16:AHC16"/>
    <mergeCell ref="AHD16:AHF16"/>
    <mergeCell ref="AHG16:AHI16"/>
    <mergeCell ref="AHJ16:AHL16"/>
    <mergeCell ref="AGR29:AGT29"/>
    <mergeCell ref="AGU29:AGW29"/>
    <mergeCell ref="AGX29:AGZ29"/>
    <mergeCell ref="AHA29:AHC29"/>
    <mergeCell ref="AHD29:AHF29"/>
    <mergeCell ref="AHG29:AHI29"/>
    <mergeCell ref="AHJ29:AHL29"/>
    <mergeCell ref="AHG15:AHI15"/>
    <mergeCell ref="AHJ15:AHL15"/>
    <mergeCell ref="AGR15:AGT15"/>
    <mergeCell ref="AGU15:AGW15"/>
    <mergeCell ref="AGX15:AGZ15"/>
    <mergeCell ref="AHA15:AHC15"/>
    <mergeCell ref="AHD15:AHF15"/>
    <mergeCell ref="AHG9:AHI9"/>
    <mergeCell ref="AHJ9:AHL9"/>
    <mergeCell ref="AGR10:AGT10"/>
    <mergeCell ref="AGU10:AGW10"/>
    <mergeCell ref="AGX10:AGZ10"/>
    <mergeCell ref="AHA10:AHC10"/>
    <mergeCell ref="AHD10:AHF10"/>
    <mergeCell ref="AHG10:AHI10"/>
    <mergeCell ref="AHJ10:AHL10"/>
    <mergeCell ref="AGR11:AGT11"/>
    <mergeCell ref="AGU11:AGW11"/>
    <mergeCell ref="AGX11:AGZ11"/>
    <mergeCell ref="AHA11:AHC11"/>
    <mergeCell ref="AHD11:AHF11"/>
    <mergeCell ref="AHG11:AHI11"/>
    <mergeCell ref="AHJ11:AHL11"/>
    <mergeCell ref="AGR12:AGT12"/>
    <mergeCell ref="AGU12:AGW12"/>
    <mergeCell ref="AGX12:AGZ12"/>
    <mergeCell ref="AHA12:AHC12"/>
    <mergeCell ref="AHD12:AHF12"/>
    <mergeCell ref="AHG12:AHI12"/>
    <mergeCell ref="AHJ12:AHL12"/>
    <mergeCell ref="AGR13:AGT13"/>
    <mergeCell ref="AGU13:AGW13"/>
    <mergeCell ref="AGX13:AGZ13"/>
    <mergeCell ref="AHA13:AHC13"/>
    <mergeCell ref="AHD13:AHF13"/>
    <mergeCell ref="AHG13:AHI13"/>
    <mergeCell ref="AHJ13:AHL13"/>
    <mergeCell ref="AGR14:AGT14"/>
    <mergeCell ref="AGU14:AGW14"/>
    <mergeCell ref="AGX14:AGZ14"/>
    <mergeCell ref="AHA14:AHC14"/>
    <mergeCell ref="AHD14:AHF14"/>
    <mergeCell ref="AHG14:AHI14"/>
    <mergeCell ref="AHJ14:AHL14"/>
    <mergeCell ref="AGR9:AGT9"/>
    <mergeCell ref="AGU9:AGW9"/>
    <mergeCell ref="AGX9:AGZ9"/>
    <mergeCell ref="AHA9:AHC9"/>
    <mergeCell ref="AHD9:AHF9"/>
    <mergeCell ref="AHG2:AHI2"/>
    <mergeCell ref="AHJ2:AHL2"/>
    <mergeCell ref="AGR3:AGT3"/>
    <mergeCell ref="AGU3:AGW3"/>
    <mergeCell ref="AGX3:AGZ3"/>
    <mergeCell ref="AHA3:AHC3"/>
    <mergeCell ref="AHD3:AHF3"/>
    <mergeCell ref="AHG3:AHI3"/>
    <mergeCell ref="AHJ3:AHL3"/>
    <mergeCell ref="AGR5:AGT5"/>
    <mergeCell ref="AGU5:AGW5"/>
    <mergeCell ref="AGX5:AGZ5"/>
    <mergeCell ref="AHA5:AHC5"/>
    <mergeCell ref="AHD5:AHF5"/>
    <mergeCell ref="AHG5:AHI5"/>
    <mergeCell ref="AHJ5:AHL5"/>
    <mergeCell ref="AGR6:AGT6"/>
    <mergeCell ref="AGU6:AGW6"/>
    <mergeCell ref="AGX6:AGZ6"/>
    <mergeCell ref="AHA6:AHC6"/>
    <mergeCell ref="AHD6:AHF6"/>
    <mergeCell ref="AHG6:AHI6"/>
    <mergeCell ref="AHJ6:AHL6"/>
    <mergeCell ref="AGR7:AGT7"/>
    <mergeCell ref="AGU7:AGW7"/>
    <mergeCell ref="AGX7:AGZ7"/>
    <mergeCell ref="AHA7:AHC7"/>
    <mergeCell ref="AHD7:AHF7"/>
    <mergeCell ref="AHG7:AHI7"/>
    <mergeCell ref="AHJ7:AHL7"/>
    <mergeCell ref="AGR8:AGT8"/>
    <mergeCell ref="AGU8:AGW8"/>
    <mergeCell ref="AGX8:AGZ8"/>
    <mergeCell ref="AHA8:AHC8"/>
    <mergeCell ref="AHD8:AHF8"/>
    <mergeCell ref="AHG8:AHI8"/>
    <mergeCell ref="AHJ8:AHL8"/>
    <mergeCell ref="AGR2:AGT2"/>
    <mergeCell ref="AGU2:AGW2"/>
    <mergeCell ref="AGX2:AGZ2"/>
    <mergeCell ref="AHA2:AHC2"/>
    <mergeCell ref="AHD2:AHF2"/>
    <mergeCell ref="AFW58:AFY58"/>
    <mergeCell ref="AFZ58:AGB58"/>
    <mergeCell ref="AGC58:AGE58"/>
    <mergeCell ref="AGF58:AGH58"/>
    <mergeCell ref="AGI58:AGK58"/>
    <mergeCell ref="AGL58:AGN58"/>
    <mergeCell ref="AGO58:AGQ58"/>
    <mergeCell ref="AFW59:AFY59"/>
    <mergeCell ref="AFZ59:AGB59"/>
    <mergeCell ref="AGC59:AGE59"/>
    <mergeCell ref="AGF59:AGH59"/>
    <mergeCell ref="AGI59:AGK59"/>
    <mergeCell ref="AGL59:AGN59"/>
    <mergeCell ref="AGO59:AGQ59"/>
    <mergeCell ref="AFW60:AFY60"/>
    <mergeCell ref="AFZ60:AGB60"/>
    <mergeCell ref="AGC60:AGE60"/>
    <mergeCell ref="AGF60:AGH60"/>
    <mergeCell ref="AGI60:AGK60"/>
    <mergeCell ref="AGL60:AGN60"/>
    <mergeCell ref="AGO60:AGQ60"/>
    <mergeCell ref="AFW61:AFY61"/>
    <mergeCell ref="AFZ61:AGB61"/>
    <mergeCell ref="AGC61:AGE61"/>
    <mergeCell ref="AGF61:AGH61"/>
    <mergeCell ref="AGI61:AGK61"/>
    <mergeCell ref="AGL61:AGN61"/>
    <mergeCell ref="AGO61:AGQ61"/>
    <mergeCell ref="AFW54:AFY54"/>
    <mergeCell ref="AFZ54:AGB54"/>
    <mergeCell ref="AGC54:AGE54"/>
    <mergeCell ref="AGF54:AGH54"/>
    <mergeCell ref="AGI54:AGK54"/>
    <mergeCell ref="AGL54:AGN54"/>
    <mergeCell ref="AGO54:AGQ54"/>
    <mergeCell ref="AFW55:AFY55"/>
    <mergeCell ref="AFZ55:AGB55"/>
    <mergeCell ref="AGC55:AGE55"/>
    <mergeCell ref="AGF55:AGH55"/>
    <mergeCell ref="AGI55:AGK55"/>
    <mergeCell ref="AGL55:AGN55"/>
    <mergeCell ref="AGO55:AGQ55"/>
    <mergeCell ref="AFW56:AFY56"/>
    <mergeCell ref="AFZ56:AGB56"/>
    <mergeCell ref="AGC56:AGE56"/>
    <mergeCell ref="AGF56:AGH56"/>
    <mergeCell ref="AGI56:AGK56"/>
    <mergeCell ref="AGL56:AGN56"/>
    <mergeCell ref="AGO56:AGQ56"/>
    <mergeCell ref="AFW57:AFY57"/>
    <mergeCell ref="AFZ57:AGB57"/>
    <mergeCell ref="AGC57:AGE57"/>
    <mergeCell ref="AGF57:AGH57"/>
    <mergeCell ref="AGI57:AGK57"/>
    <mergeCell ref="AGL57:AGN57"/>
    <mergeCell ref="AGO57:AGQ57"/>
    <mergeCell ref="AGI43:AGK43"/>
    <mergeCell ref="AGL43:AGN43"/>
    <mergeCell ref="AGO43:AGQ43"/>
    <mergeCell ref="AGO44:AGQ44"/>
    <mergeCell ref="AFW46:AFY46"/>
    <mergeCell ref="AFZ46:AGB46"/>
    <mergeCell ref="AGC46:AGE46"/>
    <mergeCell ref="AGF46:AGH46"/>
    <mergeCell ref="AGI46:AGK46"/>
    <mergeCell ref="AGL46:AGN46"/>
    <mergeCell ref="AGO46:AGQ46"/>
    <mergeCell ref="AGC47:AGE47"/>
    <mergeCell ref="AGF47:AGH47"/>
    <mergeCell ref="AGI47:AGK47"/>
    <mergeCell ref="AGL47:AGN47"/>
    <mergeCell ref="AGO47:AGQ47"/>
    <mergeCell ref="AFW47:AFY47"/>
    <mergeCell ref="AFZ47:AGB47"/>
    <mergeCell ref="AFW48:AFY48"/>
    <mergeCell ref="AFZ48:AGB48"/>
    <mergeCell ref="AGC48:AGE48"/>
    <mergeCell ref="AGF48:AGH48"/>
    <mergeCell ref="AGI48:AGK48"/>
    <mergeCell ref="AGL48:AGN48"/>
    <mergeCell ref="AGO48:AGQ48"/>
    <mergeCell ref="AGO52:AGQ52"/>
    <mergeCell ref="AGO45:AGQ45"/>
    <mergeCell ref="AGI45:AGK45"/>
    <mergeCell ref="AGL45:AGN45"/>
    <mergeCell ref="AGI44:AGK44"/>
    <mergeCell ref="AGL44:AGN44"/>
    <mergeCell ref="AFW40:AFY40"/>
    <mergeCell ref="AFZ40:AGB40"/>
    <mergeCell ref="AGC40:AGE40"/>
    <mergeCell ref="AGF40:AGH40"/>
    <mergeCell ref="AGI40:AGK40"/>
    <mergeCell ref="AGL40:AGN40"/>
    <mergeCell ref="AGO40:AGQ40"/>
    <mergeCell ref="AFW41:AFY41"/>
    <mergeCell ref="AFZ41:AGB41"/>
    <mergeCell ref="AGC41:AGE41"/>
    <mergeCell ref="AGF41:AGH41"/>
    <mergeCell ref="AGI41:AGK41"/>
    <mergeCell ref="AGL41:AGN41"/>
    <mergeCell ref="AGO41:AGQ41"/>
    <mergeCell ref="AFW42:AFY42"/>
    <mergeCell ref="AFZ42:AGB42"/>
    <mergeCell ref="AGC42:AGE42"/>
    <mergeCell ref="AGF42:AGH42"/>
    <mergeCell ref="AGI42:AGK42"/>
    <mergeCell ref="AGL42:AGN42"/>
    <mergeCell ref="AGO42:AGQ42"/>
    <mergeCell ref="AFZ33:AGB33"/>
    <mergeCell ref="AGC33:AGE33"/>
    <mergeCell ref="AGF33:AGH33"/>
    <mergeCell ref="AGI33:AGK33"/>
    <mergeCell ref="AGL33:AGN33"/>
    <mergeCell ref="AGO33:AGQ33"/>
    <mergeCell ref="AFW36:AFY36"/>
    <mergeCell ref="AFZ36:AGB36"/>
    <mergeCell ref="AGC36:AGE36"/>
    <mergeCell ref="AGF36:AGH36"/>
    <mergeCell ref="AGI36:AGK36"/>
    <mergeCell ref="AGL36:AGN36"/>
    <mergeCell ref="AGO36:AGQ36"/>
    <mergeCell ref="AFW30:AFY30"/>
    <mergeCell ref="AFZ30:AGB30"/>
    <mergeCell ref="AGC30:AGE30"/>
    <mergeCell ref="AGF30:AGH30"/>
    <mergeCell ref="AGI30:AGK30"/>
    <mergeCell ref="AGL30:AGN30"/>
    <mergeCell ref="AGO30:AGQ30"/>
    <mergeCell ref="AFW31:AFY31"/>
    <mergeCell ref="AFZ31:AGB31"/>
    <mergeCell ref="AGC31:AGE31"/>
    <mergeCell ref="AGF31:AGH31"/>
    <mergeCell ref="AGI31:AGK31"/>
    <mergeCell ref="AGL31:AGN31"/>
    <mergeCell ref="AGO31:AGQ31"/>
    <mergeCell ref="AFW32:AFY32"/>
    <mergeCell ref="AFZ32:AGB32"/>
    <mergeCell ref="AGC32:AGE32"/>
    <mergeCell ref="AGF32:AGH32"/>
    <mergeCell ref="AGI32:AGK32"/>
    <mergeCell ref="AGL32:AGN32"/>
    <mergeCell ref="AGO32:AGQ32"/>
    <mergeCell ref="AFW39:AFY39"/>
    <mergeCell ref="AFZ39:AGB39"/>
    <mergeCell ref="AGC39:AGE39"/>
    <mergeCell ref="AGF39:AGH39"/>
    <mergeCell ref="AGI39:AGK39"/>
    <mergeCell ref="AGL39:AGN39"/>
    <mergeCell ref="AGO39:AGQ39"/>
    <mergeCell ref="AFW19:AFY19"/>
    <mergeCell ref="AFZ19:AGB19"/>
    <mergeCell ref="AGC19:AGE19"/>
    <mergeCell ref="AGF19:AGH19"/>
    <mergeCell ref="AGI19:AGK19"/>
    <mergeCell ref="AGL19:AGN19"/>
    <mergeCell ref="AGO19:AGQ19"/>
    <mergeCell ref="AFW20:AFY20"/>
    <mergeCell ref="AFZ20:AGB20"/>
    <mergeCell ref="AGC20:AGE20"/>
    <mergeCell ref="AGF20:AGH20"/>
    <mergeCell ref="AGI20:AGK20"/>
    <mergeCell ref="AGL20:AGN20"/>
    <mergeCell ref="AGO20:AGQ20"/>
    <mergeCell ref="AFW21:AFY21"/>
    <mergeCell ref="AFZ21:AGB21"/>
    <mergeCell ref="AGC21:AGE21"/>
    <mergeCell ref="AGF21:AGH21"/>
    <mergeCell ref="AGI21:AGK21"/>
    <mergeCell ref="AGL21:AGN21"/>
    <mergeCell ref="AGO21:AGQ21"/>
    <mergeCell ref="AFW22:AFY22"/>
    <mergeCell ref="AFZ22:AGB22"/>
    <mergeCell ref="AGC22:AGE22"/>
    <mergeCell ref="AGF22:AGH22"/>
    <mergeCell ref="AGI22:AGK22"/>
    <mergeCell ref="AGL22:AGN22"/>
    <mergeCell ref="AGO22:AGQ22"/>
    <mergeCell ref="AFW33:AFY33"/>
    <mergeCell ref="AFW29:AFY29"/>
    <mergeCell ref="AFZ29:AGB29"/>
    <mergeCell ref="AGC29:AGE29"/>
    <mergeCell ref="AGF29:AGH29"/>
    <mergeCell ref="AGI29:AGK29"/>
    <mergeCell ref="AGL29:AGN29"/>
    <mergeCell ref="AGO29:AGQ29"/>
    <mergeCell ref="AFW16:AFY16"/>
    <mergeCell ref="AFZ16:AGB16"/>
    <mergeCell ref="AGC16:AGE16"/>
    <mergeCell ref="AGF16:AGH16"/>
    <mergeCell ref="AGI16:AGK16"/>
    <mergeCell ref="AGL16:AGN16"/>
    <mergeCell ref="AGO16:AGQ16"/>
    <mergeCell ref="AFW15:AFY15"/>
    <mergeCell ref="AFZ15:AGB15"/>
    <mergeCell ref="AGC15:AGE15"/>
    <mergeCell ref="AGF15:AGH15"/>
    <mergeCell ref="AGI15:AGK15"/>
    <mergeCell ref="AGL15:AGN15"/>
    <mergeCell ref="AGO15:AGQ15"/>
    <mergeCell ref="AFZ10:AGB10"/>
    <mergeCell ref="AGC10:AGE10"/>
    <mergeCell ref="AGF10:AGH10"/>
    <mergeCell ref="AGI10:AGK10"/>
    <mergeCell ref="AGL10:AGN10"/>
    <mergeCell ref="AGO10:AGQ10"/>
    <mergeCell ref="AFW11:AFY11"/>
    <mergeCell ref="AFZ11:AGB11"/>
    <mergeCell ref="AGC11:AGE11"/>
    <mergeCell ref="AGF11:AGH11"/>
    <mergeCell ref="AGI11:AGK11"/>
    <mergeCell ref="AGL11:AGN11"/>
    <mergeCell ref="AGO11:AGQ11"/>
    <mergeCell ref="AFW12:AFY12"/>
    <mergeCell ref="AFZ12:AGB12"/>
    <mergeCell ref="AGC12:AGE12"/>
    <mergeCell ref="AGF12:AGH12"/>
    <mergeCell ref="AGI12:AGK12"/>
    <mergeCell ref="AGL12:AGN12"/>
    <mergeCell ref="AGO12:AGQ12"/>
    <mergeCell ref="AFW13:AFY13"/>
    <mergeCell ref="AFZ13:AGB13"/>
    <mergeCell ref="AGC13:AGE13"/>
    <mergeCell ref="AGF13:AGH13"/>
    <mergeCell ref="AGI13:AGK13"/>
    <mergeCell ref="AGL13:AGN13"/>
    <mergeCell ref="AGO13:AGQ13"/>
    <mergeCell ref="AFW14:AFY14"/>
    <mergeCell ref="AFZ14:AGB14"/>
    <mergeCell ref="AGC14:AGE14"/>
    <mergeCell ref="AGF14:AGH14"/>
    <mergeCell ref="AGI14:AGK14"/>
    <mergeCell ref="AGL14:AGN14"/>
    <mergeCell ref="AGO14:AGQ14"/>
    <mergeCell ref="AFB60:AFD60"/>
    <mergeCell ref="AFE60:AFG60"/>
    <mergeCell ref="AFH60:AFJ60"/>
    <mergeCell ref="AFK60:AFM60"/>
    <mergeCell ref="AFN60:AFP60"/>
    <mergeCell ref="AFQ60:AFS60"/>
    <mergeCell ref="AFT60:AFV60"/>
    <mergeCell ref="AFB61:AFD61"/>
    <mergeCell ref="AFE61:AFG61"/>
    <mergeCell ref="AFH61:AFJ61"/>
    <mergeCell ref="AFK61:AFM61"/>
    <mergeCell ref="AFN61:AFP61"/>
    <mergeCell ref="AFQ61:AFS61"/>
    <mergeCell ref="AFT61:AFV61"/>
    <mergeCell ref="AFW2:AFY2"/>
    <mergeCell ref="AFZ2:AGB2"/>
    <mergeCell ref="AGC2:AGE2"/>
    <mergeCell ref="AGF2:AGH2"/>
    <mergeCell ref="AGI2:AGK2"/>
    <mergeCell ref="AGL2:AGN2"/>
    <mergeCell ref="AGO2:AGQ2"/>
    <mergeCell ref="AFW3:AFY3"/>
    <mergeCell ref="AFZ3:AGB3"/>
    <mergeCell ref="AGC3:AGE3"/>
    <mergeCell ref="AGF3:AGH3"/>
    <mergeCell ref="AGI3:AGK3"/>
    <mergeCell ref="AGL3:AGN3"/>
    <mergeCell ref="AGO3:AGQ3"/>
    <mergeCell ref="AFW5:AFY5"/>
    <mergeCell ref="AFZ5:AGB5"/>
    <mergeCell ref="AGC5:AGE5"/>
    <mergeCell ref="AGF5:AGH5"/>
    <mergeCell ref="AGI5:AGK5"/>
    <mergeCell ref="AGL5:AGN5"/>
    <mergeCell ref="AGO5:AGQ5"/>
    <mergeCell ref="AFW6:AFY6"/>
    <mergeCell ref="AFZ6:AGB6"/>
    <mergeCell ref="AGC6:AGE6"/>
    <mergeCell ref="AGF6:AGH6"/>
    <mergeCell ref="AGI6:AGK6"/>
    <mergeCell ref="AGL6:AGN6"/>
    <mergeCell ref="AGO6:AGQ6"/>
    <mergeCell ref="AFW7:AFY7"/>
    <mergeCell ref="AFZ7:AGB7"/>
    <mergeCell ref="AGC7:AGE7"/>
    <mergeCell ref="AGF7:AGH7"/>
    <mergeCell ref="AGI7:AGK7"/>
    <mergeCell ref="AGL7:AGN7"/>
    <mergeCell ref="AGO7:AGQ7"/>
    <mergeCell ref="AFW8:AFY8"/>
    <mergeCell ref="AFZ8:AGB8"/>
    <mergeCell ref="AGC8:AGE8"/>
    <mergeCell ref="AGF8:AGH8"/>
    <mergeCell ref="AGI8:AGK8"/>
    <mergeCell ref="AGL8:AGN8"/>
    <mergeCell ref="AGO8:AGQ8"/>
    <mergeCell ref="AFW9:AFY9"/>
    <mergeCell ref="AFZ9:AGB9"/>
    <mergeCell ref="AGC9:AGE9"/>
    <mergeCell ref="AGF9:AGH9"/>
    <mergeCell ref="AGI9:AGK9"/>
    <mergeCell ref="AGL9:AGN9"/>
    <mergeCell ref="AGO9:AGQ9"/>
    <mergeCell ref="AFW10:AFY10"/>
    <mergeCell ref="AFB57:AFD57"/>
    <mergeCell ref="AFE57:AFG57"/>
    <mergeCell ref="AFH57:AFJ57"/>
    <mergeCell ref="AFK57:AFM57"/>
    <mergeCell ref="AFN57:AFP57"/>
    <mergeCell ref="AFQ57:AFS57"/>
    <mergeCell ref="AFT57:AFV57"/>
    <mergeCell ref="AFB58:AFD58"/>
    <mergeCell ref="AFE58:AFG58"/>
    <mergeCell ref="AFH58:AFJ58"/>
    <mergeCell ref="AFK58:AFM58"/>
    <mergeCell ref="AFN58:AFP58"/>
    <mergeCell ref="AFQ58:AFS58"/>
    <mergeCell ref="AFT58:AFV58"/>
    <mergeCell ref="AFB59:AFD59"/>
    <mergeCell ref="AFE59:AFG59"/>
    <mergeCell ref="AFH59:AFJ59"/>
    <mergeCell ref="AFK59:AFM59"/>
    <mergeCell ref="AFN59:AFP59"/>
    <mergeCell ref="AFQ59:AFS59"/>
    <mergeCell ref="AFT59:AFV59"/>
    <mergeCell ref="AFH42:AFJ42"/>
    <mergeCell ref="AFK42:AFM42"/>
    <mergeCell ref="AFN42:AFP42"/>
    <mergeCell ref="AFQ42:AFS42"/>
    <mergeCell ref="AFT42:AFV42"/>
    <mergeCell ref="AFB43:AFD43"/>
    <mergeCell ref="AFE43:AFG43"/>
    <mergeCell ref="AFB54:AFD54"/>
    <mergeCell ref="AFE54:AFG54"/>
    <mergeCell ref="AFH54:AFJ54"/>
    <mergeCell ref="AFK54:AFM54"/>
    <mergeCell ref="AFN54:AFP54"/>
    <mergeCell ref="AFQ54:AFS54"/>
    <mergeCell ref="AFT54:AFV54"/>
    <mergeCell ref="AFT48:AFV48"/>
    <mergeCell ref="AFB55:AFD55"/>
    <mergeCell ref="AFE55:AFG55"/>
    <mergeCell ref="AFH55:AFJ55"/>
    <mergeCell ref="AFK55:AFM55"/>
    <mergeCell ref="AFN55:AFP55"/>
    <mergeCell ref="AFQ55:AFS55"/>
    <mergeCell ref="AFT55:AFV55"/>
    <mergeCell ref="AFB56:AFD56"/>
    <mergeCell ref="AFE56:AFG56"/>
    <mergeCell ref="AFH56:AFJ56"/>
    <mergeCell ref="AFK56:AFM56"/>
    <mergeCell ref="AFN56:AFP56"/>
    <mergeCell ref="AFQ56:AFS56"/>
    <mergeCell ref="AFT56:AFV56"/>
    <mergeCell ref="AFB44:AFD44"/>
    <mergeCell ref="AFE44:AFG44"/>
    <mergeCell ref="AFH44:AFJ44"/>
    <mergeCell ref="AFK44:AFM44"/>
    <mergeCell ref="AFN44:AFP44"/>
    <mergeCell ref="AFQ44:AFS44"/>
    <mergeCell ref="AFT44:AFV44"/>
    <mergeCell ref="AFN45:AFP45"/>
    <mergeCell ref="AFN46:AFP46"/>
    <mergeCell ref="AFN47:AFP47"/>
    <mergeCell ref="AFN48:AFP48"/>
    <mergeCell ref="AFN52:AFP52"/>
    <mergeCell ref="AFH45:AFJ45"/>
    <mergeCell ref="AFH46:AFJ46"/>
    <mergeCell ref="AFH47:AFJ47"/>
    <mergeCell ref="AFH48:AFJ48"/>
    <mergeCell ref="AFH52:AFJ52"/>
    <mergeCell ref="AFK45:AFM45"/>
    <mergeCell ref="AFK46:AFM46"/>
    <mergeCell ref="AFK47:AFM47"/>
    <mergeCell ref="AFK48:AFM48"/>
    <mergeCell ref="AFK52:AFM52"/>
    <mergeCell ref="AFE46:AFG46"/>
    <mergeCell ref="AFE47:AFG47"/>
    <mergeCell ref="AFE48:AFG48"/>
    <mergeCell ref="AFE52:AFG52"/>
    <mergeCell ref="AFE45:AFG45"/>
    <mergeCell ref="AFB45:AFD45"/>
    <mergeCell ref="AFB46:AFD46"/>
    <mergeCell ref="AFB40:AFD40"/>
    <mergeCell ref="AFE40:AFG40"/>
    <mergeCell ref="AFH40:AFJ40"/>
    <mergeCell ref="AFK40:AFM40"/>
    <mergeCell ref="AFN40:AFP40"/>
    <mergeCell ref="AFQ40:AFS40"/>
    <mergeCell ref="AFT40:AFV40"/>
    <mergeCell ref="AFB41:AFD41"/>
    <mergeCell ref="AFE41:AFG41"/>
    <mergeCell ref="AFH41:AFJ41"/>
    <mergeCell ref="AFK41:AFM41"/>
    <mergeCell ref="AFN41:AFP41"/>
    <mergeCell ref="AFQ41:AFS41"/>
    <mergeCell ref="AFT41:AFV41"/>
    <mergeCell ref="AFB42:AFD42"/>
    <mergeCell ref="AFE42:AFG42"/>
    <mergeCell ref="AFB22:AFD22"/>
    <mergeCell ref="AFE22:AFG22"/>
    <mergeCell ref="AFH22:AFJ22"/>
    <mergeCell ref="AFK22:AFM22"/>
    <mergeCell ref="AFN22:AFP22"/>
    <mergeCell ref="AFQ22:AFS22"/>
    <mergeCell ref="AFT22:AFV22"/>
    <mergeCell ref="AFB36:AFD36"/>
    <mergeCell ref="AFE36:AFG36"/>
    <mergeCell ref="AFH36:AFJ36"/>
    <mergeCell ref="AFK36:AFM36"/>
    <mergeCell ref="AFN36:AFP36"/>
    <mergeCell ref="AFQ36:AFS36"/>
    <mergeCell ref="AFT36:AFV36"/>
    <mergeCell ref="AFE32:AFG32"/>
    <mergeCell ref="AFH32:AFJ32"/>
    <mergeCell ref="AFK32:AFM32"/>
    <mergeCell ref="AFN32:AFP32"/>
    <mergeCell ref="AFQ32:AFS32"/>
    <mergeCell ref="AFT32:AFV32"/>
    <mergeCell ref="AFB39:AFD39"/>
    <mergeCell ref="AFE39:AFG39"/>
    <mergeCell ref="AFH39:AFJ39"/>
    <mergeCell ref="AFK39:AFM39"/>
    <mergeCell ref="AFN39:AFP39"/>
    <mergeCell ref="AFQ39:AFS39"/>
    <mergeCell ref="AFT39:AFV39"/>
    <mergeCell ref="AFB19:AFD19"/>
    <mergeCell ref="AFE19:AFG19"/>
    <mergeCell ref="AFH19:AFJ19"/>
    <mergeCell ref="AFK19:AFM19"/>
    <mergeCell ref="AFN19:AFP19"/>
    <mergeCell ref="AFQ19:AFS19"/>
    <mergeCell ref="AFT19:AFV19"/>
    <mergeCell ref="AFB20:AFD20"/>
    <mergeCell ref="AFE20:AFG20"/>
    <mergeCell ref="AFH20:AFJ20"/>
    <mergeCell ref="AFB16:AFD16"/>
    <mergeCell ref="AFE16:AFG16"/>
    <mergeCell ref="AFH16:AFJ16"/>
    <mergeCell ref="AFK16:AFM16"/>
    <mergeCell ref="AFN16:AFP16"/>
    <mergeCell ref="AFQ16:AFS16"/>
    <mergeCell ref="AFT16:AFV16"/>
    <mergeCell ref="AFB29:AFD29"/>
    <mergeCell ref="AFE29:AFG29"/>
    <mergeCell ref="AFH29:AFJ29"/>
    <mergeCell ref="AFK29:AFM29"/>
    <mergeCell ref="AFN29:AFP29"/>
    <mergeCell ref="AFQ29:AFS29"/>
    <mergeCell ref="AFT29:AFV29"/>
    <mergeCell ref="AFK20:AFM20"/>
    <mergeCell ref="AFN20:AFP20"/>
    <mergeCell ref="AFQ20:AFS20"/>
    <mergeCell ref="AFT20:AFV20"/>
    <mergeCell ref="AFB21:AFD21"/>
    <mergeCell ref="AFE21:AFG21"/>
    <mergeCell ref="AFH21:AFJ21"/>
    <mergeCell ref="AFK21:AFM21"/>
    <mergeCell ref="AFN21:AFP21"/>
    <mergeCell ref="AFQ21:AFS21"/>
    <mergeCell ref="AFT21:AFV21"/>
    <mergeCell ref="AFK10:AFM10"/>
    <mergeCell ref="AFN10:AFP10"/>
    <mergeCell ref="AFQ10:AFS10"/>
    <mergeCell ref="AFT10:AFV10"/>
    <mergeCell ref="AFB11:AFD11"/>
    <mergeCell ref="AFE11:AFG11"/>
    <mergeCell ref="AFH11:AFJ11"/>
    <mergeCell ref="AFK11:AFM11"/>
    <mergeCell ref="AFN11:AFP11"/>
    <mergeCell ref="AFQ11:AFS11"/>
    <mergeCell ref="AFT11:AFV11"/>
    <mergeCell ref="AFB12:AFD12"/>
    <mergeCell ref="AFE12:AFG12"/>
    <mergeCell ref="AFH12:AFJ12"/>
    <mergeCell ref="AFK12:AFM12"/>
    <mergeCell ref="AFN12:AFP12"/>
    <mergeCell ref="AFQ12:AFS12"/>
    <mergeCell ref="AFT12:AFV12"/>
    <mergeCell ref="AFB13:AFD13"/>
    <mergeCell ref="AFE13:AFG13"/>
    <mergeCell ref="AFH13:AFJ13"/>
    <mergeCell ref="AFK13:AFM13"/>
    <mergeCell ref="AFN13:AFP13"/>
    <mergeCell ref="AFQ13:AFS13"/>
    <mergeCell ref="AFT13:AFV13"/>
    <mergeCell ref="AFB14:AFD14"/>
    <mergeCell ref="AFE14:AFG14"/>
    <mergeCell ref="AFH14:AFJ14"/>
    <mergeCell ref="AFK14:AFM14"/>
    <mergeCell ref="AFN14:AFP14"/>
    <mergeCell ref="AFQ14:AFS14"/>
    <mergeCell ref="AFT14:AFV14"/>
    <mergeCell ref="AFB15:AFD15"/>
    <mergeCell ref="AFE15:AFG15"/>
    <mergeCell ref="AFH15:AFJ15"/>
    <mergeCell ref="AFK15:AFM15"/>
    <mergeCell ref="AFN15:AFP15"/>
    <mergeCell ref="AFQ15:AFS15"/>
    <mergeCell ref="AFT15:AFV15"/>
    <mergeCell ref="AEP58:AER58"/>
    <mergeCell ref="AES58:AEU58"/>
    <mergeCell ref="AEV58:AEX58"/>
    <mergeCell ref="AEY58:AFA58"/>
    <mergeCell ref="ADL59:ADN59"/>
    <mergeCell ref="ADO59:ADQ59"/>
    <mergeCell ref="ADR59:ADT59"/>
    <mergeCell ref="ADU59:ADW59"/>
    <mergeCell ref="ADX59:ADZ59"/>
    <mergeCell ref="AEA59:AEC59"/>
    <mergeCell ref="AED59:AEF59"/>
    <mergeCell ref="AEG59:AEI59"/>
    <mergeCell ref="AFB2:AFD2"/>
    <mergeCell ref="AFE2:AFG2"/>
    <mergeCell ref="AFH2:AFJ2"/>
    <mergeCell ref="AFK2:AFM2"/>
    <mergeCell ref="AFN2:AFP2"/>
    <mergeCell ref="AFQ2:AFS2"/>
    <mergeCell ref="AFT2:AFV2"/>
    <mergeCell ref="AFB3:AFD3"/>
    <mergeCell ref="AFE3:AFG3"/>
    <mergeCell ref="AFH3:AFJ3"/>
    <mergeCell ref="AFK3:AFM3"/>
    <mergeCell ref="AFN3:AFP3"/>
    <mergeCell ref="AFQ3:AFS3"/>
    <mergeCell ref="AFT3:AFV3"/>
    <mergeCell ref="AFB5:AFD5"/>
    <mergeCell ref="AFE5:AFG5"/>
    <mergeCell ref="AFH5:AFJ5"/>
    <mergeCell ref="AFK5:AFM5"/>
    <mergeCell ref="AFN5:AFP5"/>
    <mergeCell ref="AFQ5:AFS5"/>
    <mergeCell ref="AFT5:AFV5"/>
    <mergeCell ref="AFB6:AFD6"/>
    <mergeCell ref="AFE6:AFG6"/>
    <mergeCell ref="AFH6:AFJ6"/>
    <mergeCell ref="AFK6:AFM6"/>
    <mergeCell ref="AFN6:AFP6"/>
    <mergeCell ref="AFQ6:AFS6"/>
    <mergeCell ref="AFT6:AFV6"/>
    <mergeCell ref="AFB7:AFD7"/>
    <mergeCell ref="AFE7:AFG7"/>
    <mergeCell ref="AFH7:AFJ7"/>
    <mergeCell ref="AFK7:AFM7"/>
    <mergeCell ref="AFN7:AFP7"/>
    <mergeCell ref="AFQ7:AFS7"/>
    <mergeCell ref="AFT7:AFV7"/>
    <mergeCell ref="AFB8:AFD8"/>
    <mergeCell ref="AFE8:AFG8"/>
    <mergeCell ref="AFH8:AFJ8"/>
    <mergeCell ref="AFK8:AFM8"/>
    <mergeCell ref="AFN8:AFP8"/>
    <mergeCell ref="AFQ8:AFS8"/>
    <mergeCell ref="AFT8:AFV8"/>
    <mergeCell ref="AFB9:AFD9"/>
    <mergeCell ref="AFE9:AFG9"/>
    <mergeCell ref="AFH9:AFJ9"/>
    <mergeCell ref="AFK9:AFM9"/>
    <mergeCell ref="AFN9:AFP9"/>
    <mergeCell ref="AFQ9:AFS9"/>
    <mergeCell ref="AFT9:AFV9"/>
    <mergeCell ref="AFB10:AFD10"/>
    <mergeCell ref="AFE10:AFG10"/>
    <mergeCell ref="AFH10:AFJ10"/>
    <mergeCell ref="ADR56:ADT56"/>
    <mergeCell ref="ADU56:ADW56"/>
    <mergeCell ref="ADX56:ADZ56"/>
    <mergeCell ref="AEA56:AEC56"/>
    <mergeCell ref="AED56:AEF56"/>
    <mergeCell ref="AEG56:AEI56"/>
    <mergeCell ref="AEJ56:AEL56"/>
    <mergeCell ref="AEM56:AEO56"/>
    <mergeCell ref="AEP56:AER56"/>
    <mergeCell ref="AES56:AEU56"/>
    <mergeCell ref="AEV56:AEX56"/>
    <mergeCell ref="AEY56:AFA56"/>
    <mergeCell ref="ADL60:ADN60"/>
    <mergeCell ref="ADO60:ADQ60"/>
    <mergeCell ref="ADR60:ADT60"/>
    <mergeCell ref="ADU60:ADW60"/>
    <mergeCell ref="ADX60:ADZ60"/>
    <mergeCell ref="AEA60:AEC60"/>
    <mergeCell ref="AED60:AEF60"/>
    <mergeCell ref="AEG60:AEI60"/>
    <mergeCell ref="AEJ60:AEL60"/>
    <mergeCell ref="AEM60:AEO60"/>
    <mergeCell ref="AEP60:AER60"/>
    <mergeCell ref="AES60:AEU60"/>
    <mergeCell ref="AEV60:AEX60"/>
    <mergeCell ref="AEY60:AFA60"/>
    <mergeCell ref="ADL61:ADN61"/>
    <mergeCell ref="ADO61:ADQ61"/>
    <mergeCell ref="ADR61:ADT61"/>
    <mergeCell ref="ADU61:ADW61"/>
    <mergeCell ref="ADX61:ADZ61"/>
    <mergeCell ref="AEA61:AEC61"/>
    <mergeCell ref="AED61:AEF61"/>
    <mergeCell ref="AEG61:AEI61"/>
    <mergeCell ref="AEJ61:AEL61"/>
    <mergeCell ref="AEM61:AEO61"/>
    <mergeCell ref="AEP61:AER61"/>
    <mergeCell ref="AES61:AEU61"/>
    <mergeCell ref="AEV61:AEX61"/>
    <mergeCell ref="AEY61:AFA61"/>
    <mergeCell ref="ADL57:ADN57"/>
    <mergeCell ref="ADO57:ADQ57"/>
    <mergeCell ref="ADR57:ADT57"/>
    <mergeCell ref="ADU57:ADW57"/>
    <mergeCell ref="ADX57:ADZ57"/>
    <mergeCell ref="AEA57:AEC57"/>
    <mergeCell ref="AED57:AEF57"/>
    <mergeCell ref="AEG57:AEI57"/>
    <mergeCell ref="AEJ57:AEL57"/>
    <mergeCell ref="AEM57:AEO57"/>
    <mergeCell ref="AEP57:AER57"/>
    <mergeCell ref="AES57:AEU57"/>
    <mergeCell ref="AEV57:AEX57"/>
    <mergeCell ref="AEY57:AFA57"/>
    <mergeCell ref="ADL58:ADN58"/>
    <mergeCell ref="ADO58:ADQ58"/>
    <mergeCell ref="ADR58:ADT58"/>
    <mergeCell ref="ADU58:ADW58"/>
    <mergeCell ref="ADX58:ADZ58"/>
    <mergeCell ref="AEA58:AEC58"/>
    <mergeCell ref="AED58:AEF58"/>
    <mergeCell ref="AEG58:AEI58"/>
    <mergeCell ref="AEJ58:AEL58"/>
    <mergeCell ref="AEM58:AEO58"/>
    <mergeCell ref="AEJ59:AEL59"/>
    <mergeCell ref="AEM59:AEO59"/>
    <mergeCell ref="AEP59:AER59"/>
    <mergeCell ref="AES59:AEU59"/>
    <mergeCell ref="AEV59:AEX59"/>
    <mergeCell ref="AEY59:AFA59"/>
    <mergeCell ref="ADL54:ADN54"/>
    <mergeCell ref="ADO54:ADQ54"/>
    <mergeCell ref="ADR54:ADT54"/>
    <mergeCell ref="ADU54:ADW54"/>
    <mergeCell ref="ADX54:ADZ54"/>
    <mergeCell ref="AEA54:AEC54"/>
    <mergeCell ref="AED54:AEF54"/>
    <mergeCell ref="AEG54:AEI54"/>
    <mergeCell ref="AEJ54:AEL54"/>
    <mergeCell ref="AEM54:AEO54"/>
    <mergeCell ref="AEP54:AER54"/>
    <mergeCell ref="AES54:AEU54"/>
    <mergeCell ref="AEV54:AEX54"/>
    <mergeCell ref="AEY54:AFA54"/>
    <mergeCell ref="ADL55:ADN55"/>
    <mergeCell ref="ADO55:ADQ55"/>
    <mergeCell ref="ADR55:ADT55"/>
    <mergeCell ref="ADU55:ADW55"/>
    <mergeCell ref="ADX55:ADZ55"/>
    <mergeCell ref="AEA55:AEC55"/>
    <mergeCell ref="AED55:AEF55"/>
    <mergeCell ref="AEG55:AEI55"/>
    <mergeCell ref="AEJ55:AEL55"/>
    <mergeCell ref="AEM55:AEO55"/>
    <mergeCell ref="AEP55:AER55"/>
    <mergeCell ref="AES55:AEU55"/>
    <mergeCell ref="AEV55:AEX55"/>
    <mergeCell ref="AEY55:AFA55"/>
    <mergeCell ref="ADL56:ADN56"/>
    <mergeCell ref="ADO56:ADQ56"/>
    <mergeCell ref="ADL42:ADN42"/>
    <mergeCell ref="ADO42:ADQ42"/>
    <mergeCell ref="ADR42:ADT42"/>
    <mergeCell ref="ADU42:ADW42"/>
    <mergeCell ref="ADX42:ADZ42"/>
    <mergeCell ref="AEA42:AEC42"/>
    <mergeCell ref="AED42:AEF42"/>
    <mergeCell ref="AEG42:AEI42"/>
    <mergeCell ref="AEJ42:AEL42"/>
    <mergeCell ref="AEM42:AEO42"/>
    <mergeCell ref="AEP42:AER42"/>
    <mergeCell ref="AES42:AEU42"/>
    <mergeCell ref="AEV42:AEX42"/>
    <mergeCell ref="AEY42:AFA42"/>
    <mergeCell ref="ADL43:ADN43"/>
    <mergeCell ref="ADO43:ADQ43"/>
    <mergeCell ref="ADR43:ADT43"/>
    <mergeCell ref="ADU43:ADW43"/>
    <mergeCell ref="ADX43:ADZ43"/>
    <mergeCell ref="AEA43:AEC43"/>
    <mergeCell ref="AED43:AEF43"/>
    <mergeCell ref="AEG43:AEI43"/>
    <mergeCell ref="AEJ43:AEL43"/>
    <mergeCell ref="AEM43:AEO43"/>
    <mergeCell ref="AEP43:AER43"/>
    <mergeCell ref="AES43:AEU43"/>
    <mergeCell ref="AEV43:AEX43"/>
    <mergeCell ref="AEY43:AFA43"/>
    <mergeCell ref="AEM45:AEO45"/>
    <mergeCell ref="AEM46:AEO46"/>
    <mergeCell ref="AEM47:AEO47"/>
    <mergeCell ref="AEM48:AEO48"/>
    <mergeCell ref="AEM52:AEO52"/>
    <mergeCell ref="ADL40:ADN40"/>
    <mergeCell ref="ADO40:ADQ40"/>
    <mergeCell ref="ADR40:ADT40"/>
    <mergeCell ref="ADU40:ADW40"/>
    <mergeCell ref="ADX40:ADZ40"/>
    <mergeCell ref="AEA40:AEC40"/>
    <mergeCell ref="AED40:AEF40"/>
    <mergeCell ref="AEG40:AEI40"/>
    <mergeCell ref="AEJ40:AEL40"/>
    <mergeCell ref="AEM40:AEO40"/>
    <mergeCell ref="AEP40:AER40"/>
    <mergeCell ref="AES40:AEU40"/>
    <mergeCell ref="AEV40:AEX40"/>
    <mergeCell ref="AEY40:AFA40"/>
    <mergeCell ref="ADL41:ADN41"/>
    <mergeCell ref="ADO41:ADQ41"/>
    <mergeCell ref="ADR41:ADT41"/>
    <mergeCell ref="ADU41:ADW41"/>
    <mergeCell ref="ADX41:ADZ41"/>
    <mergeCell ref="AEA41:AEC41"/>
    <mergeCell ref="AED41:AEF41"/>
    <mergeCell ref="AEG41:AEI41"/>
    <mergeCell ref="AEJ41:AEL41"/>
    <mergeCell ref="AEM41:AEO41"/>
    <mergeCell ref="AEP41:AER41"/>
    <mergeCell ref="AES41:AEU41"/>
    <mergeCell ref="AEV41:AEX41"/>
    <mergeCell ref="AEY41:AFA41"/>
    <mergeCell ref="ADL20:ADN20"/>
    <mergeCell ref="ADO20:ADQ20"/>
    <mergeCell ref="ADR20:ADT20"/>
    <mergeCell ref="ADU20:ADW20"/>
    <mergeCell ref="ADX20:ADZ20"/>
    <mergeCell ref="AEA20:AEC20"/>
    <mergeCell ref="AED20:AEF20"/>
    <mergeCell ref="AEG20:AEI20"/>
    <mergeCell ref="AEJ20:AEL20"/>
    <mergeCell ref="AEM20:AEO20"/>
    <mergeCell ref="AEP20:AER20"/>
    <mergeCell ref="AES20:AEU20"/>
    <mergeCell ref="AEV20:AEX20"/>
    <mergeCell ref="AEY20:AFA20"/>
    <mergeCell ref="ADL21:ADN21"/>
    <mergeCell ref="ADO21:ADQ21"/>
    <mergeCell ref="ADR21:ADT21"/>
    <mergeCell ref="ADU21:ADW21"/>
    <mergeCell ref="ADX21:ADZ21"/>
    <mergeCell ref="AEA21:AEC21"/>
    <mergeCell ref="AED21:AEF21"/>
    <mergeCell ref="AEG21:AEI21"/>
    <mergeCell ref="AEJ21:AEL21"/>
    <mergeCell ref="AEM21:AEO21"/>
    <mergeCell ref="AEP21:AER21"/>
    <mergeCell ref="AES21:AEU21"/>
    <mergeCell ref="AEV21:AEX21"/>
    <mergeCell ref="AEY21:AFA21"/>
    <mergeCell ref="ADL22:ADN22"/>
    <mergeCell ref="ADO22:ADQ22"/>
    <mergeCell ref="ADR22:ADT22"/>
    <mergeCell ref="ADU22:ADW22"/>
    <mergeCell ref="ADX22:ADZ22"/>
    <mergeCell ref="AEA22:AEC22"/>
    <mergeCell ref="AED22:AEF22"/>
    <mergeCell ref="AEG22:AEI22"/>
    <mergeCell ref="AEJ22:AEL22"/>
    <mergeCell ref="AEM22:AEO22"/>
    <mergeCell ref="AEP22:AER22"/>
    <mergeCell ref="AES22:AEU22"/>
    <mergeCell ref="AEV22:AEX22"/>
    <mergeCell ref="AEY22:AFA22"/>
    <mergeCell ref="AEJ32:AEL32"/>
    <mergeCell ref="AEM32:AEO32"/>
    <mergeCell ref="AEP32:AER32"/>
    <mergeCell ref="AES32:AEU32"/>
    <mergeCell ref="AEV32:AEX32"/>
    <mergeCell ref="AEY32:AFA32"/>
    <mergeCell ref="ADL39:ADN39"/>
    <mergeCell ref="ADO39:ADQ39"/>
    <mergeCell ref="ADR39:ADT39"/>
    <mergeCell ref="ADU39:ADW39"/>
    <mergeCell ref="ADX39:ADZ39"/>
    <mergeCell ref="AEA39:AEC39"/>
    <mergeCell ref="AED39:AEF39"/>
    <mergeCell ref="AEG39:AEI39"/>
    <mergeCell ref="AEJ39:AEL39"/>
    <mergeCell ref="AEM39:AEO39"/>
    <mergeCell ref="AEP39:AER39"/>
    <mergeCell ref="AES39:AEU39"/>
    <mergeCell ref="AEV39:AEX39"/>
    <mergeCell ref="AEY39:AFA39"/>
    <mergeCell ref="ADL19:ADN19"/>
    <mergeCell ref="ADO19:ADQ19"/>
    <mergeCell ref="ADR19:ADT19"/>
    <mergeCell ref="ADU19:ADW19"/>
    <mergeCell ref="ADX19:ADZ19"/>
    <mergeCell ref="AEA19:AEC19"/>
    <mergeCell ref="AED19:AEF19"/>
    <mergeCell ref="AEG19:AEI19"/>
    <mergeCell ref="AEJ19:AEL19"/>
    <mergeCell ref="AEM19:AEO19"/>
    <mergeCell ref="AEP19:AER19"/>
    <mergeCell ref="AES19:AEU19"/>
    <mergeCell ref="AEV19:AEX19"/>
    <mergeCell ref="AEY19:AFA19"/>
    <mergeCell ref="ADL36:ADN36"/>
    <mergeCell ref="ADO36:ADQ36"/>
    <mergeCell ref="ADR36:ADT36"/>
    <mergeCell ref="ADU36:ADW36"/>
    <mergeCell ref="ADX36:ADZ36"/>
    <mergeCell ref="AEA36:AEC36"/>
    <mergeCell ref="AED36:AEF36"/>
    <mergeCell ref="AEG36:AEI36"/>
    <mergeCell ref="AEJ36:AEL36"/>
    <mergeCell ref="AEM36:AEO36"/>
    <mergeCell ref="AEP36:AER36"/>
    <mergeCell ref="AES36:AEU36"/>
    <mergeCell ref="AEV36:AEX36"/>
    <mergeCell ref="AEY36:AFA36"/>
    <mergeCell ref="ADL29:ADN29"/>
    <mergeCell ref="ADO29:ADQ29"/>
    <mergeCell ref="ADR29:ADT29"/>
    <mergeCell ref="ADU29:ADW29"/>
    <mergeCell ref="ADX29:ADZ29"/>
    <mergeCell ref="AEA29:AEC29"/>
    <mergeCell ref="AED29:AEF29"/>
    <mergeCell ref="AEG29:AEI29"/>
    <mergeCell ref="AEJ29:AEL29"/>
    <mergeCell ref="AEM29:AEO29"/>
    <mergeCell ref="AEP29:AER29"/>
    <mergeCell ref="AES29:AEU29"/>
    <mergeCell ref="AEV29:AEX29"/>
    <mergeCell ref="AEY29:AFA29"/>
    <mergeCell ref="ADL33:ADN33"/>
    <mergeCell ref="ADO33:ADQ33"/>
    <mergeCell ref="ADR33:ADT33"/>
    <mergeCell ref="ADU33:ADW33"/>
    <mergeCell ref="ADX33:ADZ33"/>
    <mergeCell ref="AEA33:AEC33"/>
    <mergeCell ref="AED33:AEF33"/>
    <mergeCell ref="AEG33:AEI33"/>
    <mergeCell ref="AEJ33:AEL33"/>
    <mergeCell ref="AEM33:AEO33"/>
    <mergeCell ref="AEP33:AER33"/>
    <mergeCell ref="AES33:AEU33"/>
    <mergeCell ref="AEV33:AEX33"/>
    <mergeCell ref="AEY33:AFA33"/>
    <mergeCell ref="ADL30:ADN30"/>
    <mergeCell ref="ADO30:ADQ30"/>
    <mergeCell ref="ADR30:ADT30"/>
    <mergeCell ref="ADU30:ADW30"/>
    <mergeCell ref="ADX30:ADZ30"/>
    <mergeCell ref="AEA30:AEC30"/>
    <mergeCell ref="AED30:AEF30"/>
    <mergeCell ref="AEG30:AEI30"/>
    <mergeCell ref="AEJ30:AEL30"/>
    <mergeCell ref="AEM30:AEO30"/>
    <mergeCell ref="AEP30:AER30"/>
    <mergeCell ref="AES30:AEU30"/>
    <mergeCell ref="AEV30:AEX30"/>
    <mergeCell ref="AEY30:AFA30"/>
    <mergeCell ref="ADL31:ADN31"/>
    <mergeCell ref="ADO31:ADQ31"/>
    <mergeCell ref="ADR31:ADT31"/>
    <mergeCell ref="ADU31:ADW31"/>
    <mergeCell ref="ADX31:ADZ31"/>
    <mergeCell ref="AEA31:AEC31"/>
    <mergeCell ref="AED31:AEF31"/>
    <mergeCell ref="AEG31:AEI31"/>
    <mergeCell ref="AEJ31:AEL31"/>
    <mergeCell ref="AEM31:AEO31"/>
    <mergeCell ref="AEP31:AER31"/>
    <mergeCell ref="AES31:AEU31"/>
    <mergeCell ref="AEV31:AEX31"/>
    <mergeCell ref="AEY31:AFA31"/>
    <mergeCell ref="ADL32:ADN32"/>
    <mergeCell ref="ADO32:ADQ32"/>
    <mergeCell ref="ADR32:ADT32"/>
    <mergeCell ref="ADU32:ADW32"/>
    <mergeCell ref="ADX32:ADZ32"/>
    <mergeCell ref="AEA32:AEC32"/>
    <mergeCell ref="AED32:AEF32"/>
    <mergeCell ref="AEG32:AEI32"/>
    <mergeCell ref="ADL16:ADN16"/>
    <mergeCell ref="ADO16:ADQ16"/>
    <mergeCell ref="ADR16:ADT16"/>
    <mergeCell ref="ADU16:ADW16"/>
    <mergeCell ref="ADX16:ADZ16"/>
    <mergeCell ref="AEA16:AEC16"/>
    <mergeCell ref="AED16:AEF16"/>
    <mergeCell ref="AEG16:AEI16"/>
    <mergeCell ref="AEJ16:AEL16"/>
    <mergeCell ref="AEM16:AEO16"/>
    <mergeCell ref="AEP16:AER16"/>
    <mergeCell ref="AES16:AEU16"/>
    <mergeCell ref="AEV16:AEX16"/>
    <mergeCell ref="AEY16:AFA16"/>
    <mergeCell ref="ADL14:ADN14"/>
    <mergeCell ref="ADO14:ADQ14"/>
    <mergeCell ref="ADR14:ADT14"/>
    <mergeCell ref="ADU14:ADW14"/>
    <mergeCell ref="ADX14:ADZ14"/>
    <mergeCell ref="AEA14:AEC14"/>
    <mergeCell ref="AED14:AEF14"/>
    <mergeCell ref="AEG14:AEI14"/>
    <mergeCell ref="AEJ14:AEL14"/>
    <mergeCell ref="AEM14:AEO14"/>
    <mergeCell ref="AEP14:AER14"/>
    <mergeCell ref="AES14:AEU14"/>
    <mergeCell ref="AEV14:AEX14"/>
    <mergeCell ref="AEY14:AFA14"/>
    <mergeCell ref="AEA15:AEC15"/>
    <mergeCell ref="AED15:AEF15"/>
    <mergeCell ref="AEG15:AEI15"/>
    <mergeCell ref="AEJ15:AEL15"/>
    <mergeCell ref="AEM15:AEO15"/>
    <mergeCell ref="AEP15:AER15"/>
    <mergeCell ref="AES15:AEU15"/>
    <mergeCell ref="AEV15:AEX15"/>
    <mergeCell ref="AEY15:AFA15"/>
    <mergeCell ref="ADL11:ADN11"/>
    <mergeCell ref="ADO11:ADQ11"/>
    <mergeCell ref="ADR11:ADT11"/>
    <mergeCell ref="ADU11:ADW11"/>
    <mergeCell ref="ADX11:ADZ11"/>
    <mergeCell ref="AEA11:AEC11"/>
    <mergeCell ref="AED11:AEF11"/>
    <mergeCell ref="AEG11:AEI11"/>
    <mergeCell ref="AEJ11:AEL11"/>
    <mergeCell ref="AEM11:AEO11"/>
    <mergeCell ref="AEP11:AER11"/>
    <mergeCell ref="AES11:AEU11"/>
    <mergeCell ref="AEV11:AEX11"/>
    <mergeCell ref="AEY11:AFA11"/>
    <mergeCell ref="AEA12:AEC12"/>
    <mergeCell ref="AED12:AEF12"/>
    <mergeCell ref="AEG12:AEI12"/>
    <mergeCell ref="AEJ12:AEL12"/>
    <mergeCell ref="AEM12:AEO12"/>
    <mergeCell ref="AEP12:AER12"/>
    <mergeCell ref="AES12:AEU12"/>
    <mergeCell ref="AEV12:AEX12"/>
    <mergeCell ref="AEY12:AFA12"/>
    <mergeCell ref="ADL13:ADN13"/>
    <mergeCell ref="ADO13:ADQ13"/>
    <mergeCell ref="ADR13:ADT13"/>
    <mergeCell ref="ADU13:ADW13"/>
    <mergeCell ref="ADX13:ADZ13"/>
    <mergeCell ref="AEA13:AEC13"/>
    <mergeCell ref="AED13:AEF13"/>
    <mergeCell ref="AEG13:AEI13"/>
    <mergeCell ref="AEJ13:AEL13"/>
    <mergeCell ref="AEM13:AEO13"/>
    <mergeCell ref="AEP13:AER13"/>
    <mergeCell ref="AES13:AEU13"/>
    <mergeCell ref="AEV13:AEX13"/>
    <mergeCell ref="AEY13:AFA13"/>
    <mergeCell ref="AEG7:AEI7"/>
    <mergeCell ref="AEJ7:AEL7"/>
    <mergeCell ref="AEM7:AEO7"/>
    <mergeCell ref="AEP7:AER7"/>
    <mergeCell ref="AES7:AEU7"/>
    <mergeCell ref="AEV7:AEX7"/>
    <mergeCell ref="AEY7:AFA7"/>
    <mergeCell ref="ADL8:ADN8"/>
    <mergeCell ref="ADO8:ADQ8"/>
    <mergeCell ref="ADR8:ADT8"/>
    <mergeCell ref="ADU8:ADW8"/>
    <mergeCell ref="ADX8:ADZ8"/>
    <mergeCell ref="AEA8:AEC8"/>
    <mergeCell ref="AED8:AEF8"/>
    <mergeCell ref="AEG8:AEI8"/>
    <mergeCell ref="AEJ8:AEL8"/>
    <mergeCell ref="AEM8:AEO8"/>
    <mergeCell ref="AEP8:AER8"/>
    <mergeCell ref="AES8:AEU8"/>
    <mergeCell ref="AEV8:AEX8"/>
    <mergeCell ref="AEY8:AFA8"/>
    <mergeCell ref="AEA9:AEC9"/>
    <mergeCell ref="AED9:AEF9"/>
    <mergeCell ref="AEG9:AEI9"/>
    <mergeCell ref="AEJ9:AEL9"/>
    <mergeCell ref="AEM9:AEO9"/>
    <mergeCell ref="AEP9:AER9"/>
    <mergeCell ref="AES9:AEU9"/>
    <mergeCell ref="AEV9:AEX9"/>
    <mergeCell ref="AEY9:AFA9"/>
    <mergeCell ref="ADL10:ADN10"/>
    <mergeCell ref="ADO10:ADQ10"/>
    <mergeCell ref="ADR10:ADT10"/>
    <mergeCell ref="ADU10:ADW10"/>
    <mergeCell ref="ADX10:ADZ10"/>
    <mergeCell ref="AEA10:AEC10"/>
    <mergeCell ref="AED10:AEF10"/>
    <mergeCell ref="AEG10:AEI10"/>
    <mergeCell ref="AEJ10:AEL10"/>
    <mergeCell ref="AEM10:AEO10"/>
    <mergeCell ref="AEP10:AER10"/>
    <mergeCell ref="AES10:AEU10"/>
    <mergeCell ref="AEV10:AEX10"/>
    <mergeCell ref="AEY10:AFA10"/>
    <mergeCell ref="AEA2:AEC2"/>
    <mergeCell ref="AED2:AEF2"/>
    <mergeCell ref="AEG2:AEI2"/>
    <mergeCell ref="AEJ2:AEL2"/>
    <mergeCell ref="AEM2:AEO2"/>
    <mergeCell ref="AEP2:AER2"/>
    <mergeCell ref="AES2:AEU2"/>
    <mergeCell ref="AEV2:AEX2"/>
    <mergeCell ref="AEY2:AFA2"/>
    <mergeCell ref="ADL3:ADN3"/>
    <mergeCell ref="ADO3:ADQ3"/>
    <mergeCell ref="ADR3:ADT3"/>
    <mergeCell ref="ADU3:ADW3"/>
    <mergeCell ref="ADX3:ADZ3"/>
    <mergeCell ref="AEA3:AEC3"/>
    <mergeCell ref="AED3:AEF3"/>
    <mergeCell ref="AEG3:AEI3"/>
    <mergeCell ref="AEJ3:AEL3"/>
    <mergeCell ref="AEM3:AEO3"/>
    <mergeCell ref="AEP3:AER3"/>
    <mergeCell ref="AES3:AEU3"/>
    <mergeCell ref="AEV3:AEX3"/>
    <mergeCell ref="AEY3:AFA3"/>
    <mergeCell ref="ADL5:ADN5"/>
    <mergeCell ref="ADO5:ADQ5"/>
    <mergeCell ref="ADR5:ADT5"/>
    <mergeCell ref="ADU5:ADW5"/>
    <mergeCell ref="ADX5:ADZ5"/>
    <mergeCell ref="AEA5:AEC5"/>
    <mergeCell ref="AED5:AEF5"/>
    <mergeCell ref="AEG5:AEI5"/>
    <mergeCell ref="AEJ5:AEL5"/>
    <mergeCell ref="AEM5:AEO5"/>
    <mergeCell ref="AEP5:AER5"/>
    <mergeCell ref="AES5:AEU5"/>
    <mergeCell ref="AEV5:AEX5"/>
    <mergeCell ref="AEY5:AFA5"/>
    <mergeCell ref="ADL2:ADN2"/>
    <mergeCell ref="ADO2:ADQ2"/>
    <mergeCell ref="ADR2:ADT2"/>
    <mergeCell ref="ADU2:ADW2"/>
    <mergeCell ref="ADX2:ADZ2"/>
    <mergeCell ref="AEA6:AEC6"/>
    <mergeCell ref="AED6:AEF6"/>
    <mergeCell ref="AEG6:AEI6"/>
    <mergeCell ref="AEJ6:AEL6"/>
    <mergeCell ref="AEM6:AEO6"/>
    <mergeCell ref="AEP6:AER6"/>
    <mergeCell ref="AES6:AEU6"/>
    <mergeCell ref="AEV6:AEX6"/>
    <mergeCell ref="AEY6:AFA6"/>
    <mergeCell ref="ADL7:ADN7"/>
    <mergeCell ref="ADO7:ADQ7"/>
    <mergeCell ref="ADR7:ADT7"/>
    <mergeCell ref="ADU7:ADW7"/>
    <mergeCell ref="ABV60:ABX60"/>
    <mergeCell ref="ABY60:ACA60"/>
    <mergeCell ref="ACB60:ACD60"/>
    <mergeCell ref="ACE60:ACG60"/>
    <mergeCell ref="ACH60:ACJ60"/>
    <mergeCell ref="ACK60:ACM60"/>
    <mergeCell ref="ACN60:ACP60"/>
    <mergeCell ref="ACQ60:ACS60"/>
    <mergeCell ref="ACT60:ACV60"/>
    <mergeCell ref="ACW60:ACY60"/>
    <mergeCell ref="ACZ60:ADB60"/>
    <mergeCell ref="ADC60:ADE60"/>
    <mergeCell ref="ADF60:ADH60"/>
    <mergeCell ref="ADI60:ADK60"/>
    <mergeCell ref="ABV61:ABX61"/>
    <mergeCell ref="ABY61:ACA61"/>
    <mergeCell ref="ACB61:ACD61"/>
    <mergeCell ref="ACE61:ACG61"/>
    <mergeCell ref="ACH61:ACJ61"/>
    <mergeCell ref="ACK61:ACM61"/>
    <mergeCell ref="ACN61:ACP61"/>
    <mergeCell ref="ACQ61:ACS61"/>
    <mergeCell ref="ACT61:ACV61"/>
    <mergeCell ref="ACW61:ACY61"/>
    <mergeCell ref="ACZ61:ADB61"/>
    <mergeCell ref="ADC61:ADE61"/>
    <mergeCell ref="ADF61:ADH61"/>
    <mergeCell ref="ADI61:ADK61"/>
    <mergeCell ref="ADL6:ADN6"/>
    <mergeCell ref="ADO6:ADQ6"/>
    <mergeCell ref="ADR6:ADT6"/>
    <mergeCell ref="ADU6:ADW6"/>
    <mergeCell ref="ADX6:ADZ6"/>
    <mergeCell ref="ADL9:ADN9"/>
    <mergeCell ref="ADO9:ADQ9"/>
    <mergeCell ref="ADR9:ADT9"/>
    <mergeCell ref="ADU9:ADW9"/>
    <mergeCell ref="ADX9:ADZ9"/>
    <mergeCell ref="ADL12:ADN12"/>
    <mergeCell ref="ADO12:ADQ12"/>
    <mergeCell ref="ADR12:ADT12"/>
    <mergeCell ref="ADU12:ADW12"/>
    <mergeCell ref="ADX12:ADZ12"/>
    <mergeCell ref="ADL15:ADN15"/>
    <mergeCell ref="ADO15:ADQ15"/>
    <mergeCell ref="ADR15:ADT15"/>
    <mergeCell ref="ADU15:ADW15"/>
    <mergeCell ref="ADX15:ADZ15"/>
    <mergeCell ref="ADX7:ADZ7"/>
    <mergeCell ref="AEA7:AEC7"/>
    <mergeCell ref="AED7:AEF7"/>
    <mergeCell ref="ABV57:ABX57"/>
    <mergeCell ref="ABY57:ACA57"/>
    <mergeCell ref="ACB57:ACD57"/>
    <mergeCell ref="ACE57:ACG57"/>
    <mergeCell ref="ACH57:ACJ57"/>
    <mergeCell ref="ACK57:ACM57"/>
    <mergeCell ref="ACN57:ACP57"/>
    <mergeCell ref="ACQ57:ACS57"/>
    <mergeCell ref="ACT57:ACV57"/>
    <mergeCell ref="ACW57:ACY57"/>
    <mergeCell ref="ACZ57:ADB57"/>
    <mergeCell ref="ADC57:ADE57"/>
    <mergeCell ref="ADF57:ADH57"/>
    <mergeCell ref="ADI57:ADK57"/>
    <mergeCell ref="ABV58:ABX58"/>
    <mergeCell ref="ABY58:ACA58"/>
    <mergeCell ref="ACB58:ACD58"/>
    <mergeCell ref="ACE58:ACG58"/>
    <mergeCell ref="ACH58:ACJ58"/>
    <mergeCell ref="ACK58:ACM58"/>
    <mergeCell ref="ACN58:ACP58"/>
    <mergeCell ref="ACQ58:ACS58"/>
    <mergeCell ref="ACT58:ACV58"/>
    <mergeCell ref="ACW58:ACY58"/>
    <mergeCell ref="ACZ58:ADB58"/>
    <mergeCell ref="ADC58:ADE58"/>
    <mergeCell ref="ADF58:ADH58"/>
    <mergeCell ref="ADI58:ADK58"/>
    <mergeCell ref="ABV59:ABX59"/>
    <mergeCell ref="ABY59:ACA59"/>
    <mergeCell ref="ACB59:ACD59"/>
    <mergeCell ref="ACE59:ACG59"/>
    <mergeCell ref="ACH59:ACJ59"/>
    <mergeCell ref="ACK59:ACM59"/>
    <mergeCell ref="ACN59:ACP59"/>
    <mergeCell ref="ACQ59:ACS59"/>
    <mergeCell ref="ACT59:ACV59"/>
    <mergeCell ref="ACW59:ACY59"/>
    <mergeCell ref="ACZ59:ADB59"/>
    <mergeCell ref="ADC59:ADE59"/>
    <mergeCell ref="ADF59:ADH59"/>
    <mergeCell ref="ADI59:ADK59"/>
    <mergeCell ref="ABV54:ABX54"/>
    <mergeCell ref="ABY54:ACA54"/>
    <mergeCell ref="ACB54:ACD54"/>
    <mergeCell ref="ACE54:ACG54"/>
    <mergeCell ref="ACH54:ACJ54"/>
    <mergeCell ref="ACK54:ACM54"/>
    <mergeCell ref="ACN54:ACP54"/>
    <mergeCell ref="ACQ54:ACS54"/>
    <mergeCell ref="ACT54:ACV54"/>
    <mergeCell ref="ACW54:ACY54"/>
    <mergeCell ref="ACZ54:ADB54"/>
    <mergeCell ref="ADC54:ADE54"/>
    <mergeCell ref="ADF54:ADH54"/>
    <mergeCell ref="ADI54:ADK54"/>
    <mergeCell ref="ABV55:ABX55"/>
    <mergeCell ref="ABY55:ACA55"/>
    <mergeCell ref="ACB55:ACD55"/>
    <mergeCell ref="ACE55:ACG55"/>
    <mergeCell ref="ACH55:ACJ55"/>
    <mergeCell ref="ACK55:ACM55"/>
    <mergeCell ref="ACN55:ACP55"/>
    <mergeCell ref="ACQ55:ACS55"/>
    <mergeCell ref="ACT55:ACV55"/>
    <mergeCell ref="ACW55:ACY55"/>
    <mergeCell ref="ACZ55:ADB55"/>
    <mergeCell ref="ADC55:ADE55"/>
    <mergeCell ref="ADF55:ADH55"/>
    <mergeCell ref="ADI55:ADK55"/>
    <mergeCell ref="ABV56:ABX56"/>
    <mergeCell ref="ABY56:ACA56"/>
    <mergeCell ref="ACB56:ACD56"/>
    <mergeCell ref="ACE56:ACG56"/>
    <mergeCell ref="ACH56:ACJ56"/>
    <mergeCell ref="ACK56:ACM56"/>
    <mergeCell ref="ACN56:ACP56"/>
    <mergeCell ref="ACQ56:ACS56"/>
    <mergeCell ref="ACT56:ACV56"/>
    <mergeCell ref="ACW56:ACY56"/>
    <mergeCell ref="ACZ56:ADB56"/>
    <mergeCell ref="ADC56:ADE56"/>
    <mergeCell ref="ADF56:ADH56"/>
    <mergeCell ref="ADI56:ADK56"/>
    <mergeCell ref="ABV41:ABX41"/>
    <mergeCell ref="ABY41:ACA41"/>
    <mergeCell ref="ACB41:ACD41"/>
    <mergeCell ref="ACE41:ACG41"/>
    <mergeCell ref="ACH41:ACJ41"/>
    <mergeCell ref="ACK41:ACM41"/>
    <mergeCell ref="ACN41:ACP41"/>
    <mergeCell ref="ACQ41:ACS41"/>
    <mergeCell ref="ACT41:ACV41"/>
    <mergeCell ref="ACW41:ACY41"/>
    <mergeCell ref="ACZ41:ADB41"/>
    <mergeCell ref="ADC41:ADE41"/>
    <mergeCell ref="ADF41:ADH41"/>
    <mergeCell ref="ADI41:ADK41"/>
    <mergeCell ref="ABV42:ABX42"/>
    <mergeCell ref="ABY42:ACA42"/>
    <mergeCell ref="ACB42:ACD42"/>
    <mergeCell ref="ACE42:ACG42"/>
    <mergeCell ref="ACH42:ACJ42"/>
    <mergeCell ref="ACK42:ACM42"/>
    <mergeCell ref="ACN42:ACP42"/>
    <mergeCell ref="ACQ42:ACS42"/>
    <mergeCell ref="ACT42:ACV42"/>
    <mergeCell ref="ACW42:ACY42"/>
    <mergeCell ref="ACZ42:ADB42"/>
    <mergeCell ref="ADC42:ADE42"/>
    <mergeCell ref="ADF42:ADH42"/>
    <mergeCell ref="ADI42:ADK42"/>
    <mergeCell ref="ABV43:ABX43"/>
    <mergeCell ref="ABY43:ACA43"/>
    <mergeCell ref="ACB43:ACD43"/>
    <mergeCell ref="ACE43:ACG43"/>
    <mergeCell ref="ACH43:ACJ43"/>
    <mergeCell ref="ACK43:ACM43"/>
    <mergeCell ref="ACN43:ACP43"/>
    <mergeCell ref="ACQ43:ACS43"/>
    <mergeCell ref="ACT43:ACV43"/>
    <mergeCell ref="ACW43:ACY43"/>
    <mergeCell ref="ACZ43:ADB43"/>
    <mergeCell ref="ADC43:ADE43"/>
    <mergeCell ref="ADF43:ADH43"/>
    <mergeCell ref="ADI43:ADK43"/>
    <mergeCell ref="ABV40:ABX40"/>
    <mergeCell ref="ABY40:ACA40"/>
    <mergeCell ref="ACB40:ACD40"/>
    <mergeCell ref="ACE40:ACG40"/>
    <mergeCell ref="ACH40:ACJ40"/>
    <mergeCell ref="ACK40:ACM40"/>
    <mergeCell ref="ACN40:ACP40"/>
    <mergeCell ref="ACQ40:ACS40"/>
    <mergeCell ref="ACT40:ACV40"/>
    <mergeCell ref="ACW40:ACY40"/>
    <mergeCell ref="ACZ40:ADB40"/>
    <mergeCell ref="ADC40:ADE40"/>
    <mergeCell ref="ADF40:ADH40"/>
    <mergeCell ref="ADI40:ADK40"/>
    <mergeCell ref="ABV19:ABX19"/>
    <mergeCell ref="ABY19:ACA19"/>
    <mergeCell ref="ACB19:ACD19"/>
    <mergeCell ref="ACE19:ACG19"/>
    <mergeCell ref="ACH19:ACJ19"/>
    <mergeCell ref="ACK19:ACM19"/>
    <mergeCell ref="ACN19:ACP19"/>
    <mergeCell ref="ACQ19:ACS19"/>
    <mergeCell ref="ACT19:ACV19"/>
    <mergeCell ref="ACW19:ACY19"/>
    <mergeCell ref="ACZ19:ADB19"/>
    <mergeCell ref="ADC19:ADE19"/>
    <mergeCell ref="ADF19:ADH19"/>
    <mergeCell ref="ADI19:ADK19"/>
    <mergeCell ref="ABV20:ABX20"/>
    <mergeCell ref="ABY20:ACA20"/>
    <mergeCell ref="ACB20:ACD20"/>
    <mergeCell ref="ACE20:ACG20"/>
    <mergeCell ref="ACH20:ACJ20"/>
    <mergeCell ref="ACK20:ACM20"/>
    <mergeCell ref="ACN20:ACP20"/>
    <mergeCell ref="ACQ20:ACS20"/>
    <mergeCell ref="ACT20:ACV20"/>
    <mergeCell ref="ACW20:ACY20"/>
    <mergeCell ref="ACZ20:ADB20"/>
    <mergeCell ref="ADC20:ADE20"/>
    <mergeCell ref="ADF20:ADH20"/>
    <mergeCell ref="ADI20:ADK20"/>
    <mergeCell ref="ABV21:ABX21"/>
    <mergeCell ref="ABY21:ACA21"/>
    <mergeCell ref="ACB21:ACD21"/>
    <mergeCell ref="ACE21:ACG21"/>
    <mergeCell ref="ACH21:ACJ21"/>
    <mergeCell ref="ACK21:ACM21"/>
    <mergeCell ref="ACN21:ACP21"/>
    <mergeCell ref="ACQ21:ACS21"/>
    <mergeCell ref="ACT21:ACV21"/>
    <mergeCell ref="ACW21:ACY21"/>
    <mergeCell ref="ACZ21:ADB21"/>
    <mergeCell ref="ADC21:ADE21"/>
    <mergeCell ref="ADF21:ADH21"/>
    <mergeCell ref="ADI21:ADK21"/>
    <mergeCell ref="ADF32:ADH32"/>
    <mergeCell ref="ADI32:ADK32"/>
    <mergeCell ref="ABV39:ABX39"/>
    <mergeCell ref="ABY39:ACA39"/>
    <mergeCell ref="ACB39:ACD39"/>
    <mergeCell ref="ACE39:ACG39"/>
    <mergeCell ref="ACH39:ACJ39"/>
    <mergeCell ref="ACK39:ACM39"/>
    <mergeCell ref="ACN39:ACP39"/>
    <mergeCell ref="ACQ39:ACS39"/>
    <mergeCell ref="ACT39:ACV39"/>
    <mergeCell ref="ACW39:ACY39"/>
    <mergeCell ref="ACZ39:ADB39"/>
    <mergeCell ref="ADC39:ADE39"/>
    <mergeCell ref="ADF39:ADH39"/>
    <mergeCell ref="ADI39:ADK39"/>
    <mergeCell ref="ABV22:ABX22"/>
    <mergeCell ref="ABY22:ACA22"/>
    <mergeCell ref="ACB22:ACD22"/>
    <mergeCell ref="ACE22:ACG22"/>
    <mergeCell ref="ACH22:ACJ22"/>
    <mergeCell ref="ACK22:ACM22"/>
    <mergeCell ref="ACN22:ACP22"/>
    <mergeCell ref="ACQ22:ACS22"/>
    <mergeCell ref="ACT22:ACV22"/>
    <mergeCell ref="ACW22:ACY22"/>
    <mergeCell ref="ACZ22:ADB22"/>
    <mergeCell ref="ADC22:ADE22"/>
    <mergeCell ref="ADF22:ADH22"/>
    <mergeCell ref="ADI22:ADK22"/>
    <mergeCell ref="ABV36:ABX36"/>
    <mergeCell ref="ABY36:ACA36"/>
    <mergeCell ref="ACB36:ACD36"/>
    <mergeCell ref="ACE36:ACG36"/>
    <mergeCell ref="ACH36:ACJ36"/>
    <mergeCell ref="ACK36:ACM36"/>
    <mergeCell ref="ACN36:ACP36"/>
    <mergeCell ref="ACQ36:ACS36"/>
    <mergeCell ref="ACT36:ACV36"/>
    <mergeCell ref="ACW36:ACY36"/>
    <mergeCell ref="ACZ36:ADB36"/>
    <mergeCell ref="ADC36:ADE36"/>
    <mergeCell ref="ADF36:ADH36"/>
    <mergeCell ref="ADI36:ADK36"/>
    <mergeCell ref="ACT31:ACV31"/>
    <mergeCell ref="ACW31:ACY31"/>
    <mergeCell ref="ACZ31:ADB31"/>
    <mergeCell ref="ADC31:ADE31"/>
    <mergeCell ref="ADF31:ADH31"/>
    <mergeCell ref="ADI31:ADK31"/>
    <mergeCell ref="ABV32:ABX32"/>
    <mergeCell ref="ABY32:ACA32"/>
    <mergeCell ref="ACB32:ACD32"/>
    <mergeCell ref="ACE32:ACG32"/>
    <mergeCell ref="ACH32:ACJ32"/>
    <mergeCell ref="ACK32:ACM32"/>
    <mergeCell ref="ACN32:ACP32"/>
    <mergeCell ref="ACQ32:ACS32"/>
    <mergeCell ref="ACT32:ACV32"/>
    <mergeCell ref="ACW32:ACY32"/>
    <mergeCell ref="ACZ32:ADB32"/>
    <mergeCell ref="ADC32:ADE32"/>
    <mergeCell ref="ABV16:ABX16"/>
    <mergeCell ref="ABY16:ACA16"/>
    <mergeCell ref="ACB16:ACD16"/>
    <mergeCell ref="ACE16:ACG16"/>
    <mergeCell ref="ACH16:ACJ16"/>
    <mergeCell ref="ACK16:ACM16"/>
    <mergeCell ref="ACN16:ACP16"/>
    <mergeCell ref="ACQ16:ACS16"/>
    <mergeCell ref="ACT16:ACV16"/>
    <mergeCell ref="ACW16:ACY16"/>
    <mergeCell ref="ACZ16:ADB16"/>
    <mergeCell ref="ADC16:ADE16"/>
    <mergeCell ref="ADF16:ADH16"/>
    <mergeCell ref="ADI16:ADK16"/>
    <mergeCell ref="ABV29:ABX29"/>
    <mergeCell ref="ABY29:ACA29"/>
    <mergeCell ref="ACB29:ACD29"/>
    <mergeCell ref="ACE29:ACG29"/>
    <mergeCell ref="ACH29:ACJ29"/>
    <mergeCell ref="ACK29:ACM29"/>
    <mergeCell ref="ACN29:ACP29"/>
    <mergeCell ref="ACQ29:ACS29"/>
    <mergeCell ref="ACT29:ACV29"/>
    <mergeCell ref="ACW29:ACY29"/>
    <mergeCell ref="ACZ29:ADB29"/>
    <mergeCell ref="ADC29:ADE29"/>
    <mergeCell ref="ADF29:ADH29"/>
    <mergeCell ref="ADI29:ADK29"/>
    <mergeCell ref="ABV33:ABX33"/>
    <mergeCell ref="ABY33:ACA33"/>
    <mergeCell ref="ACB33:ACD33"/>
    <mergeCell ref="ACE33:ACG33"/>
    <mergeCell ref="ACH33:ACJ33"/>
    <mergeCell ref="ACK33:ACM33"/>
    <mergeCell ref="ACN33:ACP33"/>
    <mergeCell ref="ACQ33:ACS33"/>
    <mergeCell ref="ACT33:ACV33"/>
    <mergeCell ref="ACW33:ACY33"/>
    <mergeCell ref="ACZ33:ADB33"/>
    <mergeCell ref="ADC33:ADE33"/>
    <mergeCell ref="ADF33:ADH33"/>
    <mergeCell ref="ADI33:ADK33"/>
    <mergeCell ref="ABV30:ABX30"/>
    <mergeCell ref="ABY30:ACA30"/>
    <mergeCell ref="ACB30:ACD30"/>
    <mergeCell ref="ACE30:ACG30"/>
    <mergeCell ref="ACH30:ACJ30"/>
    <mergeCell ref="ACK30:ACM30"/>
    <mergeCell ref="ACN30:ACP30"/>
    <mergeCell ref="ACQ30:ACS30"/>
    <mergeCell ref="ACT30:ACV30"/>
    <mergeCell ref="ACW30:ACY30"/>
    <mergeCell ref="ACZ30:ADB30"/>
    <mergeCell ref="ADC30:ADE30"/>
    <mergeCell ref="ADF30:ADH30"/>
    <mergeCell ref="ADI30:ADK30"/>
    <mergeCell ref="ABV31:ABX31"/>
    <mergeCell ref="ABY31:ACA31"/>
    <mergeCell ref="ACB31:ACD31"/>
    <mergeCell ref="ACE31:ACG31"/>
    <mergeCell ref="ACH31:ACJ31"/>
    <mergeCell ref="ACK31:ACM31"/>
    <mergeCell ref="ACN31:ACP31"/>
    <mergeCell ref="ACQ31:ACS31"/>
    <mergeCell ref="ABV15:ABX15"/>
    <mergeCell ref="ABY15:ACA15"/>
    <mergeCell ref="ACB15:ACD15"/>
    <mergeCell ref="ACE15:ACG15"/>
    <mergeCell ref="ACH15:ACJ15"/>
    <mergeCell ref="ACK15:ACM15"/>
    <mergeCell ref="ACN15:ACP15"/>
    <mergeCell ref="ACQ15:ACS15"/>
    <mergeCell ref="ACT15:ACV15"/>
    <mergeCell ref="ACW15:ACY15"/>
    <mergeCell ref="ACZ15:ADB15"/>
    <mergeCell ref="ADC15:ADE15"/>
    <mergeCell ref="ADF15:ADH15"/>
    <mergeCell ref="ADI15:ADK15"/>
    <mergeCell ref="ABV12:ABX12"/>
    <mergeCell ref="ABY12:ACA12"/>
    <mergeCell ref="ACB12:ACD12"/>
    <mergeCell ref="ACE12:ACG12"/>
    <mergeCell ref="ACH12:ACJ12"/>
    <mergeCell ref="ACK12:ACM12"/>
    <mergeCell ref="ACN12:ACP12"/>
    <mergeCell ref="ACQ12:ACS12"/>
    <mergeCell ref="ACT12:ACV12"/>
    <mergeCell ref="ACW12:ACY12"/>
    <mergeCell ref="ACZ12:ADB12"/>
    <mergeCell ref="ADC12:ADE12"/>
    <mergeCell ref="ADF12:ADH12"/>
    <mergeCell ref="ADI12:ADK12"/>
    <mergeCell ref="ABV13:ABX13"/>
    <mergeCell ref="ABY13:ACA13"/>
    <mergeCell ref="ACB13:ACD13"/>
    <mergeCell ref="ACE13:ACG13"/>
    <mergeCell ref="ACH13:ACJ13"/>
    <mergeCell ref="ACK13:ACM13"/>
    <mergeCell ref="ACN13:ACP13"/>
    <mergeCell ref="ACQ13:ACS13"/>
    <mergeCell ref="ACT13:ACV13"/>
    <mergeCell ref="ACW13:ACY13"/>
    <mergeCell ref="ACZ13:ADB13"/>
    <mergeCell ref="ADC13:ADE13"/>
    <mergeCell ref="ADF13:ADH13"/>
    <mergeCell ref="ADI13:ADK13"/>
    <mergeCell ref="ABV14:ABX14"/>
    <mergeCell ref="ABY14:ACA14"/>
    <mergeCell ref="ACB14:ACD14"/>
    <mergeCell ref="ACE14:ACG14"/>
    <mergeCell ref="ACH14:ACJ14"/>
    <mergeCell ref="ACK14:ACM14"/>
    <mergeCell ref="ACN14:ACP14"/>
    <mergeCell ref="ACQ14:ACS14"/>
    <mergeCell ref="ACT14:ACV14"/>
    <mergeCell ref="ACW14:ACY14"/>
    <mergeCell ref="ACZ14:ADB14"/>
    <mergeCell ref="ADC14:ADE14"/>
    <mergeCell ref="ADF14:ADH14"/>
    <mergeCell ref="ADI14:ADK14"/>
    <mergeCell ref="ABV9:ABX9"/>
    <mergeCell ref="ABY9:ACA9"/>
    <mergeCell ref="ACB9:ACD9"/>
    <mergeCell ref="ACE9:ACG9"/>
    <mergeCell ref="ACH9:ACJ9"/>
    <mergeCell ref="ACK9:ACM9"/>
    <mergeCell ref="ACN9:ACP9"/>
    <mergeCell ref="ACQ9:ACS9"/>
    <mergeCell ref="ACT9:ACV9"/>
    <mergeCell ref="ACW9:ACY9"/>
    <mergeCell ref="ACZ9:ADB9"/>
    <mergeCell ref="ADC9:ADE9"/>
    <mergeCell ref="ADF9:ADH9"/>
    <mergeCell ref="ADI9:ADK9"/>
    <mergeCell ref="ABV10:ABX10"/>
    <mergeCell ref="ABY10:ACA10"/>
    <mergeCell ref="ACB10:ACD10"/>
    <mergeCell ref="ACE10:ACG10"/>
    <mergeCell ref="ACH10:ACJ10"/>
    <mergeCell ref="ACK10:ACM10"/>
    <mergeCell ref="ACN10:ACP10"/>
    <mergeCell ref="ACQ10:ACS10"/>
    <mergeCell ref="ACT10:ACV10"/>
    <mergeCell ref="ACW10:ACY10"/>
    <mergeCell ref="ACZ10:ADB10"/>
    <mergeCell ref="ADC10:ADE10"/>
    <mergeCell ref="ADF10:ADH10"/>
    <mergeCell ref="ADI10:ADK10"/>
    <mergeCell ref="ABV11:ABX11"/>
    <mergeCell ref="ABY11:ACA11"/>
    <mergeCell ref="ACB11:ACD11"/>
    <mergeCell ref="ACE11:ACG11"/>
    <mergeCell ref="ACH11:ACJ11"/>
    <mergeCell ref="ACK11:ACM11"/>
    <mergeCell ref="ACN11:ACP11"/>
    <mergeCell ref="ACQ11:ACS11"/>
    <mergeCell ref="ACT11:ACV11"/>
    <mergeCell ref="ACW11:ACY11"/>
    <mergeCell ref="ACZ11:ADB11"/>
    <mergeCell ref="ADC11:ADE11"/>
    <mergeCell ref="ADF11:ADH11"/>
    <mergeCell ref="ADI11:ADK11"/>
    <mergeCell ref="ABV6:ABX6"/>
    <mergeCell ref="ABY6:ACA6"/>
    <mergeCell ref="ACB6:ACD6"/>
    <mergeCell ref="ACE6:ACG6"/>
    <mergeCell ref="ACH6:ACJ6"/>
    <mergeCell ref="ACK6:ACM6"/>
    <mergeCell ref="ACN6:ACP6"/>
    <mergeCell ref="ACQ6:ACS6"/>
    <mergeCell ref="ACT6:ACV6"/>
    <mergeCell ref="ACW6:ACY6"/>
    <mergeCell ref="ACZ6:ADB6"/>
    <mergeCell ref="ADC6:ADE6"/>
    <mergeCell ref="ADF6:ADH6"/>
    <mergeCell ref="ADI6:ADK6"/>
    <mergeCell ref="ABV7:ABX7"/>
    <mergeCell ref="ABY7:ACA7"/>
    <mergeCell ref="ACB7:ACD7"/>
    <mergeCell ref="ACE7:ACG7"/>
    <mergeCell ref="ACH7:ACJ7"/>
    <mergeCell ref="ACK7:ACM7"/>
    <mergeCell ref="ACN7:ACP7"/>
    <mergeCell ref="ACQ7:ACS7"/>
    <mergeCell ref="ACT7:ACV7"/>
    <mergeCell ref="ACW7:ACY7"/>
    <mergeCell ref="ACZ7:ADB7"/>
    <mergeCell ref="ADC7:ADE7"/>
    <mergeCell ref="ADF7:ADH7"/>
    <mergeCell ref="ADI7:ADK7"/>
    <mergeCell ref="ABV8:ABX8"/>
    <mergeCell ref="ABY8:ACA8"/>
    <mergeCell ref="ACB8:ACD8"/>
    <mergeCell ref="ACE8:ACG8"/>
    <mergeCell ref="ACH8:ACJ8"/>
    <mergeCell ref="ACK8:ACM8"/>
    <mergeCell ref="ACN8:ACP8"/>
    <mergeCell ref="ACQ8:ACS8"/>
    <mergeCell ref="ACT8:ACV8"/>
    <mergeCell ref="ACW8:ACY8"/>
    <mergeCell ref="ACZ8:ADB8"/>
    <mergeCell ref="ADC8:ADE8"/>
    <mergeCell ref="ADF8:ADH8"/>
    <mergeCell ref="ADI8:ADK8"/>
    <mergeCell ref="ABV2:ABX2"/>
    <mergeCell ref="ABY2:ACA2"/>
    <mergeCell ref="ACB2:ACD2"/>
    <mergeCell ref="ACE2:ACG2"/>
    <mergeCell ref="ACH2:ACJ2"/>
    <mergeCell ref="ACK2:ACM2"/>
    <mergeCell ref="ACN2:ACP2"/>
    <mergeCell ref="ACQ2:ACS2"/>
    <mergeCell ref="ACT2:ACV2"/>
    <mergeCell ref="ACW2:ACY2"/>
    <mergeCell ref="ACZ2:ADB2"/>
    <mergeCell ref="ADC2:ADE2"/>
    <mergeCell ref="ADF2:ADH2"/>
    <mergeCell ref="ADI2:ADK2"/>
    <mergeCell ref="ABV3:ABX3"/>
    <mergeCell ref="ABY3:ACA3"/>
    <mergeCell ref="ACB3:ACD3"/>
    <mergeCell ref="ACE3:ACG3"/>
    <mergeCell ref="ACH3:ACJ3"/>
    <mergeCell ref="ACK3:ACM3"/>
    <mergeCell ref="ACN3:ACP3"/>
    <mergeCell ref="ACQ3:ACS3"/>
    <mergeCell ref="ACT3:ACV3"/>
    <mergeCell ref="ACW3:ACY3"/>
    <mergeCell ref="ACZ3:ADB3"/>
    <mergeCell ref="ADC3:ADE3"/>
    <mergeCell ref="ADF3:ADH3"/>
    <mergeCell ref="ADI3:ADK3"/>
    <mergeCell ref="ABV5:ABX5"/>
    <mergeCell ref="ABY5:ACA5"/>
    <mergeCell ref="ACB5:ACD5"/>
    <mergeCell ref="ACE5:ACG5"/>
    <mergeCell ref="ACH5:ACJ5"/>
    <mergeCell ref="ACK5:ACM5"/>
    <mergeCell ref="ACN5:ACP5"/>
    <mergeCell ref="ACQ5:ACS5"/>
    <mergeCell ref="ACT5:ACV5"/>
    <mergeCell ref="ACW5:ACY5"/>
    <mergeCell ref="ACZ5:ADB5"/>
    <mergeCell ref="ADC5:ADE5"/>
    <mergeCell ref="ADF5:ADH5"/>
    <mergeCell ref="ADI5:ADK5"/>
    <mergeCell ref="ABA54:ABC54"/>
    <mergeCell ref="ABD54:ABF54"/>
    <mergeCell ref="ABG54:ABI54"/>
    <mergeCell ref="ABJ54:ABL54"/>
    <mergeCell ref="ABM54:ABO54"/>
    <mergeCell ref="ABP54:ABR54"/>
    <mergeCell ref="ABS54:ABU54"/>
    <mergeCell ref="ABA60:ABC60"/>
    <mergeCell ref="ABD60:ABF60"/>
    <mergeCell ref="ABG60:ABI60"/>
    <mergeCell ref="ABJ60:ABL60"/>
    <mergeCell ref="ABM60:ABO60"/>
    <mergeCell ref="ABP60:ABR60"/>
    <mergeCell ref="ABS60:ABU60"/>
    <mergeCell ref="ABJ61:ABL61"/>
    <mergeCell ref="ABM61:ABO61"/>
    <mergeCell ref="ABP61:ABR61"/>
    <mergeCell ref="ABS61:ABU61"/>
    <mergeCell ref="ABA55:ABC55"/>
    <mergeCell ref="ABD55:ABF55"/>
    <mergeCell ref="ABG55:ABI55"/>
    <mergeCell ref="ABJ55:ABL55"/>
    <mergeCell ref="ABM55:ABO55"/>
    <mergeCell ref="ABP55:ABR55"/>
    <mergeCell ref="ABS55:ABU55"/>
    <mergeCell ref="ABA56:ABC56"/>
    <mergeCell ref="ABD56:ABF56"/>
    <mergeCell ref="ABG56:ABI56"/>
    <mergeCell ref="ABJ56:ABL56"/>
    <mergeCell ref="ABM56:ABO56"/>
    <mergeCell ref="ABP56:ABR56"/>
    <mergeCell ref="ABS56:ABU56"/>
    <mergeCell ref="ABA57:ABC57"/>
    <mergeCell ref="ABD57:ABF57"/>
    <mergeCell ref="ABG57:ABI57"/>
    <mergeCell ref="ABJ57:ABL57"/>
    <mergeCell ref="ABM57:ABO57"/>
    <mergeCell ref="ABP57:ABR57"/>
    <mergeCell ref="ABS57:ABU57"/>
    <mergeCell ref="ABA58:ABC58"/>
    <mergeCell ref="ABD58:ABF58"/>
    <mergeCell ref="ABG58:ABI58"/>
    <mergeCell ref="ABJ58:ABL58"/>
    <mergeCell ref="ABM58:ABO58"/>
    <mergeCell ref="ABP58:ABR58"/>
    <mergeCell ref="ABS58:ABU58"/>
    <mergeCell ref="ABA59:ABC59"/>
    <mergeCell ref="ABD59:ABF59"/>
    <mergeCell ref="ABG59:ABI59"/>
    <mergeCell ref="ABJ59:ABL59"/>
    <mergeCell ref="ABM59:ABO59"/>
    <mergeCell ref="ABP59:ABR59"/>
    <mergeCell ref="ABS59:ABU59"/>
    <mergeCell ref="ABA42:ABC42"/>
    <mergeCell ref="ABD42:ABF42"/>
    <mergeCell ref="ABG42:ABI42"/>
    <mergeCell ref="ABJ42:ABL42"/>
    <mergeCell ref="ABM42:ABO42"/>
    <mergeCell ref="ABP42:ABR42"/>
    <mergeCell ref="ABS42:ABU42"/>
    <mergeCell ref="ABA44:ABC44"/>
    <mergeCell ref="ABD44:ABF44"/>
    <mergeCell ref="ABG44:ABI44"/>
    <mergeCell ref="ABJ44:ABL44"/>
    <mergeCell ref="ABM44:ABO44"/>
    <mergeCell ref="ABP44:ABR44"/>
    <mergeCell ref="ABS44:ABU44"/>
    <mergeCell ref="ABA40:ABC40"/>
    <mergeCell ref="ABD40:ABF40"/>
    <mergeCell ref="ABG40:ABI40"/>
    <mergeCell ref="ABJ40:ABL40"/>
    <mergeCell ref="ABM40:ABO40"/>
    <mergeCell ref="ABP40:ABR40"/>
    <mergeCell ref="ABS40:ABU40"/>
    <mergeCell ref="ABA41:ABC41"/>
    <mergeCell ref="ABD41:ABF41"/>
    <mergeCell ref="ABG41:ABI41"/>
    <mergeCell ref="ABJ41:ABL41"/>
    <mergeCell ref="ABM41:ABO41"/>
    <mergeCell ref="ABP41:ABR41"/>
    <mergeCell ref="ABS41:ABU41"/>
    <mergeCell ref="ABJ36:ABL36"/>
    <mergeCell ref="ABM36:ABO36"/>
    <mergeCell ref="ABP36:ABR36"/>
    <mergeCell ref="ABS36:ABU36"/>
    <mergeCell ref="ABJ20:ABL20"/>
    <mergeCell ref="ABM20:ABO20"/>
    <mergeCell ref="ABP20:ABR20"/>
    <mergeCell ref="ABS20:ABU20"/>
    <mergeCell ref="ABA21:ABC21"/>
    <mergeCell ref="ABD21:ABF21"/>
    <mergeCell ref="ABG21:ABI21"/>
    <mergeCell ref="ABJ21:ABL21"/>
    <mergeCell ref="ABM21:ABO21"/>
    <mergeCell ref="ABP21:ABR21"/>
    <mergeCell ref="ABS21:ABU21"/>
    <mergeCell ref="ABS31:ABU31"/>
    <mergeCell ref="ABA32:ABC32"/>
    <mergeCell ref="ABD32:ABF32"/>
    <mergeCell ref="ABG22:ABI22"/>
    <mergeCell ref="ABJ22:ABL22"/>
    <mergeCell ref="ABM22:ABO22"/>
    <mergeCell ref="ABP22:ABR22"/>
    <mergeCell ref="ABS22:ABU22"/>
    <mergeCell ref="ABA13:ABC13"/>
    <mergeCell ref="ABD13:ABF13"/>
    <mergeCell ref="ABG13:ABI13"/>
    <mergeCell ref="ABJ13:ABL13"/>
    <mergeCell ref="ABM13:ABO13"/>
    <mergeCell ref="ABP13:ABR13"/>
    <mergeCell ref="ABS13:ABU13"/>
    <mergeCell ref="ABA14:ABC14"/>
    <mergeCell ref="ABD14:ABF14"/>
    <mergeCell ref="ABG14:ABI14"/>
    <mergeCell ref="ABJ14:ABL14"/>
    <mergeCell ref="ABM14:ABO14"/>
    <mergeCell ref="ABP14:ABR14"/>
    <mergeCell ref="ABS14:ABU14"/>
    <mergeCell ref="ABA15:ABC15"/>
    <mergeCell ref="ABD15:ABF15"/>
    <mergeCell ref="ABG15:ABI15"/>
    <mergeCell ref="ABJ15:ABL15"/>
    <mergeCell ref="ABM15:ABO15"/>
    <mergeCell ref="ABP15:ABR15"/>
    <mergeCell ref="ABS15:ABU15"/>
    <mergeCell ref="ABA8:ABC8"/>
    <mergeCell ref="ABD8:ABF8"/>
    <mergeCell ref="ABG8:ABI8"/>
    <mergeCell ref="ABJ8:ABL8"/>
    <mergeCell ref="ABM8:ABO8"/>
    <mergeCell ref="ABP8:ABR8"/>
    <mergeCell ref="ABS8:ABU8"/>
    <mergeCell ref="ABA9:ABC9"/>
    <mergeCell ref="ABD9:ABF9"/>
    <mergeCell ref="ABG9:ABI9"/>
    <mergeCell ref="ABJ9:ABL9"/>
    <mergeCell ref="ABM9:ABO9"/>
    <mergeCell ref="ABP9:ABR9"/>
    <mergeCell ref="ABS9:ABU9"/>
    <mergeCell ref="ABA10:ABC10"/>
    <mergeCell ref="ABD10:ABF10"/>
    <mergeCell ref="ABG10:ABI10"/>
    <mergeCell ref="ABJ10:ABL10"/>
    <mergeCell ref="ABM10:ABO10"/>
    <mergeCell ref="ABP10:ABR10"/>
    <mergeCell ref="ABS10:ABU10"/>
    <mergeCell ref="ABA11:ABC11"/>
    <mergeCell ref="ABD11:ABF11"/>
    <mergeCell ref="ABG11:ABI11"/>
    <mergeCell ref="ABJ11:ABL11"/>
    <mergeCell ref="ABM11:ABO11"/>
    <mergeCell ref="ABP11:ABR11"/>
    <mergeCell ref="ABS11:ABU11"/>
    <mergeCell ref="ABA12:ABC12"/>
    <mergeCell ref="ABD12:ABF12"/>
    <mergeCell ref="ABG12:ABI12"/>
    <mergeCell ref="ABJ12:ABL12"/>
    <mergeCell ref="ABM12:ABO12"/>
    <mergeCell ref="ABP12:ABR12"/>
    <mergeCell ref="ABS12:ABU12"/>
    <mergeCell ref="ABA2:ABC2"/>
    <mergeCell ref="ABD2:ABF2"/>
    <mergeCell ref="ABG2:ABI2"/>
    <mergeCell ref="ABJ2:ABL2"/>
    <mergeCell ref="ABM2:ABO2"/>
    <mergeCell ref="ABP2:ABR2"/>
    <mergeCell ref="ABS2:ABU2"/>
    <mergeCell ref="ABA3:ABC3"/>
    <mergeCell ref="ABD3:ABF3"/>
    <mergeCell ref="ABG3:ABI3"/>
    <mergeCell ref="ABJ3:ABL3"/>
    <mergeCell ref="ABM3:ABO3"/>
    <mergeCell ref="ABP3:ABR3"/>
    <mergeCell ref="ABS3:ABU3"/>
    <mergeCell ref="ABA5:ABC5"/>
    <mergeCell ref="ABD5:ABF5"/>
    <mergeCell ref="ABG5:ABI5"/>
    <mergeCell ref="ABJ5:ABL5"/>
    <mergeCell ref="ABM5:ABO5"/>
    <mergeCell ref="ABP5:ABR5"/>
    <mergeCell ref="ABS5:ABU5"/>
    <mergeCell ref="ABA6:ABC6"/>
    <mergeCell ref="ABD6:ABF6"/>
    <mergeCell ref="ABG6:ABI6"/>
    <mergeCell ref="ABJ6:ABL6"/>
    <mergeCell ref="ABM6:ABO6"/>
    <mergeCell ref="ABP6:ABR6"/>
    <mergeCell ref="ABS6:ABU6"/>
    <mergeCell ref="ABA7:ABC7"/>
    <mergeCell ref="ABD7:ABF7"/>
    <mergeCell ref="ABG7:ABI7"/>
    <mergeCell ref="ABJ7:ABL7"/>
    <mergeCell ref="ABM7:ABO7"/>
    <mergeCell ref="ABP7:ABR7"/>
    <mergeCell ref="ABS7:ABU7"/>
    <mergeCell ref="OL59:ON59"/>
    <mergeCell ref="KW54:KY54"/>
    <mergeCell ref="ABA61:ABC61"/>
    <mergeCell ref="ABD61:ABF61"/>
    <mergeCell ref="ABG61:ABI61"/>
    <mergeCell ref="L55:N55"/>
    <mergeCell ref="O55:Q55"/>
    <mergeCell ref="R55:T55"/>
    <mergeCell ref="F61:H61"/>
    <mergeCell ref="PA59:PC59"/>
    <mergeCell ref="PD59:PF59"/>
    <mergeCell ref="PG59:PI59"/>
    <mergeCell ref="PJ59:PL59"/>
    <mergeCell ref="PM59:PO59"/>
    <mergeCell ref="PP59:PR59"/>
    <mergeCell ref="PS59:PU59"/>
    <mergeCell ref="PA60:PC60"/>
    <mergeCell ref="PD60:PF60"/>
    <mergeCell ref="PG60:PI60"/>
    <mergeCell ref="PJ60:PL60"/>
    <mergeCell ref="PM60:PO60"/>
    <mergeCell ref="PP60:PR60"/>
    <mergeCell ref="PS60:PU60"/>
    <mergeCell ref="OF57:OH57"/>
    <mergeCell ref="OI57:OK57"/>
    <mergeCell ref="OL57:ON57"/>
    <mergeCell ref="OO57:OQ57"/>
    <mergeCell ref="OR57:OT57"/>
    <mergeCell ref="OU57:OW57"/>
    <mergeCell ref="OX57:OZ57"/>
    <mergeCell ref="OF55:OH55"/>
    <mergeCell ref="OI55:OK55"/>
    <mergeCell ref="OL55:ON55"/>
    <mergeCell ref="OO55:OQ55"/>
    <mergeCell ref="OR55:OT55"/>
    <mergeCell ref="OU55:OW55"/>
    <mergeCell ref="OX55:OZ55"/>
    <mergeCell ref="OF59:OH59"/>
    <mergeCell ref="OI59:OK59"/>
    <mergeCell ref="OO59:OQ59"/>
    <mergeCell ref="OR59:OT59"/>
    <mergeCell ref="OU59:OW59"/>
    <mergeCell ref="OX59:OZ59"/>
    <mergeCell ref="OF60:OH60"/>
    <mergeCell ref="OI60:OK60"/>
    <mergeCell ref="OL60:ON60"/>
    <mergeCell ref="OO60:OQ60"/>
    <mergeCell ref="OR60:OT60"/>
    <mergeCell ref="OU60:OW60"/>
    <mergeCell ref="OX60:OZ60"/>
    <mergeCell ref="OF56:OH56"/>
    <mergeCell ref="OI56:OK56"/>
    <mergeCell ref="OL56:ON56"/>
    <mergeCell ref="OO56:OQ56"/>
    <mergeCell ref="OR56:OT56"/>
    <mergeCell ref="OU56:OW56"/>
    <mergeCell ref="OX56:OZ56"/>
    <mergeCell ref="LI54:LK54"/>
    <mergeCell ref="KW55:KY55"/>
    <mergeCell ref="IL54:IN54"/>
    <mergeCell ref="IO54:IQ54"/>
    <mergeCell ref="HH54:HJ54"/>
    <mergeCell ref="HK54:HM54"/>
    <mergeCell ref="HN54:HP54"/>
    <mergeCell ref="HZ54:IB54"/>
    <mergeCell ref="JG55:JI55"/>
    <mergeCell ref="JJ55:JL55"/>
    <mergeCell ref="JA54:JC54"/>
    <mergeCell ref="RI55:RK55"/>
    <mergeCell ref="RL55:RN55"/>
    <mergeCell ref="RO55:RQ55"/>
    <mergeCell ref="RR55:RT55"/>
    <mergeCell ref="RU55:RW55"/>
    <mergeCell ref="RX55:RZ55"/>
    <mergeCell ref="SA55:SC55"/>
    <mergeCell ref="SD54:SF54"/>
    <mergeCell ref="SG54:SI54"/>
    <mergeCell ref="SJ54:SL54"/>
    <mergeCell ref="SM54:SO54"/>
    <mergeCell ref="SP54:SR54"/>
    <mergeCell ref="SS54:SU54"/>
    <mergeCell ref="SD55:SF55"/>
    <mergeCell ref="SG55:SI55"/>
    <mergeCell ref="SJ55:SL55"/>
    <mergeCell ref="SM55:SO55"/>
    <mergeCell ref="SP55:SR55"/>
    <mergeCell ref="SS55:SU55"/>
    <mergeCell ref="SV54:SX54"/>
    <mergeCell ref="TT55:TV55"/>
    <mergeCell ref="TW55:TY55"/>
    <mergeCell ref="TZ55:UB55"/>
    <mergeCell ref="UC55:UE55"/>
    <mergeCell ref="YM54:YO54"/>
    <mergeCell ref="WQ12:WS12"/>
    <mergeCell ref="WT12:WV12"/>
    <mergeCell ref="WW12:WY12"/>
    <mergeCell ref="WZ12:XB12"/>
    <mergeCell ref="XC12:XE12"/>
    <mergeCell ref="XF12:XH12"/>
    <mergeCell ref="XI12:XK12"/>
    <mergeCell ref="PM36:PO36"/>
    <mergeCell ref="PP36:PR36"/>
    <mergeCell ref="PP22:PR22"/>
    <mergeCell ref="PS22:PU22"/>
    <mergeCell ref="PA36:PC36"/>
    <mergeCell ref="PD36:PF36"/>
    <mergeCell ref="PG36:PI36"/>
    <mergeCell ref="PJ36:PL36"/>
    <mergeCell ref="OC33:OE33"/>
    <mergeCell ref="OC30:OE30"/>
    <mergeCell ref="OC31:OE31"/>
    <mergeCell ref="OC32:OE32"/>
    <mergeCell ref="OF33:OH33"/>
    <mergeCell ref="OI33:OK33"/>
    <mergeCell ref="OL33:ON33"/>
    <mergeCell ref="OO33:OQ33"/>
    <mergeCell ref="OR33:OT33"/>
    <mergeCell ref="OF30:OH30"/>
    <mergeCell ref="OI30:OK30"/>
    <mergeCell ref="OL30:ON30"/>
    <mergeCell ref="OO30:OQ30"/>
    <mergeCell ref="OR30:OT30"/>
    <mergeCell ref="PG16:PI16"/>
    <mergeCell ref="PJ16:PL16"/>
    <mergeCell ref="PM16:PO16"/>
    <mergeCell ref="PP16:PR16"/>
    <mergeCell ref="PS57:PU57"/>
    <mergeCell ref="PA55:PC55"/>
    <mergeCell ref="PD55:PF55"/>
    <mergeCell ref="PG55:PI55"/>
    <mergeCell ref="PJ55:PL55"/>
    <mergeCell ref="PM55:PO55"/>
    <mergeCell ref="PP55:PR55"/>
    <mergeCell ref="PS55:PU55"/>
    <mergeCell ref="PD40:PF40"/>
    <mergeCell ref="PG40:PI40"/>
    <mergeCell ref="PJ40:PL40"/>
    <mergeCell ref="PM40:PO40"/>
    <mergeCell ref="PP40:PR40"/>
    <mergeCell ref="PS40:PU40"/>
    <mergeCell ref="PS36:PU36"/>
    <mergeCell ref="WT42:WV42"/>
    <mergeCell ref="WW42:WY42"/>
    <mergeCell ref="WZ42:XB42"/>
    <mergeCell ref="XC42:XE42"/>
    <mergeCell ref="XF42:XH42"/>
    <mergeCell ref="XI42:XK42"/>
    <mergeCell ref="PA22:PC22"/>
    <mergeCell ref="PA21:PC21"/>
    <mergeCell ref="PD21:PF21"/>
    <mergeCell ref="PG21:PI21"/>
    <mergeCell ref="PJ21:PL21"/>
    <mergeCell ref="PD22:PF22"/>
    <mergeCell ref="PG22:PI22"/>
    <mergeCell ref="PJ22:PL22"/>
    <mergeCell ref="PM22:PO22"/>
    <mergeCell ref="PM21:PO21"/>
    <mergeCell ref="PP21:PR21"/>
    <mergeCell ref="PS21:PU21"/>
    <mergeCell ref="PD16:PF16"/>
    <mergeCell ref="PA30:PC30"/>
    <mergeCell ref="PD30:PF30"/>
    <mergeCell ref="PG30:PI30"/>
    <mergeCell ref="PJ30:PL30"/>
    <mergeCell ref="PM30:PO30"/>
    <mergeCell ref="PP30:PR30"/>
    <mergeCell ref="PS30:PU30"/>
    <mergeCell ref="PA31:PC31"/>
    <mergeCell ref="PD31:PF31"/>
    <mergeCell ref="PG31:PI31"/>
    <mergeCell ref="PJ31:PL31"/>
    <mergeCell ref="PM31:PO31"/>
    <mergeCell ref="PA54:PC54"/>
    <mergeCell ref="PD54:PF54"/>
    <mergeCell ref="PG54:PI54"/>
    <mergeCell ref="PJ54:PL54"/>
    <mergeCell ref="PM54:PO54"/>
    <mergeCell ref="PP54:PR54"/>
    <mergeCell ref="PS54:PU54"/>
    <mergeCell ref="PA56:PC56"/>
    <mergeCell ref="PD56:PF56"/>
    <mergeCell ref="PG56:PI56"/>
    <mergeCell ref="PJ56:PL56"/>
    <mergeCell ref="PM56:PO56"/>
    <mergeCell ref="PP56:PR56"/>
    <mergeCell ref="PS56:PU56"/>
    <mergeCell ref="PA57:PC57"/>
    <mergeCell ref="PD57:PF57"/>
    <mergeCell ref="PG57:PI57"/>
    <mergeCell ref="PJ57:PL57"/>
    <mergeCell ref="PM57:PO57"/>
    <mergeCell ref="PP57:PR57"/>
    <mergeCell ref="PS16:PU16"/>
    <mergeCell ref="PA29:PC29"/>
    <mergeCell ref="PD29:PF29"/>
    <mergeCell ref="PG29:PI29"/>
    <mergeCell ref="PJ29:PL29"/>
    <mergeCell ref="PM29:PO29"/>
    <mergeCell ref="PP29:PR29"/>
    <mergeCell ref="PS29:PU29"/>
    <mergeCell ref="PA20:PC20"/>
    <mergeCell ref="PD20:PF20"/>
    <mergeCell ref="PG20:PI20"/>
    <mergeCell ref="PJ20:PL20"/>
    <mergeCell ref="PM20:PO20"/>
    <mergeCell ref="PP20:PR20"/>
    <mergeCell ref="PS20:PU20"/>
    <mergeCell ref="PA32:PC32"/>
    <mergeCell ref="PD32:PF32"/>
    <mergeCell ref="PG32:PI32"/>
    <mergeCell ref="PJ32:PL32"/>
    <mergeCell ref="PM32:PO32"/>
    <mergeCell ref="PP32:PR32"/>
    <mergeCell ref="PS32:PU32"/>
    <mergeCell ref="PG39:PI39"/>
    <mergeCell ref="PJ39:PL39"/>
    <mergeCell ref="PM39:PO39"/>
    <mergeCell ref="PP39:PR39"/>
    <mergeCell ref="PJ19:PL19"/>
    <mergeCell ref="PM19:PO19"/>
    <mergeCell ref="PP19:PR19"/>
    <mergeCell ref="PS19:PU19"/>
    <mergeCell ref="PA39:PC39"/>
    <mergeCell ref="PD39:PF39"/>
    <mergeCell ref="PS39:PU39"/>
    <mergeCell ref="PA19:PC19"/>
    <mergeCell ref="PD19:PF19"/>
    <mergeCell ref="PG19:PI19"/>
    <mergeCell ref="PA33:PC33"/>
    <mergeCell ref="PD33:PF33"/>
    <mergeCell ref="PG33:PI33"/>
    <mergeCell ref="PJ33:PL33"/>
    <mergeCell ref="PM33:PO33"/>
    <mergeCell ref="PP33:PR33"/>
    <mergeCell ref="PS33:PU33"/>
    <mergeCell ref="PP31:PR31"/>
    <mergeCell ref="PS31:PU31"/>
    <mergeCell ref="PA16:PC16"/>
    <mergeCell ref="PP9:PR9"/>
    <mergeCell ref="PS9:PU9"/>
    <mergeCell ref="PA10:PC10"/>
    <mergeCell ref="PD10:PF10"/>
    <mergeCell ref="PG10:PI10"/>
    <mergeCell ref="PJ10:PL10"/>
    <mergeCell ref="PM10:PO10"/>
    <mergeCell ref="PP10:PR10"/>
    <mergeCell ref="PS10:PU10"/>
    <mergeCell ref="PA11:PC11"/>
    <mergeCell ref="PD11:PF11"/>
    <mergeCell ref="PG11:PI11"/>
    <mergeCell ref="PJ11:PL11"/>
    <mergeCell ref="PM11:PO11"/>
    <mergeCell ref="PP11:PR11"/>
    <mergeCell ref="PS11:PU11"/>
    <mergeCell ref="PA14:PC14"/>
    <mergeCell ref="PD14:PF14"/>
    <mergeCell ref="PG14:PI14"/>
    <mergeCell ref="PJ14:PL14"/>
    <mergeCell ref="PM14:PO14"/>
    <mergeCell ref="PP14:PR14"/>
    <mergeCell ref="PS14:PU14"/>
    <mergeCell ref="PA15:PC15"/>
    <mergeCell ref="PD15:PF15"/>
    <mergeCell ref="PG15:PI15"/>
    <mergeCell ref="PJ15:PL15"/>
    <mergeCell ref="PM15:PO15"/>
    <mergeCell ref="PP15:PR15"/>
    <mergeCell ref="PS15:PU15"/>
    <mergeCell ref="PA13:PC13"/>
    <mergeCell ref="PD13:PF13"/>
    <mergeCell ref="PG13:PI13"/>
    <mergeCell ref="PJ13:PL13"/>
    <mergeCell ref="PM13:PO13"/>
    <mergeCell ref="PP13:PR13"/>
    <mergeCell ref="PS13:PU13"/>
    <mergeCell ref="PA9:PC9"/>
    <mergeCell ref="PD9:PF9"/>
    <mergeCell ref="PG9:PI9"/>
    <mergeCell ref="PJ9:PL9"/>
    <mergeCell ref="PM9:PO9"/>
    <mergeCell ref="PP2:PR2"/>
    <mergeCell ref="PS2:PU2"/>
    <mergeCell ref="PA3:PC3"/>
    <mergeCell ref="PD3:PF3"/>
    <mergeCell ref="PG3:PI3"/>
    <mergeCell ref="PJ3:PL3"/>
    <mergeCell ref="PM3:PO3"/>
    <mergeCell ref="PP3:PR3"/>
    <mergeCell ref="PS3:PU3"/>
    <mergeCell ref="PA5:PC5"/>
    <mergeCell ref="PD5:PF5"/>
    <mergeCell ref="PG5:PI5"/>
    <mergeCell ref="PJ5:PL5"/>
    <mergeCell ref="PM5:PO5"/>
    <mergeCell ref="PP5:PR5"/>
    <mergeCell ref="PS5:PU5"/>
    <mergeCell ref="PA6:PC6"/>
    <mergeCell ref="PD6:PF6"/>
    <mergeCell ref="PG6:PI6"/>
    <mergeCell ref="PJ6:PL6"/>
    <mergeCell ref="PM6:PO6"/>
    <mergeCell ref="PP6:PR6"/>
    <mergeCell ref="PS6:PU6"/>
    <mergeCell ref="PA7:PC7"/>
    <mergeCell ref="PD7:PF7"/>
    <mergeCell ref="PG7:PI7"/>
    <mergeCell ref="PJ7:PL7"/>
    <mergeCell ref="PM7:PO7"/>
    <mergeCell ref="PP7:PR7"/>
    <mergeCell ref="PS7:PU7"/>
    <mergeCell ref="PA8:PC8"/>
    <mergeCell ref="PD8:PF8"/>
    <mergeCell ref="PG8:PI8"/>
    <mergeCell ref="PJ8:PL8"/>
    <mergeCell ref="PM8:PO8"/>
    <mergeCell ref="PP8:PR8"/>
    <mergeCell ref="PS8:PU8"/>
    <mergeCell ref="PA2:PC2"/>
    <mergeCell ref="PD2:PF2"/>
    <mergeCell ref="PG2:PI2"/>
    <mergeCell ref="PJ2:PL2"/>
    <mergeCell ref="PM2:PO2"/>
    <mergeCell ref="OF54:OH54"/>
    <mergeCell ref="OI54:OK54"/>
    <mergeCell ref="OL54:ON54"/>
    <mergeCell ref="OO54:OQ54"/>
    <mergeCell ref="OR54:OT54"/>
    <mergeCell ref="OU54:OW54"/>
    <mergeCell ref="OX54:OZ54"/>
    <mergeCell ref="OF22:OH22"/>
    <mergeCell ref="OI22:OK22"/>
    <mergeCell ref="OL22:ON22"/>
    <mergeCell ref="OO22:OQ22"/>
    <mergeCell ref="OR22:OT22"/>
    <mergeCell ref="OU22:OW22"/>
    <mergeCell ref="OX22:OZ22"/>
    <mergeCell ref="OF36:OH36"/>
    <mergeCell ref="OI36:OK36"/>
    <mergeCell ref="OL36:ON36"/>
    <mergeCell ref="OO36:OQ36"/>
    <mergeCell ref="OR36:OT36"/>
    <mergeCell ref="OU36:OW36"/>
    <mergeCell ref="OX36:OZ36"/>
    <mergeCell ref="OF39:OH39"/>
    <mergeCell ref="OI39:OK39"/>
    <mergeCell ref="OL39:ON39"/>
    <mergeCell ref="OO39:OQ39"/>
    <mergeCell ref="OR39:OT39"/>
    <mergeCell ref="OU39:OW39"/>
    <mergeCell ref="OX39:OZ39"/>
    <mergeCell ref="OF19:OH19"/>
    <mergeCell ref="OI19:OK19"/>
    <mergeCell ref="OL19:ON19"/>
    <mergeCell ref="OO19:OQ19"/>
    <mergeCell ref="OR19:OT19"/>
    <mergeCell ref="OU19:OW19"/>
    <mergeCell ref="OX19:OZ19"/>
    <mergeCell ref="OF20:OH20"/>
    <mergeCell ref="OI20:OK20"/>
    <mergeCell ref="OL20:ON20"/>
    <mergeCell ref="OO20:OQ20"/>
    <mergeCell ref="OR20:OT20"/>
    <mergeCell ref="OU20:OW20"/>
    <mergeCell ref="OX20:OZ20"/>
    <mergeCell ref="OF21:OH21"/>
    <mergeCell ref="OI21:OK21"/>
    <mergeCell ref="OL21:ON21"/>
    <mergeCell ref="OO21:OQ21"/>
    <mergeCell ref="OR21:OT21"/>
    <mergeCell ref="OU21:OW21"/>
    <mergeCell ref="OX21:OZ21"/>
    <mergeCell ref="OU33:OW33"/>
    <mergeCell ref="OX33:OZ33"/>
    <mergeCell ref="OU30:OW30"/>
    <mergeCell ref="OX30:OZ30"/>
    <mergeCell ref="OU31:OW31"/>
    <mergeCell ref="OX31:OZ31"/>
    <mergeCell ref="OU32:OW32"/>
    <mergeCell ref="OX32:OZ32"/>
    <mergeCell ref="OF31:OH31"/>
    <mergeCell ref="OI31:OK31"/>
    <mergeCell ref="OL31:ON31"/>
    <mergeCell ref="OO31:OQ31"/>
    <mergeCell ref="OR31:OT31"/>
    <mergeCell ref="OF32:OH32"/>
    <mergeCell ref="OI32:OK32"/>
    <mergeCell ref="OL32:ON32"/>
    <mergeCell ref="OO32:OQ32"/>
    <mergeCell ref="OR32:OT32"/>
    <mergeCell ref="OF16:OH16"/>
    <mergeCell ref="OI16:OK16"/>
    <mergeCell ref="OL16:ON16"/>
    <mergeCell ref="OO16:OQ16"/>
    <mergeCell ref="OR16:OT16"/>
    <mergeCell ref="OU16:OW16"/>
    <mergeCell ref="OX16:OZ16"/>
    <mergeCell ref="OF29:OH29"/>
    <mergeCell ref="OI29:OK29"/>
    <mergeCell ref="OL29:ON29"/>
    <mergeCell ref="OO29:OQ29"/>
    <mergeCell ref="OR29:OT29"/>
    <mergeCell ref="OU29:OW29"/>
    <mergeCell ref="OX29:OZ29"/>
    <mergeCell ref="OR11:OT11"/>
    <mergeCell ref="OU11:OW11"/>
    <mergeCell ref="OX11:OZ11"/>
    <mergeCell ref="OF14:OH14"/>
    <mergeCell ref="OI14:OK14"/>
    <mergeCell ref="OL14:ON14"/>
    <mergeCell ref="OO14:OQ14"/>
    <mergeCell ref="OR14:OT14"/>
    <mergeCell ref="OU14:OW14"/>
    <mergeCell ref="OX14:OZ14"/>
    <mergeCell ref="OF15:OH15"/>
    <mergeCell ref="OI15:OK15"/>
    <mergeCell ref="OL15:ON15"/>
    <mergeCell ref="OO15:OQ15"/>
    <mergeCell ref="OR15:OT15"/>
    <mergeCell ref="OU15:OW15"/>
    <mergeCell ref="OX15:OZ15"/>
    <mergeCell ref="OL13:ON13"/>
    <mergeCell ref="OO13:OQ13"/>
    <mergeCell ref="OR13:OT13"/>
    <mergeCell ref="OU13:OW13"/>
    <mergeCell ref="OX13:OZ13"/>
    <mergeCell ref="OC56:OE56"/>
    <mergeCell ref="OC57:OE57"/>
    <mergeCell ref="OC59:OE59"/>
    <mergeCell ref="OC60:OE60"/>
    <mergeCell ref="OF2:OH2"/>
    <mergeCell ref="OI2:OK2"/>
    <mergeCell ref="OL2:ON2"/>
    <mergeCell ref="OO2:OQ2"/>
    <mergeCell ref="OR2:OT2"/>
    <mergeCell ref="OU2:OW2"/>
    <mergeCell ref="OX2:OZ2"/>
    <mergeCell ref="OF3:OH3"/>
    <mergeCell ref="OI3:OK3"/>
    <mergeCell ref="OL3:ON3"/>
    <mergeCell ref="OO3:OQ3"/>
    <mergeCell ref="OR3:OT3"/>
    <mergeCell ref="OU3:OW3"/>
    <mergeCell ref="OX3:OZ3"/>
    <mergeCell ref="OF5:OH5"/>
    <mergeCell ref="OI5:OK5"/>
    <mergeCell ref="OL5:ON5"/>
    <mergeCell ref="OO5:OQ5"/>
    <mergeCell ref="OR5:OT5"/>
    <mergeCell ref="OU5:OW5"/>
    <mergeCell ref="OX5:OZ5"/>
    <mergeCell ref="OF6:OH6"/>
    <mergeCell ref="OI6:OK6"/>
    <mergeCell ref="OL6:ON6"/>
    <mergeCell ref="OO6:OQ6"/>
    <mergeCell ref="OR6:OT6"/>
    <mergeCell ref="OU6:OW6"/>
    <mergeCell ref="OX6:OZ6"/>
    <mergeCell ref="OF7:OH7"/>
    <mergeCell ref="OI7:OK7"/>
    <mergeCell ref="OL7:ON7"/>
    <mergeCell ref="OO7:OQ7"/>
    <mergeCell ref="OR7:OT7"/>
    <mergeCell ref="OU7:OW7"/>
    <mergeCell ref="OX7:OZ7"/>
    <mergeCell ref="OF8:OH8"/>
    <mergeCell ref="OI8:OK8"/>
    <mergeCell ref="OL8:ON8"/>
    <mergeCell ref="OO8:OQ8"/>
    <mergeCell ref="OR8:OT8"/>
    <mergeCell ref="OU8:OW8"/>
    <mergeCell ref="OX8:OZ8"/>
    <mergeCell ref="OF9:OH9"/>
    <mergeCell ref="OI9:OK9"/>
    <mergeCell ref="OL9:ON9"/>
    <mergeCell ref="OO9:OQ9"/>
    <mergeCell ref="OR9:OT9"/>
    <mergeCell ref="OU9:OW9"/>
    <mergeCell ref="OX9:OZ9"/>
    <mergeCell ref="OF10:OH10"/>
    <mergeCell ref="OI10:OK10"/>
    <mergeCell ref="OL10:ON10"/>
    <mergeCell ref="OO10:OQ10"/>
    <mergeCell ref="OR10:OT10"/>
    <mergeCell ref="OU10:OW10"/>
    <mergeCell ref="OX10:OZ10"/>
    <mergeCell ref="OF11:OH11"/>
    <mergeCell ref="OI11:OK11"/>
    <mergeCell ref="OL11:ON11"/>
    <mergeCell ref="OO11:OQ11"/>
    <mergeCell ref="IU15:IW15"/>
    <mergeCell ref="OC16:OE16"/>
    <mergeCell ref="OC29:OE29"/>
    <mergeCell ref="OC39:OE39"/>
    <mergeCell ref="OC19:OE19"/>
    <mergeCell ref="OC20:OE20"/>
    <mergeCell ref="OC2:OE2"/>
    <mergeCell ref="OC3:OE3"/>
    <mergeCell ref="OC5:OE5"/>
    <mergeCell ref="OC6:OE6"/>
    <mergeCell ref="OC7:OE7"/>
    <mergeCell ref="OC8:OE8"/>
    <mergeCell ref="OC9:OE9"/>
    <mergeCell ref="OC10:OE10"/>
    <mergeCell ref="OC11:OE11"/>
    <mergeCell ref="OC14:OE14"/>
    <mergeCell ref="OC15:OE15"/>
    <mergeCell ref="KZ55:LB55"/>
    <mergeCell ref="LC55:LE55"/>
    <mergeCell ref="LF55:LH55"/>
    <mergeCell ref="LI55:LK55"/>
    <mergeCell ref="LL55:LN55"/>
    <mergeCell ref="LO55:LQ55"/>
    <mergeCell ref="LR55:LT55"/>
    <mergeCell ref="LU55:LW55"/>
    <mergeCell ref="LX55:LZ55"/>
    <mergeCell ref="MA55:MC55"/>
    <mergeCell ref="MD55:MF55"/>
    <mergeCell ref="MG55:MI55"/>
    <mergeCell ref="LL54:LN54"/>
    <mergeCell ref="LO54:LQ54"/>
    <mergeCell ref="LR54:LT54"/>
    <mergeCell ref="OC21:OE21"/>
    <mergeCell ref="OC22:OE22"/>
    <mergeCell ref="OC36:OE36"/>
    <mergeCell ref="OC54:OE54"/>
    <mergeCell ref="LF14:LH14"/>
    <mergeCell ref="HH55:HJ55"/>
    <mergeCell ref="HE55:HG55"/>
    <mergeCell ref="HB55:HD55"/>
    <mergeCell ref="IF54:IH54"/>
    <mergeCell ref="II16:IK16"/>
    <mergeCell ref="II29:IK29"/>
    <mergeCell ref="HQ16:HS16"/>
    <mergeCell ref="HQ29:HS29"/>
    <mergeCell ref="HQ39:HS39"/>
    <mergeCell ref="HQ19:HS19"/>
    <mergeCell ref="HQ20:HS20"/>
    <mergeCell ref="HQ21:HS21"/>
    <mergeCell ref="HQ22:HS22"/>
    <mergeCell ref="HQ36:HS36"/>
    <mergeCell ref="IU39:IW39"/>
    <mergeCell ref="IU19:IW19"/>
    <mergeCell ref="IU20:IW20"/>
    <mergeCell ref="IU21:IW21"/>
    <mergeCell ref="IU22:IW22"/>
    <mergeCell ref="HK20:HM20"/>
    <mergeCell ref="HK21:HM21"/>
    <mergeCell ref="HK22:HM22"/>
    <mergeCell ref="HK36:HM36"/>
    <mergeCell ref="HB21:HD21"/>
    <mergeCell ref="HB22:HD22"/>
    <mergeCell ref="HZ19:IB19"/>
    <mergeCell ref="HZ20:IB20"/>
    <mergeCell ref="HZ21:IB21"/>
    <mergeCell ref="HZ22:IB22"/>
    <mergeCell ref="HZ36:IB36"/>
    <mergeCell ref="IL55:IN55"/>
    <mergeCell ref="HQ55:HS55"/>
    <mergeCell ref="HT55:HV55"/>
    <mergeCell ref="HW55:HY55"/>
    <mergeCell ref="HZ55:IB55"/>
    <mergeCell ref="IC55:IE55"/>
    <mergeCell ref="IF55:IH55"/>
    <mergeCell ref="II22:IK22"/>
    <mergeCell ref="II36:IK36"/>
    <mergeCell ref="FX54:FZ54"/>
    <mergeCell ref="HZ16:IB16"/>
    <mergeCell ref="HZ29:IB29"/>
    <mergeCell ref="HZ39:IB39"/>
    <mergeCell ref="GV20:GX20"/>
    <mergeCell ref="GV21:GX21"/>
    <mergeCell ref="EE55:EG55"/>
    <mergeCell ref="EB55:ED55"/>
    <mergeCell ref="DY55:EA55"/>
    <mergeCell ref="DV55:DX55"/>
    <mergeCell ref="DS55:DU55"/>
    <mergeCell ref="FI55:FK55"/>
    <mergeCell ref="FF55:FH55"/>
    <mergeCell ref="FC55:FE55"/>
    <mergeCell ref="EZ55:FB55"/>
    <mergeCell ref="EW55:EY55"/>
    <mergeCell ref="ET55:EV55"/>
    <mergeCell ref="EQ55:ES55"/>
    <mergeCell ref="EN55:EP55"/>
    <mergeCell ref="EK55:EM55"/>
    <mergeCell ref="EK54:EM54"/>
    <mergeCell ref="EN54:EP54"/>
    <mergeCell ref="EQ54:ES54"/>
    <mergeCell ref="ET54:EV54"/>
    <mergeCell ref="EW54:EY54"/>
    <mergeCell ref="EZ54:FB54"/>
    <mergeCell ref="FC54:FE54"/>
    <mergeCell ref="FF54:FH54"/>
    <mergeCell ref="FI54:FK54"/>
    <mergeCell ref="HB36:HD36"/>
    <mergeCell ref="HB54:HD54"/>
    <mergeCell ref="GM36:GO36"/>
    <mergeCell ref="GA54:GC54"/>
    <mergeCell ref="DS36:DU36"/>
    <mergeCell ref="FL55:FN55"/>
    <mergeCell ref="GG55:GI55"/>
    <mergeCell ref="GD55:GF55"/>
    <mergeCell ref="GA55:GC55"/>
    <mergeCell ref="FX55:FZ55"/>
    <mergeCell ref="FU55:FW55"/>
    <mergeCell ref="FR55:FT55"/>
    <mergeCell ref="FO55:FQ55"/>
    <mergeCell ref="FO54:FQ54"/>
    <mergeCell ref="EH36:EJ36"/>
    <mergeCell ref="JA2:JC2"/>
    <mergeCell ref="JA3:JC3"/>
    <mergeCell ref="JA5:JC5"/>
    <mergeCell ref="JA6:JC6"/>
    <mergeCell ref="JA7:JC7"/>
    <mergeCell ref="JA8:JC8"/>
    <mergeCell ref="JA9:JC9"/>
    <mergeCell ref="JA10:JC10"/>
    <mergeCell ref="JA11:JC11"/>
    <mergeCell ref="JA14:JC14"/>
    <mergeCell ref="JA15:JC15"/>
    <mergeCell ref="IC2:IE2"/>
    <mergeCell ref="IC3:IE3"/>
    <mergeCell ref="IC5:IE5"/>
    <mergeCell ref="IC6:IE6"/>
    <mergeCell ref="IC7:IE7"/>
    <mergeCell ref="IC8:IE8"/>
    <mergeCell ref="IC9:IE9"/>
    <mergeCell ref="IC10:IE10"/>
    <mergeCell ref="IX2:IZ2"/>
    <mergeCell ref="IX3:IZ3"/>
    <mergeCell ref="IX5:IZ5"/>
    <mergeCell ref="IX6:IZ6"/>
    <mergeCell ref="IX7:IZ7"/>
    <mergeCell ref="IX8:IZ8"/>
    <mergeCell ref="IX9:IZ9"/>
    <mergeCell ref="IX10:IZ10"/>
    <mergeCell ref="IX11:IZ11"/>
    <mergeCell ref="IX14:IZ14"/>
    <mergeCell ref="IX15:IZ15"/>
    <mergeCell ref="II2:IK2"/>
    <mergeCell ref="II3:IK3"/>
    <mergeCell ref="II5:IK5"/>
    <mergeCell ref="II6:IK6"/>
    <mergeCell ref="II7:IK7"/>
    <mergeCell ref="II8:IK8"/>
    <mergeCell ref="II9:IK9"/>
    <mergeCell ref="II10:IK10"/>
    <mergeCell ref="II11:IK11"/>
    <mergeCell ref="II14:IK14"/>
    <mergeCell ref="II15:IK15"/>
    <mergeCell ref="IU2:IW2"/>
    <mergeCell ref="IU3:IW3"/>
    <mergeCell ref="IU5:IW5"/>
    <mergeCell ref="IU6:IW6"/>
    <mergeCell ref="IU7:IW7"/>
    <mergeCell ref="IU8:IW8"/>
    <mergeCell ref="IU9:IW9"/>
    <mergeCell ref="II21:IK21"/>
    <mergeCell ref="IU10:IW10"/>
    <mergeCell ref="IU11:IW11"/>
    <mergeCell ref="IU14:IW14"/>
    <mergeCell ref="JD2:JF2"/>
    <mergeCell ref="JD3:JF3"/>
    <mergeCell ref="JD5:JF5"/>
    <mergeCell ref="JD6:JF6"/>
    <mergeCell ref="JD7:JF7"/>
    <mergeCell ref="JD8:JF8"/>
    <mergeCell ref="JD9:JF9"/>
    <mergeCell ref="JD10:JF10"/>
    <mergeCell ref="JD11:JF11"/>
    <mergeCell ref="JD14:JF14"/>
    <mergeCell ref="JD15:JF15"/>
    <mergeCell ref="JD54:JF54"/>
    <mergeCell ref="JD55:JF55"/>
    <mergeCell ref="JD56:JF56"/>
    <mergeCell ref="IR16:IT16"/>
    <mergeCell ref="IR29:IT29"/>
    <mergeCell ref="IR39:IT39"/>
    <mergeCell ref="IU16:IW16"/>
    <mergeCell ref="IU29:IW29"/>
    <mergeCell ref="IX16:IZ16"/>
    <mergeCell ref="IX29:IZ29"/>
    <mergeCell ref="IX39:IZ39"/>
    <mergeCell ref="JD16:JF16"/>
    <mergeCell ref="JD29:JF29"/>
    <mergeCell ref="JD39:JF39"/>
    <mergeCell ref="JD19:JF19"/>
    <mergeCell ref="JD20:JF20"/>
    <mergeCell ref="JD21:JF21"/>
    <mergeCell ref="JD22:JF22"/>
    <mergeCell ref="JD59:JF59"/>
    <mergeCell ref="JD60:JF60"/>
    <mergeCell ref="JD36:JF36"/>
    <mergeCell ref="IX59:IZ59"/>
    <mergeCell ref="IX60:IZ60"/>
    <mergeCell ref="IU36:IW36"/>
    <mergeCell ref="II39:IK39"/>
    <mergeCell ref="II19:IK19"/>
    <mergeCell ref="II20:IK20"/>
    <mergeCell ref="JA16:JC16"/>
    <mergeCell ref="JA29:JC29"/>
    <mergeCell ref="JA39:JC39"/>
    <mergeCell ref="JA19:JC19"/>
    <mergeCell ref="JA20:JC20"/>
    <mergeCell ref="JA21:JC21"/>
    <mergeCell ref="JA22:JC22"/>
    <mergeCell ref="IX55:IZ55"/>
    <mergeCell ref="IX57:IZ57"/>
    <mergeCell ref="IX19:IZ19"/>
    <mergeCell ref="IX20:IZ20"/>
    <mergeCell ref="IX21:IZ21"/>
    <mergeCell ref="IX22:IZ22"/>
    <mergeCell ref="IX36:IZ36"/>
    <mergeCell ref="JD57:JF57"/>
    <mergeCell ref="IU56:IW56"/>
    <mergeCell ref="II60:IK60"/>
    <mergeCell ref="IL2:IN2"/>
    <mergeCell ref="IR55:IT55"/>
    <mergeCell ref="IU55:IW55"/>
    <mergeCell ref="IU57:IW57"/>
    <mergeCell ref="JA56:JC56"/>
    <mergeCell ref="JA55:JC55"/>
    <mergeCell ref="JA57:JC57"/>
    <mergeCell ref="IX56:IZ56"/>
    <mergeCell ref="IU59:IW59"/>
    <mergeCell ref="IU60:IW60"/>
    <mergeCell ref="IR20:IT20"/>
    <mergeCell ref="IR21:IT21"/>
    <mergeCell ref="IR22:IT22"/>
    <mergeCell ref="IR36:IT36"/>
    <mergeCell ref="IR56:IT56"/>
    <mergeCell ref="IR57:IT57"/>
    <mergeCell ref="IR59:IT59"/>
    <mergeCell ref="IR60:IT60"/>
    <mergeCell ref="IR54:IT54"/>
    <mergeCell ref="IU54:IW54"/>
    <mergeCell ref="JA59:JC59"/>
    <mergeCell ref="JA60:JC60"/>
    <mergeCell ref="JA36:JC36"/>
    <mergeCell ref="IX54:IZ54"/>
    <mergeCell ref="IO60:IQ60"/>
    <mergeCell ref="IR2:IT2"/>
    <mergeCell ref="IR3:IT3"/>
    <mergeCell ref="IR5:IT5"/>
    <mergeCell ref="IR6:IT6"/>
    <mergeCell ref="IR7:IT7"/>
    <mergeCell ref="IR8:IT8"/>
    <mergeCell ref="IR9:IT9"/>
    <mergeCell ref="IR10:IT10"/>
    <mergeCell ref="IR11:IT11"/>
    <mergeCell ref="IR14:IT14"/>
    <mergeCell ref="IR15:IT15"/>
    <mergeCell ref="IR19:IT19"/>
    <mergeCell ref="IL57:IN57"/>
    <mergeCell ref="IL59:IN59"/>
    <mergeCell ref="IL60:IN60"/>
    <mergeCell ref="IO2:IQ2"/>
    <mergeCell ref="IO3:IQ3"/>
    <mergeCell ref="IO5:IQ5"/>
    <mergeCell ref="IO6:IQ6"/>
    <mergeCell ref="IO7:IQ7"/>
    <mergeCell ref="IO8:IQ8"/>
    <mergeCell ref="IO9:IQ9"/>
    <mergeCell ref="IO10:IQ10"/>
    <mergeCell ref="IO11:IQ11"/>
    <mergeCell ref="IO14:IQ14"/>
    <mergeCell ref="IO15:IQ15"/>
    <mergeCell ref="IO56:IQ56"/>
    <mergeCell ref="IO57:IQ57"/>
    <mergeCell ref="IO55:IQ55"/>
    <mergeCell ref="IO16:IQ16"/>
    <mergeCell ref="IO29:IQ29"/>
    <mergeCell ref="IL3:IN3"/>
    <mergeCell ref="IL5:IN5"/>
    <mergeCell ref="IL6:IN6"/>
    <mergeCell ref="IL7:IN7"/>
    <mergeCell ref="II57:IK57"/>
    <mergeCell ref="II59:IK59"/>
    <mergeCell ref="II54:IK54"/>
    <mergeCell ref="IF29:IH29"/>
    <mergeCell ref="IF39:IH39"/>
    <mergeCell ref="IF19:IH19"/>
    <mergeCell ref="IF20:IH20"/>
    <mergeCell ref="IF21:IH21"/>
    <mergeCell ref="IF22:IH22"/>
    <mergeCell ref="IF36:IH36"/>
    <mergeCell ref="IF56:IH56"/>
    <mergeCell ref="IF57:IH57"/>
    <mergeCell ref="IF59:IH59"/>
    <mergeCell ref="II55:IK55"/>
    <mergeCell ref="IO39:IQ39"/>
    <mergeCell ref="IO19:IQ19"/>
    <mergeCell ref="IO20:IQ20"/>
    <mergeCell ref="IO21:IQ21"/>
    <mergeCell ref="IO22:IQ22"/>
    <mergeCell ref="IO36:IQ36"/>
    <mergeCell ref="IL56:IN56"/>
    <mergeCell ref="IO59:IQ59"/>
    <mergeCell ref="IL8:IN8"/>
    <mergeCell ref="IL9:IN9"/>
    <mergeCell ref="IL10:IN10"/>
    <mergeCell ref="IL11:IN11"/>
    <mergeCell ref="IL14:IN14"/>
    <mergeCell ref="IL15:IN15"/>
    <mergeCell ref="IL16:IN16"/>
    <mergeCell ref="IL29:IN29"/>
    <mergeCell ref="IL39:IN39"/>
    <mergeCell ref="IL19:IN19"/>
    <mergeCell ref="IL20:IN20"/>
    <mergeCell ref="IL21:IN21"/>
    <mergeCell ref="IL22:IN22"/>
    <mergeCell ref="IL36:IN36"/>
    <mergeCell ref="IC56:IE56"/>
    <mergeCell ref="IC11:IE11"/>
    <mergeCell ref="IC14:IE14"/>
    <mergeCell ref="IC15:IE15"/>
    <mergeCell ref="IC54:IE54"/>
    <mergeCell ref="IC19:IE19"/>
    <mergeCell ref="IC20:IE20"/>
    <mergeCell ref="IC21:IE21"/>
    <mergeCell ref="IC22:IE22"/>
    <mergeCell ref="IC36:IE36"/>
    <mergeCell ref="II56:IK56"/>
    <mergeCell ref="IC60:IE60"/>
    <mergeCell ref="IF2:IH2"/>
    <mergeCell ref="IF3:IH3"/>
    <mergeCell ref="IF5:IH5"/>
    <mergeCell ref="IF6:IH6"/>
    <mergeCell ref="IF7:IH7"/>
    <mergeCell ref="IF8:IH8"/>
    <mergeCell ref="IF9:IH9"/>
    <mergeCell ref="IF10:IH10"/>
    <mergeCell ref="IF11:IH11"/>
    <mergeCell ref="IF14:IH14"/>
    <mergeCell ref="IF15:IH15"/>
    <mergeCell ref="IF16:IH16"/>
    <mergeCell ref="IC16:IE16"/>
    <mergeCell ref="IC29:IE29"/>
    <mergeCell ref="IC39:IE39"/>
    <mergeCell ref="IC57:IE57"/>
    <mergeCell ref="IC59:IE59"/>
    <mergeCell ref="IF60:IH60"/>
    <mergeCell ref="HZ56:IB56"/>
    <mergeCell ref="HZ57:IB57"/>
    <mergeCell ref="HZ59:IB59"/>
    <mergeCell ref="HZ60:IB60"/>
    <mergeCell ref="HW36:HY36"/>
    <mergeCell ref="HW56:HY56"/>
    <mergeCell ref="HW57:HY57"/>
    <mergeCell ref="HW59:HY59"/>
    <mergeCell ref="HW60:HY60"/>
    <mergeCell ref="HZ2:IB2"/>
    <mergeCell ref="HZ3:IB3"/>
    <mergeCell ref="HZ5:IB5"/>
    <mergeCell ref="HZ6:IB6"/>
    <mergeCell ref="HZ7:IB7"/>
    <mergeCell ref="HZ8:IB8"/>
    <mergeCell ref="HZ9:IB9"/>
    <mergeCell ref="HZ10:IB10"/>
    <mergeCell ref="HZ11:IB11"/>
    <mergeCell ref="HZ14:IB14"/>
    <mergeCell ref="HZ15:IB15"/>
    <mergeCell ref="HW2:HY2"/>
    <mergeCell ref="HW3:HY3"/>
    <mergeCell ref="HW5:HY5"/>
    <mergeCell ref="HW6:HY6"/>
    <mergeCell ref="HW7:HY7"/>
    <mergeCell ref="HW8:HY8"/>
    <mergeCell ref="HW9:HY9"/>
    <mergeCell ref="HW10:HY10"/>
    <mergeCell ref="HW11:HY11"/>
    <mergeCell ref="HW14:HY14"/>
    <mergeCell ref="HW15:HY15"/>
    <mergeCell ref="HW16:HY16"/>
    <mergeCell ref="HW29:HY29"/>
    <mergeCell ref="HW39:HY39"/>
    <mergeCell ref="HW19:HY19"/>
    <mergeCell ref="HW20:HY20"/>
    <mergeCell ref="HW21:HY21"/>
    <mergeCell ref="HW22:HY22"/>
    <mergeCell ref="HN57:HP57"/>
    <mergeCell ref="HN59:HP59"/>
    <mergeCell ref="HN16:HP16"/>
    <mergeCell ref="HN29:HP29"/>
    <mergeCell ref="HN39:HP39"/>
    <mergeCell ref="HN19:HP19"/>
    <mergeCell ref="HN20:HP20"/>
    <mergeCell ref="HN21:HP21"/>
    <mergeCell ref="HN22:HP22"/>
    <mergeCell ref="HN36:HP36"/>
    <mergeCell ref="HQ57:HS57"/>
    <mergeCell ref="HQ59:HS59"/>
    <mergeCell ref="HT56:HV56"/>
    <mergeCell ref="HN40:HP40"/>
    <mergeCell ref="HW54:HY54"/>
    <mergeCell ref="HT2:HV2"/>
    <mergeCell ref="HT3:HV3"/>
    <mergeCell ref="HT5:HV5"/>
    <mergeCell ref="HT6:HV6"/>
    <mergeCell ref="HT7:HV7"/>
    <mergeCell ref="HT8:HV8"/>
    <mergeCell ref="HT9:HV9"/>
    <mergeCell ref="HT10:HV10"/>
    <mergeCell ref="HT11:HV11"/>
    <mergeCell ref="HT14:HV14"/>
    <mergeCell ref="HT15:HV15"/>
    <mergeCell ref="HT19:HV19"/>
    <mergeCell ref="HT20:HV20"/>
    <mergeCell ref="HT57:HV57"/>
    <mergeCell ref="HT59:HV59"/>
    <mergeCell ref="HT60:HV60"/>
    <mergeCell ref="HN55:HP55"/>
    <mergeCell ref="HT16:HV16"/>
    <mergeCell ref="HT29:HV29"/>
    <mergeCell ref="HT39:HV39"/>
    <mergeCell ref="HQ54:HS54"/>
    <mergeCell ref="HT54:HV54"/>
    <mergeCell ref="HN56:HP56"/>
    <mergeCell ref="HT21:HV21"/>
    <mergeCell ref="HT22:HV22"/>
    <mergeCell ref="HT36:HV36"/>
    <mergeCell ref="HN60:HP60"/>
    <mergeCell ref="HQ2:HS2"/>
    <mergeCell ref="HQ3:HS3"/>
    <mergeCell ref="HQ5:HS5"/>
    <mergeCell ref="HQ6:HS6"/>
    <mergeCell ref="HQ7:HS7"/>
    <mergeCell ref="HQ8:HS8"/>
    <mergeCell ref="HQ9:HS9"/>
    <mergeCell ref="HQ10:HS10"/>
    <mergeCell ref="HQ11:HS11"/>
    <mergeCell ref="HQ14:HS14"/>
    <mergeCell ref="HQ15:HS15"/>
    <mergeCell ref="HK56:HM56"/>
    <mergeCell ref="HK57:HM57"/>
    <mergeCell ref="HK59:HM59"/>
    <mergeCell ref="HQ56:HS56"/>
    <mergeCell ref="HQ60:HS60"/>
    <mergeCell ref="HK55:HM55"/>
    <mergeCell ref="HE57:HG57"/>
    <mergeCell ref="HE59:HG59"/>
    <mergeCell ref="HE60:HG60"/>
    <mergeCell ref="HH2:HJ2"/>
    <mergeCell ref="HH3:HJ3"/>
    <mergeCell ref="HH5:HJ5"/>
    <mergeCell ref="HH6:HJ6"/>
    <mergeCell ref="HH7:HJ7"/>
    <mergeCell ref="HH8:HJ8"/>
    <mergeCell ref="HH9:HJ9"/>
    <mergeCell ref="HH10:HJ10"/>
    <mergeCell ref="HH11:HJ11"/>
    <mergeCell ref="HH14:HJ14"/>
    <mergeCell ref="HH15:HJ15"/>
    <mergeCell ref="HH20:HJ20"/>
    <mergeCell ref="HH21:HJ21"/>
    <mergeCell ref="HH22:HJ22"/>
    <mergeCell ref="HH56:HJ56"/>
    <mergeCell ref="HH57:HJ57"/>
    <mergeCell ref="HH59:HJ59"/>
    <mergeCell ref="HH60:HJ60"/>
    <mergeCell ref="HK60:HM60"/>
    <mergeCell ref="HN2:HP2"/>
    <mergeCell ref="HN3:HP3"/>
    <mergeCell ref="HN5:HP5"/>
    <mergeCell ref="HN6:HP6"/>
    <mergeCell ref="HN7:HP7"/>
    <mergeCell ref="HN8:HP8"/>
    <mergeCell ref="HN9:HP9"/>
    <mergeCell ref="HN10:HP10"/>
    <mergeCell ref="HN11:HP11"/>
    <mergeCell ref="HN14:HP14"/>
    <mergeCell ref="HN15:HP15"/>
    <mergeCell ref="HK2:HM2"/>
    <mergeCell ref="HK3:HM3"/>
    <mergeCell ref="HK5:HM5"/>
    <mergeCell ref="HK6:HM6"/>
    <mergeCell ref="HK7:HM7"/>
    <mergeCell ref="HK8:HM8"/>
    <mergeCell ref="HK9:HM9"/>
    <mergeCell ref="HK10:HM10"/>
    <mergeCell ref="HK11:HM11"/>
    <mergeCell ref="HK14:HM14"/>
    <mergeCell ref="HK15:HM15"/>
    <mergeCell ref="HK40:HM40"/>
    <mergeCell ref="HH19:HJ19"/>
    <mergeCell ref="HH39:HJ39"/>
    <mergeCell ref="HH36:HJ36"/>
    <mergeCell ref="HK16:HM16"/>
    <mergeCell ref="HK29:HM29"/>
    <mergeCell ref="HK39:HM39"/>
    <mergeCell ref="HK19:HM19"/>
    <mergeCell ref="HE56:HG56"/>
    <mergeCell ref="GY36:HA36"/>
    <mergeCell ref="HH16:HJ16"/>
    <mergeCell ref="HH29:HJ29"/>
    <mergeCell ref="HE16:HG16"/>
    <mergeCell ref="HE29:HG29"/>
    <mergeCell ref="HE39:HG39"/>
    <mergeCell ref="HE19:HG19"/>
    <mergeCell ref="HE20:HG20"/>
    <mergeCell ref="HE21:HG21"/>
    <mergeCell ref="HE22:HG22"/>
    <mergeCell ref="HB16:HD16"/>
    <mergeCell ref="HE2:HG2"/>
    <mergeCell ref="HE3:HG3"/>
    <mergeCell ref="HE5:HG5"/>
    <mergeCell ref="HE6:HG6"/>
    <mergeCell ref="HE7:HG7"/>
    <mergeCell ref="HE8:HG8"/>
    <mergeCell ref="HE9:HG9"/>
    <mergeCell ref="HE10:HG10"/>
    <mergeCell ref="HE11:HG11"/>
    <mergeCell ref="HE14:HG14"/>
    <mergeCell ref="HE15:HG15"/>
    <mergeCell ref="HE54:HG54"/>
    <mergeCell ref="HB40:HD40"/>
    <mergeCell ref="HE40:HG40"/>
    <mergeCell ref="HE36:HG36"/>
    <mergeCell ref="HB29:HD29"/>
    <mergeCell ref="HB39:HD39"/>
    <mergeCell ref="HB19:HD19"/>
    <mergeCell ref="HB20:HD20"/>
    <mergeCell ref="GY60:HA60"/>
    <mergeCell ref="HB2:HD2"/>
    <mergeCell ref="HB3:HD3"/>
    <mergeCell ref="HB5:HD5"/>
    <mergeCell ref="HB6:HD6"/>
    <mergeCell ref="HB7:HD7"/>
    <mergeCell ref="HB8:HD8"/>
    <mergeCell ref="HB9:HD9"/>
    <mergeCell ref="HB10:HD10"/>
    <mergeCell ref="HB11:HD11"/>
    <mergeCell ref="HB14:HD14"/>
    <mergeCell ref="HB15:HD15"/>
    <mergeCell ref="GY2:HA2"/>
    <mergeCell ref="GY3:HA3"/>
    <mergeCell ref="GY5:HA5"/>
    <mergeCell ref="GY6:HA6"/>
    <mergeCell ref="GY7:HA7"/>
    <mergeCell ref="GY8:HA8"/>
    <mergeCell ref="GY9:HA9"/>
    <mergeCell ref="GY10:HA10"/>
    <mergeCell ref="HB56:HD56"/>
    <mergeCell ref="HB57:HD57"/>
    <mergeCell ref="HB59:HD59"/>
    <mergeCell ref="HB60:HD60"/>
    <mergeCell ref="GY11:HA11"/>
    <mergeCell ref="GY14:HA14"/>
    <mergeCell ref="GY15:HA15"/>
    <mergeCell ref="GY55:HA55"/>
    <mergeCell ref="GS57:GU57"/>
    <mergeCell ref="GS59:GU59"/>
    <mergeCell ref="GV40:GX40"/>
    <mergeCell ref="GY40:HA40"/>
    <mergeCell ref="GY56:HA56"/>
    <mergeCell ref="GY57:HA57"/>
    <mergeCell ref="GY59:HA59"/>
    <mergeCell ref="GS36:GU36"/>
    <mergeCell ref="GS60:GU60"/>
    <mergeCell ref="GV2:GX2"/>
    <mergeCell ref="GV3:GX3"/>
    <mergeCell ref="GV5:GX5"/>
    <mergeCell ref="GV6:GX6"/>
    <mergeCell ref="GV7:GX7"/>
    <mergeCell ref="GV8:GX8"/>
    <mergeCell ref="GV9:GX9"/>
    <mergeCell ref="GV10:GX10"/>
    <mergeCell ref="GV11:GX11"/>
    <mergeCell ref="GV14:GX14"/>
    <mergeCell ref="GV15:GX15"/>
    <mergeCell ref="GV19:GX19"/>
    <mergeCell ref="GV16:GX16"/>
    <mergeCell ref="GV29:GX29"/>
    <mergeCell ref="GV39:GX39"/>
    <mergeCell ref="GV60:GX60"/>
    <mergeCell ref="GV57:GX57"/>
    <mergeCell ref="GV59:GX59"/>
    <mergeCell ref="GS16:GU16"/>
    <mergeCell ref="GS56:GU56"/>
    <mergeCell ref="GV22:GX22"/>
    <mergeCell ref="GV36:GX36"/>
    <mergeCell ref="GV56:GX56"/>
    <mergeCell ref="GY16:HA16"/>
    <mergeCell ref="GY29:HA29"/>
    <mergeCell ref="GY39:HA39"/>
    <mergeCell ref="GY19:HA19"/>
    <mergeCell ref="GY20:HA20"/>
    <mergeCell ref="GY21:HA21"/>
    <mergeCell ref="GY22:HA22"/>
    <mergeCell ref="GY54:HA54"/>
    <mergeCell ref="GV54:GX54"/>
    <mergeCell ref="GS55:GU55"/>
    <mergeCell ref="GV55:GX55"/>
    <mergeCell ref="GS2:GU2"/>
    <mergeCell ref="GS3:GU3"/>
    <mergeCell ref="GS5:GU5"/>
    <mergeCell ref="GS6:GU6"/>
    <mergeCell ref="GS7:GU7"/>
    <mergeCell ref="GS8:GU8"/>
    <mergeCell ref="GS9:GU9"/>
    <mergeCell ref="GS10:GU10"/>
    <mergeCell ref="GS11:GU11"/>
    <mergeCell ref="GS14:GU14"/>
    <mergeCell ref="GS15:GU15"/>
    <mergeCell ref="GS13:GU13"/>
    <mergeCell ref="GS29:GU29"/>
    <mergeCell ref="GS39:GU39"/>
    <mergeCell ref="GS19:GU19"/>
    <mergeCell ref="GS20:GU20"/>
    <mergeCell ref="GS21:GU21"/>
    <mergeCell ref="GS22:GU22"/>
    <mergeCell ref="GP56:GR56"/>
    <mergeCell ref="GP16:GR16"/>
    <mergeCell ref="GP29:GR29"/>
    <mergeCell ref="GP39:GR39"/>
    <mergeCell ref="GP19:GR19"/>
    <mergeCell ref="GP20:GR20"/>
    <mergeCell ref="GP21:GR21"/>
    <mergeCell ref="GP22:GR22"/>
    <mergeCell ref="GP36:GR36"/>
    <mergeCell ref="GS54:GU54"/>
    <mergeCell ref="GP2:GR2"/>
    <mergeCell ref="GP3:GR3"/>
    <mergeCell ref="GP5:GR5"/>
    <mergeCell ref="GP6:GR6"/>
    <mergeCell ref="GP7:GR7"/>
    <mergeCell ref="GP8:GR8"/>
    <mergeCell ref="GP9:GR9"/>
    <mergeCell ref="GP10:GR10"/>
    <mergeCell ref="GP11:GR11"/>
    <mergeCell ref="GP14:GR14"/>
    <mergeCell ref="GP15:GR15"/>
    <mergeCell ref="GM54:GO54"/>
    <mergeCell ref="GP54:GR54"/>
    <mergeCell ref="GP60:GR60"/>
    <mergeCell ref="GP57:GR57"/>
    <mergeCell ref="GP59:GR59"/>
    <mergeCell ref="GM55:GO55"/>
    <mergeCell ref="GM16:GO16"/>
    <mergeCell ref="GM29:GO29"/>
    <mergeCell ref="GM39:GO39"/>
    <mergeCell ref="GM19:GO19"/>
    <mergeCell ref="GM20:GO20"/>
    <mergeCell ref="GM21:GO21"/>
    <mergeCell ref="GM22:GO22"/>
    <mergeCell ref="GJ22:GL22"/>
    <mergeCell ref="GM2:GO2"/>
    <mergeCell ref="GM3:GO3"/>
    <mergeCell ref="GM5:GO5"/>
    <mergeCell ref="GM6:GO6"/>
    <mergeCell ref="GM7:GO7"/>
    <mergeCell ref="GM8:GO8"/>
    <mergeCell ref="GM9:GO9"/>
    <mergeCell ref="GM10:GO10"/>
    <mergeCell ref="GM11:GO11"/>
    <mergeCell ref="GM14:GO14"/>
    <mergeCell ref="GM15:GO15"/>
    <mergeCell ref="GJ59:GL59"/>
    <mergeCell ref="GJ60:GL60"/>
    <mergeCell ref="GJ36:GL36"/>
    <mergeCell ref="GD57:GF57"/>
    <mergeCell ref="GJ54:GL54"/>
    <mergeCell ref="GJ16:GL16"/>
    <mergeCell ref="GD59:GF59"/>
    <mergeCell ref="GD60:GF60"/>
    <mergeCell ref="GJ55:GL55"/>
    <mergeCell ref="GJ2:GL2"/>
    <mergeCell ref="GJ3:GL3"/>
    <mergeCell ref="GJ5:GL5"/>
    <mergeCell ref="GJ6:GL6"/>
    <mergeCell ref="GJ7:GL7"/>
    <mergeCell ref="GJ8:GL8"/>
    <mergeCell ref="GJ9:GL9"/>
    <mergeCell ref="GJ10:GL10"/>
    <mergeCell ref="GJ11:GL11"/>
    <mergeCell ref="GM56:GO56"/>
    <mergeCell ref="GM57:GO57"/>
    <mergeCell ref="GM59:GO59"/>
    <mergeCell ref="GM60:GO60"/>
    <mergeCell ref="GJ14:GL14"/>
    <mergeCell ref="GJ15:GL15"/>
    <mergeCell ref="GJ29:GL29"/>
    <mergeCell ref="GJ39:GL39"/>
    <mergeCell ref="GJ19:GL19"/>
    <mergeCell ref="GJ20:GL20"/>
    <mergeCell ref="GJ21:GL21"/>
    <mergeCell ref="GJ56:GL56"/>
    <mergeCell ref="GJ57:GL57"/>
    <mergeCell ref="GG59:GI59"/>
    <mergeCell ref="GG60:GI60"/>
    <mergeCell ref="GD16:GF16"/>
    <mergeCell ref="GG57:GI57"/>
    <mergeCell ref="GD19:GF19"/>
    <mergeCell ref="GD20:GF20"/>
    <mergeCell ref="GD21:GF21"/>
    <mergeCell ref="GD22:GF22"/>
    <mergeCell ref="GG56:GI56"/>
    <mergeCell ref="GD36:GF36"/>
    <mergeCell ref="GD29:GF29"/>
    <mergeCell ref="GD39:GF39"/>
    <mergeCell ref="GD56:GF56"/>
    <mergeCell ref="GD54:GF54"/>
    <mergeCell ref="GG54:GI54"/>
    <mergeCell ref="GD58:GF58"/>
    <mergeCell ref="GG58:GI58"/>
    <mergeCell ref="GG16:GI16"/>
    <mergeCell ref="GG29:GI29"/>
    <mergeCell ref="GG39:GI39"/>
    <mergeCell ref="GG19:GI19"/>
    <mergeCell ref="GD2:GF2"/>
    <mergeCell ref="GD3:GF3"/>
    <mergeCell ref="GD5:GF5"/>
    <mergeCell ref="GD6:GF6"/>
    <mergeCell ref="GD7:GF7"/>
    <mergeCell ref="GD8:GF8"/>
    <mergeCell ref="GD9:GF9"/>
    <mergeCell ref="GD10:GF10"/>
    <mergeCell ref="GD11:GF11"/>
    <mergeCell ref="GD14:GF14"/>
    <mergeCell ref="GD15:GF15"/>
    <mergeCell ref="GG2:GI2"/>
    <mergeCell ref="GG3:GI3"/>
    <mergeCell ref="GG5:GI5"/>
    <mergeCell ref="GG6:GI6"/>
    <mergeCell ref="GG7:GI7"/>
    <mergeCell ref="GG8:GI8"/>
    <mergeCell ref="GG9:GI9"/>
    <mergeCell ref="GG10:GI10"/>
    <mergeCell ref="GG11:GI11"/>
    <mergeCell ref="GG14:GI14"/>
    <mergeCell ref="GG15:GI15"/>
    <mergeCell ref="GG20:GI20"/>
    <mergeCell ref="GG21:GI21"/>
    <mergeCell ref="GG22:GI22"/>
    <mergeCell ref="GG36:GI36"/>
    <mergeCell ref="GA16:GC16"/>
    <mergeCell ref="GA29:GC29"/>
    <mergeCell ref="GA39:GC39"/>
    <mergeCell ref="GA19:GC19"/>
    <mergeCell ref="GA20:GC20"/>
    <mergeCell ref="GA21:GC21"/>
    <mergeCell ref="GA22:GC22"/>
    <mergeCell ref="GA36:GC36"/>
    <mergeCell ref="FX56:FZ56"/>
    <mergeCell ref="FX57:FZ57"/>
    <mergeCell ref="FX59:FZ59"/>
    <mergeCell ref="FX60:FZ60"/>
    <mergeCell ref="GA2:GC2"/>
    <mergeCell ref="GA3:GC3"/>
    <mergeCell ref="GA5:GC5"/>
    <mergeCell ref="GA6:GC6"/>
    <mergeCell ref="GA7:GC7"/>
    <mergeCell ref="GA8:GC8"/>
    <mergeCell ref="GA9:GC9"/>
    <mergeCell ref="GA10:GC10"/>
    <mergeCell ref="GA11:GC11"/>
    <mergeCell ref="GA14:GC14"/>
    <mergeCell ref="GA15:GC15"/>
    <mergeCell ref="GA56:GC56"/>
    <mergeCell ref="GA57:GC57"/>
    <mergeCell ref="GA59:GC59"/>
    <mergeCell ref="GA60:GC60"/>
    <mergeCell ref="FU57:FW57"/>
    <mergeCell ref="FU59:FW59"/>
    <mergeCell ref="FU60:FW60"/>
    <mergeCell ref="FX2:FZ2"/>
    <mergeCell ref="FX3:FZ3"/>
    <mergeCell ref="FX5:FZ5"/>
    <mergeCell ref="FX6:FZ6"/>
    <mergeCell ref="FX7:FZ7"/>
    <mergeCell ref="FX8:FZ8"/>
    <mergeCell ref="FX9:FZ9"/>
    <mergeCell ref="FX10:FZ10"/>
    <mergeCell ref="FX11:FZ11"/>
    <mergeCell ref="FX14:FZ14"/>
    <mergeCell ref="FX15:FZ15"/>
    <mergeCell ref="FX16:FZ16"/>
    <mergeCell ref="FX29:FZ29"/>
    <mergeCell ref="FX39:FZ39"/>
    <mergeCell ref="FX19:FZ19"/>
    <mergeCell ref="FX20:FZ20"/>
    <mergeCell ref="FX21:FZ21"/>
    <mergeCell ref="FX22:FZ22"/>
    <mergeCell ref="FX36:FZ36"/>
    <mergeCell ref="FU16:FW16"/>
    <mergeCell ref="FU29:FW29"/>
    <mergeCell ref="FU39:FW39"/>
    <mergeCell ref="FU19:FW19"/>
    <mergeCell ref="FU20:FW20"/>
    <mergeCell ref="FU21:FW21"/>
    <mergeCell ref="FU22:FW22"/>
    <mergeCell ref="FU36:FW36"/>
    <mergeCell ref="FU54:FW54"/>
    <mergeCell ref="FO16:FQ16"/>
    <mergeCell ref="FO29:FQ29"/>
    <mergeCell ref="FO39:FQ39"/>
    <mergeCell ref="FO19:FQ19"/>
    <mergeCell ref="FO20:FQ20"/>
    <mergeCell ref="FO21:FQ21"/>
    <mergeCell ref="FO22:FQ22"/>
    <mergeCell ref="FO36:FQ36"/>
    <mergeCell ref="FR56:FT56"/>
    <mergeCell ref="FR57:FT57"/>
    <mergeCell ref="FR59:FT59"/>
    <mergeCell ref="FR60:FT60"/>
    <mergeCell ref="FU2:FW2"/>
    <mergeCell ref="FU3:FW3"/>
    <mergeCell ref="FU5:FW5"/>
    <mergeCell ref="FU6:FW6"/>
    <mergeCell ref="FU7:FW7"/>
    <mergeCell ref="FU8:FW8"/>
    <mergeCell ref="FU9:FW9"/>
    <mergeCell ref="FU10:FW10"/>
    <mergeCell ref="FU11:FW11"/>
    <mergeCell ref="FU14:FW14"/>
    <mergeCell ref="FU15:FW15"/>
    <mergeCell ref="FU56:FW56"/>
    <mergeCell ref="FR2:FT2"/>
    <mergeCell ref="FR3:FT3"/>
    <mergeCell ref="FR54:FT54"/>
    <mergeCell ref="FR5:FT5"/>
    <mergeCell ref="FR6:FT6"/>
    <mergeCell ref="FR7:FT7"/>
    <mergeCell ref="FR8:FT8"/>
    <mergeCell ref="FR9:FT9"/>
    <mergeCell ref="FR10:FT10"/>
    <mergeCell ref="FR11:FT11"/>
    <mergeCell ref="FR14:FT14"/>
    <mergeCell ref="FR15:FT15"/>
    <mergeCell ref="FR16:FT16"/>
    <mergeCell ref="FR29:FT29"/>
    <mergeCell ref="FR39:FT39"/>
    <mergeCell ref="FR19:FT19"/>
    <mergeCell ref="FR20:FT20"/>
    <mergeCell ref="FR21:FT21"/>
    <mergeCell ref="FR22:FT22"/>
    <mergeCell ref="FR36:FT36"/>
    <mergeCell ref="FL56:FN56"/>
    <mergeCell ref="FL59:FN59"/>
    <mergeCell ref="FL60:FN60"/>
    <mergeCell ref="FO2:FQ2"/>
    <mergeCell ref="FO5:FQ5"/>
    <mergeCell ref="FO6:FQ6"/>
    <mergeCell ref="FO7:FQ7"/>
    <mergeCell ref="FO8:FQ8"/>
    <mergeCell ref="FO9:FQ9"/>
    <mergeCell ref="FO10:FQ10"/>
    <mergeCell ref="FO11:FQ11"/>
    <mergeCell ref="FO14:FQ14"/>
    <mergeCell ref="FO15:FQ15"/>
    <mergeCell ref="FO56:FQ56"/>
    <mergeCell ref="FO57:FQ57"/>
    <mergeCell ref="FO59:FQ59"/>
    <mergeCell ref="FO60:FQ60"/>
    <mergeCell ref="FL2:FN2"/>
    <mergeCell ref="FL5:FN5"/>
    <mergeCell ref="FL6:FN6"/>
    <mergeCell ref="FL7:FN7"/>
    <mergeCell ref="FL8:FN8"/>
    <mergeCell ref="FL9:FN9"/>
    <mergeCell ref="FL10:FN10"/>
    <mergeCell ref="FL11:FN11"/>
    <mergeCell ref="FL14:FN14"/>
    <mergeCell ref="FL15:FN15"/>
    <mergeCell ref="FI57:FK57"/>
    <mergeCell ref="FL16:FN16"/>
    <mergeCell ref="FL29:FN29"/>
    <mergeCell ref="FL39:FN39"/>
    <mergeCell ref="FL19:FN19"/>
    <mergeCell ref="FL20:FN20"/>
    <mergeCell ref="FL21:FN21"/>
    <mergeCell ref="FL22:FN22"/>
    <mergeCell ref="FL36:FN36"/>
    <mergeCell ref="FI16:FK16"/>
    <mergeCell ref="FI29:FK29"/>
    <mergeCell ref="FI39:FK39"/>
    <mergeCell ref="FI19:FK19"/>
    <mergeCell ref="FI20:FK20"/>
    <mergeCell ref="FI21:FK21"/>
    <mergeCell ref="FI22:FK22"/>
    <mergeCell ref="FI36:FK36"/>
    <mergeCell ref="FF21:FH21"/>
    <mergeCell ref="FF22:FH22"/>
    <mergeCell ref="FF36:FH36"/>
    <mergeCell ref="FF56:FH56"/>
    <mergeCell ref="FF57:FH57"/>
    <mergeCell ref="FF59:FH59"/>
    <mergeCell ref="FF60:FH60"/>
    <mergeCell ref="FI2:FK2"/>
    <mergeCell ref="FI5:FK5"/>
    <mergeCell ref="FI6:FK6"/>
    <mergeCell ref="FI7:FK7"/>
    <mergeCell ref="FI8:FK8"/>
    <mergeCell ref="FI9:FK9"/>
    <mergeCell ref="FI10:FK10"/>
    <mergeCell ref="FI11:FK11"/>
    <mergeCell ref="FI14:FK14"/>
    <mergeCell ref="FI15:FK15"/>
    <mergeCell ref="FI56:FK56"/>
    <mergeCell ref="FI59:FK59"/>
    <mergeCell ref="FI60:FK60"/>
    <mergeCell ref="FI3:FK3"/>
    <mergeCell ref="FL3:FN3"/>
    <mergeCell ref="FF58:FH58"/>
    <mergeCell ref="FI58:FK58"/>
    <mergeCell ref="FL58:FN58"/>
    <mergeCell ref="FF16:FH16"/>
    <mergeCell ref="FF29:FH29"/>
    <mergeCell ref="FF39:FH39"/>
    <mergeCell ref="FF19:FH19"/>
    <mergeCell ref="FF20:FH20"/>
    <mergeCell ref="FF2:FH2"/>
    <mergeCell ref="FF5:FH5"/>
    <mergeCell ref="FF6:FH6"/>
    <mergeCell ref="FF7:FH7"/>
    <mergeCell ref="FF8:FH8"/>
    <mergeCell ref="FF9:FH9"/>
    <mergeCell ref="FF10:FH10"/>
    <mergeCell ref="FF11:FH11"/>
    <mergeCell ref="FF14:FH14"/>
    <mergeCell ref="FF15:FH15"/>
    <mergeCell ref="FF3:FH3"/>
    <mergeCell ref="FC59:FE59"/>
    <mergeCell ref="FC60:FE60"/>
    <mergeCell ref="FC16:FE16"/>
    <mergeCell ref="FC29:FE29"/>
    <mergeCell ref="FC39:FE39"/>
    <mergeCell ref="FC19:FE19"/>
    <mergeCell ref="FC20:FE20"/>
    <mergeCell ref="FC21:FE21"/>
    <mergeCell ref="FC22:FE22"/>
    <mergeCell ref="FC36:FE36"/>
    <mergeCell ref="FC56:FE56"/>
    <mergeCell ref="FC58:FE58"/>
    <mergeCell ref="EW59:EY59"/>
    <mergeCell ref="EW60:EY60"/>
    <mergeCell ref="EZ2:FB2"/>
    <mergeCell ref="EZ3:FB3"/>
    <mergeCell ref="EZ5:FB5"/>
    <mergeCell ref="EZ6:FB6"/>
    <mergeCell ref="EZ7:FB7"/>
    <mergeCell ref="EZ8:FB8"/>
    <mergeCell ref="EZ9:FB9"/>
    <mergeCell ref="EZ10:FB10"/>
    <mergeCell ref="EZ11:FB11"/>
    <mergeCell ref="EZ14:FB14"/>
    <mergeCell ref="EZ15:FB15"/>
    <mergeCell ref="EZ16:FB16"/>
    <mergeCell ref="EZ29:FB29"/>
    <mergeCell ref="EZ39:FB39"/>
    <mergeCell ref="EZ19:FB19"/>
    <mergeCell ref="EZ20:FB20"/>
    <mergeCell ref="EZ21:FB21"/>
    <mergeCell ref="EZ22:FB22"/>
    <mergeCell ref="EZ36:FB36"/>
    <mergeCell ref="EZ56:FB56"/>
    <mergeCell ref="EZ57:FB57"/>
    <mergeCell ref="EZ59:FB59"/>
    <mergeCell ref="EZ60:FB60"/>
    <mergeCell ref="EW56:EY56"/>
    <mergeCell ref="EW57:EY57"/>
    <mergeCell ref="EZ58:FB58"/>
    <mergeCell ref="FC2:FE2"/>
    <mergeCell ref="FC3:FE3"/>
    <mergeCell ref="FC5:FE5"/>
    <mergeCell ref="FC6:FE6"/>
    <mergeCell ref="FC7:FE7"/>
    <mergeCell ref="FC8:FE8"/>
    <mergeCell ref="EQ57:ES57"/>
    <mergeCell ref="ET16:EV16"/>
    <mergeCell ref="ET29:EV29"/>
    <mergeCell ref="ET39:EV39"/>
    <mergeCell ref="ET19:EV19"/>
    <mergeCell ref="ET20:EV20"/>
    <mergeCell ref="ET21:EV21"/>
    <mergeCell ref="ET22:EV22"/>
    <mergeCell ref="ET36:EV36"/>
    <mergeCell ref="EQ56:ES56"/>
    <mergeCell ref="EQ29:ES29"/>
    <mergeCell ref="EQ39:ES39"/>
    <mergeCell ref="EQ19:ES19"/>
    <mergeCell ref="EQ20:ES20"/>
    <mergeCell ref="EQ21:ES21"/>
    <mergeCell ref="EQ22:ES22"/>
    <mergeCell ref="EQ36:ES36"/>
    <mergeCell ref="EQ16:ES16"/>
    <mergeCell ref="FC9:FE9"/>
    <mergeCell ref="FC10:FE10"/>
    <mergeCell ref="FC11:FE11"/>
    <mergeCell ref="FC14:FE14"/>
    <mergeCell ref="FC15:FE15"/>
    <mergeCell ref="FC57:FE57"/>
    <mergeCell ref="EQ59:ES59"/>
    <mergeCell ref="EQ60:ES60"/>
    <mergeCell ref="ET56:EV56"/>
    <mergeCell ref="ET57:EV57"/>
    <mergeCell ref="ET59:EV59"/>
    <mergeCell ref="ET60:EV60"/>
    <mergeCell ref="EW2:EY2"/>
    <mergeCell ref="EW3:EY3"/>
    <mergeCell ref="EW5:EY5"/>
    <mergeCell ref="EW6:EY6"/>
    <mergeCell ref="EW7:EY7"/>
    <mergeCell ref="EW8:EY8"/>
    <mergeCell ref="EW9:EY9"/>
    <mergeCell ref="EW10:EY10"/>
    <mergeCell ref="EW11:EY11"/>
    <mergeCell ref="EW14:EY14"/>
    <mergeCell ref="EW15:EY15"/>
    <mergeCell ref="ET2:EV2"/>
    <mergeCell ref="ET3:EV3"/>
    <mergeCell ref="ET5:EV5"/>
    <mergeCell ref="ET6:EV6"/>
    <mergeCell ref="ET7:EV7"/>
    <mergeCell ref="ET8:EV8"/>
    <mergeCell ref="ET9:EV9"/>
    <mergeCell ref="ET10:EV10"/>
    <mergeCell ref="ET11:EV11"/>
    <mergeCell ref="ET14:EV14"/>
    <mergeCell ref="ET15:EV15"/>
    <mergeCell ref="EW16:EY16"/>
    <mergeCell ref="EW29:EY29"/>
    <mergeCell ref="EW39:EY39"/>
    <mergeCell ref="EW19:EY19"/>
    <mergeCell ref="EW20:EY20"/>
    <mergeCell ref="EW21:EY21"/>
    <mergeCell ref="EW22:EY22"/>
    <mergeCell ref="EW36:EY36"/>
    <mergeCell ref="EQ58:ES58"/>
    <mergeCell ref="ET58:EV58"/>
    <mergeCell ref="EW58:EY58"/>
    <mergeCell ref="EN57:EP57"/>
    <mergeCell ref="EN59:EP59"/>
    <mergeCell ref="EN60:EP60"/>
    <mergeCell ref="EK16:EM16"/>
    <mergeCell ref="EK29:EM29"/>
    <mergeCell ref="EQ2:ES2"/>
    <mergeCell ref="EQ3:ES3"/>
    <mergeCell ref="EQ5:ES5"/>
    <mergeCell ref="EQ6:ES6"/>
    <mergeCell ref="EQ7:ES7"/>
    <mergeCell ref="EQ8:ES8"/>
    <mergeCell ref="EQ9:ES9"/>
    <mergeCell ref="EQ10:ES10"/>
    <mergeCell ref="EQ11:ES11"/>
    <mergeCell ref="EQ14:ES14"/>
    <mergeCell ref="EQ15:ES15"/>
    <mergeCell ref="EK39:EM39"/>
    <mergeCell ref="EK19:EM19"/>
    <mergeCell ref="EK20:EM20"/>
    <mergeCell ref="EK21:EM21"/>
    <mergeCell ref="EK22:EM22"/>
    <mergeCell ref="EK36:EM36"/>
    <mergeCell ref="EN22:EP22"/>
    <mergeCell ref="EN36:EP36"/>
    <mergeCell ref="EN16:EP16"/>
    <mergeCell ref="EN29:EP29"/>
    <mergeCell ref="EN2:EP2"/>
    <mergeCell ref="EN3:EP3"/>
    <mergeCell ref="EN5:EP5"/>
    <mergeCell ref="EN6:EP6"/>
    <mergeCell ref="EN7:EP7"/>
    <mergeCell ref="EN8:EP8"/>
    <mergeCell ref="EN9:EP9"/>
    <mergeCell ref="EN10:EP10"/>
    <mergeCell ref="EN11:EP11"/>
    <mergeCell ref="EN14:EP14"/>
    <mergeCell ref="EN15:EP15"/>
    <mergeCell ref="EN56:EP56"/>
    <mergeCell ref="EN39:EP39"/>
    <mergeCell ref="EN19:EP19"/>
    <mergeCell ref="EN20:EP20"/>
    <mergeCell ref="EN21:EP21"/>
    <mergeCell ref="EH10:EJ10"/>
    <mergeCell ref="EH11:EJ11"/>
    <mergeCell ref="EH14:EJ14"/>
    <mergeCell ref="EH15:EJ15"/>
    <mergeCell ref="EH56:EJ56"/>
    <mergeCell ref="EH57:EJ57"/>
    <mergeCell ref="EH59:EJ59"/>
    <mergeCell ref="EE59:EG59"/>
    <mergeCell ref="EH60:EJ60"/>
    <mergeCell ref="EK2:EM2"/>
    <mergeCell ref="EK3:EM3"/>
    <mergeCell ref="EK5:EM5"/>
    <mergeCell ref="EK6:EM6"/>
    <mergeCell ref="EK7:EM7"/>
    <mergeCell ref="EK8:EM8"/>
    <mergeCell ref="EK9:EM9"/>
    <mergeCell ref="EK10:EM10"/>
    <mergeCell ref="EK11:EM11"/>
    <mergeCell ref="EK14:EM14"/>
    <mergeCell ref="EK15:EM15"/>
    <mergeCell ref="EK56:EM56"/>
    <mergeCell ref="EK57:EM57"/>
    <mergeCell ref="EE60:EG60"/>
    <mergeCell ref="EH2:EJ2"/>
    <mergeCell ref="EH3:EJ3"/>
    <mergeCell ref="EH5:EJ5"/>
    <mergeCell ref="EH6:EJ6"/>
    <mergeCell ref="EH7:EJ7"/>
    <mergeCell ref="EH8:EJ8"/>
    <mergeCell ref="EH9:EJ9"/>
    <mergeCell ref="EK59:EM59"/>
    <mergeCell ref="EK60:EM60"/>
    <mergeCell ref="EB16:ED16"/>
    <mergeCell ref="EB29:ED29"/>
    <mergeCell ref="EB39:ED39"/>
    <mergeCell ref="EB19:ED19"/>
    <mergeCell ref="EB20:ED20"/>
    <mergeCell ref="EB21:ED21"/>
    <mergeCell ref="EB22:ED22"/>
    <mergeCell ref="EB36:ED36"/>
    <mergeCell ref="EB54:ED54"/>
    <mergeCell ref="EH16:EJ16"/>
    <mergeCell ref="EH29:EJ29"/>
    <mergeCell ref="EH39:EJ39"/>
    <mergeCell ref="EH19:EJ19"/>
    <mergeCell ref="EH20:EJ20"/>
    <mergeCell ref="EH21:EJ21"/>
    <mergeCell ref="EE16:EG16"/>
    <mergeCell ref="EE29:EG29"/>
    <mergeCell ref="EE39:EG39"/>
    <mergeCell ref="EE19:EG19"/>
    <mergeCell ref="EE20:EG20"/>
    <mergeCell ref="EE21:EG21"/>
    <mergeCell ref="EH22:EJ22"/>
    <mergeCell ref="DY59:EA59"/>
    <mergeCell ref="DY60:EA60"/>
    <mergeCell ref="EB2:ED2"/>
    <mergeCell ref="EB3:ED3"/>
    <mergeCell ref="EB5:ED5"/>
    <mergeCell ref="EB6:ED6"/>
    <mergeCell ref="EB7:ED7"/>
    <mergeCell ref="EB8:ED8"/>
    <mergeCell ref="EB9:ED9"/>
    <mergeCell ref="EB10:ED10"/>
    <mergeCell ref="EB11:ED11"/>
    <mergeCell ref="EB14:ED14"/>
    <mergeCell ref="EB15:ED15"/>
    <mergeCell ref="EB60:ED60"/>
    <mergeCell ref="EB56:ED56"/>
    <mergeCell ref="EB57:ED57"/>
    <mergeCell ref="EB59:ED59"/>
    <mergeCell ref="DV59:DX59"/>
    <mergeCell ref="EE2:EG2"/>
    <mergeCell ref="EE3:EG3"/>
    <mergeCell ref="EE5:EG5"/>
    <mergeCell ref="EE6:EG6"/>
    <mergeCell ref="EE7:EG7"/>
    <mergeCell ref="EE8:EG8"/>
    <mergeCell ref="EE9:EG9"/>
    <mergeCell ref="EE10:EG10"/>
    <mergeCell ref="EE11:EG11"/>
    <mergeCell ref="EE14:EG14"/>
    <mergeCell ref="EE15:EG15"/>
    <mergeCell ref="EE22:EG22"/>
    <mergeCell ref="EE36:EG36"/>
    <mergeCell ref="EE56:EG56"/>
    <mergeCell ref="EE57:EG57"/>
    <mergeCell ref="DV56:DX56"/>
    <mergeCell ref="DV60:DX60"/>
    <mergeCell ref="DY2:EA2"/>
    <mergeCell ref="DY3:EA3"/>
    <mergeCell ref="DY5:EA5"/>
    <mergeCell ref="DY6:EA6"/>
    <mergeCell ref="DY7:EA7"/>
    <mergeCell ref="DY8:EA8"/>
    <mergeCell ref="DY9:EA9"/>
    <mergeCell ref="DY10:EA10"/>
    <mergeCell ref="DY11:EA11"/>
    <mergeCell ref="DY14:EA14"/>
    <mergeCell ref="DY15:EA15"/>
    <mergeCell ref="DY16:EA16"/>
    <mergeCell ref="DY29:EA29"/>
    <mergeCell ref="DY39:EA39"/>
    <mergeCell ref="DY19:EA19"/>
    <mergeCell ref="DY20:EA20"/>
    <mergeCell ref="DY21:EA21"/>
    <mergeCell ref="DY22:EA22"/>
    <mergeCell ref="DY36:EA36"/>
    <mergeCell ref="DV16:DX16"/>
    <mergeCell ref="DV29:DX29"/>
    <mergeCell ref="DV39:DX39"/>
    <mergeCell ref="DV19:DX19"/>
    <mergeCell ref="DV20:DX20"/>
    <mergeCell ref="DV21:DX21"/>
    <mergeCell ref="DV22:DX22"/>
    <mergeCell ref="DV36:DX36"/>
    <mergeCell ref="DV2:DX2"/>
    <mergeCell ref="DV3:DX3"/>
    <mergeCell ref="DV5:DX5"/>
    <mergeCell ref="DY56:EA56"/>
    <mergeCell ref="DY57:EA57"/>
    <mergeCell ref="DV6:DX6"/>
    <mergeCell ref="DV7:DX7"/>
    <mergeCell ref="DV8:DX8"/>
    <mergeCell ref="DV9:DX9"/>
    <mergeCell ref="DV10:DX10"/>
    <mergeCell ref="DV11:DX11"/>
    <mergeCell ref="DV14:DX14"/>
    <mergeCell ref="DV15:DX15"/>
    <mergeCell ref="F55:H55"/>
    <mergeCell ref="I55:K55"/>
    <mergeCell ref="F58:H58"/>
    <mergeCell ref="L60:N60"/>
    <mergeCell ref="AD56:AF56"/>
    <mergeCell ref="AD57:AF57"/>
    <mergeCell ref="AD59:AF59"/>
    <mergeCell ref="AD60:AF60"/>
    <mergeCell ref="AA56:AC56"/>
    <mergeCell ref="AA57:AC57"/>
    <mergeCell ref="AA59:AC59"/>
    <mergeCell ref="AA60:AC60"/>
    <mergeCell ref="AV57:AX57"/>
    <mergeCell ref="AV59:AX59"/>
    <mergeCell ref="AV60:AX60"/>
    <mergeCell ref="AS60:AU60"/>
    <mergeCell ref="AP56:AR56"/>
    <mergeCell ref="AP57:AR57"/>
    <mergeCell ref="AP59:AR59"/>
    <mergeCell ref="AP60:AR60"/>
    <mergeCell ref="AM56:AO56"/>
    <mergeCell ref="AM57:AO57"/>
    <mergeCell ref="AM59:AO59"/>
    <mergeCell ref="AM60:AO60"/>
    <mergeCell ref="AJ56:AL56"/>
    <mergeCell ref="AJ57:AL57"/>
    <mergeCell ref="AJ59:AL59"/>
    <mergeCell ref="AJ60:AL60"/>
    <mergeCell ref="AG56:AI56"/>
    <mergeCell ref="AG57:AI57"/>
    <mergeCell ref="AG59:AI59"/>
    <mergeCell ref="AG60:AI60"/>
    <mergeCell ref="CI57:CK57"/>
    <mergeCell ref="CI59:CK59"/>
    <mergeCell ref="CI60:CK60"/>
    <mergeCell ref="CF56:CH56"/>
    <mergeCell ref="CF57:CH57"/>
    <mergeCell ref="CF59:CH59"/>
    <mergeCell ref="CF60:CH60"/>
    <mergeCell ref="CC56:CE56"/>
    <mergeCell ref="CC57:CE57"/>
    <mergeCell ref="CC59:CE59"/>
    <mergeCell ref="CC60:CE60"/>
    <mergeCell ref="BZ56:CB56"/>
    <mergeCell ref="BZ60:CB60"/>
    <mergeCell ref="BW60:BY60"/>
    <mergeCell ref="BT56:BV56"/>
    <mergeCell ref="I56:K56"/>
    <mergeCell ref="I57:K57"/>
    <mergeCell ref="I59:K59"/>
    <mergeCell ref="I60:K60"/>
    <mergeCell ref="F56:H56"/>
    <mergeCell ref="F57:H57"/>
    <mergeCell ref="F59:H59"/>
    <mergeCell ref="F60:H60"/>
    <mergeCell ref="X56:Z56"/>
    <mergeCell ref="X57:Z57"/>
    <mergeCell ref="X59:Z59"/>
    <mergeCell ref="X60:Z60"/>
    <mergeCell ref="U56:W56"/>
    <mergeCell ref="U57:W57"/>
    <mergeCell ref="U59:W59"/>
    <mergeCell ref="U60:W60"/>
    <mergeCell ref="R56:T56"/>
    <mergeCell ref="R57:T57"/>
    <mergeCell ref="R59:T59"/>
    <mergeCell ref="R60:T60"/>
    <mergeCell ref="O60:Q60"/>
    <mergeCell ref="DA59:DC59"/>
    <mergeCell ref="CL56:CN56"/>
    <mergeCell ref="CL57:CN57"/>
    <mergeCell ref="CL59:CN59"/>
    <mergeCell ref="BW56:BY56"/>
    <mergeCell ref="BW57:BY57"/>
    <mergeCell ref="BW59:BY59"/>
    <mergeCell ref="BH56:BJ56"/>
    <mergeCell ref="BH57:BJ57"/>
    <mergeCell ref="BH59:BJ59"/>
    <mergeCell ref="O56:Q56"/>
    <mergeCell ref="O57:Q57"/>
    <mergeCell ref="O59:Q59"/>
    <mergeCell ref="L56:N56"/>
    <mergeCell ref="L57:N57"/>
    <mergeCell ref="AS56:AU56"/>
    <mergeCell ref="AS57:AU57"/>
    <mergeCell ref="AS59:AU59"/>
    <mergeCell ref="L59:N59"/>
    <mergeCell ref="DS39:DU39"/>
    <mergeCell ref="DS19:DU19"/>
    <mergeCell ref="DS20:DU20"/>
    <mergeCell ref="DS21:DU21"/>
    <mergeCell ref="DS22:DU22"/>
    <mergeCell ref="BT57:BV57"/>
    <mergeCell ref="BT59:BV59"/>
    <mergeCell ref="BT60:BV60"/>
    <mergeCell ref="BQ56:BS56"/>
    <mergeCell ref="BQ57:BS57"/>
    <mergeCell ref="BQ59:BS59"/>
    <mergeCell ref="BQ60:BS60"/>
    <mergeCell ref="BN56:BP56"/>
    <mergeCell ref="BN57:BP57"/>
    <mergeCell ref="BN59:BP59"/>
    <mergeCell ref="BN60:BP60"/>
    <mergeCell ref="BK56:BM56"/>
    <mergeCell ref="BK57:BM57"/>
    <mergeCell ref="BK59:BM59"/>
    <mergeCell ref="BK60:BM60"/>
    <mergeCell ref="BH60:BJ60"/>
    <mergeCell ref="DP56:DR56"/>
    <mergeCell ref="DP57:DR57"/>
    <mergeCell ref="DP59:DR59"/>
    <mergeCell ref="DA56:DC56"/>
    <mergeCell ref="DA57:DC57"/>
    <mergeCell ref="DS56:DU56"/>
    <mergeCell ref="DS57:DU57"/>
    <mergeCell ref="DS59:DU59"/>
    <mergeCell ref="DS60:DU60"/>
    <mergeCell ref="CO55:CQ55"/>
    <mergeCell ref="CR55:CT55"/>
    <mergeCell ref="CU55:CW55"/>
    <mergeCell ref="CX55:CZ55"/>
    <mergeCell ref="DA55:DC55"/>
    <mergeCell ref="DP55:DR55"/>
    <mergeCell ref="DJ55:DL55"/>
    <mergeCell ref="DG55:DI55"/>
    <mergeCell ref="DD55:DF55"/>
    <mergeCell ref="DD58:DF58"/>
    <mergeCell ref="DG58:DI58"/>
    <mergeCell ref="DJ58:DL58"/>
    <mergeCell ref="DM58:DO58"/>
    <mergeCell ref="DP58:DR58"/>
    <mergeCell ref="CL60:CN60"/>
    <mergeCell ref="CI56:CK56"/>
    <mergeCell ref="R22:T22"/>
    <mergeCell ref="U22:W22"/>
    <mergeCell ref="DM20:DO20"/>
    <mergeCell ref="DM21:DO21"/>
    <mergeCell ref="DM22:DO22"/>
    <mergeCell ref="DM36:DO36"/>
    <mergeCell ref="BZ57:CB57"/>
    <mergeCell ref="BZ59:CB59"/>
    <mergeCell ref="DP21:DR21"/>
    <mergeCell ref="DP22:DR22"/>
    <mergeCell ref="DP36:DR36"/>
    <mergeCell ref="CR56:CT56"/>
    <mergeCell ref="CR57:CT57"/>
    <mergeCell ref="CR59:CT59"/>
    <mergeCell ref="CR60:CT60"/>
    <mergeCell ref="CO56:CQ56"/>
    <mergeCell ref="CO57:CQ57"/>
    <mergeCell ref="CO59:CQ59"/>
    <mergeCell ref="CO60:CQ60"/>
    <mergeCell ref="DP20:DR20"/>
    <mergeCell ref="CU29:CW29"/>
    <mergeCell ref="CR22:CT22"/>
    <mergeCell ref="CR36:CT36"/>
    <mergeCell ref="CL29:CN29"/>
    <mergeCell ref="CI20:CK20"/>
    <mergeCell ref="CI21:CK21"/>
    <mergeCell ref="CI22:CK22"/>
    <mergeCell ref="BW21:BY21"/>
    <mergeCell ref="BW22:BY22"/>
    <mergeCell ref="BW36:BY36"/>
    <mergeCell ref="DS2:DU2"/>
    <mergeCell ref="DS3:DU3"/>
    <mergeCell ref="DS5:DU5"/>
    <mergeCell ref="DS6:DU6"/>
    <mergeCell ref="DS7:DU7"/>
    <mergeCell ref="DS8:DU8"/>
    <mergeCell ref="DS9:DU9"/>
    <mergeCell ref="DS10:DU10"/>
    <mergeCell ref="DS11:DU11"/>
    <mergeCell ref="DS14:DU14"/>
    <mergeCell ref="DS15:DU15"/>
    <mergeCell ref="BE56:BG56"/>
    <mergeCell ref="BE57:BG57"/>
    <mergeCell ref="BE59:BG59"/>
    <mergeCell ref="BE60:BG60"/>
    <mergeCell ref="BB56:BD56"/>
    <mergeCell ref="BB57:BD57"/>
    <mergeCell ref="BB59:BD59"/>
    <mergeCell ref="BB60:BD60"/>
    <mergeCell ref="AY56:BA56"/>
    <mergeCell ref="AY57:BA57"/>
    <mergeCell ref="AY59:BA59"/>
    <mergeCell ref="AY60:BA60"/>
    <mergeCell ref="AV56:AX56"/>
    <mergeCell ref="DS16:DU16"/>
    <mergeCell ref="DS29:DU29"/>
    <mergeCell ref="DP60:DR60"/>
    <mergeCell ref="DM56:DO56"/>
    <mergeCell ref="DM57:DO57"/>
    <mergeCell ref="DM59:DO59"/>
    <mergeCell ref="DM60:DO60"/>
    <mergeCell ref="DJ56:DL56"/>
    <mergeCell ref="DJ57:DL57"/>
    <mergeCell ref="DJ59:DL59"/>
    <mergeCell ref="DJ60:DL60"/>
    <mergeCell ref="DG56:DI56"/>
    <mergeCell ref="DG57:DI57"/>
    <mergeCell ref="DG59:DI59"/>
    <mergeCell ref="DG60:DI60"/>
    <mergeCell ref="DD56:DF56"/>
    <mergeCell ref="DD57:DF57"/>
    <mergeCell ref="DD59:DF59"/>
    <mergeCell ref="DD60:DF60"/>
    <mergeCell ref="DA60:DC60"/>
    <mergeCell ref="CX56:CZ56"/>
    <mergeCell ref="CX57:CZ57"/>
    <mergeCell ref="CX59:CZ59"/>
    <mergeCell ref="CX60:CZ60"/>
    <mergeCell ref="CU56:CW56"/>
    <mergeCell ref="CU57:CW57"/>
    <mergeCell ref="CU59:CW59"/>
    <mergeCell ref="CU60:CW60"/>
    <mergeCell ref="B53:D53"/>
    <mergeCell ref="BZ36:CB36"/>
    <mergeCell ref="BZ39:CB39"/>
    <mergeCell ref="CC22:CE22"/>
    <mergeCell ref="CC36:CE36"/>
    <mergeCell ref="BZ29:CB29"/>
    <mergeCell ref="BT21:BV21"/>
    <mergeCell ref="BT22:BV22"/>
    <mergeCell ref="BT36:BV36"/>
    <mergeCell ref="BN39:BP39"/>
    <mergeCell ref="BH19:BJ19"/>
    <mergeCell ref="BH20:BJ20"/>
    <mergeCell ref="BH21:BJ21"/>
    <mergeCell ref="BH22:BJ22"/>
    <mergeCell ref="BH36:BJ36"/>
    <mergeCell ref="BH39:BJ39"/>
    <mergeCell ref="BB19:BD19"/>
    <mergeCell ref="BB20:BD20"/>
    <mergeCell ref="BB21:BD21"/>
    <mergeCell ref="BB22:BD22"/>
    <mergeCell ref="DG21:DI21"/>
    <mergeCell ref="DG22:DI22"/>
    <mergeCell ref="DG36:DI36"/>
    <mergeCell ref="CX16:CZ16"/>
    <mergeCell ref="CX19:CZ19"/>
    <mergeCell ref="O20:Q20"/>
    <mergeCell ref="R20:T20"/>
    <mergeCell ref="U20:W20"/>
    <mergeCell ref="O21:Q21"/>
    <mergeCell ref="DM16:DO16"/>
    <mergeCell ref="DP39:DR39"/>
    <mergeCell ref="DP8:DR8"/>
    <mergeCell ref="DP11:DR11"/>
    <mergeCell ref="DP2:DR2"/>
    <mergeCell ref="DP3:DR3"/>
    <mergeCell ref="DP5:DR5"/>
    <mergeCell ref="DP6:DR6"/>
    <mergeCell ref="DP9:DR9"/>
    <mergeCell ref="DP7:DR7"/>
    <mergeCell ref="DP10:DR10"/>
    <mergeCell ref="DP14:DR14"/>
    <mergeCell ref="DP29:DR29"/>
    <mergeCell ref="DP16:DR16"/>
    <mergeCell ref="DM8:DO8"/>
    <mergeCell ref="DM11:DO11"/>
    <mergeCell ref="DM2:DO2"/>
    <mergeCell ref="DM3:DO3"/>
    <mergeCell ref="DJ8:DL8"/>
    <mergeCell ref="DJ11:DL11"/>
    <mergeCell ref="DJ2:DL2"/>
    <mergeCell ref="DP19:DR19"/>
    <mergeCell ref="DJ3:DL3"/>
    <mergeCell ref="DJ5:DL5"/>
    <mergeCell ref="DJ6:DL6"/>
    <mergeCell ref="DJ9:DL9"/>
    <mergeCell ref="DJ7:DL7"/>
    <mergeCell ref="DJ10:DL10"/>
    <mergeCell ref="DJ14:DL14"/>
    <mergeCell ref="DJ39:DL39"/>
    <mergeCell ref="DM5:DO5"/>
    <mergeCell ref="DM6:DO6"/>
    <mergeCell ref="DM9:DO9"/>
    <mergeCell ref="DM7:DO7"/>
    <mergeCell ref="DM10:DO10"/>
    <mergeCell ref="DM14:DO14"/>
    <mergeCell ref="DM19:DO19"/>
    <mergeCell ref="DJ29:DL29"/>
    <mergeCell ref="DJ16:DL16"/>
    <mergeCell ref="DJ19:DL19"/>
    <mergeCell ref="DM39:DO39"/>
    <mergeCell ref="DJ20:DL20"/>
    <mergeCell ref="DJ21:DL21"/>
    <mergeCell ref="DJ22:DL22"/>
    <mergeCell ref="DJ36:DL36"/>
    <mergeCell ref="DM29:DO29"/>
    <mergeCell ref="DG2:DI2"/>
    <mergeCell ref="DG3:DI3"/>
    <mergeCell ref="DG5:DI5"/>
    <mergeCell ref="DG6:DI6"/>
    <mergeCell ref="DG9:DI9"/>
    <mergeCell ref="DG7:DI7"/>
    <mergeCell ref="DG10:DI10"/>
    <mergeCell ref="DG14:DI14"/>
    <mergeCell ref="DD29:DF29"/>
    <mergeCell ref="DG29:DI29"/>
    <mergeCell ref="DG16:DI16"/>
    <mergeCell ref="DD19:DF19"/>
    <mergeCell ref="DD20:DF20"/>
    <mergeCell ref="DD21:DF21"/>
    <mergeCell ref="DD22:DF22"/>
    <mergeCell ref="DD36:DF36"/>
    <mergeCell ref="DG8:DI8"/>
    <mergeCell ref="DG11:DI11"/>
    <mergeCell ref="DG19:DI19"/>
    <mergeCell ref="DG20:DI20"/>
    <mergeCell ref="DD39:DF39"/>
    <mergeCell ref="DG39:DI39"/>
    <mergeCell ref="DA29:DC29"/>
    <mergeCell ref="DA16:DC16"/>
    <mergeCell ref="DA39:DC39"/>
    <mergeCell ref="DA19:DC19"/>
    <mergeCell ref="DA20:DC20"/>
    <mergeCell ref="DA21:DC21"/>
    <mergeCell ref="DA22:DC22"/>
    <mergeCell ref="DA36:DC36"/>
    <mergeCell ref="DD16:DF16"/>
    <mergeCell ref="CU2:CW2"/>
    <mergeCell ref="CU3:CW3"/>
    <mergeCell ref="CU5:CW5"/>
    <mergeCell ref="CU6:CW6"/>
    <mergeCell ref="CU9:CW9"/>
    <mergeCell ref="CU7:CW7"/>
    <mergeCell ref="CU10:CW10"/>
    <mergeCell ref="CU14:CW14"/>
    <mergeCell ref="CU15:CW15"/>
    <mergeCell ref="CX15:CZ15"/>
    <mergeCell ref="DD8:DF8"/>
    <mergeCell ref="DD11:DF11"/>
    <mergeCell ref="DA10:DC10"/>
    <mergeCell ref="DA14:DC14"/>
    <mergeCell ref="DA8:DC8"/>
    <mergeCell ref="DA11:DC11"/>
    <mergeCell ref="DA2:DC2"/>
    <mergeCell ref="DA3:DC3"/>
    <mergeCell ref="DA5:DC5"/>
    <mergeCell ref="DA6:DC6"/>
    <mergeCell ref="DA9:DC9"/>
    <mergeCell ref="DA7:DC7"/>
    <mergeCell ref="DD2:DF2"/>
    <mergeCell ref="DD3:DF3"/>
    <mergeCell ref="DD5:DF5"/>
    <mergeCell ref="DD6:DF6"/>
    <mergeCell ref="DD9:DF9"/>
    <mergeCell ref="DD7:DF7"/>
    <mergeCell ref="DD10:DF10"/>
    <mergeCell ref="DD14:DF14"/>
    <mergeCell ref="CX8:CZ8"/>
    <mergeCell ref="CX11:CZ11"/>
    <mergeCell ref="CR39:CT39"/>
    <mergeCell ref="CO22:CQ22"/>
    <mergeCell ref="CO36:CQ36"/>
    <mergeCell ref="CU19:CW19"/>
    <mergeCell ref="CU20:CW20"/>
    <mergeCell ref="CU21:CW21"/>
    <mergeCell ref="CU22:CW22"/>
    <mergeCell ref="CU36:CW36"/>
    <mergeCell ref="CR16:CT16"/>
    <mergeCell ref="CR19:CT19"/>
    <mergeCell ref="CR20:CT20"/>
    <mergeCell ref="CX39:CZ39"/>
    <mergeCell ref="CX29:CZ29"/>
    <mergeCell ref="CX2:CZ2"/>
    <mergeCell ref="CX20:CZ20"/>
    <mergeCell ref="CX21:CZ21"/>
    <mergeCell ref="CX22:CZ22"/>
    <mergeCell ref="CX36:CZ36"/>
    <mergeCell ref="CR2:CT2"/>
    <mergeCell ref="CR3:CT3"/>
    <mergeCell ref="CR5:CT5"/>
    <mergeCell ref="CR6:CT6"/>
    <mergeCell ref="CR9:CT9"/>
    <mergeCell ref="CR7:CT7"/>
    <mergeCell ref="CR10:CT10"/>
    <mergeCell ref="CR14:CT14"/>
    <mergeCell ref="CL36:CN36"/>
    <mergeCell ref="CL22:CN22"/>
    <mergeCell ref="CO2:CQ2"/>
    <mergeCell ref="CO3:CQ3"/>
    <mergeCell ref="CO5:CQ5"/>
    <mergeCell ref="CO6:CQ6"/>
    <mergeCell ref="CO9:CQ9"/>
    <mergeCell ref="CO7:CQ7"/>
    <mergeCell ref="CO10:CQ10"/>
    <mergeCell ref="CO29:CQ29"/>
    <mergeCell ref="CO16:CQ16"/>
    <mergeCell ref="CO39:CQ39"/>
    <mergeCell ref="CL2:CN2"/>
    <mergeCell ref="CX3:CZ3"/>
    <mergeCell ref="CX5:CZ5"/>
    <mergeCell ref="CX6:CZ6"/>
    <mergeCell ref="CX9:CZ9"/>
    <mergeCell ref="CX7:CZ7"/>
    <mergeCell ref="CX10:CZ10"/>
    <mergeCell ref="CX14:CZ14"/>
    <mergeCell ref="CI3:CK3"/>
    <mergeCell ref="CI5:CK5"/>
    <mergeCell ref="CI6:CK6"/>
    <mergeCell ref="CI9:CK9"/>
    <mergeCell ref="CI7:CK7"/>
    <mergeCell ref="CI10:CK10"/>
    <mergeCell ref="CI14:CK14"/>
    <mergeCell ref="CU39:CW39"/>
    <mergeCell ref="CR29:CT29"/>
    <mergeCell ref="CI8:CK8"/>
    <mergeCell ref="CO14:CQ14"/>
    <mergeCell ref="CU16:CW16"/>
    <mergeCell ref="CL39:CN39"/>
    <mergeCell ref="CL16:CN16"/>
    <mergeCell ref="CL3:CN3"/>
    <mergeCell ref="CL5:CN5"/>
    <mergeCell ref="CL6:CN6"/>
    <mergeCell ref="CR21:CT21"/>
    <mergeCell ref="CU8:CW8"/>
    <mergeCell ref="CU11:CW11"/>
    <mergeCell ref="CR8:CT8"/>
    <mergeCell ref="CR11:CT11"/>
    <mergeCell ref="CL9:CN9"/>
    <mergeCell ref="CO15:CQ15"/>
    <mergeCell ref="CI11:CK11"/>
    <mergeCell ref="CO11:CQ11"/>
    <mergeCell ref="CO19:CQ19"/>
    <mergeCell ref="CF29:CH29"/>
    <mergeCell ref="CF39:CH39"/>
    <mergeCell ref="CL8:CN8"/>
    <mergeCell ref="CL11:CN11"/>
    <mergeCell ref="CL19:CN19"/>
    <mergeCell ref="CR15:CT15"/>
    <mergeCell ref="CF9:CH9"/>
    <mergeCell ref="CF10:CH10"/>
    <mergeCell ref="CF14:CH14"/>
    <mergeCell ref="CF15:CH15"/>
    <mergeCell ref="CL10:CN10"/>
    <mergeCell ref="CL14:CN14"/>
    <mergeCell ref="CL15:CN15"/>
    <mergeCell ref="CO8:CQ8"/>
    <mergeCell ref="CI15:CK15"/>
    <mergeCell ref="CI16:CK16"/>
    <mergeCell ref="CI19:CK19"/>
    <mergeCell ref="CF16:CH16"/>
    <mergeCell ref="CF19:CH19"/>
    <mergeCell ref="BZ8:CB8"/>
    <mergeCell ref="BZ11:CB11"/>
    <mergeCell ref="BZ2:CB2"/>
    <mergeCell ref="BZ3:CB3"/>
    <mergeCell ref="BZ5:CB5"/>
    <mergeCell ref="BZ6:CB6"/>
    <mergeCell ref="BZ9:CB9"/>
    <mergeCell ref="BZ7:CB7"/>
    <mergeCell ref="BZ10:CB10"/>
    <mergeCell ref="BZ14:CB14"/>
    <mergeCell ref="BZ15:CB15"/>
    <mergeCell ref="CF8:CH8"/>
    <mergeCell ref="CF11:CH11"/>
    <mergeCell ref="CL7:CN7"/>
    <mergeCell ref="CF2:CH2"/>
    <mergeCell ref="CF3:CH3"/>
    <mergeCell ref="CF5:CH5"/>
    <mergeCell ref="CF6:CH6"/>
    <mergeCell ref="CF7:CH7"/>
    <mergeCell ref="CI2:CK2"/>
    <mergeCell ref="BW5:BY5"/>
    <mergeCell ref="BW6:BY6"/>
    <mergeCell ref="BW9:BY9"/>
    <mergeCell ref="BW7:BY7"/>
    <mergeCell ref="BW10:BY10"/>
    <mergeCell ref="BW14:BY14"/>
    <mergeCell ref="BW2:BY2"/>
    <mergeCell ref="BZ16:CB16"/>
    <mergeCell ref="BW3:BY3"/>
    <mergeCell ref="CC2:CE2"/>
    <mergeCell ref="CC3:CE3"/>
    <mergeCell ref="CC5:CE5"/>
    <mergeCell ref="CC6:CE6"/>
    <mergeCell ref="CC9:CE9"/>
    <mergeCell ref="CC7:CE7"/>
    <mergeCell ref="CC10:CE10"/>
    <mergeCell ref="CC14:CE14"/>
    <mergeCell ref="CC15:CE15"/>
    <mergeCell ref="CC16:CE16"/>
    <mergeCell ref="CC8:CE8"/>
    <mergeCell ref="CC11:CE11"/>
    <mergeCell ref="BW8:BY8"/>
    <mergeCell ref="BW11:BY11"/>
    <mergeCell ref="BT29:BV29"/>
    <mergeCell ref="BT11:BV11"/>
    <mergeCell ref="BW15:BY15"/>
    <mergeCell ref="BW16:BY16"/>
    <mergeCell ref="BW19:BY19"/>
    <mergeCell ref="BW29:BY29"/>
    <mergeCell ref="BT16:BV16"/>
    <mergeCell ref="BT19:BV19"/>
    <mergeCell ref="BT20:BV20"/>
    <mergeCell ref="BW20:BY20"/>
    <mergeCell ref="BW39:BY39"/>
    <mergeCell ref="BQ2:BS2"/>
    <mergeCell ref="BQ3:BS3"/>
    <mergeCell ref="BQ5:BS5"/>
    <mergeCell ref="BQ6:BS6"/>
    <mergeCell ref="BQ9:BS9"/>
    <mergeCell ref="BQ7:BS7"/>
    <mergeCell ref="BQ10:BS10"/>
    <mergeCell ref="BQ14:BS14"/>
    <mergeCell ref="BQ15:BS15"/>
    <mergeCell ref="BQ16:BS16"/>
    <mergeCell ref="BQ19:BS19"/>
    <mergeCell ref="BT2:BV2"/>
    <mergeCell ref="BT3:BV3"/>
    <mergeCell ref="BT5:BV5"/>
    <mergeCell ref="BT6:BV6"/>
    <mergeCell ref="BT9:BV9"/>
    <mergeCell ref="BT7:BV7"/>
    <mergeCell ref="BT10:BV10"/>
    <mergeCell ref="BT14:BV14"/>
    <mergeCell ref="BT15:BV15"/>
    <mergeCell ref="BT8:BV8"/>
    <mergeCell ref="BT39:BV39"/>
    <mergeCell ref="BN29:BP29"/>
    <mergeCell ref="BN8:BP8"/>
    <mergeCell ref="BN11:BP11"/>
    <mergeCell ref="BQ8:BS8"/>
    <mergeCell ref="BQ11:BS11"/>
    <mergeCell ref="BQ20:BS20"/>
    <mergeCell ref="BQ21:BS21"/>
    <mergeCell ref="BQ22:BS22"/>
    <mergeCell ref="BQ36:BS36"/>
    <mergeCell ref="BQ39:BS39"/>
    <mergeCell ref="BQ29:BS29"/>
    <mergeCell ref="BN19:BP19"/>
    <mergeCell ref="BN20:BP20"/>
    <mergeCell ref="BN21:BP21"/>
    <mergeCell ref="BN22:BP22"/>
    <mergeCell ref="BN36:BP36"/>
    <mergeCell ref="BK8:BM8"/>
    <mergeCell ref="BK11:BM11"/>
    <mergeCell ref="BK22:BM22"/>
    <mergeCell ref="BK36:BM36"/>
    <mergeCell ref="BN16:BP16"/>
    <mergeCell ref="BK2:BM2"/>
    <mergeCell ref="BK3:BM3"/>
    <mergeCell ref="BK5:BM5"/>
    <mergeCell ref="BK6:BM6"/>
    <mergeCell ref="BK9:BM9"/>
    <mergeCell ref="BK7:BM7"/>
    <mergeCell ref="BK10:BM10"/>
    <mergeCell ref="BK14:BM14"/>
    <mergeCell ref="BK15:BM15"/>
    <mergeCell ref="BK16:BM16"/>
    <mergeCell ref="BK19:BM19"/>
    <mergeCell ref="BK20:BM20"/>
    <mergeCell ref="BK21:BM21"/>
    <mergeCell ref="BK39:BM39"/>
    <mergeCell ref="BK29:BM29"/>
    <mergeCell ref="BH16:BJ16"/>
    <mergeCell ref="BE2:BG2"/>
    <mergeCell ref="BE3:BG3"/>
    <mergeCell ref="BE5:BG5"/>
    <mergeCell ref="BE6:BG6"/>
    <mergeCell ref="BE9:BG9"/>
    <mergeCell ref="BE7:BG7"/>
    <mergeCell ref="BE10:BG10"/>
    <mergeCell ref="BH2:BJ2"/>
    <mergeCell ref="BH3:BJ3"/>
    <mergeCell ref="BH5:BJ5"/>
    <mergeCell ref="BH6:BJ6"/>
    <mergeCell ref="BH9:BJ9"/>
    <mergeCell ref="BH7:BJ7"/>
    <mergeCell ref="BH10:BJ10"/>
    <mergeCell ref="BH14:BJ14"/>
    <mergeCell ref="BH15:BJ15"/>
    <mergeCell ref="BE8:BG8"/>
    <mergeCell ref="BE11:BG11"/>
    <mergeCell ref="BH29:BJ29"/>
    <mergeCell ref="BE15:BG15"/>
    <mergeCell ref="BE14:BG14"/>
    <mergeCell ref="BN2:BP2"/>
    <mergeCell ref="BN3:BP3"/>
    <mergeCell ref="BN5:BP5"/>
    <mergeCell ref="BN6:BP6"/>
    <mergeCell ref="BN9:BP9"/>
    <mergeCell ref="BN7:BP7"/>
    <mergeCell ref="BN10:BP10"/>
    <mergeCell ref="BN14:BP14"/>
    <mergeCell ref="BN15:BP15"/>
    <mergeCell ref="BB2:BD2"/>
    <mergeCell ref="BB3:BD3"/>
    <mergeCell ref="BB5:BD5"/>
    <mergeCell ref="BB6:BD6"/>
    <mergeCell ref="BB9:BD9"/>
    <mergeCell ref="BB7:BD7"/>
    <mergeCell ref="BB10:BD10"/>
    <mergeCell ref="BB8:BD8"/>
    <mergeCell ref="BB11:BD11"/>
    <mergeCell ref="AY8:BA8"/>
    <mergeCell ref="AY11:BA11"/>
    <mergeCell ref="BB39:BD39"/>
    <mergeCell ref="BE20:BG20"/>
    <mergeCell ref="BE39:BG39"/>
    <mergeCell ref="BE21:BG21"/>
    <mergeCell ref="BE22:BG22"/>
    <mergeCell ref="BB29:BD29"/>
    <mergeCell ref="BE16:BG16"/>
    <mergeCell ref="BB16:BD16"/>
    <mergeCell ref="AY39:BA39"/>
    <mergeCell ref="AY16:BA16"/>
    <mergeCell ref="BE19:BG19"/>
    <mergeCell ref="AP29:AR29"/>
    <mergeCell ref="AS29:AU29"/>
    <mergeCell ref="AV29:AX29"/>
    <mergeCell ref="AS20:AU20"/>
    <mergeCell ref="AV20:AX20"/>
    <mergeCell ref="AP7:AR7"/>
    <mergeCell ref="AS7:AU7"/>
    <mergeCell ref="AV7:AX7"/>
    <mergeCell ref="AP8:AR8"/>
    <mergeCell ref="AS8:AU8"/>
    <mergeCell ref="AV8:AX8"/>
    <mergeCell ref="BH8:BJ8"/>
    <mergeCell ref="BH11:BJ11"/>
    <mergeCell ref="BE29:BG29"/>
    <mergeCell ref="AV16:AX16"/>
    <mergeCell ref="AP19:AR19"/>
    <mergeCell ref="AS19:AU19"/>
    <mergeCell ref="AV19:AX19"/>
    <mergeCell ref="AP20:AR20"/>
    <mergeCell ref="AP39:AR39"/>
    <mergeCell ref="AS39:AU39"/>
    <mergeCell ref="AV39:AX39"/>
    <mergeCell ref="BB36:BD36"/>
    <mergeCell ref="BE36:BG36"/>
    <mergeCell ref="AP21:AR21"/>
    <mergeCell ref="AS21:AU21"/>
    <mergeCell ref="AV21:AX21"/>
    <mergeCell ref="AP22:AR22"/>
    <mergeCell ref="AS22:AU22"/>
    <mergeCell ref="AV22:AX22"/>
    <mergeCell ref="AY29:BA29"/>
    <mergeCell ref="X2:Z2"/>
    <mergeCell ref="AA2:AC2"/>
    <mergeCell ref="AD2:AF2"/>
    <mergeCell ref="AG2:AI2"/>
    <mergeCell ref="AJ2:AL2"/>
    <mergeCell ref="O8:Q8"/>
    <mergeCell ref="R8:T8"/>
    <mergeCell ref="U8:W8"/>
    <mergeCell ref="O11:Q11"/>
    <mergeCell ref="R11:T11"/>
    <mergeCell ref="U11:W11"/>
    <mergeCell ref="AG5:AI5"/>
    <mergeCell ref="AA7:AC7"/>
    <mergeCell ref="AD7:AF7"/>
    <mergeCell ref="L19:N19"/>
    <mergeCell ref="L20:N20"/>
    <mergeCell ref="L16:N16"/>
    <mergeCell ref="L29:N29"/>
    <mergeCell ref="AY5:BA5"/>
    <mergeCell ref="AY6:BA6"/>
    <mergeCell ref="AY9:BA9"/>
    <mergeCell ref="L2:N2"/>
    <mergeCell ref="AY19:BA19"/>
    <mergeCell ref="AY20:BA20"/>
    <mergeCell ref="AY21:BA21"/>
    <mergeCell ref="AY22:BA22"/>
    <mergeCell ref="X10:Z10"/>
    <mergeCell ref="AA10:AC10"/>
    <mergeCell ref="AD10:AF10"/>
    <mergeCell ref="AA5:AC5"/>
    <mergeCell ref="AD5:AF5"/>
    <mergeCell ref="X6:Z6"/>
    <mergeCell ref="AA6:AC6"/>
    <mergeCell ref="AD6:AF6"/>
    <mergeCell ref="X9:Z9"/>
    <mergeCell ref="AA9:AC9"/>
    <mergeCell ref="AD9:AF9"/>
    <mergeCell ref="X14:Z14"/>
    <mergeCell ref="O3:Q3"/>
    <mergeCell ref="R3:T3"/>
    <mergeCell ref="U3:W3"/>
    <mergeCell ref="O5:Q5"/>
    <mergeCell ref="R5:T5"/>
    <mergeCell ref="U5:W5"/>
    <mergeCell ref="O6:Q6"/>
    <mergeCell ref="R6:T6"/>
    <mergeCell ref="U6:W6"/>
    <mergeCell ref="AY36:BA36"/>
    <mergeCell ref="AJ20:AL20"/>
    <mergeCell ref="AM20:AO20"/>
    <mergeCell ref="AJ21:AL21"/>
    <mergeCell ref="AS36:AU36"/>
    <mergeCell ref="AV36:AX36"/>
    <mergeCell ref="AM2:AO2"/>
    <mergeCell ref="AP2:AR2"/>
    <mergeCell ref="AS2:AU2"/>
    <mergeCell ref="AV2:AX2"/>
    <mergeCell ref="AP3:AR3"/>
    <mergeCell ref="AS3:AU3"/>
    <mergeCell ref="AV3:AX3"/>
    <mergeCell ref="AP5:AR5"/>
    <mergeCell ref="AS5:AU5"/>
    <mergeCell ref="AV5:AX5"/>
    <mergeCell ref="AP6:AR6"/>
    <mergeCell ref="AS6:AU6"/>
    <mergeCell ref="AV6:AX6"/>
    <mergeCell ref="AP9:AR9"/>
    <mergeCell ref="AY2:BA2"/>
    <mergeCell ref="AY3:BA3"/>
    <mergeCell ref="AG10:AI10"/>
    <mergeCell ref="AJ10:AL10"/>
    <mergeCell ref="AM10:AO10"/>
    <mergeCell ref="AG14:AI14"/>
    <mergeCell ref="AS9:AU9"/>
    <mergeCell ref="AV9:AX9"/>
    <mergeCell ref="AS11:AU11"/>
    <mergeCell ref="AV11:AX11"/>
    <mergeCell ref="AP10:AR10"/>
    <mergeCell ref="AS10:AU10"/>
    <mergeCell ref="AP11:AR11"/>
    <mergeCell ref="AP14:AR14"/>
    <mergeCell ref="AS14:AU14"/>
    <mergeCell ref="AV14:AX14"/>
    <mergeCell ref="AV10:AX10"/>
    <mergeCell ref="AM8:AO8"/>
    <mergeCell ref="AJ11:AL11"/>
    <mergeCell ref="AM14:AO14"/>
    <mergeCell ref="AM11:AO11"/>
    <mergeCell ref="AJ14:AL14"/>
    <mergeCell ref="AG3:AI3"/>
    <mergeCell ref="X7:Z7"/>
    <mergeCell ref="L10:N10"/>
    <mergeCell ref="X8:Z8"/>
    <mergeCell ref="AA8:AC8"/>
    <mergeCell ref="AD8:AF8"/>
    <mergeCell ref="AG6:AI6"/>
    <mergeCell ref="AG9:AI9"/>
    <mergeCell ref="AG7:AI7"/>
    <mergeCell ref="AG8:AI8"/>
    <mergeCell ref="B11:D11"/>
    <mergeCell ref="F2:H2"/>
    <mergeCell ref="I2:K2"/>
    <mergeCell ref="L8:N8"/>
    <mergeCell ref="L11:N11"/>
    <mergeCell ref="I15:K15"/>
    <mergeCell ref="L15:N15"/>
    <mergeCell ref="O15:Q15"/>
    <mergeCell ref="R15:T15"/>
    <mergeCell ref="U15:W15"/>
    <mergeCell ref="X15:Z15"/>
    <mergeCell ref="AA15:AC15"/>
    <mergeCell ref="AD15:AF15"/>
    <mergeCell ref="AG15:AI15"/>
    <mergeCell ref="AA14:AC14"/>
    <mergeCell ref="F5:H5"/>
    <mergeCell ref="F6:H6"/>
    <mergeCell ref="F9:H9"/>
    <mergeCell ref="X3:Z3"/>
    <mergeCell ref="AA3:AC3"/>
    <mergeCell ref="AD3:AF3"/>
    <mergeCell ref="X5:Z5"/>
    <mergeCell ref="O2:Q2"/>
    <mergeCell ref="R2:T2"/>
    <mergeCell ref="U2:W2"/>
    <mergeCell ref="R14:T14"/>
    <mergeCell ref="U14:W14"/>
    <mergeCell ref="B12:D12"/>
    <mergeCell ref="O7:Q7"/>
    <mergeCell ref="U7:W7"/>
    <mergeCell ref="O10:Q10"/>
    <mergeCell ref="R10:T10"/>
    <mergeCell ref="U10:W10"/>
    <mergeCell ref="O9:Q9"/>
    <mergeCell ref="R9:T9"/>
    <mergeCell ref="U9:W9"/>
    <mergeCell ref="AD14:AF14"/>
    <mergeCell ref="O14:Q14"/>
    <mergeCell ref="R7:T7"/>
    <mergeCell ref="AG11:AI11"/>
    <mergeCell ref="X11:Z11"/>
    <mergeCell ref="AA11:AC11"/>
    <mergeCell ref="AD11:AF11"/>
    <mergeCell ref="F19:H19"/>
    <mergeCell ref="F20:H20"/>
    <mergeCell ref="F21:H21"/>
    <mergeCell ref="F14:H14"/>
    <mergeCell ref="F8:H8"/>
    <mergeCell ref="F29:H29"/>
    <mergeCell ref="I11:K11"/>
    <mergeCell ref="I9:K9"/>
    <mergeCell ref="I10:K10"/>
    <mergeCell ref="F15:H15"/>
    <mergeCell ref="B2:E3"/>
    <mergeCell ref="L3:N3"/>
    <mergeCell ref="L5:N5"/>
    <mergeCell ref="I7:K7"/>
    <mergeCell ref="I3:K3"/>
    <mergeCell ref="I5:K5"/>
    <mergeCell ref="I6:K6"/>
    <mergeCell ref="B8:D8"/>
    <mergeCell ref="L7:N7"/>
    <mergeCell ref="F10:H10"/>
    <mergeCell ref="B6:D6"/>
    <mergeCell ref="B9:D9"/>
    <mergeCell ref="B7:D7"/>
    <mergeCell ref="B10:D10"/>
    <mergeCell ref="F7:H7"/>
    <mergeCell ref="I14:K14"/>
    <mergeCell ref="L14:N14"/>
    <mergeCell ref="F11:H11"/>
    <mergeCell ref="L6:N6"/>
    <mergeCell ref="L9:N9"/>
    <mergeCell ref="I8:K8"/>
    <mergeCell ref="F3:H3"/>
    <mergeCell ref="B5:E5"/>
    <mergeCell ref="I39:K39"/>
    <mergeCell ref="L39:N39"/>
    <mergeCell ref="I20:K20"/>
    <mergeCell ref="I36:K36"/>
    <mergeCell ref="L36:N36"/>
    <mergeCell ref="F16:H16"/>
    <mergeCell ref="F36:H36"/>
    <mergeCell ref="I16:K16"/>
    <mergeCell ref="I21:K21"/>
    <mergeCell ref="I22:K22"/>
    <mergeCell ref="L21:N21"/>
    <mergeCell ref="I29:K29"/>
    <mergeCell ref="L22:N22"/>
    <mergeCell ref="I19:K19"/>
    <mergeCell ref="O36:Q36"/>
    <mergeCell ref="R36:T36"/>
    <mergeCell ref="U36:W36"/>
    <mergeCell ref="F22:H22"/>
    <mergeCell ref="F39:H39"/>
    <mergeCell ref="O16:Q16"/>
    <mergeCell ref="R16:T16"/>
    <mergeCell ref="U16:W16"/>
    <mergeCell ref="O19:Q19"/>
    <mergeCell ref="R19:T19"/>
    <mergeCell ref="U19:W19"/>
    <mergeCell ref="U39:W39"/>
    <mergeCell ref="X39:Z39"/>
    <mergeCell ref="AA39:AC39"/>
    <mergeCell ref="AD39:AF39"/>
    <mergeCell ref="R21:T21"/>
    <mergeCell ref="U21:W21"/>
    <mergeCell ref="O22:Q22"/>
    <mergeCell ref="X19:Z19"/>
    <mergeCell ref="AA19:AC19"/>
    <mergeCell ref="AD19:AF19"/>
    <mergeCell ref="X20:Z20"/>
    <mergeCell ref="AA20:AC20"/>
    <mergeCell ref="AD20:AF20"/>
    <mergeCell ref="X21:Z21"/>
    <mergeCell ref="AA21:AC21"/>
    <mergeCell ref="AD21:AF21"/>
    <mergeCell ref="X22:Z22"/>
    <mergeCell ref="AA22:AC22"/>
    <mergeCell ref="AD22:AF22"/>
    <mergeCell ref="X36:Z36"/>
    <mergeCell ref="AA36:AC36"/>
    <mergeCell ref="AD36:AF36"/>
    <mergeCell ref="O29:Q29"/>
    <mergeCell ref="R29:T29"/>
    <mergeCell ref="U29:W29"/>
    <mergeCell ref="O39:Q39"/>
    <mergeCell ref="X16:Z16"/>
    <mergeCell ref="AA16:AC16"/>
    <mergeCell ref="AD16:AF16"/>
    <mergeCell ref="X29:Z29"/>
    <mergeCell ref="AA29:AC29"/>
    <mergeCell ref="AD29:AF29"/>
    <mergeCell ref="R39:T39"/>
    <mergeCell ref="AJ22:AL22"/>
    <mergeCell ref="AM22:AO22"/>
    <mergeCell ref="AM16:AO16"/>
    <mergeCell ref="AG19:AI19"/>
    <mergeCell ref="AJ19:AL19"/>
    <mergeCell ref="AM19:AO19"/>
    <mergeCell ref="AG20:AI20"/>
    <mergeCell ref="AG39:AI39"/>
    <mergeCell ref="AJ39:AL39"/>
    <mergeCell ref="AM39:AO39"/>
    <mergeCell ref="AG29:AI29"/>
    <mergeCell ref="AG21:AI21"/>
    <mergeCell ref="AM21:AO21"/>
    <mergeCell ref="AG36:AI36"/>
    <mergeCell ref="AG22:AI22"/>
    <mergeCell ref="AG16:AI16"/>
    <mergeCell ref="AJ36:AL36"/>
    <mergeCell ref="AM36:AO36"/>
    <mergeCell ref="AJ29:AL29"/>
    <mergeCell ref="AM29:AO29"/>
    <mergeCell ref="AJ16:AL16"/>
    <mergeCell ref="AP36:AR36"/>
    <mergeCell ref="AP16:AR16"/>
    <mergeCell ref="AS16:AU16"/>
    <mergeCell ref="FO3:FQ3"/>
    <mergeCell ref="DA15:DC15"/>
    <mergeCell ref="DD15:DF15"/>
    <mergeCell ref="DG15:DI15"/>
    <mergeCell ref="DJ15:DL15"/>
    <mergeCell ref="DM15:DO15"/>
    <mergeCell ref="DP15:DR15"/>
    <mergeCell ref="BB14:BD14"/>
    <mergeCell ref="BB15:BD15"/>
    <mergeCell ref="AS15:AU15"/>
    <mergeCell ref="AV15:AX15"/>
    <mergeCell ref="AM5:AO5"/>
    <mergeCell ref="AJ6:AL6"/>
    <mergeCell ref="AM6:AO6"/>
    <mergeCell ref="AJ9:AL9"/>
    <mergeCell ref="AM9:AO9"/>
    <mergeCell ref="AJ7:AL7"/>
    <mergeCell ref="AM7:AO7"/>
    <mergeCell ref="AJ8:AL8"/>
    <mergeCell ref="AJ5:AL5"/>
    <mergeCell ref="AJ15:AL15"/>
    <mergeCell ref="AM15:AO15"/>
    <mergeCell ref="AP15:AR15"/>
    <mergeCell ref="AY15:BA15"/>
    <mergeCell ref="AY14:BA14"/>
    <mergeCell ref="AY7:BA7"/>
    <mergeCell ref="AY10:BA10"/>
    <mergeCell ref="AJ3:AL3"/>
    <mergeCell ref="AM3:AO3"/>
    <mergeCell ref="DV57:DX57"/>
    <mergeCell ref="FL57:FN57"/>
    <mergeCell ref="BZ55:CB55"/>
    <mergeCell ref="CC55:CE55"/>
    <mergeCell ref="CF55:CH55"/>
    <mergeCell ref="CI55:CK55"/>
    <mergeCell ref="CL55:CN55"/>
    <mergeCell ref="BZ19:CB19"/>
    <mergeCell ref="BZ20:CB20"/>
    <mergeCell ref="BZ21:CB21"/>
    <mergeCell ref="BZ22:CB22"/>
    <mergeCell ref="CI29:CK29"/>
    <mergeCell ref="CI39:CK39"/>
    <mergeCell ref="CF22:CH22"/>
    <mergeCell ref="CF36:CH36"/>
    <mergeCell ref="CI36:CK36"/>
    <mergeCell ref="CL20:CN20"/>
    <mergeCell ref="CL21:CN21"/>
    <mergeCell ref="DA40:DC40"/>
    <mergeCell ref="CC19:CE19"/>
    <mergeCell ref="CC20:CE20"/>
    <mergeCell ref="CC21:CE21"/>
    <mergeCell ref="CC39:CE39"/>
    <mergeCell ref="CC29:CE29"/>
    <mergeCell ref="CF20:CH20"/>
    <mergeCell ref="CF21:CH21"/>
    <mergeCell ref="CO20:CQ20"/>
    <mergeCell ref="CO21:CQ21"/>
    <mergeCell ref="DD40:DF40"/>
    <mergeCell ref="DG40:DI40"/>
    <mergeCell ref="DJ40:DL40"/>
    <mergeCell ref="JG9:JI9"/>
    <mergeCell ref="JG10:JI10"/>
    <mergeCell ref="JG11:JI11"/>
    <mergeCell ref="JG14:JI14"/>
    <mergeCell ref="JG15:JI15"/>
    <mergeCell ref="BW54:BY54"/>
    <mergeCell ref="F54:H54"/>
    <mergeCell ref="I54:K54"/>
    <mergeCell ref="L54:N54"/>
    <mergeCell ref="O54:Q54"/>
    <mergeCell ref="R54:T54"/>
    <mergeCell ref="U54:W54"/>
    <mergeCell ref="X54:Z54"/>
    <mergeCell ref="AA54:AC54"/>
    <mergeCell ref="AD54:AF54"/>
    <mergeCell ref="AG54:AI54"/>
    <mergeCell ref="AJ54:AL54"/>
    <mergeCell ref="AM54:AO54"/>
    <mergeCell ref="AP54:AR54"/>
    <mergeCell ref="AS54:AU54"/>
    <mergeCell ref="AV54:AX54"/>
    <mergeCell ref="AY54:BA54"/>
    <mergeCell ref="BB54:BD54"/>
    <mergeCell ref="BE54:BG54"/>
    <mergeCell ref="BK54:BM54"/>
    <mergeCell ref="BN54:BP54"/>
    <mergeCell ref="BQ54:BS54"/>
    <mergeCell ref="BT54:BV54"/>
    <mergeCell ref="FL54:FN54"/>
    <mergeCell ref="DP54:DR54"/>
    <mergeCell ref="DS54:DU54"/>
    <mergeCell ref="DV54:DX54"/>
    <mergeCell ref="DY54:EA54"/>
    <mergeCell ref="EH54:EJ54"/>
    <mergeCell ref="EE54:EG54"/>
    <mergeCell ref="BZ54:CB54"/>
    <mergeCell ref="CC54:CE54"/>
    <mergeCell ref="CF54:CH54"/>
    <mergeCell ref="CI54:CK54"/>
    <mergeCell ref="CL54:CN54"/>
    <mergeCell ref="CO54:CQ54"/>
    <mergeCell ref="CR54:CT54"/>
    <mergeCell ref="DM54:DO54"/>
    <mergeCell ref="DJ54:DL54"/>
    <mergeCell ref="DG54:DI54"/>
    <mergeCell ref="DD54:DF54"/>
    <mergeCell ref="DA54:DC54"/>
    <mergeCell ref="CX54:CZ54"/>
    <mergeCell ref="CU54:CW54"/>
    <mergeCell ref="JG36:JI36"/>
    <mergeCell ref="JG54:JI54"/>
    <mergeCell ref="JG56:JI56"/>
    <mergeCell ref="JG57:JI57"/>
    <mergeCell ref="JG59:JI59"/>
    <mergeCell ref="JG60:JI60"/>
    <mergeCell ref="JJ2:JL2"/>
    <mergeCell ref="JJ3:JL3"/>
    <mergeCell ref="JJ5:JL5"/>
    <mergeCell ref="JJ6:JL6"/>
    <mergeCell ref="JJ7:JL7"/>
    <mergeCell ref="JJ8:JL8"/>
    <mergeCell ref="JJ9:JL9"/>
    <mergeCell ref="JJ10:JL10"/>
    <mergeCell ref="JJ11:JL11"/>
    <mergeCell ref="JJ14:JL14"/>
    <mergeCell ref="JJ15:JL15"/>
    <mergeCell ref="JG16:JI16"/>
    <mergeCell ref="JG29:JI29"/>
    <mergeCell ref="JG39:JI39"/>
    <mergeCell ref="JG19:JI19"/>
    <mergeCell ref="JG20:JI20"/>
    <mergeCell ref="JG21:JI21"/>
    <mergeCell ref="JG22:JI22"/>
    <mergeCell ref="JJ22:JL22"/>
    <mergeCell ref="JG2:JI2"/>
    <mergeCell ref="JG3:JI3"/>
    <mergeCell ref="JG5:JI5"/>
    <mergeCell ref="JG6:JI6"/>
    <mergeCell ref="JG7:JI7"/>
    <mergeCell ref="JG8:JI8"/>
    <mergeCell ref="JJ36:JL36"/>
    <mergeCell ref="JJ54:JL54"/>
    <mergeCell ref="JJ56:JL56"/>
    <mergeCell ref="JJ57:JL57"/>
    <mergeCell ref="JJ59:JL59"/>
    <mergeCell ref="JJ60:JL60"/>
    <mergeCell ref="JM2:JO2"/>
    <mergeCell ref="JP2:JR2"/>
    <mergeCell ref="JM3:JO3"/>
    <mergeCell ref="JP3:JR3"/>
    <mergeCell ref="JM5:JO5"/>
    <mergeCell ref="JP5:JR5"/>
    <mergeCell ref="JM6:JO6"/>
    <mergeCell ref="JP6:JR6"/>
    <mergeCell ref="JM7:JO7"/>
    <mergeCell ref="JP7:JR7"/>
    <mergeCell ref="JM8:JO8"/>
    <mergeCell ref="JP8:JR8"/>
    <mergeCell ref="JM9:JO9"/>
    <mergeCell ref="JP9:JR9"/>
    <mergeCell ref="JM10:JO10"/>
    <mergeCell ref="JP10:JR10"/>
    <mergeCell ref="JM11:JO11"/>
    <mergeCell ref="JP11:JR11"/>
    <mergeCell ref="JM14:JO14"/>
    <mergeCell ref="JJ16:JL16"/>
    <mergeCell ref="JJ29:JL29"/>
    <mergeCell ref="JJ39:JL39"/>
    <mergeCell ref="JJ19:JL19"/>
    <mergeCell ref="JJ20:JL20"/>
    <mergeCell ref="JJ21:JL21"/>
    <mergeCell ref="JP14:JR14"/>
    <mergeCell ref="JM15:JO15"/>
    <mergeCell ref="JP15:JR15"/>
    <mergeCell ref="JM56:JO56"/>
    <mergeCell ref="JP56:JR56"/>
    <mergeCell ref="JM57:JO57"/>
    <mergeCell ref="JP57:JR57"/>
    <mergeCell ref="JM59:JO59"/>
    <mergeCell ref="JP59:JR59"/>
    <mergeCell ref="JM39:JO39"/>
    <mergeCell ref="JP39:JR39"/>
    <mergeCell ref="JM19:JO19"/>
    <mergeCell ref="JP19:JR19"/>
    <mergeCell ref="JM20:JO20"/>
    <mergeCell ref="JP20:JR20"/>
    <mergeCell ref="JM21:JO21"/>
    <mergeCell ref="JP21:JR21"/>
    <mergeCell ref="JM22:JO22"/>
    <mergeCell ref="JP22:JR22"/>
    <mergeCell ref="JM36:JO36"/>
    <mergeCell ref="JP36:JR36"/>
    <mergeCell ref="JM16:JO16"/>
    <mergeCell ref="JP16:JR16"/>
    <mergeCell ref="JM29:JO29"/>
    <mergeCell ref="JP29:JR29"/>
    <mergeCell ref="JM54:JO54"/>
    <mergeCell ref="JP54:JR54"/>
    <mergeCell ref="JM55:JO55"/>
    <mergeCell ref="JP55:JR55"/>
    <mergeCell ref="JY10:KA10"/>
    <mergeCell ref="KB10:KD10"/>
    <mergeCell ref="JS11:JU11"/>
    <mergeCell ref="JV11:JX11"/>
    <mergeCell ref="JY11:KA11"/>
    <mergeCell ref="KB11:KD11"/>
    <mergeCell ref="JS14:JU14"/>
    <mergeCell ref="JV14:JX14"/>
    <mergeCell ref="JY14:KA14"/>
    <mergeCell ref="KB14:KD14"/>
    <mergeCell ref="JS15:JU15"/>
    <mergeCell ref="JV15:JX15"/>
    <mergeCell ref="JY15:KA15"/>
    <mergeCell ref="KB15:KD15"/>
    <mergeCell ref="JS2:JU2"/>
    <mergeCell ref="JV2:JX2"/>
    <mergeCell ref="JY2:KA2"/>
    <mergeCell ref="KB2:KD2"/>
    <mergeCell ref="JS3:JU3"/>
    <mergeCell ref="JV3:JX3"/>
    <mergeCell ref="JY3:KA3"/>
    <mergeCell ref="KB3:KD3"/>
    <mergeCell ref="JS5:JU5"/>
    <mergeCell ref="JV5:JX5"/>
    <mergeCell ref="JY5:KA5"/>
    <mergeCell ref="KB5:KD5"/>
    <mergeCell ref="JS6:JU6"/>
    <mergeCell ref="JV6:JX6"/>
    <mergeCell ref="JY6:KA6"/>
    <mergeCell ref="KB6:KD6"/>
    <mergeCell ref="JS7:JU7"/>
    <mergeCell ref="JV7:JX7"/>
    <mergeCell ref="JY7:KA7"/>
    <mergeCell ref="KB7:KD7"/>
    <mergeCell ref="JS8:JU8"/>
    <mergeCell ref="JV8:JX8"/>
    <mergeCell ref="JY8:KA8"/>
    <mergeCell ref="KB8:KD8"/>
    <mergeCell ref="JS9:JU9"/>
    <mergeCell ref="JV9:JX9"/>
    <mergeCell ref="JY9:KA9"/>
    <mergeCell ref="KB9:KD9"/>
    <mergeCell ref="JS10:JU10"/>
    <mergeCell ref="JV10:JX10"/>
    <mergeCell ref="JY13:KA13"/>
    <mergeCell ref="KB13:KD13"/>
    <mergeCell ref="JS39:JU39"/>
    <mergeCell ref="JV39:JX39"/>
    <mergeCell ref="JY39:KA39"/>
    <mergeCell ref="KB39:KD39"/>
    <mergeCell ref="JS19:JU19"/>
    <mergeCell ref="JV19:JX19"/>
    <mergeCell ref="JY19:KA19"/>
    <mergeCell ref="KB19:KD19"/>
    <mergeCell ref="JS20:JU20"/>
    <mergeCell ref="JV20:JX20"/>
    <mergeCell ref="JY20:KA20"/>
    <mergeCell ref="KB20:KD20"/>
    <mergeCell ref="JS21:JU21"/>
    <mergeCell ref="JV21:JX21"/>
    <mergeCell ref="JY21:KA21"/>
    <mergeCell ref="KB21:KD21"/>
    <mergeCell ref="JS22:JU22"/>
    <mergeCell ref="JV22:JX22"/>
    <mergeCell ref="JY22:KA22"/>
    <mergeCell ref="KB22:KD22"/>
    <mergeCell ref="JS16:JU16"/>
    <mergeCell ref="JV16:JX16"/>
    <mergeCell ref="JY16:KA16"/>
    <mergeCell ref="KB16:KD16"/>
    <mergeCell ref="KH2:KJ2"/>
    <mergeCell ref="KK2:KM2"/>
    <mergeCell ref="KN2:KP2"/>
    <mergeCell ref="KQ2:KS2"/>
    <mergeCell ref="KT2:KV2"/>
    <mergeCell ref="KE3:KG3"/>
    <mergeCell ref="KH3:KJ3"/>
    <mergeCell ref="KK3:KM3"/>
    <mergeCell ref="KN3:KP3"/>
    <mergeCell ref="KQ3:KS3"/>
    <mergeCell ref="KT3:KV3"/>
    <mergeCell ref="KE5:KG5"/>
    <mergeCell ref="KH5:KJ5"/>
    <mergeCell ref="KK5:KM5"/>
    <mergeCell ref="KN5:KP5"/>
    <mergeCell ref="KQ5:KS5"/>
    <mergeCell ref="KT5:KV5"/>
    <mergeCell ref="JV57:JX57"/>
    <mergeCell ref="JY57:KA57"/>
    <mergeCell ref="KB57:KD57"/>
    <mergeCell ref="JS59:JU59"/>
    <mergeCell ref="JV59:JX59"/>
    <mergeCell ref="JY59:KA59"/>
    <mergeCell ref="KB59:KD59"/>
    <mergeCell ref="JS60:JU60"/>
    <mergeCell ref="JV60:JX60"/>
    <mergeCell ref="JY60:KA60"/>
    <mergeCell ref="KB60:KD60"/>
    <mergeCell ref="KE2:KG2"/>
    <mergeCell ref="KE6:KG6"/>
    <mergeCell ref="KE9:KG9"/>
    <mergeCell ref="KE14:KG14"/>
    <mergeCell ref="JS54:JU54"/>
    <mergeCell ref="JV54:JX54"/>
    <mergeCell ref="JY54:KA54"/>
    <mergeCell ref="KB54:KD54"/>
    <mergeCell ref="KH9:KJ9"/>
    <mergeCell ref="JS36:JU36"/>
    <mergeCell ref="JV36:JX36"/>
    <mergeCell ref="JY36:KA36"/>
    <mergeCell ref="KB36:KD36"/>
    <mergeCell ref="KK9:KM9"/>
    <mergeCell ref="KN9:KP9"/>
    <mergeCell ref="KQ9:KS9"/>
    <mergeCell ref="KT9:KV9"/>
    <mergeCell ref="KE10:KG10"/>
    <mergeCell ref="KH10:KJ10"/>
    <mergeCell ref="KK10:KM10"/>
    <mergeCell ref="KN10:KP10"/>
    <mergeCell ref="KQ10:KS10"/>
    <mergeCell ref="KT10:KV10"/>
    <mergeCell ref="KE11:KG11"/>
    <mergeCell ref="KH11:KJ11"/>
    <mergeCell ref="KK11:KM11"/>
    <mergeCell ref="KN11:KP11"/>
    <mergeCell ref="KQ11:KS11"/>
    <mergeCell ref="KT11:KV11"/>
    <mergeCell ref="KH6:KJ6"/>
    <mergeCell ref="KK6:KM6"/>
    <mergeCell ref="KN6:KP6"/>
    <mergeCell ref="KQ6:KS6"/>
    <mergeCell ref="KT6:KV6"/>
    <mergeCell ref="KE7:KG7"/>
    <mergeCell ref="KH7:KJ7"/>
    <mergeCell ref="KK7:KM7"/>
    <mergeCell ref="KN7:KP7"/>
    <mergeCell ref="KQ7:KS7"/>
    <mergeCell ref="KT7:KV7"/>
    <mergeCell ref="KE8:KG8"/>
    <mergeCell ref="KH8:KJ8"/>
    <mergeCell ref="KK8:KM8"/>
    <mergeCell ref="KN8:KP8"/>
    <mergeCell ref="KQ8:KS8"/>
    <mergeCell ref="KT8:KV8"/>
    <mergeCell ref="KH14:KJ14"/>
    <mergeCell ref="KK14:KM14"/>
    <mergeCell ref="KN14:KP14"/>
    <mergeCell ref="KQ14:KS14"/>
    <mergeCell ref="KT14:KV14"/>
    <mergeCell ref="KE15:KG15"/>
    <mergeCell ref="KH15:KJ15"/>
    <mergeCell ref="KK15:KM15"/>
    <mergeCell ref="KN15:KP15"/>
    <mergeCell ref="KQ15:KS15"/>
    <mergeCell ref="KT15:KV15"/>
    <mergeCell ref="KE16:KG16"/>
    <mergeCell ref="KH16:KJ16"/>
    <mergeCell ref="KK16:KM16"/>
    <mergeCell ref="KN16:KP16"/>
    <mergeCell ref="KQ16:KS16"/>
    <mergeCell ref="KT16:KV16"/>
    <mergeCell ref="KE29:KG29"/>
    <mergeCell ref="KH29:KJ29"/>
    <mergeCell ref="KK29:KM29"/>
    <mergeCell ref="KN29:KP29"/>
    <mergeCell ref="KQ29:KS29"/>
    <mergeCell ref="KT29:KV29"/>
    <mergeCell ref="KE39:KG39"/>
    <mergeCell ref="KH39:KJ39"/>
    <mergeCell ref="KK39:KM39"/>
    <mergeCell ref="KN39:KP39"/>
    <mergeCell ref="KQ39:KS39"/>
    <mergeCell ref="KT39:KV39"/>
    <mergeCell ref="KT54:KV54"/>
    <mergeCell ref="JS55:JU55"/>
    <mergeCell ref="JV55:JX55"/>
    <mergeCell ref="JY55:KA55"/>
    <mergeCell ref="KB55:KD55"/>
    <mergeCell ref="KE55:KG55"/>
    <mergeCell ref="KH55:KJ55"/>
    <mergeCell ref="KK55:KM55"/>
    <mergeCell ref="KN55:KP55"/>
    <mergeCell ref="KQ55:KS55"/>
    <mergeCell ref="KT55:KV55"/>
    <mergeCell ref="KN22:KP22"/>
    <mergeCell ref="KQ22:KS22"/>
    <mergeCell ref="KT22:KV22"/>
    <mergeCell ref="KE36:KG36"/>
    <mergeCell ref="KH36:KJ36"/>
    <mergeCell ref="KK36:KM36"/>
    <mergeCell ref="KN36:KP36"/>
    <mergeCell ref="KQ36:KS36"/>
    <mergeCell ref="KT36:KV36"/>
    <mergeCell ref="KE19:KG19"/>
    <mergeCell ref="KH19:KJ19"/>
    <mergeCell ref="KK19:KM19"/>
    <mergeCell ref="KN19:KP19"/>
    <mergeCell ref="KQ19:KS19"/>
    <mergeCell ref="KT19:KV19"/>
    <mergeCell ref="KE20:KG20"/>
    <mergeCell ref="KH20:KJ20"/>
    <mergeCell ref="KK20:KM20"/>
    <mergeCell ref="KN20:KP20"/>
    <mergeCell ref="KQ20:KS20"/>
    <mergeCell ref="KT20:KV20"/>
    <mergeCell ref="KE21:KG21"/>
    <mergeCell ref="KH21:KJ21"/>
    <mergeCell ref="KK21:KM21"/>
    <mergeCell ref="KN21:KP21"/>
    <mergeCell ref="KQ21:KS21"/>
    <mergeCell ref="KT21:KV21"/>
    <mergeCell ref="JS29:JU29"/>
    <mergeCell ref="JV29:JX29"/>
    <mergeCell ref="JY29:KA29"/>
    <mergeCell ref="KB29:KD29"/>
    <mergeCell ref="KW15:KY15"/>
    <mergeCell ref="JM60:JO60"/>
    <mergeCell ref="JP60:JR60"/>
    <mergeCell ref="KE60:KG60"/>
    <mergeCell ref="KH60:KJ60"/>
    <mergeCell ref="KK60:KM60"/>
    <mergeCell ref="KN60:KP60"/>
    <mergeCell ref="KQ60:KS60"/>
    <mergeCell ref="KT60:KV60"/>
    <mergeCell ref="KE56:KG56"/>
    <mergeCell ref="KH56:KJ56"/>
    <mergeCell ref="KK56:KM56"/>
    <mergeCell ref="KN56:KP56"/>
    <mergeCell ref="KQ56:KS56"/>
    <mergeCell ref="KT56:KV56"/>
    <mergeCell ref="KE57:KG57"/>
    <mergeCell ref="KH57:KJ57"/>
    <mergeCell ref="KK57:KM57"/>
    <mergeCell ref="KN57:KP57"/>
    <mergeCell ref="KQ57:KS57"/>
    <mergeCell ref="KT57:KV57"/>
    <mergeCell ref="KE59:KG59"/>
    <mergeCell ref="KH59:KJ59"/>
    <mergeCell ref="KK59:KM59"/>
    <mergeCell ref="KN59:KP59"/>
    <mergeCell ref="KQ59:KS59"/>
    <mergeCell ref="KT59:KV59"/>
    <mergeCell ref="JS56:JU56"/>
    <mergeCell ref="JV56:JX56"/>
    <mergeCell ref="JY56:KA56"/>
    <mergeCell ref="KB56:KD56"/>
    <mergeCell ref="JS57:JU57"/>
    <mergeCell ref="KE54:KG54"/>
    <mergeCell ref="KH54:KJ54"/>
    <mergeCell ref="KK54:KM54"/>
    <mergeCell ref="KN54:KP54"/>
    <mergeCell ref="KQ54:KS54"/>
    <mergeCell ref="KW56:KY56"/>
    <mergeCell ref="KW57:KY57"/>
    <mergeCell ref="KW59:KY59"/>
    <mergeCell ref="KW60:KY60"/>
    <mergeCell ref="KZ2:LB2"/>
    <mergeCell ref="KZ3:LB3"/>
    <mergeCell ref="KZ5:LB5"/>
    <mergeCell ref="KZ6:LB6"/>
    <mergeCell ref="KZ7:LB7"/>
    <mergeCell ref="KZ8:LB8"/>
    <mergeCell ref="KZ9:LB9"/>
    <mergeCell ref="KZ10:LB10"/>
    <mergeCell ref="KZ11:LB11"/>
    <mergeCell ref="KZ14:LB14"/>
    <mergeCell ref="KZ15:LB15"/>
    <mergeCell ref="KW16:KY16"/>
    <mergeCell ref="KW29:KY29"/>
    <mergeCell ref="KW39:KY39"/>
    <mergeCell ref="KW19:KY19"/>
    <mergeCell ref="KW20:KY20"/>
    <mergeCell ref="KW21:KY21"/>
    <mergeCell ref="KW22:KY22"/>
    <mergeCell ref="KW2:KY2"/>
    <mergeCell ref="KW3:KY3"/>
    <mergeCell ref="KW5:KY5"/>
    <mergeCell ref="KW6:KY6"/>
    <mergeCell ref="KW7:KY7"/>
    <mergeCell ref="KW8:KY8"/>
    <mergeCell ref="KW9:KY9"/>
    <mergeCell ref="KW10:KY10"/>
    <mergeCell ref="KW11:KY11"/>
    <mergeCell ref="KW14:KY14"/>
    <mergeCell ref="LC15:LE15"/>
    <mergeCell ref="LF15:LH15"/>
    <mergeCell ref="KZ36:LB36"/>
    <mergeCell ref="KZ54:LB54"/>
    <mergeCell ref="KZ56:LB56"/>
    <mergeCell ref="KZ57:LB57"/>
    <mergeCell ref="KZ59:LB59"/>
    <mergeCell ref="KZ60:LB60"/>
    <mergeCell ref="LC2:LE2"/>
    <mergeCell ref="LF2:LH2"/>
    <mergeCell ref="LC3:LE3"/>
    <mergeCell ref="LF3:LH3"/>
    <mergeCell ref="LC5:LE5"/>
    <mergeCell ref="LF5:LH5"/>
    <mergeCell ref="LC6:LE6"/>
    <mergeCell ref="LF6:LH6"/>
    <mergeCell ref="LC7:LE7"/>
    <mergeCell ref="LF7:LH7"/>
    <mergeCell ref="LC8:LE8"/>
    <mergeCell ref="LF8:LH8"/>
    <mergeCell ref="LC9:LE9"/>
    <mergeCell ref="LF9:LH9"/>
    <mergeCell ref="LC10:LE10"/>
    <mergeCell ref="LF10:LH10"/>
    <mergeCell ref="LC11:LE11"/>
    <mergeCell ref="LF11:LH11"/>
    <mergeCell ref="LC14:LE14"/>
    <mergeCell ref="KZ16:LB16"/>
    <mergeCell ref="KZ29:LB29"/>
    <mergeCell ref="KZ39:LB39"/>
    <mergeCell ref="KZ19:LB19"/>
    <mergeCell ref="KZ20:LB20"/>
    <mergeCell ref="KZ21:LB21"/>
    <mergeCell ref="LC54:LE54"/>
    <mergeCell ref="LF54:LH54"/>
    <mergeCell ref="LC56:LE56"/>
    <mergeCell ref="LF56:LH56"/>
    <mergeCell ref="LC39:LE39"/>
    <mergeCell ref="LF39:LH39"/>
    <mergeCell ref="LC19:LE19"/>
    <mergeCell ref="LF19:LH19"/>
    <mergeCell ref="LC20:LE20"/>
    <mergeCell ref="LF20:LH20"/>
    <mergeCell ref="LC21:LE21"/>
    <mergeCell ref="LF21:LH21"/>
    <mergeCell ref="LC22:LE22"/>
    <mergeCell ref="LF22:LH22"/>
    <mergeCell ref="LC36:LE36"/>
    <mergeCell ref="LF36:LH36"/>
    <mergeCell ref="LC16:LE16"/>
    <mergeCell ref="LF16:LH16"/>
    <mergeCell ref="LC29:LE29"/>
    <mergeCell ref="LF29:LH29"/>
    <mergeCell ref="LC40:LE40"/>
    <mergeCell ref="LF40:LH40"/>
    <mergeCell ref="LO10:LQ10"/>
    <mergeCell ref="LR10:LT10"/>
    <mergeCell ref="LI11:LK11"/>
    <mergeCell ref="LL11:LN11"/>
    <mergeCell ref="LO11:LQ11"/>
    <mergeCell ref="LR11:LT11"/>
    <mergeCell ref="LI14:LK14"/>
    <mergeCell ref="LL14:LN14"/>
    <mergeCell ref="LO14:LQ14"/>
    <mergeCell ref="LR14:LT14"/>
    <mergeCell ref="LI15:LK15"/>
    <mergeCell ref="LL15:LN15"/>
    <mergeCell ref="LO15:LQ15"/>
    <mergeCell ref="LR15:LT15"/>
    <mergeCell ref="LI2:LK2"/>
    <mergeCell ref="LL2:LN2"/>
    <mergeCell ref="LO2:LQ2"/>
    <mergeCell ref="LR2:LT2"/>
    <mergeCell ref="LI3:LK3"/>
    <mergeCell ref="LL3:LN3"/>
    <mergeCell ref="LO3:LQ3"/>
    <mergeCell ref="LR3:LT3"/>
    <mergeCell ref="LI5:LK5"/>
    <mergeCell ref="LL5:LN5"/>
    <mergeCell ref="LO5:LQ5"/>
    <mergeCell ref="LR5:LT5"/>
    <mergeCell ref="LI6:LK6"/>
    <mergeCell ref="LL6:LN6"/>
    <mergeCell ref="LO6:LQ6"/>
    <mergeCell ref="LR6:LT6"/>
    <mergeCell ref="LI7:LK7"/>
    <mergeCell ref="LL7:LN7"/>
    <mergeCell ref="LO7:LQ7"/>
    <mergeCell ref="LR7:LT7"/>
    <mergeCell ref="LI8:LK8"/>
    <mergeCell ref="LL8:LN8"/>
    <mergeCell ref="LO8:LQ8"/>
    <mergeCell ref="LR8:LT8"/>
    <mergeCell ref="LI9:LK9"/>
    <mergeCell ref="LL9:LN9"/>
    <mergeCell ref="LO9:LQ9"/>
    <mergeCell ref="LR9:LT9"/>
    <mergeCell ref="LI10:LK10"/>
    <mergeCell ref="LL10:LN10"/>
    <mergeCell ref="LI29:LK29"/>
    <mergeCell ref="LL29:LN29"/>
    <mergeCell ref="LO29:LQ29"/>
    <mergeCell ref="LR29:LT29"/>
    <mergeCell ref="LI39:LK39"/>
    <mergeCell ref="LL39:LN39"/>
    <mergeCell ref="LO39:LQ39"/>
    <mergeCell ref="LR39:LT39"/>
    <mergeCell ref="LI19:LK19"/>
    <mergeCell ref="LL19:LN19"/>
    <mergeCell ref="LO19:LQ19"/>
    <mergeCell ref="LR19:LT19"/>
    <mergeCell ref="LI20:LK20"/>
    <mergeCell ref="LL20:LN20"/>
    <mergeCell ref="LO20:LQ20"/>
    <mergeCell ref="LR20:LT20"/>
    <mergeCell ref="LI21:LK21"/>
    <mergeCell ref="LL21:LN21"/>
    <mergeCell ref="LO21:LQ21"/>
    <mergeCell ref="LR21:LT21"/>
    <mergeCell ref="LI16:LK16"/>
    <mergeCell ref="LL16:LN16"/>
    <mergeCell ref="LO16:LQ16"/>
    <mergeCell ref="LR16:LT16"/>
    <mergeCell ref="LU2:LW2"/>
    <mergeCell ref="LX2:LZ2"/>
    <mergeCell ref="MA2:MC2"/>
    <mergeCell ref="MD2:MF2"/>
    <mergeCell ref="MG2:MI2"/>
    <mergeCell ref="MJ2:ML2"/>
    <mergeCell ref="LU3:LW3"/>
    <mergeCell ref="LX3:LZ3"/>
    <mergeCell ref="MA3:MC3"/>
    <mergeCell ref="MD3:MF3"/>
    <mergeCell ref="MG3:MI3"/>
    <mergeCell ref="MJ3:ML3"/>
    <mergeCell ref="LU5:LW5"/>
    <mergeCell ref="LX5:LZ5"/>
    <mergeCell ref="MA5:MC5"/>
    <mergeCell ref="MD5:MF5"/>
    <mergeCell ref="MG5:MI5"/>
    <mergeCell ref="MJ5:ML5"/>
    <mergeCell ref="LI56:LK56"/>
    <mergeCell ref="LL56:LN56"/>
    <mergeCell ref="LO56:LQ56"/>
    <mergeCell ref="LR56:LT56"/>
    <mergeCell ref="LI57:LK57"/>
    <mergeCell ref="LL57:LN57"/>
    <mergeCell ref="LO57:LQ57"/>
    <mergeCell ref="LR57:LT57"/>
    <mergeCell ref="LI59:LK59"/>
    <mergeCell ref="LL59:LN59"/>
    <mergeCell ref="LO59:LQ59"/>
    <mergeCell ref="LR59:LT59"/>
    <mergeCell ref="LI60:LK60"/>
    <mergeCell ref="LL60:LN60"/>
    <mergeCell ref="LO60:LQ60"/>
    <mergeCell ref="LR60:LT60"/>
    <mergeCell ref="LI22:LK22"/>
    <mergeCell ref="LL22:LN22"/>
    <mergeCell ref="LO22:LQ22"/>
    <mergeCell ref="LR22:LT22"/>
    <mergeCell ref="LI36:LK36"/>
    <mergeCell ref="LL36:LN36"/>
    <mergeCell ref="LR36:LT36"/>
    <mergeCell ref="LU14:LW14"/>
    <mergeCell ref="LX14:LZ14"/>
    <mergeCell ref="MA14:MC14"/>
    <mergeCell ref="MD14:MF14"/>
    <mergeCell ref="MG14:MI14"/>
    <mergeCell ref="MJ14:ML14"/>
    <mergeCell ref="LU15:LW15"/>
    <mergeCell ref="LX15:LZ15"/>
    <mergeCell ref="MA15:MC15"/>
    <mergeCell ref="MD15:MF15"/>
    <mergeCell ref="MG15:MI15"/>
    <mergeCell ref="MJ15:ML15"/>
    <mergeCell ref="LU9:LW9"/>
    <mergeCell ref="LX9:LZ9"/>
    <mergeCell ref="MA9:MC9"/>
    <mergeCell ref="MD9:MF9"/>
    <mergeCell ref="MG9:MI9"/>
    <mergeCell ref="MJ9:ML9"/>
    <mergeCell ref="LU10:LW10"/>
    <mergeCell ref="LX10:LZ10"/>
    <mergeCell ref="MA10:MC10"/>
    <mergeCell ref="MD10:MF10"/>
    <mergeCell ref="MG10:MI10"/>
    <mergeCell ref="MJ10:ML10"/>
    <mergeCell ref="LU11:LW11"/>
    <mergeCell ref="LX11:LZ11"/>
    <mergeCell ref="MA11:MC11"/>
    <mergeCell ref="MD11:MF11"/>
    <mergeCell ref="MG11:MI11"/>
    <mergeCell ref="MJ11:ML11"/>
    <mergeCell ref="LU6:LW6"/>
    <mergeCell ref="LX6:LZ6"/>
    <mergeCell ref="MA6:MC6"/>
    <mergeCell ref="MD6:MF6"/>
    <mergeCell ref="MG6:MI6"/>
    <mergeCell ref="MJ6:ML6"/>
    <mergeCell ref="LU7:LW7"/>
    <mergeCell ref="LX7:LZ7"/>
    <mergeCell ref="MA7:MC7"/>
    <mergeCell ref="MD7:MF7"/>
    <mergeCell ref="MG7:MI7"/>
    <mergeCell ref="MJ7:ML7"/>
    <mergeCell ref="LU8:LW8"/>
    <mergeCell ref="LX8:LZ8"/>
    <mergeCell ref="MA8:MC8"/>
    <mergeCell ref="MD8:MF8"/>
    <mergeCell ref="MG8:MI8"/>
    <mergeCell ref="MJ8:ML8"/>
    <mergeCell ref="LU19:LW19"/>
    <mergeCell ref="LX19:LZ19"/>
    <mergeCell ref="MA19:MC19"/>
    <mergeCell ref="MD19:MF19"/>
    <mergeCell ref="MG19:MI19"/>
    <mergeCell ref="MJ19:ML19"/>
    <mergeCell ref="LU20:LW20"/>
    <mergeCell ref="LX20:LZ20"/>
    <mergeCell ref="MA20:MC20"/>
    <mergeCell ref="MD20:MF20"/>
    <mergeCell ref="MG20:MI20"/>
    <mergeCell ref="MJ20:ML20"/>
    <mergeCell ref="LU16:LW16"/>
    <mergeCell ref="LX16:LZ16"/>
    <mergeCell ref="MA16:MC16"/>
    <mergeCell ref="MD16:MF16"/>
    <mergeCell ref="MG16:MI16"/>
    <mergeCell ref="MJ16:ML16"/>
    <mergeCell ref="LU29:LW29"/>
    <mergeCell ref="LX29:LZ29"/>
    <mergeCell ref="MA29:MC29"/>
    <mergeCell ref="MD29:MF29"/>
    <mergeCell ref="MG29:MI29"/>
    <mergeCell ref="MJ29:ML29"/>
    <mergeCell ref="LU36:LW36"/>
    <mergeCell ref="LX36:LZ36"/>
    <mergeCell ref="MA36:MC36"/>
    <mergeCell ref="MD36:MF36"/>
    <mergeCell ref="MG36:MI36"/>
    <mergeCell ref="MJ36:ML36"/>
    <mergeCell ref="LU21:LW21"/>
    <mergeCell ref="LX21:LZ21"/>
    <mergeCell ref="MA21:MC21"/>
    <mergeCell ref="MD21:MF21"/>
    <mergeCell ref="MG21:MI21"/>
    <mergeCell ref="MJ21:ML21"/>
    <mergeCell ref="LU22:LW22"/>
    <mergeCell ref="LX22:LZ22"/>
    <mergeCell ref="MA22:MC22"/>
    <mergeCell ref="MD22:MF22"/>
    <mergeCell ref="MG22:MI22"/>
    <mergeCell ref="MJ22:ML22"/>
    <mergeCell ref="LU56:LW56"/>
    <mergeCell ref="LX56:LZ56"/>
    <mergeCell ref="MA56:MC56"/>
    <mergeCell ref="MD56:MF56"/>
    <mergeCell ref="MG56:MI56"/>
    <mergeCell ref="MJ56:ML56"/>
    <mergeCell ref="LU57:LW57"/>
    <mergeCell ref="LX57:LZ57"/>
    <mergeCell ref="MA57:MC57"/>
    <mergeCell ref="MD57:MF57"/>
    <mergeCell ref="MG57:MI57"/>
    <mergeCell ref="MJ57:ML57"/>
    <mergeCell ref="LU39:LW39"/>
    <mergeCell ref="LX39:LZ39"/>
    <mergeCell ref="MA39:MC39"/>
    <mergeCell ref="MD39:MF39"/>
    <mergeCell ref="MG39:MI39"/>
    <mergeCell ref="MJ39:ML39"/>
    <mergeCell ref="LU59:LW59"/>
    <mergeCell ref="LX59:LZ59"/>
    <mergeCell ref="MA59:MC59"/>
    <mergeCell ref="LU54:LW54"/>
    <mergeCell ref="LX54:LZ54"/>
    <mergeCell ref="MA54:MC54"/>
    <mergeCell ref="MD54:MF54"/>
    <mergeCell ref="MG54:MI54"/>
    <mergeCell ref="MJ54:ML54"/>
    <mergeCell ref="MD59:MF59"/>
    <mergeCell ref="MG59:MI59"/>
    <mergeCell ref="MJ59:ML59"/>
    <mergeCell ref="MG40:MI40"/>
    <mergeCell ref="MJ40:ML40"/>
    <mergeCell ref="NT5:NV5"/>
    <mergeCell ref="NW5:NY5"/>
    <mergeCell ref="NZ5:OB5"/>
    <mergeCell ref="MM6:MO6"/>
    <mergeCell ref="MP6:MR6"/>
    <mergeCell ref="MS6:MU6"/>
    <mergeCell ref="MV6:MX6"/>
    <mergeCell ref="MY6:NA6"/>
    <mergeCell ref="NB6:ND6"/>
    <mergeCell ref="NE6:NG6"/>
    <mergeCell ref="NH6:NJ6"/>
    <mergeCell ref="NK6:NM6"/>
    <mergeCell ref="NN6:NP6"/>
    <mergeCell ref="NQ6:NS6"/>
    <mergeCell ref="NT6:NV6"/>
    <mergeCell ref="NW6:NY6"/>
    <mergeCell ref="NZ6:OB6"/>
    <mergeCell ref="NT2:NV2"/>
    <mergeCell ref="NW2:NY2"/>
    <mergeCell ref="NZ2:OB2"/>
    <mergeCell ref="MM3:MO3"/>
    <mergeCell ref="MP3:MR3"/>
    <mergeCell ref="MS3:MU3"/>
    <mergeCell ref="MV3:MX3"/>
    <mergeCell ref="MY3:NA3"/>
    <mergeCell ref="NB3:ND3"/>
    <mergeCell ref="NE3:NG3"/>
    <mergeCell ref="NH3:NJ3"/>
    <mergeCell ref="NK3:NM3"/>
    <mergeCell ref="NN3:NP3"/>
    <mergeCell ref="NQ3:NS3"/>
    <mergeCell ref="NT3:NV3"/>
    <mergeCell ref="NW3:NY3"/>
    <mergeCell ref="NZ3:OB3"/>
    <mergeCell ref="MM2:MO2"/>
    <mergeCell ref="MP2:MR2"/>
    <mergeCell ref="MS2:MU2"/>
    <mergeCell ref="MV2:MX2"/>
    <mergeCell ref="MY2:NA2"/>
    <mergeCell ref="NB2:ND2"/>
    <mergeCell ref="NE2:NG2"/>
    <mergeCell ref="NH2:NJ2"/>
    <mergeCell ref="NK2:NM2"/>
    <mergeCell ref="NN2:NP2"/>
    <mergeCell ref="NQ2:NS2"/>
    <mergeCell ref="MM5:MO5"/>
    <mergeCell ref="MP5:MR5"/>
    <mergeCell ref="MS5:MU5"/>
    <mergeCell ref="MV5:MX5"/>
    <mergeCell ref="MY5:NA5"/>
    <mergeCell ref="NB5:ND5"/>
    <mergeCell ref="NE5:NG5"/>
    <mergeCell ref="NH5:NJ5"/>
    <mergeCell ref="NK5:NM5"/>
    <mergeCell ref="NN5:NP5"/>
    <mergeCell ref="NQ5:NS5"/>
    <mergeCell ref="MM9:MO9"/>
    <mergeCell ref="MP9:MR9"/>
    <mergeCell ref="MS9:MU9"/>
    <mergeCell ref="MV9:MX9"/>
    <mergeCell ref="MY9:NA9"/>
    <mergeCell ref="NB9:ND9"/>
    <mergeCell ref="NE9:NG9"/>
    <mergeCell ref="NH9:NJ9"/>
    <mergeCell ref="NK9:NM9"/>
    <mergeCell ref="NN9:NP9"/>
    <mergeCell ref="NQ9:NS9"/>
    <mergeCell ref="NT9:NV9"/>
    <mergeCell ref="NW9:NY9"/>
    <mergeCell ref="NZ9:OB9"/>
    <mergeCell ref="MM10:MO10"/>
    <mergeCell ref="MP10:MR10"/>
    <mergeCell ref="MS10:MU10"/>
    <mergeCell ref="MV10:MX10"/>
    <mergeCell ref="MY10:NA10"/>
    <mergeCell ref="NB10:ND10"/>
    <mergeCell ref="NE10:NG10"/>
    <mergeCell ref="NH10:NJ10"/>
    <mergeCell ref="NK10:NM10"/>
    <mergeCell ref="NN10:NP10"/>
    <mergeCell ref="NQ10:NS10"/>
    <mergeCell ref="NT10:NV10"/>
    <mergeCell ref="NW10:NY10"/>
    <mergeCell ref="NZ10:OB10"/>
    <mergeCell ref="MY7:NA7"/>
    <mergeCell ref="NB7:ND7"/>
    <mergeCell ref="NE7:NG7"/>
    <mergeCell ref="NH7:NJ7"/>
    <mergeCell ref="NK7:NM7"/>
    <mergeCell ref="NN7:NP7"/>
    <mergeCell ref="NQ7:NS7"/>
    <mergeCell ref="NT7:NV7"/>
    <mergeCell ref="NW7:NY7"/>
    <mergeCell ref="NZ7:OB7"/>
    <mergeCell ref="MM8:MO8"/>
    <mergeCell ref="MP8:MR8"/>
    <mergeCell ref="MS8:MU8"/>
    <mergeCell ref="MV8:MX8"/>
    <mergeCell ref="MY8:NA8"/>
    <mergeCell ref="NB8:ND8"/>
    <mergeCell ref="NE8:NG8"/>
    <mergeCell ref="NH8:NJ8"/>
    <mergeCell ref="NK8:NM8"/>
    <mergeCell ref="NN8:NP8"/>
    <mergeCell ref="NQ8:NS8"/>
    <mergeCell ref="NT8:NV8"/>
    <mergeCell ref="NW8:NY8"/>
    <mergeCell ref="NZ8:OB8"/>
    <mergeCell ref="MM7:MO7"/>
    <mergeCell ref="MP7:MR7"/>
    <mergeCell ref="MS7:MU7"/>
    <mergeCell ref="MV7:MX7"/>
    <mergeCell ref="MM15:MO15"/>
    <mergeCell ref="MP15:MR15"/>
    <mergeCell ref="MS15:MU15"/>
    <mergeCell ref="MV15:MX15"/>
    <mergeCell ref="MY15:NA15"/>
    <mergeCell ref="NB15:ND15"/>
    <mergeCell ref="NE15:NG15"/>
    <mergeCell ref="NH15:NJ15"/>
    <mergeCell ref="NK15:NM15"/>
    <mergeCell ref="NN15:NP15"/>
    <mergeCell ref="NQ15:NS15"/>
    <mergeCell ref="NT15:NV15"/>
    <mergeCell ref="NW15:NY15"/>
    <mergeCell ref="NZ15:OB15"/>
    <mergeCell ref="MM11:MO11"/>
    <mergeCell ref="MP11:MR11"/>
    <mergeCell ref="MS11:MU11"/>
    <mergeCell ref="MV11:MX11"/>
    <mergeCell ref="MY11:NA11"/>
    <mergeCell ref="NB11:ND11"/>
    <mergeCell ref="NE11:NG11"/>
    <mergeCell ref="NH11:NJ11"/>
    <mergeCell ref="NK11:NM11"/>
    <mergeCell ref="NN11:NP11"/>
    <mergeCell ref="NQ11:NS11"/>
    <mergeCell ref="NT11:NV11"/>
    <mergeCell ref="NW11:NY11"/>
    <mergeCell ref="NZ11:OB11"/>
    <mergeCell ref="MM14:MO14"/>
    <mergeCell ref="MP14:MR14"/>
    <mergeCell ref="MS14:MU14"/>
    <mergeCell ref="MV14:MX14"/>
    <mergeCell ref="MY14:NA14"/>
    <mergeCell ref="NB14:ND14"/>
    <mergeCell ref="NE14:NG14"/>
    <mergeCell ref="NH14:NJ14"/>
    <mergeCell ref="NK14:NM14"/>
    <mergeCell ref="NN14:NP14"/>
    <mergeCell ref="NQ14:NS14"/>
    <mergeCell ref="NT14:NV14"/>
    <mergeCell ref="NW14:NY14"/>
    <mergeCell ref="NZ14:OB14"/>
    <mergeCell ref="NZ13:OB13"/>
    <mergeCell ref="NE30:NG30"/>
    <mergeCell ref="NH30:NJ30"/>
    <mergeCell ref="NE31:NG31"/>
    <mergeCell ref="NH31:NJ31"/>
    <mergeCell ref="NK33:NM33"/>
    <mergeCell ref="NK30:NM30"/>
    <mergeCell ref="NK31:NM31"/>
    <mergeCell ref="NN33:NP33"/>
    <mergeCell ref="NN30:NP30"/>
    <mergeCell ref="NN31:NP31"/>
    <mergeCell ref="NQ33:NS33"/>
    <mergeCell ref="NQ30:NS30"/>
    <mergeCell ref="NQ31:NS31"/>
    <mergeCell ref="NT33:NV33"/>
    <mergeCell ref="NT30:NV30"/>
    <mergeCell ref="NT31:NV31"/>
    <mergeCell ref="NW33:NY33"/>
    <mergeCell ref="NW30:NY30"/>
    <mergeCell ref="NW31:NY31"/>
    <mergeCell ref="NZ33:OB33"/>
    <mergeCell ref="NZ30:OB30"/>
    <mergeCell ref="NZ31:OB31"/>
    <mergeCell ref="MM29:MO29"/>
    <mergeCell ref="MP29:MR29"/>
    <mergeCell ref="MS29:MU29"/>
    <mergeCell ref="MV29:MX29"/>
    <mergeCell ref="MY29:NA29"/>
    <mergeCell ref="NB29:ND29"/>
    <mergeCell ref="NE29:NG29"/>
    <mergeCell ref="NH29:NJ29"/>
    <mergeCell ref="NK29:NM29"/>
    <mergeCell ref="NN29:NP29"/>
    <mergeCell ref="NQ29:NS29"/>
    <mergeCell ref="NT29:NV29"/>
    <mergeCell ref="NW29:NY29"/>
    <mergeCell ref="NZ29:OB29"/>
    <mergeCell ref="MM16:MO16"/>
    <mergeCell ref="MP16:MR16"/>
    <mergeCell ref="MS16:MU16"/>
    <mergeCell ref="MV16:MX16"/>
    <mergeCell ref="MY16:NA16"/>
    <mergeCell ref="NB16:ND16"/>
    <mergeCell ref="NE16:NG16"/>
    <mergeCell ref="NH16:NJ16"/>
    <mergeCell ref="NK16:NM16"/>
    <mergeCell ref="NN16:NP16"/>
    <mergeCell ref="NQ16:NS16"/>
    <mergeCell ref="NT16:NV16"/>
    <mergeCell ref="NW16:NY16"/>
    <mergeCell ref="NZ16:OB16"/>
    <mergeCell ref="MM21:MO21"/>
    <mergeCell ref="MP21:MR21"/>
    <mergeCell ref="MS21:MU21"/>
    <mergeCell ref="MV21:MX21"/>
    <mergeCell ref="MY21:NA21"/>
    <mergeCell ref="NB21:ND21"/>
    <mergeCell ref="NE21:NG21"/>
    <mergeCell ref="NH21:NJ21"/>
    <mergeCell ref="NK21:NM21"/>
    <mergeCell ref="NN21:NP21"/>
    <mergeCell ref="NQ21:NS21"/>
    <mergeCell ref="NT21:NV21"/>
    <mergeCell ref="NW21:NY21"/>
    <mergeCell ref="NZ21:OB21"/>
    <mergeCell ref="MM22:MO22"/>
    <mergeCell ref="MP22:MR22"/>
    <mergeCell ref="MS22:MU22"/>
    <mergeCell ref="MV22:MX22"/>
    <mergeCell ref="MY22:NA22"/>
    <mergeCell ref="NB22:ND22"/>
    <mergeCell ref="NE22:NG22"/>
    <mergeCell ref="NH22:NJ22"/>
    <mergeCell ref="NK22:NM22"/>
    <mergeCell ref="NN22:NP22"/>
    <mergeCell ref="NQ22:NS22"/>
    <mergeCell ref="NT22:NV22"/>
    <mergeCell ref="NW22:NY22"/>
    <mergeCell ref="NZ22:OB22"/>
    <mergeCell ref="MM19:MO19"/>
    <mergeCell ref="MP19:MR19"/>
    <mergeCell ref="MS19:MU19"/>
    <mergeCell ref="MV19:MX19"/>
    <mergeCell ref="MY19:NA19"/>
    <mergeCell ref="NB19:ND19"/>
    <mergeCell ref="NE19:NG19"/>
    <mergeCell ref="NH19:NJ19"/>
    <mergeCell ref="NK19:NM19"/>
    <mergeCell ref="NN19:NP19"/>
    <mergeCell ref="NQ19:NS19"/>
    <mergeCell ref="NT19:NV19"/>
    <mergeCell ref="NW19:NY19"/>
    <mergeCell ref="NZ19:OB19"/>
    <mergeCell ref="MM20:MO20"/>
    <mergeCell ref="MP20:MR20"/>
    <mergeCell ref="MS20:MU20"/>
    <mergeCell ref="MV20:MX20"/>
    <mergeCell ref="MY20:NA20"/>
    <mergeCell ref="NB20:ND20"/>
    <mergeCell ref="NE20:NG20"/>
    <mergeCell ref="NH20:NJ20"/>
    <mergeCell ref="NK20:NM20"/>
    <mergeCell ref="NN20:NP20"/>
    <mergeCell ref="NQ20:NS20"/>
    <mergeCell ref="NT20:NV20"/>
    <mergeCell ref="NW20:NY20"/>
    <mergeCell ref="NZ20:OB20"/>
    <mergeCell ref="MM39:MO39"/>
    <mergeCell ref="MP39:MR39"/>
    <mergeCell ref="MS39:MU39"/>
    <mergeCell ref="MV39:MX39"/>
    <mergeCell ref="MY39:NA39"/>
    <mergeCell ref="NB39:ND39"/>
    <mergeCell ref="NE39:NG39"/>
    <mergeCell ref="NH39:NJ39"/>
    <mergeCell ref="NK39:NM39"/>
    <mergeCell ref="NN39:NP39"/>
    <mergeCell ref="NQ39:NS39"/>
    <mergeCell ref="NT39:NV39"/>
    <mergeCell ref="NW39:NY39"/>
    <mergeCell ref="NZ39:OB39"/>
    <mergeCell ref="NE32:NG32"/>
    <mergeCell ref="NH32:NJ32"/>
    <mergeCell ref="NK32:NM32"/>
    <mergeCell ref="NN32:NP32"/>
    <mergeCell ref="NQ32:NS32"/>
    <mergeCell ref="NT32:NV32"/>
    <mergeCell ref="NW32:NY32"/>
    <mergeCell ref="NZ32:OB32"/>
    <mergeCell ref="MM36:MO36"/>
    <mergeCell ref="MP36:MR36"/>
    <mergeCell ref="MS36:MU36"/>
    <mergeCell ref="MV36:MX36"/>
    <mergeCell ref="MY36:NA36"/>
    <mergeCell ref="NB36:ND36"/>
    <mergeCell ref="NE36:NG36"/>
    <mergeCell ref="NH36:NJ36"/>
    <mergeCell ref="NK36:NM36"/>
    <mergeCell ref="NN36:NP36"/>
    <mergeCell ref="NQ36:NS36"/>
    <mergeCell ref="NT36:NV36"/>
    <mergeCell ref="NW36:NY36"/>
    <mergeCell ref="NZ36:OB36"/>
    <mergeCell ref="NE33:NG33"/>
    <mergeCell ref="NH33:NJ33"/>
    <mergeCell ref="MM56:MO56"/>
    <mergeCell ref="MP56:MR56"/>
    <mergeCell ref="MS56:MU56"/>
    <mergeCell ref="MV56:MX56"/>
    <mergeCell ref="MY56:NA56"/>
    <mergeCell ref="NB56:ND56"/>
    <mergeCell ref="NE56:NG56"/>
    <mergeCell ref="NH56:NJ56"/>
    <mergeCell ref="NK56:NM56"/>
    <mergeCell ref="NN56:NP56"/>
    <mergeCell ref="NQ56:NS56"/>
    <mergeCell ref="NT56:NV56"/>
    <mergeCell ref="NW56:NY56"/>
    <mergeCell ref="NZ56:OB56"/>
    <mergeCell ref="MM57:MO57"/>
    <mergeCell ref="MP57:MR57"/>
    <mergeCell ref="MS57:MU57"/>
    <mergeCell ref="MV57:MX57"/>
    <mergeCell ref="MY57:NA57"/>
    <mergeCell ref="NB57:ND57"/>
    <mergeCell ref="NE57:NG57"/>
    <mergeCell ref="NH57:NJ57"/>
    <mergeCell ref="NK57:NM57"/>
    <mergeCell ref="NN57:NP57"/>
    <mergeCell ref="NQ57:NS57"/>
    <mergeCell ref="NT57:NV57"/>
    <mergeCell ref="NW57:NY57"/>
    <mergeCell ref="NZ57:OB57"/>
    <mergeCell ref="MM54:MO54"/>
    <mergeCell ref="MP54:MR54"/>
    <mergeCell ref="MS54:MU54"/>
    <mergeCell ref="MV54:MX54"/>
    <mergeCell ref="MY54:NA54"/>
    <mergeCell ref="NB54:ND54"/>
    <mergeCell ref="NE54:NG54"/>
    <mergeCell ref="NH54:NJ54"/>
    <mergeCell ref="NK54:NM54"/>
    <mergeCell ref="NN54:NP54"/>
    <mergeCell ref="NQ54:NS54"/>
    <mergeCell ref="NT54:NV54"/>
    <mergeCell ref="NW54:NY54"/>
    <mergeCell ref="NZ54:OB54"/>
    <mergeCell ref="MV55:MX55"/>
    <mergeCell ref="MY55:NA55"/>
    <mergeCell ref="NH55:NJ55"/>
    <mergeCell ref="NK55:NM55"/>
    <mergeCell ref="NN55:NP55"/>
    <mergeCell ref="NQ55:NS55"/>
    <mergeCell ref="NT55:NV55"/>
    <mergeCell ref="NW55:NY55"/>
    <mergeCell ref="LC57:LE57"/>
    <mergeCell ref="LF57:LH57"/>
    <mergeCell ref="LC59:LE59"/>
    <mergeCell ref="LF59:LH59"/>
    <mergeCell ref="MM59:MO59"/>
    <mergeCell ref="MP59:MR59"/>
    <mergeCell ref="MS59:MU59"/>
    <mergeCell ref="MV59:MX59"/>
    <mergeCell ref="MY59:NA59"/>
    <mergeCell ref="NB59:ND59"/>
    <mergeCell ref="NE59:NG59"/>
    <mergeCell ref="NH59:NJ59"/>
    <mergeCell ref="NK59:NM59"/>
    <mergeCell ref="NN59:NP59"/>
    <mergeCell ref="NQ59:NS59"/>
    <mergeCell ref="NT59:NV59"/>
    <mergeCell ref="NW59:NY59"/>
    <mergeCell ref="NZ59:OB59"/>
    <mergeCell ref="MM60:MO60"/>
    <mergeCell ref="MP60:MR60"/>
    <mergeCell ref="MS60:MU60"/>
    <mergeCell ref="MV60:MX60"/>
    <mergeCell ref="MY60:NA60"/>
    <mergeCell ref="NB60:ND60"/>
    <mergeCell ref="NE60:NG60"/>
    <mergeCell ref="NH60:NJ60"/>
    <mergeCell ref="NK60:NM60"/>
    <mergeCell ref="NN60:NP60"/>
    <mergeCell ref="NQ60:NS60"/>
    <mergeCell ref="NT60:NV60"/>
    <mergeCell ref="NW60:NY60"/>
    <mergeCell ref="NZ60:OB60"/>
    <mergeCell ref="LU60:LW60"/>
    <mergeCell ref="LX60:LZ60"/>
    <mergeCell ref="MA60:MC60"/>
    <mergeCell ref="MD60:MF60"/>
    <mergeCell ref="MG60:MI60"/>
    <mergeCell ref="MJ60:ML60"/>
    <mergeCell ref="LC60:LE60"/>
    <mergeCell ref="LF60:LH60"/>
    <mergeCell ref="LI58:LK58"/>
    <mergeCell ref="LL58:LN58"/>
    <mergeCell ref="LO58:LQ58"/>
    <mergeCell ref="LR58:LT58"/>
    <mergeCell ref="LU58:LW58"/>
    <mergeCell ref="LX58:LZ58"/>
    <mergeCell ref="MA58:MC58"/>
    <mergeCell ref="MD58:MF58"/>
    <mergeCell ref="MG58:MI58"/>
    <mergeCell ref="MJ58:ML58"/>
    <mergeCell ref="MM58:MO58"/>
    <mergeCell ref="MP58:MR58"/>
    <mergeCell ref="MS58:MU58"/>
    <mergeCell ref="MV58:MX58"/>
    <mergeCell ref="MY58:NA58"/>
    <mergeCell ref="NB58:ND58"/>
    <mergeCell ref="NE58:NG58"/>
    <mergeCell ref="NH58:NJ58"/>
    <mergeCell ref="NK58:NM58"/>
    <mergeCell ref="NN58:NP58"/>
    <mergeCell ref="NQ58:NS58"/>
    <mergeCell ref="NT58:NV58"/>
    <mergeCell ref="NW58:NY58"/>
    <mergeCell ref="NZ58:OB58"/>
    <mergeCell ref="NZ55:OB55"/>
    <mergeCell ref="OC55:OE55"/>
    <mergeCell ref="LO36:LQ36"/>
    <mergeCell ref="KZ22:LB22"/>
    <mergeCell ref="KW36:KY36"/>
    <mergeCell ref="KE22:KG22"/>
    <mergeCell ref="KH22:KJ22"/>
    <mergeCell ref="KK22:KM22"/>
    <mergeCell ref="MA40:MC40"/>
    <mergeCell ref="MD40:MF40"/>
    <mergeCell ref="PV2:PX2"/>
    <mergeCell ref="PY2:QA2"/>
    <mergeCell ref="QB2:QD2"/>
    <mergeCell ref="QE2:QG2"/>
    <mergeCell ref="QH2:QJ2"/>
    <mergeCell ref="QK2:QM2"/>
    <mergeCell ref="PV3:PX3"/>
    <mergeCell ref="PY3:QA3"/>
    <mergeCell ref="QB3:QD3"/>
    <mergeCell ref="QE3:QG3"/>
    <mergeCell ref="QH3:QJ3"/>
    <mergeCell ref="QK3:QM3"/>
    <mergeCell ref="PV5:PX5"/>
    <mergeCell ref="PY5:QA5"/>
    <mergeCell ref="QB5:QD5"/>
    <mergeCell ref="QE5:QG5"/>
    <mergeCell ref="QH5:QJ5"/>
    <mergeCell ref="QK5:QM5"/>
    <mergeCell ref="PV6:PX6"/>
    <mergeCell ref="PY6:QA6"/>
    <mergeCell ref="QB6:QD6"/>
    <mergeCell ref="QE6:QG6"/>
    <mergeCell ref="QH6:QJ6"/>
    <mergeCell ref="QK6:QM6"/>
    <mergeCell ref="PV7:PX7"/>
    <mergeCell ref="PY7:QA7"/>
    <mergeCell ref="QB7:QD7"/>
    <mergeCell ref="QE7:QG7"/>
    <mergeCell ref="QH7:QJ7"/>
    <mergeCell ref="QK7:QM7"/>
    <mergeCell ref="PV8:PX8"/>
    <mergeCell ref="PY8:QA8"/>
    <mergeCell ref="QB8:QD8"/>
    <mergeCell ref="QE8:QG8"/>
    <mergeCell ref="QH8:QJ8"/>
    <mergeCell ref="QK8:QM8"/>
    <mergeCell ref="PV9:PX9"/>
    <mergeCell ref="PY9:QA9"/>
    <mergeCell ref="QB9:QD9"/>
    <mergeCell ref="QE9:QG9"/>
    <mergeCell ref="QH9:QJ9"/>
    <mergeCell ref="QK9:QM9"/>
    <mergeCell ref="PV10:PX10"/>
    <mergeCell ref="PY10:QA10"/>
    <mergeCell ref="QB10:QD10"/>
    <mergeCell ref="QE10:QG10"/>
    <mergeCell ref="QH10:QJ10"/>
    <mergeCell ref="QK10:QM10"/>
    <mergeCell ref="PV11:PX11"/>
    <mergeCell ref="PY11:QA11"/>
    <mergeCell ref="QB11:QD11"/>
    <mergeCell ref="QE11:QG11"/>
    <mergeCell ref="QH11:QJ11"/>
    <mergeCell ref="QK11:QM11"/>
    <mergeCell ref="PV14:PX14"/>
    <mergeCell ref="PY14:QA14"/>
    <mergeCell ref="QB14:QD14"/>
    <mergeCell ref="QE14:QG14"/>
    <mergeCell ref="QH14:QJ14"/>
    <mergeCell ref="QK14:QM14"/>
    <mergeCell ref="PV15:PX15"/>
    <mergeCell ref="PY15:QA15"/>
    <mergeCell ref="QB15:QD15"/>
    <mergeCell ref="QE15:QG15"/>
    <mergeCell ref="QH15:QJ15"/>
    <mergeCell ref="QK15:QM15"/>
    <mergeCell ref="PV13:PX13"/>
    <mergeCell ref="PY13:QA13"/>
    <mergeCell ref="QB13:QD13"/>
    <mergeCell ref="QE13:QG13"/>
    <mergeCell ref="QH13:QJ13"/>
    <mergeCell ref="QK13:QM13"/>
    <mergeCell ref="QH30:QJ30"/>
    <mergeCell ref="QK30:QM30"/>
    <mergeCell ref="PV31:PX31"/>
    <mergeCell ref="PY31:QA31"/>
    <mergeCell ref="QB31:QD31"/>
    <mergeCell ref="QE31:QG31"/>
    <mergeCell ref="QH31:QJ31"/>
    <mergeCell ref="QK31:QM31"/>
    <mergeCell ref="PV32:PX32"/>
    <mergeCell ref="PY32:QA32"/>
    <mergeCell ref="QB32:QD32"/>
    <mergeCell ref="QE32:QG32"/>
    <mergeCell ref="QH32:QJ32"/>
    <mergeCell ref="QK32:QM32"/>
    <mergeCell ref="PV39:PX39"/>
    <mergeCell ref="PY39:QA39"/>
    <mergeCell ref="QB39:QD39"/>
    <mergeCell ref="QE39:QG39"/>
    <mergeCell ref="QH39:QJ39"/>
    <mergeCell ref="QK39:QM39"/>
    <mergeCell ref="PV19:PX19"/>
    <mergeCell ref="PY19:QA19"/>
    <mergeCell ref="QB19:QD19"/>
    <mergeCell ref="QE19:QG19"/>
    <mergeCell ref="QH19:QJ19"/>
    <mergeCell ref="QK19:QM19"/>
    <mergeCell ref="PV16:PX16"/>
    <mergeCell ref="PY16:QA16"/>
    <mergeCell ref="QB16:QD16"/>
    <mergeCell ref="QE16:QG16"/>
    <mergeCell ref="QH16:QJ16"/>
    <mergeCell ref="QK16:QM16"/>
    <mergeCell ref="PV20:PX20"/>
    <mergeCell ref="PY20:QA20"/>
    <mergeCell ref="QB20:QD20"/>
    <mergeCell ref="QE20:QG20"/>
    <mergeCell ref="QH20:QJ20"/>
    <mergeCell ref="QK20:QM20"/>
    <mergeCell ref="PV21:PX21"/>
    <mergeCell ref="PY21:QA21"/>
    <mergeCell ref="QB21:QD21"/>
    <mergeCell ref="QE21:QG21"/>
    <mergeCell ref="QH21:QJ21"/>
    <mergeCell ref="QK21:QM21"/>
    <mergeCell ref="PV22:PX22"/>
    <mergeCell ref="PY22:QA22"/>
    <mergeCell ref="QB22:QD22"/>
    <mergeCell ref="QE22:QG22"/>
    <mergeCell ref="QH22:QJ22"/>
    <mergeCell ref="QK22:QM22"/>
    <mergeCell ref="PV36:PX36"/>
    <mergeCell ref="PY36:QA36"/>
    <mergeCell ref="QB36:QD36"/>
    <mergeCell ref="QE36:QG36"/>
    <mergeCell ref="QH36:QJ36"/>
    <mergeCell ref="QK36:QM36"/>
    <mergeCell ref="PV29:PX29"/>
    <mergeCell ref="PY29:QA29"/>
    <mergeCell ref="QB29:QD29"/>
    <mergeCell ref="QE29:QG29"/>
    <mergeCell ref="QH29:QJ29"/>
    <mergeCell ref="QK29:QM29"/>
    <mergeCell ref="PV33:PX33"/>
    <mergeCell ref="PY33:QA33"/>
    <mergeCell ref="QB33:QD33"/>
    <mergeCell ref="QE33:QG33"/>
    <mergeCell ref="QH33:QJ33"/>
    <mergeCell ref="QK33:QM33"/>
    <mergeCell ref="PV30:PX30"/>
    <mergeCell ref="PY30:QA30"/>
    <mergeCell ref="QB30:QD30"/>
    <mergeCell ref="QE30:QG30"/>
    <mergeCell ref="PV41:PX41"/>
    <mergeCell ref="PY41:QA41"/>
    <mergeCell ref="QB41:QD41"/>
    <mergeCell ref="QE41:QG41"/>
    <mergeCell ref="QH41:QJ41"/>
    <mergeCell ref="QK41:QM41"/>
    <mergeCell ref="PV54:PX54"/>
    <mergeCell ref="PY54:QA54"/>
    <mergeCell ref="QB54:QD54"/>
    <mergeCell ref="QE54:QG54"/>
    <mergeCell ref="QH54:QJ54"/>
    <mergeCell ref="QK54:QM54"/>
    <mergeCell ref="PV55:PX55"/>
    <mergeCell ref="PY55:QA55"/>
    <mergeCell ref="QB55:QD55"/>
    <mergeCell ref="QE55:QG55"/>
    <mergeCell ref="QH55:QJ55"/>
    <mergeCell ref="QK55:QM55"/>
    <mergeCell ref="PV56:PX56"/>
    <mergeCell ref="PY56:QA56"/>
    <mergeCell ref="QB56:QD56"/>
    <mergeCell ref="QE56:QG56"/>
    <mergeCell ref="QH56:QJ56"/>
    <mergeCell ref="QK56:QM56"/>
    <mergeCell ref="PV57:PX57"/>
    <mergeCell ref="PY57:QA57"/>
    <mergeCell ref="QB57:QD57"/>
    <mergeCell ref="QE57:QG57"/>
    <mergeCell ref="QH57:QJ57"/>
    <mergeCell ref="QK57:QM57"/>
    <mergeCell ref="PV40:PX40"/>
    <mergeCell ref="PY40:QA40"/>
    <mergeCell ref="QB40:QD40"/>
    <mergeCell ref="QE40:QG40"/>
    <mergeCell ref="QH40:QJ40"/>
    <mergeCell ref="QK40:QM40"/>
    <mergeCell ref="PV59:PX59"/>
    <mergeCell ref="PY59:QA59"/>
    <mergeCell ref="QB59:QD59"/>
    <mergeCell ref="QE59:QG59"/>
    <mergeCell ref="QH59:QJ59"/>
    <mergeCell ref="QK59:QM59"/>
    <mergeCell ref="PV60:PX60"/>
    <mergeCell ref="PY60:QA60"/>
    <mergeCell ref="QB60:QD60"/>
    <mergeCell ref="QE60:QG60"/>
    <mergeCell ref="QH60:QJ60"/>
    <mergeCell ref="QK60:QM60"/>
    <mergeCell ref="QN2:QP2"/>
    <mergeCell ref="QQ2:QS2"/>
    <mergeCell ref="QT2:QV2"/>
    <mergeCell ref="QW2:QY2"/>
    <mergeCell ref="QZ2:RB2"/>
    <mergeCell ref="RC2:RE2"/>
    <mergeCell ref="RF2:RH2"/>
    <mergeCell ref="QN3:QP3"/>
    <mergeCell ref="QQ3:QS3"/>
    <mergeCell ref="QT3:QV3"/>
    <mergeCell ref="QW3:QY3"/>
    <mergeCell ref="QZ3:RB3"/>
    <mergeCell ref="RC3:RE3"/>
    <mergeCell ref="RF3:RH3"/>
    <mergeCell ref="QN5:QP5"/>
    <mergeCell ref="QQ5:QS5"/>
    <mergeCell ref="QT5:QV5"/>
    <mergeCell ref="QW5:QY5"/>
    <mergeCell ref="QZ5:RB5"/>
    <mergeCell ref="RC5:RE5"/>
    <mergeCell ref="RF5:RH5"/>
    <mergeCell ref="QN6:QP6"/>
    <mergeCell ref="QQ6:QS6"/>
    <mergeCell ref="QT6:QV6"/>
    <mergeCell ref="QW6:QY6"/>
    <mergeCell ref="QZ6:RB6"/>
    <mergeCell ref="RC6:RE6"/>
    <mergeCell ref="RF6:RH6"/>
    <mergeCell ref="QN7:QP7"/>
    <mergeCell ref="QQ7:QS7"/>
    <mergeCell ref="QT7:QV7"/>
    <mergeCell ref="QW7:QY7"/>
    <mergeCell ref="QZ7:RB7"/>
    <mergeCell ref="RC7:RE7"/>
    <mergeCell ref="RF7:RH7"/>
    <mergeCell ref="QN8:QP8"/>
    <mergeCell ref="QQ8:QS8"/>
    <mergeCell ref="QT8:QV8"/>
    <mergeCell ref="QW8:QY8"/>
    <mergeCell ref="QZ8:RB8"/>
    <mergeCell ref="RC8:RE8"/>
    <mergeCell ref="RF8:RH8"/>
    <mergeCell ref="QN9:QP9"/>
    <mergeCell ref="QQ9:QS9"/>
    <mergeCell ref="QT9:QV9"/>
    <mergeCell ref="QW9:QY9"/>
    <mergeCell ref="QZ9:RB9"/>
    <mergeCell ref="RC9:RE9"/>
    <mergeCell ref="RF9:RH9"/>
    <mergeCell ref="QN10:QP10"/>
    <mergeCell ref="QQ10:QS10"/>
    <mergeCell ref="QT10:QV10"/>
    <mergeCell ref="QW10:QY10"/>
    <mergeCell ref="QZ10:RB10"/>
    <mergeCell ref="RC10:RE10"/>
    <mergeCell ref="RF10:RH10"/>
    <mergeCell ref="QN11:QP11"/>
    <mergeCell ref="QQ11:QS11"/>
    <mergeCell ref="QT11:QV11"/>
    <mergeCell ref="QW11:QY11"/>
    <mergeCell ref="QZ11:RB11"/>
    <mergeCell ref="RC11:RE11"/>
    <mergeCell ref="RF11:RH11"/>
    <mergeCell ref="QN14:QP14"/>
    <mergeCell ref="QQ14:QS14"/>
    <mergeCell ref="QT14:QV14"/>
    <mergeCell ref="QW14:QY14"/>
    <mergeCell ref="QZ14:RB14"/>
    <mergeCell ref="RC14:RE14"/>
    <mergeCell ref="RF14:RH14"/>
    <mergeCell ref="QN15:QP15"/>
    <mergeCell ref="QQ15:QS15"/>
    <mergeCell ref="QT15:QV15"/>
    <mergeCell ref="QW15:QY15"/>
    <mergeCell ref="QZ15:RB15"/>
    <mergeCell ref="RC15:RE15"/>
    <mergeCell ref="RF15:RH15"/>
    <mergeCell ref="QN13:QP13"/>
    <mergeCell ref="QQ13:QS13"/>
    <mergeCell ref="QT13:QV13"/>
    <mergeCell ref="QW13:QY13"/>
    <mergeCell ref="QZ13:RB13"/>
    <mergeCell ref="RC13:RE13"/>
    <mergeCell ref="RF13:RH13"/>
    <mergeCell ref="QN16:QP16"/>
    <mergeCell ref="QQ16:QS16"/>
    <mergeCell ref="QT16:QV16"/>
    <mergeCell ref="QW16:QY16"/>
    <mergeCell ref="QZ16:RB16"/>
    <mergeCell ref="RC16:RE16"/>
    <mergeCell ref="RF16:RH16"/>
    <mergeCell ref="QN29:QP29"/>
    <mergeCell ref="QQ29:QS29"/>
    <mergeCell ref="QT29:QV29"/>
    <mergeCell ref="QW29:QY29"/>
    <mergeCell ref="QZ29:RB29"/>
    <mergeCell ref="RC29:RE29"/>
    <mergeCell ref="RF29:RH29"/>
    <mergeCell ref="QN33:QP33"/>
    <mergeCell ref="QQ33:QS33"/>
    <mergeCell ref="QT33:QV33"/>
    <mergeCell ref="QW33:QY33"/>
    <mergeCell ref="QZ33:RB33"/>
    <mergeCell ref="RC33:RE33"/>
    <mergeCell ref="RF33:RH33"/>
    <mergeCell ref="QN30:QP30"/>
    <mergeCell ref="QQ30:QS30"/>
    <mergeCell ref="QT30:QV30"/>
    <mergeCell ref="QW30:QY30"/>
    <mergeCell ref="QZ30:RB30"/>
    <mergeCell ref="RC30:RE30"/>
    <mergeCell ref="RF30:RH30"/>
    <mergeCell ref="QN31:QP31"/>
    <mergeCell ref="QQ31:QS31"/>
    <mergeCell ref="QT31:QV31"/>
    <mergeCell ref="QW31:QY31"/>
    <mergeCell ref="QZ31:RB31"/>
    <mergeCell ref="RC31:RE31"/>
    <mergeCell ref="RF31:RH31"/>
    <mergeCell ref="QN32:QP32"/>
    <mergeCell ref="QQ32:QS32"/>
    <mergeCell ref="QT32:QV32"/>
    <mergeCell ref="QW32:QY32"/>
    <mergeCell ref="QZ32:RB32"/>
    <mergeCell ref="RC32:RE32"/>
    <mergeCell ref="RF32:RH32"/>
    <mergeCell ref="QN39:QP39"/>
    <mergeCell ref="QQ39:QS39"/>
    <mergeCell ref="QT39:QV39"/>
    <mergeCell ref="QW39:QY39"/>
    <mergeCell ref="QZ39:RB39"/>
    <mergeCell ref="RC39:RE39"/>
    <mergeCell ref="RF39:RH39"/>
    <mergeCell ref="QN19:QP19"/>
    <mergeCell ref="QQ19:QS19"/>
    <mergeCell ref="QT19:QV19"/>
    <mergeCell ref="QW19:QY19"/>
    <mergeCell ref="QZ19:RB19"/>
    <mergeCell ref="RC19:RE19"/>
    <mergeCell ref="RF19:RH19"/>
    <mergeCell ref="QN20:QP20"/>
    <mergeCell ref="QQ20:QS20"/>
    <mergeCell ref="QT20:QV20"/>
    <mergeCell ref="QW20:QY20"/>
    <mergeCell ref="QZ20:RB20"/>
    <mergeCell ref="RC20:RE20"/>
    <mergeCell ref="RF20:RH20"/>
    <mergeCell ref="QN21:QP21"/>
    <mergeCell ref="QQ21:QS21"/>
    <mergeCell ref="QT21:QV21"/>
    <mergeCell ref="QW21:QY21"/>
    <mergeCell ref="QZ21:RB21"/>
    <mergeCell ref="RC21:RE21"/>
    <mergeCell ref="RF21:RH21"/>
    <mergeCell ref="QN56:QP56"/>
    <mergeCell ref="QQ56:QS56"/>
    <mergeCell ref="QT56:QV56"/>
    <mergeCell ref="QW56:QY56"/>
    <mergeCell ref="QZ56:RB56"/>
    <mergeCell ref="RC56:RE56"/>
    <mergeCell ref="RF56:RH56"/>
    <mergeCell ref="QN40:QP40"/>
    <mergeCell ref="QQ40:QS40"/>
    <mergeCell ref="QT40:QV40"/>
    <mergeCell ref="QW40:QY40"/>
    <mergeCell ref="QZ40:RB40"/>
    <mergeCell ref="RC40:RE40"/>
    <mergeCell ref="RF40:RH40"/>
    <mergeCell ref="RR8:RT8"/>
    <mergeCell ref="RU8:RW8"/>
    <mergeCell ref="RX8:RZ8"/>
    <mergeCell ref="SA8:SC8"/>
    <mergeCell ref="RI9:RK9"/>
    <mergeCell ref="QN41:QP41"/>
    <mergeCell ref="QQ41:QS41"/>
    <mergeCell ref="QT41:QV41"/>
    <mergeCell ref="QW41:QY41"/>
    <mergeCell ref="QZ41:RB41"/>
    <mergeCell ref="RC41:RE41"/>
    <mergeCell ref="RF41:RH41"/>
    <mergeCell ref="QN54:QP54"/>
    <mergeCell ref="QQ54:QS54"/>
    <mergeCell ref="QT54:QV54"/>
    <mergeCell ref="QW54:QY54"/>
    <mergeCell ref="QZ54:RB54"/>
    <mergeCell ref="RC54:RE54"/>
    <mergeCell ref="RF54:RH54"/>
    <mergeCell ref="QN55:QP55"/>
    <mergeCell ref="QQ55:QS55"/>
    <mergeCell ref="QT55:QV55"/>
    <mergeCell ref="QW55:QY55"/>
    <mergeCell ref="QZ55:RB55"/>
    <mergeCell ref="RC55:RE55"/>
    <mergeCell ref="RF55:RH55"/>
    <mergeCell ref="QN22:QP22"/>
    <mergeCell ref="QQ22:QS22"/>
    <mergeCell ref="QT22:QV22"/>
    <mergeCell ref="QW22:QY22"/>
    <mergeCell ref="QZ22:RB22"/>
    <mergeCell ref="RC22:RE22"/>
    <mergeCell ref="RF22:RH22"/>
    <mergeCell ref="QN36:QP36"/>
    <mergeCell ref="QQ36:QS36"/>
    <mergeCell ref="QT36:QV36"/>
    <mergeCell ref="QW36:QY36"/>
    <mergeCell ref="QZ36:RB36"/>
    <mergeCell ref="RC36:RE36"/>
    <mergeCell ref="RF36:RH36"/>
    <mergeCell ref="RO13:RQ13"/>
    <mergeCell ref="RR13:RT13"/>
    <mergeCell ref="RU13:RW13"/>
    <mergeCell ref="RX13:RZ13"/>
    <mergeCell ref="SA13:SC13"/>
    <mergeCell ref="QN57:QP57"/>
    <mergeCell ref="QQ57:QS57"/>
    <mergeCell ref="QT57:QV57"/>
    <mergeCell ref="QW57:QY57"/>
    <mergeCell ref="QZ57:RB57"/>
    <mergeCell ref="RC57:RE57"/>
    <mergeCell ref="RF57:RH57"/>
    <mergeCell ref="QN59:QP59"/>
    <mergeCell ref="QQ59:QS59"/>
    <mergeCell ref="QT59:QV59"/>
    <mergeCell ref="QW59:QY59"/>
    <mergeCell ref="QZ59:RB59"/>
    <mergeCell ref="RC59:RE59"/>
    <mergeCell ref="RF59:RH59"/>
    <mergeCell ref="QN60:QP60"/>
    <mergeCell ref="QQ60:QS60"/>
    <mergeCell ref="QT60:QV60"/>
    <mergeCell ref="QW60:QY60"/>
    <mergeCell ref="QZ60:RB60"/>
    <mergeCell ref="RC60:RE60"/>
    <mergeCell ref="RF60:RH60"/>
    <mergeCell ref="RI2:RK2"/>
    <mergeCell ref="RL2:RN2"/>
    <mergeCell ref="RO2:RQ2"/>
    <mergeCell ref="RR2:RT2"/>
    <mergeCell ref="RU2:RW2"/>
    <mergeCell ref="RX2:RZ2"/>
    <mergeCell ref="SA2:SC2"/>
    <mergeCell ref="RI3:RK3"/>
    <mergeCell ref="RL3:RN3"/>
    <mergeCell ref="RO3:RQ3"/>
    <mergeCell ref="RR3:RT3"/>
    <mergeCell ref="RU3:RW3"/>
    <mergeCell ref="RX3:RZ3"/>
    <mergeCell ref="SA3:SC3"/>
    <mergeCell ref="RI5:RK5"/>
    <mergeCell ref="RL5:RN5"/>
    <mergeCell ref="RO5:RQ5"/>
    <mergeCell ref="RR5:RT5"/>
    <mergeCell ref="RU5:RW5"/>
    <mergeCell ref="RX5:RZ5"/>
    <mergeCell ref="SA5:SC5"/>
    <mergeCell ref="RI6:RK6"/>
    <mergeCell ref="RL6:RN6"/>
    <mergeCell ref="RO6:RQ6"/>
    <mergeCell ref="RR6:RT6"/>
    <mergeCell ref="RU6:RW6"/>
    <mergeCell ref="RX6:RZ6"/>
    <mergeCell ref="SA6:SC6"/>
    <mergeCell ref="RI7:RK7"/>
    <mergeCell ref="RL7:RN7"/>
    <mergeCell ref="RO7:RQ7"/>
    <mergeCell ref="RR7:RT7"/>
    <mergeCell ref="RU7:RW7"/>
    <mergeCell ref="RX7:RZ7"/>
    <mergeCell ref="SA7:SC7"/>
    <mergeCell ref="RI8:RK8"/>
    <mergeCell ref="RL8:RN8"/>
    <mergeCell ref="RO8:RQ8"/>
    <mergeCell ref="RL9:RN9"/>
    <mergeCell ref="RO9:RQ9"/>
    <mergeCell ref="RR9:RT9"/>
    <mergeCell ref="RU9:RW9"/>
    <mergeCell ref="RX9:RZ9"/>
    <mergeCell ref="SA9:SC9"/>
    <mergeCell ref="RI10:RK10"/>
    <mergeCell ref="RL10:RN10"/>
    <mergeCell ref="RO10:RQ10"/>
    <mergeCell ref="RR10:RT10"/>
    <mergeCell ref="RU10:RW10"/>
    <mergeCell ref="RX10:RZ10"/>
    <mergeCell ref="SA10:SC10"/>
    <mergeCell ref="RI11:RK11"/>
    <mergeCell ref="RL11:RN11"/>
    <mergeCell ref="RO11:RQ11"/>
    <mergeCell ref="RR11:RT11"/>
    <mergeCell ref="RU11:RW11"/>
    <mergeCell ref="RX11:RZ11"/>
    <mergeCell ref="SA11:SC11"/>
    <mergeCell ref="RI14:RK14"/>
    <mergeCell ref="RL14:RN14"/>
    <mergeCell ref="RO14:RQ14"/>
    <mergeCell ref="RR14:RT14"/>
    <mergeCell ref="RU14:RW14"/>
    <mergeCell ref="RX14:RZ14"/>
    <mergeCell ref="SA14:SC14"/>
    <mergeCell ref="RI15:RK15"/>
    <mergeCell ref="RL15:RN15"/>
    <mergeCell ref="RO15:RQ15"/>
    <mergeCell ref="RR15:RT15"/>
    <mergeCell ref="RU15:RW15"/>
    <mergeCell ref="RX15:RZ15"/>
    <mergeCell ref="SA15:SC15"/>
    <mergeCell ref="RI13:RK13"/>
    <mergeCell ref="RL13:RN13"/>
    <mergeCell ref="RI16:RK16"/>
    <mergeCell ref="RL16:RN16"/>
    <mergeCell ref="RO16:RQ16"/>
    <mergeCell ref="RR16:RT16"/>
    <mergeCell ref="RU16:RW16"/>
    <mergeCell ref="RX16:RZ16"/>
    <mergeCell ref="SA16:SC16"/>
    <mergeCell ref="RI33:RK33"/>
    <mergeCell ref="RL33:RN33"/>
    <mergeCell ref="RO33:RQ33"/>
    <mergeCell ref="RR33:RT33"/>
    <mergeCell ref="RU33:RW33"/>
    <mergeCell ref="RX33:RZ33"/>
    <mergeCell ref="SA33:SC33"/>
    <mergeCell ref="RI30:RK30"/>
    <mergeCell ref="RL30:RN30"/>
    <mergeCell ref="RO30:RQ30"/>
    <mergeCell ref="RR30:RT30"/>
    <mergeCell ref="RU30:RW30"/>
    <mergeCell ref="RX30:RZ30"/>
    <mergeCell ref="SA30:SC30"/>
    <mergeCell ref="RI31:RK31"/>
    <mergeCell ref="RL31:RN31"/>
    <mergeCell ref="RO31:RQ31"/>
    <mergeCell ref="RR31:RT31"/>
    <mergeCell ref="RU31:RW31"/>
    <mergeCell ref="RX31:RZ31"/>
    <mergeCell ref="SA31:SC31"/>
    <mergeCell ref="RI32:RK32"/>
    <mergeCell ref="RL32:RN32"/>
    <mergeCell ref="RO32:RQ32"/>
    <mergeCell ref="RR32:RT32"/>
    <mergeCell ref="RU32:RW32"/>
    <mergeCell ref="RX32:RZ32"/>
    <mergeCell ref="SA32:SC32"/>
    <mergeCell ref="RI39:RK39"/>
    <mergeCell ref="RL39:RN39"/>
    <mergeCell ref="RO39:RQ39"/>
    <mergeCell ref="RR39:RT39"/>
    <mergeCell ref="RU39:RW39"/>
    <mergeCell ref="RX39:RZ39"/>
    <mergeCell ref="SA39:SC39"/>
    <mergeCell ref="RI19:RK19"/>
    <mergeCell ref="RL19:RN19"/>
    <mergeCell ref="RO19:RQ19"/>
    <mergeCell ref="RR19:RT19"/>
    <mergeCell ref="RU19:RW19"/>
    <mergeCell ref="RX19:RZ19"/>
    <mergeCell ref="SA19:SC19"/>
    <mergeCell ref="RI20:RK20"/>
    <mergeCell ref="RL20:RN20"/>
    <mergeCell ref="RO20:RQ20"/>
    <mergeCell ref="RR20:RT20"/>
    <mergeCell ref="RU20:RW20"/>
    <mergeCell ref="RX20:RZ20"/>
    <mergeCell ref="SA20:SC20"/>
    <mergeCell ref="RI21:RK21"/>
    <mergeCell ref="RL21:RN21"/>
    <mergeCell ref="RO21:RQ21"/>
    <mergeCell ref="RR21:RT21"/>
    <mergeCell ref="RU21:RW21"/>
    <mergeCell ref="RX21:RZ21"/>
    <mergeCell ref="SA21:SC21"/>
    <mergeCell ref="RI22:RK22"/>
    <mergeCell ref="RL22:RN22"/>
    <mergeCell ref="RO22:RQ22"/>
    <mergeCell ref="RR22:RT22"/>
    <mergeCell ref="RU22:RW22"/>
    <mergeCell ref="RX22:RZ22"/>
    <mergeCell ref="SA22:SC22"/>
    <mergeCell ref="RI36:RK36"/>
    <mergeCell ref="RI29:RK29"/>
    <mergeCell ref="RL29:RN29"/>
    <mergeCell ref="RO29:RQ29"/>
    <mergeCell ref="RR29:RT29"/>
    <mergeCell ref="RU29:RW29"/>
    <mergeCell ref="RX29:RZ29"/>
    <mergeCell ref="SA29:SC29"/>
    <mergeCell ref="RI41:RK41"/>
    <mergeCell ref="RL41:RN41"/>
    <mergeCell ref="RO41:RQ41"/>
    <mergeCell ref="RR41:RT41"/>
    <mergeCell ref="RU41:RW41"/>
    <mergeCell ref="RX41:RZ41"/>
    <mergeCell ref="SA41:SC41"/>
    <mergeCell ref="RI54:RK54"/>
    <mergeCell ref="RL54:RN54"/>
    <mergeCell ref="RO54:RQ54"/>
    <mergeCell ref="RR54:RT54"/>
    <mergeCell ref="RU54:RW54"/>
    <mergeCell ref="RX54:RZ54"/>
    <mergeCell ref="SA54:SC54"/>
    <mergeCell ref="RI40:RK40"/>
    <mergeCell ref="RL40:RN40"/>
    <mergeCell ref="RO40:RQ40"/>
    <mergeCell ref="RR40:RT40"/>
    <mergeCell ref="RU40:RW40"/>
    <mergeCell ref="RX40:RZ40"/>
    <mergeCell ref="SA40:SC40"/>
    <mergeCell ref="RI56:RK56"/>
    <mergeCell ref="RL56:RN56"/>
    <mergeCell ref="RO56:RQ56"/>
    <mergeCell ref="RR56:RT56"/>
    <mergeCell ref="RU56:RW56"/>
    <mergeCell ref="RX56:RZ56"/>
    <mergeCell ref="SA56:SC56"/>
    <mergeCell ref="RI57:RK57"/>
    <mergeCell ref="RL57:RN57"/>
    <mergeCell ref="RO57:RQ57"/>
    <mergeCell ref="RR57:RT57"/>
    <mergeCell ref="RU57:RW57"/>
    <mergeCell ref="RX57:RZ57"/>
    <mergeCell ref="SA57:SC57"/>
    <mergeCell ref="RI59:RK59"/>
    <mergeCell ref="RL59:RN59"/>
    <mergeCell ref="RO59:RQ59"/>
    <mergeCell ref="RR59:RT59"/>
    <mergeCell ref="RU59:RW59"/>
    <mergeCell ref="RX59:RZ59"/>
    <mergeCell ref="SA59:SC59"/>
    <mergeCell ref="RI60:RK60"/>
    <mergeCell ref="RL60:RN60"/>
    <mergeCell ref="RO60:RQ60"/>
    <mergeCell ref="RR60:RT60"/>
    <mergeCell ref="RU60:RW60"/>
    <mergeCell ref="RX60:RZ60"/>
    <mergeCell ref="SA60:SC60"/>
    <mergeCell ref="SD2:SF2"/>
    <mergeCell ref="SG2:SI2"/>
    <mergeCell ref="SJ2:SL2"/>
    <mergeCell ref="SM2:SO2"/>
    <mergeCell ref="SP2:SR2"/>
    <mergeCell ref="SD9:SF9"/>
    <mergeCell ref="SG9:SI9"/>
    <mergeCell ref="SJ9:SL9"/>
    <mergeCell ref="SM9:SO9"/>
    <mergeCell ref="SP9:SR9"/>
    <mergeCell ref="RL36:RN36"/>
    <mergeCell ref="RO36:RQ36"/>
    <mergeCell ref="RR36:RT36"/>
    <mergeCell ref="RU36:RW36"/>
    <mergeCell ref="RX36:RZ36"/>
    <mergeCell ref="SA36:SC36"/>
    <mergeCell ref="SS2:SU2"/>
    <mergeCell ref="SV2:SX2"/>
    <mergeCell ref="SD3:SF3"/>
    <mergeCell ref="SG3:SI3"/>
    <mergeCell ref="SJ3:SL3"/>
    <mergeCell ref="SM3:SO3"/>
    <mergeCell ref="SP3:SR3"/>
    <mergeCell ref="SS3:SU3"/>
    <mergeCell ref="SV3:SX3"/>
    <mergeCell ref="SD5:SF5"/>
    <mergeCell ref="SG5:SI5"/>
    <mergeCell ref="SJ5:SL5"/>
    <mergeCell ref="SM5:SO5"/>
    <mergeCell ref="SP5:SR5"/>
    <mergeCell ref="SS5:SU5"/>
    <mergeCell ref="SV5:SX5"/>
    <mergeCell ref="SD6:SF6"/>
    <mergeCell ref="SG6:SI6"/>
    <mergeCell ref="SJ6:SL6"/>
    <mergeCell ref="SM6:SO6"/>
    <mergeCell ref="SP6:SR6"/>
    <mergeCell ref="SS6:SU6"/>
    <mergeCell ref="SV6:SX6"/>
    <mergeCell ref="SD7:SF7"/>
    <mergeCell ref="SG7:SI7"/>
    <mergeCell ref="SJ7:SL7"/>
    <mergeCell ref="SM7:SO7"/>
    <mergeCell ref="SP7:SR7"/>
    <mergeCell ref="SS7:SU7"/>
    <mergeCell ref="SV7:SX7"/>
    <mergeCell ref="SD8:SF8"/>
    <mergeCell ref="SG8:SI8"/>
    <mergeCell ref="SJ8:SL8"/>
    <mergeCell ref="SM8:SO8"/>
    <mergeCell ref="SP8:SR8"/>
    <mergeCell ref="SS8:SU8"/>
    <mergeCell ref="SV8:SX8"/>
    <mergeCell ref="SS9:SU9"/>
    <mergeCell ref="SV9:SX9"/>
    <mergeCell ref="SD10:SF10"/>
    <mergeCell ref="SG10:SI10"/>
    <mergeCell ref="SJ10:SL10"/>
    <mergeCell ref="SM10:SO10"/>
    <mergeCell ref="SP10:SR10"/>
    <mergeCell ref="SS10:SU10"/>
    <mergeCell ref="SV10:SX10"/>
    <mergeCell ref="SD11:SF11"/>
    <mergeCell ref="SG11:SI11"/>
    <mergeCell ref="SJ11:SL11"/>
    <mergeCell ref="SM11:SO11"/>
    <mergeCell ref="SP11:SR11"/>
    <mergeCell ref="SS11:SU11"/>
    <mergeCell ref="SV11:SX11"/>
    <mergeCell ref="SD14:SF14"/>
    <mergeCell ref="SG14:SI14"/>
    <mergeCell ref="SJ14:SL14"/>
    <mergeCell ref="SM14:SO14"/>
    <mergeCell ref="SP14:SR14"/>
    <mergeCell ref="SS14:SU14"/>
    <mergeCell ref="SV14:SX14"/>
    <mergeCell ref="SD13:SF13"/>
    <mergeCell ref="SG13:SI13"/>
    <mergeCell ref="SJ13:SL13"/>
    <mergeCell ref="SM13:SO13"/>
    <mergeCell ref="SP13:SR13"/>
    <mergeCell ref="SS13:SU13"/>
    <mergeCell ref="SV13:SX13"/>
    <mergeCell ref="SD15:SF15"/>
    <mergeCell ref="SG15:SI15"/>
    <mergeCell ref="SJ15:SL15"/>
    <mergeCell ref="SM15:SO15"/>
    <mergeCell ref="SP15:SR15"/>
    <mergeCell ref="SS15:SU15"/>
    <mergeCell ref="SV15:SX15"/>
    <mergeCell ref="SD29:SF29"/>
    <mergeCell ref="SG29:SI29"/>
    <mergeCell ref="SJ29:SL29"/>
    <mergeCell ref="SM29:SO29"/>
    <mergeCell ref="SP29:SR29"/>
    <mergeCell ref="SS29:SU29"/>
    <mergeCell ref="SV29:SX29"/>
    <mergeCell ref="SD16:SF16"/>
    <mergeCell ref="SG16:SI16"/>
    <mergeCell ref="SJ16:SL16"/>
    <mergeCell ref="SM16:SO16"/>
    <mergeCell ref="SP16:SR16"/>
    <mergeCell ref="SS16:SU16"/>
    <mergeCell ref="SV16:SX16"/>
    <mergeCell ref="SD33:SF33"/>
    <mergeCell ref="SG33:SI33"/>
    <mergeCell ref="SJ33:SL33"/>
    <mergeCell ref="SM33:SO33"/>
    <mergeCell ref="SP33:SR33"/>
    <mergeCell ref="SS33:SU33"/>
    <mergeCell ref="SV33:SX33"/>
    <mergeCell ref="SD30:SF30"/>
    <mergeCell ref="SG30:SI30"/>
    <mergeCell ref="SJ30:SL30"/>
    <mergeCell ref="SM30:SO30"/>
    <mergeCell ref="SP30:SR30"/>
    <mergeCell ref="SS30:SU30"/>
    <mergeCell ref="SV30:SX30"/>
    <mergeCell ref="SD31:SF31"/>
    <mergeCell ref="SG31:SI31"/>
    <mergeCell ref="SJ31:SL31"/>
    <mergeCell ref="SM31:SO31"/>
    <mergeCell ref="SP31:SR31"/>
    <mergeCell ref="SS31:SU31"/>
    <mergeCell ref="SV31:SX31"/>
    <mergeCell ref="SD32:SF32"/>
    <mergeCell ref="SG32:SI32"/>
    <mergeCell ref="SJ32:SL32"/>
    <mergeCell ref="SM32:SO32"/>
    <mergeCell ref="SP32:SR32"/>
    <mergeCell ref="SS32:SU32"/>
    <mergeCell ref="SV32:SX32"/>
    <mergeCell ref="SD19:SF19"/>
    <mergeCell ref="SG19:SI19"/>
    <mergeCell ref="SJ19:SL19"/>
    <mergeCell ref="SM19:SO19"/>
    <mergeCell ref="SP19:SR19"/>
    <mergeCell ref="SS19:SU19"/>
    <mergeCell ref="SV19:SX19"/>
    <mergeCell ref="SD20:SF20"/>
    <mergeCell ref="SG20:SI20"/>
    <mergeCell ref="SJ20:SL20"/>
    <mergeCell ref="SM20:SO20"/>
    <mergeCell ref="SP20:SR20"/>
    <mergeCell ref="SS20:SU20"/>
    <mergeCell ref="SV20:SX20"/>
    <mergeCell ref="SD21:SF21"/>
    <mergeCell ref="SG21:SI21"/>
    <mergeCell ref="SJ21:SL21"/>
    <mergeCell ref="SM21:SO21"/>
    <mergeCell ref="SP21:SR21"/>
    <mergeCell ref="SS21:SU21"/>
    <mergeCell ref="SV21:SX21"/>
    <mergeCell ref="SD22:SF22"/>
    <mergeCell ref="SG22:SI22"/>
    <mergeCell ref="SJ22:SL22"/>
    <mergeCell ref="SM22:SO22"/>
    <mergeCell ref="SP22:SR22"/>
    <mergeCell ref="SS22:SU22"/>
    <mergeCell ref="SV22:SX22"/>
    <mergeCell ref="SD41:SF41"/>
    <mergeCell ref="SG41:SI41"/>
    <mergeCell ref="SJ41:SL41"/>
    <mergeCell ref="SM41:SO41"/>
    <mergeCell ref="SP41:SR41"/>
    <mergeCell ref="SS41:SU41"/>
    <mergeCell ref="SV41:SX41"/>
    <mergeCell ref="SD40:SF40"/>
    <mergeCell ref="SG40:SI40"/>
    <mergeCell ref="SJ40:SL40"/>
    <mergeCell ref="SM40:SO40"/>
    <mergeCell ref="SP40:SR40"/>
    <mergeCell ref="SS40:SU40"/>
    <mergeCell ref="SV40:SX40"/>
    <mergeCell ref="SD36:SF36"/>
    <mergeCell ref="SG36:SI36"/>
    <mergeCell ref="SJ36:SL36"/>
    <mergeCell ref="SM36:SO36"/>
    <mergeCell ref="SP36:SR36"/>
    <mergeCell ref="SS36:SU36"/>
    <mergeCell ref="SV36:SX36"/>
    <mergeCell ref="SD39:SF39"/>
    <mergeCell ref="SG39:SI39"/>
    <mergeCell ref="SJ39:SL39"/>
    <mergeCell ref="SM39:SO39"/>
    <mergeCell ref="SP39:SR39"/>
    <mergeCell ref="SS39:SU39"/>
    <mergeCell ref="SV39:SX39"/>
    <mergeCell ref="SD56:SF56"/>
    <mergeCell ref="SG56:SI56"/>
    <mergeCell ref="SJ56:SL56"/>
    <mergeCell ref="SM56:SO56"/>
    <mergeCell ref="SP56:SR56"/>
    <mergeCell ref="SS56:SU56"/>
    <mergeCell ref="SV56:SX56"/>
    <mergeCell ref="SD57:SF57"/>
    <mergeCell ref="SG57:SI57"/>
    <mergeCell ref="SJ57:SL57"/>
    <mergeCell ref="SM57:SO57"/>
    <mergeCell ref="SP57:SR57"/>
    <mergeCell ref="SS57:SU57"/>
    <mergeCell ref="SV57:SX57"/>
    <mergeCell ref="SD59:SF59"/>
    <mergeCell ref="SG59:SI59"/>
    <mergeCell ref="SJ59:SL59"/>
    <mergeCell ref="SM59:SO59"/>
    <mergeCell ref="SP59:SR59"/>
    <mergeCell ref="SS59:SU59"/>
    <mergeCell ref="SV59:SX59"/>
    <mergeCell ref="SV55:SX55"/>
    <mergeCell ref="SD60:SF60"/>
    <mergeCell ref="SG60:SI60"/>
    <mergeCell ref="SJ60:SL60"/>
    <mergeCell ref="SM60:SO60"/>
    <mergeCell ref="SP60:SR60"/>
    <mergeCell ref="SS60:SU60"/>
    <mergeCell ref="SV60:SX60"/>
    <mergeCell ref="SY2:TA2"/>
    <mergeCell ref="TB2:TD2"/>
    <mergeCell ref="TE2:TG2"/>
    <mergeCell ref="TH2:TJ2"/>
    <mergeCell ref="SY9:TA9"/>
    <mergeCell ref="TB9:TD9"/>
    <mergeCell ref="TE9:TG9"/>
    <mergeCell ref="TH9:TJ9"/>
    <mergeCell ref="TK2:TM2"/>
    <mergeCell ref="TN2:TP2"/>
    <mergeCell ref="TQ2:TS2"/>
    <mergeCell ref="SY3:TA3"/>
    <mergeCell ref="TB3:TD3"/>
    <mergeCell ref="TE3:TG3"/>
    <mergeCell ref="TH3:TJ3"/>
    <mergeCell ref="TK3:TM3"/>
    <mergeCell ref="TN3:TP3"/>
    <mergeCell ref="TQ3:TS3"/>
    <mergeCell ref="SY5:TA5"/>
    <mergeCell ref="TB5:TD5"/>
    <mergeCell ref="TE5:TG5"/>
    <mergeCell ref="TH5:TJ5"/>
    <mergeCell ref="TK5:TM5"/>
    <mergeCell ref="TN5:TP5"/>
    <mergeCell ref="TQ5:TS5"/>
    <mergeCell ref="SY6:TA6"/>
    <mergeCell ref="TB6:TD6"/>
    <mergeCell ref="TE6:TG6"/>
    <mergeCell ref="TH6:TJ6"/>
    <mergeCell ref="TK6:TM6"/>
    <mergeCell ref="TN6:TP6"/>
    <mergeCell ref="TQ6:TS6"/>
    <mergeCell ref="SY7:TA7"/>
    <mergeCell ref="TB7:TD7"/>
    <mergeCell ref="TE7:TG7"/>
    <mergeCell ref="TH7:TJ7"/>
    <mergeCell ref="TK7:TM7"/>
    <mergeCell ref="TN7:TP7"/>
    <mergeCell ref="TQ7:TS7"/>
    <mergeCell ref="SY8:TA8"/>
    <mergeCell ref="TB8:TD8"/>
    <mergeCell ref="TE8:TG8"/>
    <mergeCell ref="TH8:TJ8"/>
    <mergeCell ref="TK8:TM8"/>
    <mergeCell ref="TN8:TP8"/>
    <mergeCell ref="TQ8:TS8"/>
    <mergeCell ref="SY13:TA13"/>
    <mergeCell ref="TB13:TD13"/>
    <mergeCell ref="TE13:TG13"/>
    <mergeCell ref="TH13:TJ13"/>
    <mergeCell ref="TK13:TM13"/>
    <mergeCell ref="TN13:TP13"/>
    <mergeCell ref="TQ13:TS13"/>
    <mergeCell ref="TK9:TM9"/>
    <mergeCell ref="TN9:TP9"/>
    <mergeCell ref="TQ9:TS9"/>
    <mergeCell ref="SY10:TA10"/>
    <mergeCell ref="TB10:TD10"/>
    <mergeCell ref="TE10:TG10"/>
    <mergeCell ref="TH10:TJ10"/>
    <mergeCell ref="TK10:TM10"/>
    <mergeCell ref="TN10:TP10"/>
    <mergeCell ref="TQ10:TS10"/>
    <mergeCell ref="SY11:TA11"/>
    <mergeCell ref="TB11:TD11"/>
    <mergeCell ref="TE11:TG11"/>
    <mergeCell ref="TH11:TJ11"/>
    <mergeCell ref="TK11:TM11"/>
    <mergeCell ref="TN11:TP11"/>
    <mergeCell ref="TQ11:TS11"/>
    <mergeCell ref="SY14:TA14"/>
    <mergeCell ref="TB14:TD14"/>
    <mergeCell ref="TE14:TG14"/>
    <mergeCell ref="TH14:TJ14"/>
    <mergeCell ref="TK14:TM14"/>
    <mergeCell ref="TN14:TP14"/>
    <mergeCell ref="TQ14:TS14"/>
    <mergeCell ref="SY15:TA15"/>
    <mergeCell ref="TB15:TD15"/>
    <mergeCell ref="TE15:TG15"/>
    <mergeCell ref="TH15:TJ15"/>
    <mergeCell ref="TK15:TM15"/>
    <mergeCell ref="TN15:TP15"/>
    <mergeCell ref="TQ15:TS15"/>
    <mergeCell ref="TQ31:TS31"/>
    <mergeCell ref="SY32:TA32"/>
    <mergeCell ref="TB32:TD32"/>
    <mergeCell ref="TE32:TG32"/>
    <mergeCell ref="TH32:TJ32"/>
    <mergeCell ref="TK32:TM32"/>
    <mergeCell ref="TN32:TP32"/>
    <mergeCell ref="TQ32:TS32"/>
    <mergeCell ref="TN39:TP39"/>
    <mergeCell ref="TQ39:TS39"/>
    <mergeCell ref="SY19:TA19"/>
    <mergeCell ref="TB19:TD19"/>
    <mergeCell ref="TE19:TG19"/>
    <mergeCell ref="TH19:TJ19"/>
    <mergeCell ref="TK19:TM19"/>
    <mergeCell ref="TN19:TP19"/>
    <mergeCell ref="TQ19:TS19"/>
    <mergeCell ref="SY20:TA20"/>
    <mergeCell ref="TB20:TD20"/>
    <mergeCell ref="TE20:TG20"/>
    <mergeCell ref="TH20:TJ20"/>
    <mergeCell ref="TK20:TM20"/>
    <mergeCell ref="TN20:TP20"/>
    <mergeCell ref="TQ20:TS20"/>
    <mergeCell ref="SY21:TA21"/>
    <mergeCell ref="TB21:TD21"/>
    <mergeCell ref="TE21:TG21"/>
    <mergeCell ref="TH21:TJ21"/>
    <mergeCell ref="TK21:TM21"/>
    <mergeCell ref="TN21:TP21"/>
    <mergeCell ref="TQ21:TS21"/>
    <mergeCell ref="SY16:TA16"/>
    <mergeCell ref="TB16:TD16"/>
    <mergeCell ref="TE16:TG16"/>
    <mergeCell ref="TH16:TJ16"/>
    <mergeCell ref="TK16:TM16"/>
    <mergeCell ref="TN16:TP16"/>
    <mergeCell ref="TQ16:TS16"/>
    <mergeCell ref="SY29:TA29"/>
    <mergeCell ref="TB29:TD29"/>
    <mergeCell ref="TE29:TG29"/>
    <mergeCell ref="TH29:TJ29"/>
    <mergeCell ref="TK29:TM29"/>
    <mergeCell ref="TN29:TP29"/>
    <mergeCell ref="TQ29:TS29"/>
    <mergeCell ref="SY33:TA33"/>
    <mergeCell ref="TB33:TD33"/>
    <mergeCell ref="TE33:TG33"/>
    <mergeCell ref="TH33:TJ33"/>
    <mergeCell ref="TK33:TM33"/>
    <mergeCell ref="TN33:TP33"/>
    <mergeCell ref="TQ33:TS33"/>
    <mergeCell ref="SY30:TA30"/>
    <mergeCell ref="TB30:TD30"/>
    <mergeCell ref="TE30:TG30"/>
    <mergeCell ref="TH30:TJ30"/>
    <mergeCell ref="TK30:TM30"/>
    <mergeCell ref="TN30:TP30"/>
    <mergeCell ref="TQ30:TS30"/>
    <mergeCell ref="SY31:TA31"/>
    <mergeCell ref="TB31:TD31"/>
    <mergeCell ref="TE31:TG31"/>
    <mergeCell ref="TH31:TJ31"/>
    <mergeCell ref="TK31:TM31"/>
    <mergeCell ref="TN31:TP31"/>
    <mergeCell ref="TE55:TG55"/>
    <mergeCell ref="TH55:TJ55"/>
    <mergeCell ref="TK55:TM55"/>
    <mergeCell ref="TN55:TP55"/>
    <mergeCell ref="TQ55:TS55"/>
    <mergeCell ref="SY56:TA56"/>
    <mergeCell ref="TB56:TD56"/>
    <mergeCell ref="TE56:TG56"/>
    <mergeCell ref="TH56:TJ56"/>
    <mergeCell ref="TK56:TM56"/>
    <mergeCell ref="TN56:TP56"/>
    <mergeCell ref="TQ56:TS56"/>
    <mergeCell ref="SY40:TA40"/>
    <mergeCell ref="TB40:TD40"/>
    <mergeCell ref="TE40:TG40"/>
    <mergeCell ref="TH40:TJ40"/>
    <mergeCell ref="TK40:TM40"/>
    <mergeCell ref="TN40:TP40"/>
    <mergeCell ref="TQ40:TS40"/>
    <mergeCell ref="SY22:TA22"/>
    <mergeCell ref="TB22:TD22"/>
    <mergeCell ref="TE22:TG22"/>
    <mergeCell ref="TH22:TJ22"/>
    <mergeCell ref="TK22:TM22"/>
    <mergeCell ref="TN22:TP22"/>
    <mergeCell ref="TQ22:TS22"/>
    <mergeCell ref="SY36:TA36"/>
    <mergeCell ref="TB36:TD36"/>
    <mergeCell ref="TE36:TG36"/>
    <mergeCell ref="TH36:TJ36"/>
    <mergeCell ref="TK36:TM36"/>
    <mergeCell ref="TN36:TP36"/>
    <mergeCell ref="TQ36:TS36"/>
    <mergeCell ref="SY39:TA39"/>
    <mergeCell ref="TB39:TD39"/>
    <mergeCell ref="TE39:TG39"/>
    <mergeCell ref="TH39:TJ39"/>
    <mergeCell ref="TK39:TM39"/>
    <mergeCell ref="SY57:TA57"/>
    <mergeCell ref="TB57:TD57"/>
    <mergeCell ref="TE57:TG57"/>
    <mergeCell ref="TH57:TJ57"/>
    <mergeCell ref="TK57:TM57"/>
    <mergeCell ref="TN57:TP57"/>
    <mergeCell ref="TQ57:TS57"/>
    <mergeCell ref="SY59:TA59"/>
    <mergeCell ref="TB59:TD59"/>
    <mergeCell ref="TE59:TG59"/>
    <mergeCell ref="TH59:TJ59"/>
    <mergeCell ref="TK59:TM59"/>
    <mergeCell ref="TN59:TP59"/>
    <mergeCell ref="TQ59:TS59"/>
    <mergeCell ref="SY60:TA60"/>
    <mergeCell ref="TB60:TD60"/>
    <mergeCell ref="TE60:TG60"/>
    <mergeCell ref="TH60:TJ60"/>
    <mergeCell ref="TK60:TM60"/>
    <mergeCell ref="TN60:TP60"/>
    <mergeCell ref="TQ60:TS60"/>
    <mergeCell ref="TT8:TV8"/>
    <mergeCell ref="TW8:TY8"/>
    <mergeCell ref="TZ8:UB8"/>
    <mergeCell ref="UC8:UE8"/>
    <mergeCell ref="TT9:TV9"/>
    <mergeCell ref="TW9:TY9"/>
    <mergeCell ref="TZ9:UB9"/>
    <mergeCell ref="UC9:UE9"/>
    <mergeCell ref="TT10:TV10"/>
    <mergeCell ref="TW10:TY10"/>
    <mergeCell ref="TZ10:UB10"/>
    <mergeCell ref="UC10:UE10"/>
    <mergeCell ref="TT11:TV11"/>
    <mergeCell ref="TW11:TY11"/>
    <mergeCell ref="TZ11:UB11"/>
    <mergeCell ref="UC11:UE11"/>
    <mergeCell ref="TT14:TV14"/>
    <mergeCell ref="TW14:TY14"/>
    <mergeCell ref="TZ14:UB14"/>
    <mergeCell ref="UC14:UE14"/>
    <mergeCell ref="SY41:TA41"/>
    <mergeCell ref="TB41:TD41"/>
    <mergeCell ref="TE41:TG41"/>
    <mergeCell ref="TH41:TJ41"/>
    <mergeCell ref="TK41:TM41"/>
    <mergeCell ref="TN41:TP41"/>
    <mergeCell ref="TQ41:TS41"/>
    <mergeCell ref="SY54:TA54"/>
    <mergeCell ref="TB54:TD54"/>
    <mergeCell ref="TE54:TG54"/>
    <mergeCell ref="TH54:TJ54"/>
    <mergeCell ref="TK54:TM54"/>
    <mergeCell ref="TN54:TP54"/>
    <mergeCell ref="TQ54:TS54"/>
    <mergeCell ref="SY55:TA55"/>
    <mergeCell ref="TB55:TD55"/>
    <mergeCell ref="TT2:TV2"/>
    <mergeCell ref="TW2:TY2"/>
    <mergeCell ref="TZ2:UB2"/>
    <mergeCell ref="UC2:UE2"/>
    <mergeCell ref="TT3:TV3"/>
    <mergeCell ref="TW3:TY3"/>
    <mergeCell ref="TZ3:UB3"/>
    <mergeCell ref="UC3:UE3"/>
    <mergeCell ref="TT5:TV5"/>
    <mergeCell ref="TW5:TY5"/>
    <mergeCell ref="TZ5:UB5"/>
    <mergeCell ref="UC5:UE5"/>
    <mergeCell ref="TT6:TV6"/>
    <mergeCell ref="TW6:TY6"/>
    <mergeCell ref="TZ6:UB6"/>
    <mergeCell ref="UC6:UE6"/>
    <mergeCell ref="TT7:TV7"/>
    <mergeCell ref="TW7:TY7"/>
    <mergeCell ref="TZ7:UB7"/>
    <mergeCell ref="UC7:UE7"/>
    <mergeCell ref="TT15:TV15"/>
    <mergeCell ref="TW15:TY15"/>
    <mergeCell ref="TZ15:UB15"/>
    <mergeCell ref="UC15:UE15"/>
    <mergeCell ref="TT13:TV13"/>
    <mergeCell ref="TW13:TY13"/>
    <mergeCell ref="TZ13:UB13"/>
    <mergeCell ref="UC13:UE13"/>
    <mergeCell ref="TT30:TV30"/>
    <mergeCell ref="TW30:TY30"/>
    <mergeCell ref="TZ30:UB30"/>
    <mergeCell ref="UC30:UE30"/>
    <mergeCell ref="TT16:TV16"/>
    <mergeCell ref="TW16:TY16"/>
    <mergeCell ref="TZ16:UB16"/>
    <mergeCell ref="UC16:UE16"/>
    <mergeCell ref="TT29:TV29"/>
    <mergeCell ref="TW29:TY29"/>
    <mergeCell ref="TZ29:UB29"/>
    <mergeCell ref="UC29:UE29"/>
    <mergeCell ref="TT33:TV33"/>
    <mergeCell ref="TW33:TY33"/>
    <mergeCell ref="TZ33:UB33"/>
    <mergeCell ref="UC33:UE33"/>
    <mergeCell ref="TT20:TV20"/>
    <mergeCell ref="TW20:TY20"/>
    <mergeCell ref="TZ20:UB20"/>
    <mergeCell ref="UC20:UE20"/>
    <mergeCell ref="TT21:TV21"/>
    <mergeCell ref="TW21:TY21"/>
    <mergeCell ref="TZ21:UB21"/>
    <mergeCell ref="UC21:UE21"/>
    <mergeCell ref="TT22:TV22"/>
    <mergeCell ref="TW22:TY22"/>
    <mergeCell ref="TZ22:UB22"/>
    <mergeCell ref="UC22:UE22"/>
    <mergeCell ref="TT36:TV36"/>
    <mergeCell ref="TW36:TY36"/>
    <mergeCell ref="TZ36:UB36"/>
    <mergeCell ref="UC36:UE36"/>
    <mergeCell ref="TT31:TV31"/>
    <mergeCell ref="TW31:TY31"/>
    <mergeCell ref="TZ31:UB31"/>
    <mergeCell ref="UC31:UE31"/>
    <mergeCell ref="TT32:TV32"/>
    <mergeCell ref="TW32:TY32"/>
    <mergeCell ref="TZ32:UB32"/>
    <mergeCell ref="UC32:UE32"/>
    <mergeCell ref="TT39:TV39"/>
    <mergeCell ref="TW39:TY39"/>
    <mergeCell ref="TZ39:UB39"/>
    <mergeCell ref="UC39:UE39"/>
    <mergeCell ref="TT19:TV19"/>
    <mergeCell ref="TW19:TY19"/>
    <mergeCell ref="TZ19:UB19"/>
    <mergeCell ref="UC19:UE19"/>
    <mergeCell ref="TT56:TV56"/>
    <mergeCell ref="TW56:TY56"/>
    <mergeCell ref="TZ56:UB56"/>
    <mergeCell ref="UC56:UE56"/>
    <mergeCell ref="TT57:TV57"/>
    <mergeCell ref="TW57:TY57"/>
    <mergeCell ref="TZ57:UB57"/>
    <mergeCell ref="UC57:UE57"/>
    <mergeCell ref="TT59:TV59"/>
    <mergeCell ref="TW59:TY59"/>
    <mergeCell ref="TZ59:UB59"/>
    <mergeCell ref="UC59:UE59"/>
    <mergeCell ref="TT60:TV60"/>
    <mergeCell ref="TW60:TY60"/>
    <mergeCell ref="TZ60:UB60"/>
    <mergeCell ref="UC60:UE60"/>
    <mergeCell ref="TT41:TV41"/>
    <mergeCell ref="TW41:TY41"/>
    <mergeCell ref="TZ41:UB41"/>
    <mergeCell ref="UC41:UE41"/>
    <mergeCell ref="TT54:TV54"/>
    <mergeCell ref="TW54:TY54"/>
    <mergeCell ref="TZ54:UB54"/>
    <mergeCell ref="UC54:UE54"/>
    <mergeCell ref="TT40:TV40"/>
    <mergeCell ref="TW40:TY40"/>
    <mergeCell ref="TZ40:UB40"/>
    <mergeCell ref="UC40:UE40"/>
    <mergeCell ref="F40:H40"/>
    <mergeCell ref="I40:K40"/>
    <mergeCell ref="L40:N40"/>
    <mergeCell ref="O40:Q40"/>
    <mergeCell ref="R40:T40"/>
    <mergeCell ref="U40:W40"/>
    <mergeCell ref="X40:Z40"/>
    <mergeCell ref="AA40:AC40"/>
    <mergeCell ref="AD40:AF40"/>
    <mergeCell ref="AG40:AI40"/>
    <mergeCell ref="AJ40:AL40"/>
    <mergeCell ref="AM40:AO40"/>
    <mergeCell ref="AP40:AR40"/>
    <mergeCell ref="AS40:AU40"/>
    <mergeCell ref="AV40:AX40"/>
    <mergeCell ref="AY40:BA40"/>
    <mergeCell ref="BB40:BD40"/>
    <mergeCell ref="BE40:BG40"/>
    <mergeCell ref="BH40:BJ40"/>
    <mergeCell ref="BK40:BM40"/>
    <mergeCell ref="BN40:BP40"/>
    <mergeCell ref="BQ40:BS40"/>
    <mergeCell ref="BT40:BV40"/>
    <mergeCell ref="BW40:BY40"/>
    <mergeCell ref="BZ40:CB40"/>
    <mergeCell ref="CC40:CE40"/>
    <mergeCell ref="CF40:CH40"/>
    <mergeCell ref="CI40:CK40"/>
    <mergeCell ref="CL40:CN40"/>
    <mergeCell ref="CO40:CQ40"/>
    <mergeCell ref="CR40:CT40"/>
    <mergeCell ref="CU40:CW40"/>
    <mergeCell ref="CX40:CZ40"/>
    <mergeCell ref="DM40:DO40"/>
    <mergeCell ref="DP40:DR40"/>
    <mergeCell ref="DS40:DU40"/>
    <mergeCell ref="DV40:DX40"/>
    <mergeCell ref="DY40:EA40"/>
    <mergeCell ref="EB40:ED40"/>
    <mergeCell ref="EE40:EG40"/>
    <mergeCell ref="EH40:EJ40"/>
    <mergeCell ref="EK40:EM40"/>
    <mergeCell ref="EN40:EP40"/>
    <mergeCell ref="EQ40:ES40"/>
    <mergeCell ref="ET40:EV40"/>
    <mergeCell ref="EW40:EY40"/>
    <mergeCell ref="EZ40:FB40"/>
    <mergeCell ref="FC40:FE40"/>
    <mergeCell ref="FF40:FH40"/>
    <mergeCell ref="FI40:FK40"/>
    <mergeCell ref="FL40:FN40"/>
    <mergeCell ref="FO40:FQ40"/>
    <mergeCell ref="FR40:FT40"/>
    <mergeCell ref="FU40:FW40"/>
    <mergeCell ref="FX40:FZ40"/>
    <mergeCell ref="GA40:GC40"/>
    <mergeCell ref="GD40:GF40"/>
    <mergeCell ref="GG40:GI40"/>
    <mergeCell ref="GJ40:GL40"/>
    <mergeCell ref="GM40:GO40"/>
    <mergeCell ref="GP40:GR40"/>
    <mergeCell ref="GS40:GU40"/>
    <mergeCell ref="HH40:HJ40"/>
    <mergeCell ref="LR40:LT40"/>
    <mergeCell ref="LU40:LW40"/>
    <mergeCell ref="LX40:LZ40"/>
    <mergeCell ref="MM40:MO40"/>
    <mergeCell ref="MP40:MR40"/>
    <mergeCell ref="MS40:MU40"/>
    <mergeCell ref="MV40:MX40"/>
    <mergeCell ref="MY40:NA40"/>
    <mergeCell ref="NB40:ND40"/>
    <mergeCell ref="NE40:NG40"/>
    <mergeCell ref="NH40:NJ40"/>
    <mergeCell ref="NK40:NM40"/>
    <mergeCell ref="NN40:NP40"/>
    <mergeCell ref="NQ40:NS40"/>
    <mergeCell ref="NT40:NV40"/>
    <mergeCell ref="NW40:NY40"/>
    <mergeCell ref="NZ40:OB40"/>
    <mergeCell ref="OC40:OE40"/>
    <mergeCell ref="OF40:OH40"/>
    <mergeCell ref="OI40:OK40"/>
    <mergeCell ref="OL40:ON40"/>
    <mergeCell ref="OO40:OQ40"/>
    <mergeCell ref="OR40:OT40"/>
    <mergeCell ref="OU40:OW40"/>
    <mergeCell ref="OX40:OZ40"/>
    <mergeCell ref="PA40:PC40"/>
    <mergeCell ref="HQ40:HS40"/>
    <mergeCell ref="HT40:HV40"/>
    <mergeCell ref="HW40:HY40"/>
    <mergeCell ref="HZ40:IB40"/>
    <mergeCell ref="IC40:IE40"/>
    <mergeCell ref="IF40:IH40"/>
    <mergeCell ref="II40:IK40"/>
    <mergeCell ref="IL40:IN40"/>
    <mergeCell ref="IO40:IQ40"/>
    <mergeCell ref="IR40:IT40"/>
    <mergeCell ref="IU40:IW40"/>
    <mergeCell ref="IX40:IZ40"/>
    <mergeCell ref="JA40:JC40"/>
    <mergeCell ref="JD40:JF40"/>
    <mergeCell ref="JG40:JI40"/>
    <mergeCell ref="JJ40:JL40"/>
    <mergeCell ref="JM40:JO40"/>
    <mergeCell ref="JP40:JR40"/>
    <mergeCell ref="JS40:JU40"/>
    <mergeCell ref="JV40:JX40"/>
    <mergeCell ref="JY40:KA40"/>
    <mergeCell ref="KB40:KD40"/>
    <mergeCell ref="KE40:KG40"/>
    <mergeCell ref="KH40:KJ40"/>
    <mergeCell ref="KK40:KM40"/>
    <mergeCell ref="KN40:KP40"/>
    <mergeCell ref="KQ40:KS40"/>
    <mergeCell ref="KT40:KV40"/>
    <mergeCell ref="KW40:KY40"/>
    <mergeCell ref="KZ40:LB40"/>
    <mergeCell ref="LI40:LK40"/>
    <mergeCell ref="LL40:LN40"/>
    <mergeCell ref="LO40:LQ40"/>
    <mergeCell ref="UI13:UK13"/>
    <mergeCell ref="UL13:UN13"/>
    <mergeCell ref="UO13:UQ13"/>
    <mergeCell ref="UR13:UT13"/>
    <mergeCell ref="UU13:UW13"/>
    <mergeCell ref="UX13:UZ13"/>
    <mergeCell ref="UF2:UH2"/>
    <mergeCell ref="UI2:UK2"/>
    <mergeCell ref="UL2:UN2"/>
    <mergeCell ref="UO2:UQ2"/>
    <mergeCell ref="UR2:UT2"/>
    <mergeCell ref="UU2:UW2"/>
    <mergeCell ref="UX2:UZ2"/>
    <mergeCell ref="UF3:UH3"/>
    <mergeCell ref="UI3:UK3"/>
    <mergeCell ref="UL3:UN3"/>
    <mergeCell ref="UO3:UQ3"/>
    <mergeCell ref="UR3:UT3"/>
    <mergeCell ref="UU3:UW3"/>
    <mergeCell ref="UX3:UZ3"/>
    <mergeCell ref="UF5:UH5"/>
    <mergeCell ref="UI5:UK5"/>
    <mergeCell ref="UL5:UN5"/>
    <mergeCell ref="UO5:UQ5"/>
    <mergeCell ref="UR5:UT5"/>
    <mergeCell ref="UU5:UW5"/>
    <mergeCell ref="UX5:UZ5"/>
    <mergeCell ref="UF6:UH6"/>
    <mergeCell ref="UI6:UK6"/>
    <mergeCell ref="UL6:UN6"/>
    <mergeCell ref="UO6:UQ6"/>
    <mergeCell ref="UR6:UT6"/>
    <mergeCell ref="UU6:UW6"/>
    <mergeCell ref="UX6:UZ6"/>
    <mergeCell ref="UF7:UH7"/>
    <mergeCell ref="UI7:UK7"/>
    <mergeCell ref="UL7:UN7"/>
    <mergeCell ref="UO7:UQ7"/>
    <mergeCell ref="UR7:UT7"/>
    <mergeCell ref="UU7:UW7"/>
    <mergeCell ref="UX7:UZ7"/>
    <mergeCell ref="UF12:UH12"/>
    <mergeCell ref="UI12:UK12"/>
    <mergeCell ref="UL12:UN12"/>
    <mergeCell ref="UO12:UQ12"/>
    <mergeCell ref="UR12:UT12"/>
    <mergeCell ref="UU12:UW12"/>
    <mergeCell ref="UX12:UZ12"/>
    <mergeCell ref="UF15:UH15"/>
    <mergeCell ref="UI15:UK15"/>
    <mergeCell ref="UL15:UN15"/>
    <mergeCell ref="UO15:UQ15"/>
    <mergeCell ref="UR15:UT15"/>
    <mergeCell ref="UU15:UW15"/>
    <mergeCell ref="UX15:UZ15"/>
    <mergeCell ref="UF8:UH8"/>
    <mergeCell ref="UI8:UK8"/>
    <mergeCell ref="UL8:UN8"/>
    <mergeCell ref="UO8:UQ8"/>
    <mergeCell ref="UR8:UT8"/>
    <mergeCell ref="UU8:UW8"/>
    <mergeCell ref="UX8:UZ8"/>
    <mergeCell ref="UF9:UH9"/>
    <mergeCell ref="UI9:UK9"/>
    <mergeCell ref="UL9:UN9"/>
    <mergeCell ref="UO9:UQ9"/>
    <mergeCell ref="UR9:UT9"/>
    <mergeCell ref="UU9:UW9"/>
    <mergeCell ref="UX9:UZ9"/>
    <mergeCell ref="UF10:UH10"/>
    <mergeCell ref="UI10:UK10"/>
    <mergeCell ref="UL10:UN10"/>
    <mergeCell ref="UO10:UQ10"/>
    <mergeCell ref="UR10:UT10"/>
    <mergeCell ref="UU10:UW10"/>
    <mergeCell ref="UX10:UZ10"/>
    <mergeCell ref="UF11:UH11"/>
    <mergeCell ref="UI11:UK11"/>
    <mergeCell ref="UL11:UN11"/>
    <mergeCell ref="UO11:UQ11"/>
    <mergeCell ref="UR11:UT11"/>
    <mergeCell ref="UU11:UW11"/>
    <mergeCell ref="UX11:UZ11"/>
    <mergeCell ref="UF14:UH14"/>
    <mergeCell ref="UI14:UK14"/>
    <mergeCell ref="UL14:UN14"/>
    <mergeCell ref="UO14:UQ14"/>
    <mergeCell ref="UR14:UT14"/>
    <mergeCell ref="UU14:UW14"/>
    <mergeCell ref="UX14:UZ14"/>
    <mergeCell ref="UF13:UH13"/>
    <mergeCell ref="UF16:UH16"/>
    <mergeCell ref="UI16:UK16"/>
    <mergeCell ref="UL16:UN16"/>
    <mergeCell ref="UO16:UQ16"/>
    <mergeCell ref="UR16:UT16"/>
    <mergeCell ref="UU16:UW16"/>
    <mergeCell ref="UX16:UZ16"/>
    <mergeCell ref="UF29:UH29"/>
    <mergeCell ref="UI29:UK29"/>
    <mergeCell ref="UL29:UN29"/>
    <mergeCell ref="UO29:UQ29"/>
    <mergeCell ref="UR29:UT29"/>
    <mergeCell ref="UU29:UW29"/>
    <mergeCell ref="UX29:UZ29"/>
    <mergeCell ref="UF33:UH33"/>
    <mergeCell ref="UI33:UK33"/>
    <mergeCell ref="UL33:UN33"/>
    <mergeCell ref="UO33:UQ33"/>
    <mergeCell ref="UR33:UT33"/>
    <mergeCell ref="UU33:UW33"/>
    <mergeCell ref="UX33:UZ33"/>
    <mergeCell ref="UF30:UH30"/>
    <mergeCell ref="UI30:UK30"/>
    <mergeCell ref="UL30:UN30"/>
    <mergeCell ref="UO30:UQ30"/>
    <mergeCell ref="UR30:UT30"/>
    <mergeCell ref="UU30:UW30"/>
    <mergeCell ref="UX30:UZ30"/>
    <mergeCell ref="UF31:UH31"/>
    <mergeCell ref="UI31:UK31"/>
    <mergeCell ref="UL31:UN31"/>
    <mergeCell ref="UO31:UQ31"/>
    <mergeCell ref="UR31:UT31"/>
    <mergeCell ref="UU31:UW31"/>
    <mergeCell ref="UX31:UZ31"/>
    <mergeCell ref="UF32:UH32"/>
    <mergeCell ref="UI32:UK32"/>
    <mergeCell ref="UL32:UN32"/>
    <mergeCell ref="UO32:UQ32"/>
    <mergeCell ref="UR32:UT32"/>
    <mergeCell ref="UU32:UW32"/>
    <mergeCell ref="UX32:UZ32"/>
    <mergeCell ref="UF39:UH39"/>
    <mergeCell ref="UI39:UK39"/>
    <mergeCell ref="UL39:UN39"/>
    <mergeCell ref="UO39:UQ39"/>
    <mergeCell ref="UR39:UT39"/>
    <mergeCell ref="UU39:UW39"/>
    <mergeCell ref="UX39:UZ39"/>
    <mergeCell ref="UF19:UH19"/>
    <mergeCell ref="UI19:UK19"/>
    <mergeCell ref="UL19:UN19"/>
    <mergeCell ref="UO19:UQ19"/>
    <mergeCell ref="UR19:UT19"/>
    <mergeCell ref="UU19:UW19"/>
    <mergeCell ref="UX19:UZ19"/>
    <mergeCell ref="UF20:UH20"/>
    <mergeCell ref="UI20:UK20"/>
    <mergeCell ref="UL20:UN20"/>
    <mergeCell ref="UO20:UQ20"/>
    <mergeCell ref="UR20:UT20"/>
    <mergeCell ref="UU20:UW20"/>
    <mergeCell ref="UX20:UZ20"/>
    <mergeCell ref="UF21:UH21"/>
    <mergeCell ref="UI21:UK21"/>
    <mergeCell ref="UL21:UN21"/>
    <mergeCell ref="UO21:UQ21"/>
    <mergeCell ref="UR21:UT21"/>
    <mergeCell ref="UU21:UW21"/>
    <mergeCell ref="UX21:UZ21"/>
    <mergeCell ref="UF22:UH22"/>
    <mergeCell ref="UI22:UK22"/>
    <mergeCell ref="UL22:UN22"/>
    <mergeCell ref="UO22:UQ22"/>
    <mergeCell ref="UR22:UT22"/>
    <mergeCell ref="UU22:UW22"/>
    <mergeCell ref="UX22:UZ22"/>
    <mergeCell ref="UF36:UH36"/>
    <mergeCell ref="UI36:UK36"/>
    <mergeCell ref="UL36:UN36"/>
    <mergeCell ref="UO36:UQ36"/>
    <mergeCell ref="UR36:UT36"/>
    <mergeCell ref="UU36:UW36"/>
    <mergeCell ref="UX36:UZ36"/>
    <mergeCell ref="UX41:UZ41"/>
    <mergeCell ref="UF54:UH54"/>
    <mergeCell ref="UI54:UK54"/>
    <mergeCell ref="UL54:UN54"/>
    <mergeCell ref="UO54:UQ54"/>
    <mergeCell ref="UR54:UT54"/>
    <mergeCell ref="UU54:UW54"/>
    <mergeCell ref="UX54:UZ54"/>
    <mergeCell ref="UF55:UH55"/>
    <mergeCell ref="UI55:UK55"/>
    <mergeCell ref="UL55:UN55"/>
    <mergeCell ref="UO55:UQ55"/>
    <mergeCell ref="UR55:UT55"/>
    <mergeCell ref="UU55:UW55"/>
    <mergeCell ref="UX55:UZ55"/>
    <mergeCell ref="UF42:UH42"/>
    <mergeCell ref="UF43:UH43"/>
    <mergeCell ref="UF44:UH44"/>
    <mergeCell ref="UI42:UK42"/>
    <mergeCell ref="UI43:UK43"/>
    <mergeCell ref="UI44:UK44"/>
    <mergeCell ref="UL42:UN42"/>
    <mergeCell ref="UL43:UN43"/>
    <mergeCell ref="UL44:UN44"/>
    <mergeCell ref="UO43:UQ43"/>
    <mergeCell ref="UR43:UT43"/>
    <mergeCell ref="UU43:UW43"/>
    <mergeCell ref="UX43:UZ43"/>
    <mergeCell ref="UO44:UQ44"/>
    <mergeCell ref="UR44:UT44"/>
    <mergeCell ref="UU44:UW44"/>
    <mergeCell ref="UX44:UZ44"/>
    <mergeCell ref="UO42:UQ42"/>
    <mergeCell ref="UR42:UT42"/>
    <mergeCell ref="UU42:UW42"/>
    <mergeCell ref="UX42:UZ42"/>
    <mergeCell ref="UF56:UH56"/>
    <mergeCell ref="UI56:UK56"/>
    <mergeCell ref="UL56:UN56"/>
    <mergeCell ref="UO56:UQ56"/>
    <mergeCell ref="UR56:UT56"/>
    <mergeCell ref="UU56:UW56"/>
    <mergeCell ref="UX56:UZ56"/>
    <mergeCell ref="UF57:UH57"/>
    <mergeCell ref="UI57:UK57"/>
    <mergeCell ref="UL57:UN57"/>
    <mergeCell ref="UO57:UQ57"/>
    <mergeCell ref="UR57:UT57"/>
    <mergeCell ref="UU57:UW57"/>
    <mergeCell ref="UX57:UZ57"/>
    <mergeCell ref="UF59:UH59"/>
    <mergeCell ref="UI59:UK59"/>
    <mergeCell ref="UL59:UN59"/>
    <mergeCell ref="UO59:UQ59"/>
    <mergeCell ref="UR59:UT59"/>
    <mergeCell ref="UU59:UW59"/>
    <mergeCell ref="UX59:UZ59"/>
    <mergeCell ref="UF60:UH60"/>
    <mergeCell ref="UI60:UK60"/>
    <mergeCell ref="UL60:UN60"/>
    <mergeCell ref="UO60:UQ60"/>
    <mergeCell ref="UR60:UT60"/>
    <mergeCell ref="UU60:UW60"/>
    <mergeCell ref="UX60:UZ60"/>
    <mergeCell ref="VA2:VC2"/>
    <mergeCell ref="VD2:VF2"/>
    <mergeCell ref="VG2:VI2"/>
    <mergeCell ref="VJ2:VL2"/>
    <mergeCell ref="VM2:VO2"/>
    <mergeCell ref="VA9:VC9"/>
    <mergeCell ref="VD9:VF9"/>
    <mergeCell ref="VG9:VI9"/>
    <mergeCell ref="VJ9:VL9"/>
    <mergeCell ref="VM9:VO9"/>
    <mergeCell ref="UF40:UH40"/>
    <mergeCell ref="UI40:UK40"/>
    <mergeCell ref="UL40:UN40"/>
    <mergeCell ref="UO40:UQ40"/>
    <mergeCell ref="UR40:UT40"/>
    <mergeCell ref="UU40:UW40"/>
    <mergeCell ref="UX40:UZ40"/>
    <mergeCell ref="UF41:UH41"/>
    <mergeCell ref="UI41:UK41"/>
    <mergeCell ref="UL41:UN41"/>
    <mergeCell ref="UO41:UQ41"/>
    <mergeCell ref="UR41:UT41"/>
    <mergeCell ref="UU41:UW41"/>
    <mergeCell ref="VS13:VU13"/>
    <mergeCell ref="VP2:VR2"/>
    <mergeCell ref="VS2:VU2"/>
    <mergeCell ref="VA3:VC3"/>
    <mergeCell ref="VD3:VF3"/>
    <mergeCell ref="VG3:VI3"/>
    <mergeCell ref="VJ3:VL3"/>
    <mergeCell ref="VM3:VO3"/>
    <mergeCell ref="VP3:VR3"/>
    <mergeCell ref="VS3:VU3"/>
    <mergeCell ref="VA5:VC5"/>
    <mergeCell ref="VD5:VF5"/>
    <mergeCell ref="VG5:VI5"/>
    <mergeCell ref="VJ5:VL5"/>
    <mergeCell ref="VM5:VO5"/>
    <mergeCell ref="VP5:VR5"/>
    <mergeCell ref="VS5:VU5"/>
    <mergeCell ref="VA6:VC6"/>
    <mergeCell ref="VD6:VF6"/>
    <mergeCell ref="VG6:VI6"/>
    <mergeCell ref="VJ6:VL6"/>
    <mergeCell ref="VM6:VO6"/>
    <mergeCell ref="VP6:VR6"/>
    <mergeCell ref="VS6:VU6"/>
    <mergeCell ref="VA7:VC7"/>
    <mergeCell ref="VD7:VF7"/>
    <mergeCell ref="VG7:VI7"/>
    <mergeCell ref="VJ7:VL7"/>
    <mergeCell ref="VM7:VO7"/>
    <mergeCell ref="VP7:VR7"/>
    <mergeCell ref="VS7:VU7"/>
    <mergeCell ref="VA8:VC8"/>
    <mergeCell ref="VD8:VF8"/>
    <mergeCell ref="VG8:VI8"/>
    <mergeCell ref="VJ8:VL8"/>
    <mergeCell ref="VM8:VO8"/>
    <mergeCell ref="VP8:VR8"/>
    <mergeCell ref="VS8:VU8"/>
    <mergeCell ref="VA12:VC12"/>
    <mergeCell ref="VD12:VF12"/>
    <mergeCell ref="VG12:VI12"/>
    <mergeCell ref="VJ12:VL12"/>
    <mergeCell ref="VM12:VO12"/>
    <mergeCell ref="VP12:VR12"/>
    <mergeCell ref="VS12:VU12"/>
    <mergeCell ref="VP9:VR9"/>
    <mergeCell ref="VS9:VU9"/>
    <mergeCell ref="VA10:VC10"/>
    <mergeCell ref="VD10:VF10"/>
    <mergeCell ref="VG10:VI10"/>
    <mergeCell ref="VJ10:VL10"/>
    <mergeCell ref="VM10:VO10"/>
    <mergeCell ref="VP10:VR10"/>
    <mergeCell ref="VS10:VU10"/>
    <mergeCell ref="VA11:VC11"/>
    <mergeCell ref="VD11:VF11"/>
    <mergeCell ref="VG11:VI11"/>
    <mergeCell ref="VJ11:VL11"/>
    <mergeCell ref="VM11:VO11"/>
    <mergeCell ref="VP11:VR11"/>
    <mergeCell ref="VS11:VU11"/>
    <mergeCell ref="VA14:VC14"/>
    <mergeCell ref="VD14:VF14"/>
    <mergeCell ref="VG14:VI14"/>
    <mergeCell ref="VJ14:VL14"/>
    <mergeCell ref="VM14:VO14"/>
    <mergeCell ref="VP14:VR14"/>
    <mergeCell ref="VS14:VU14"/>
    <mergeCell ref="VA15:VC15"/>
    <mergeCell ref="VD15:VF15"/>
    <mergeCell ref="VG15:VI15"/>
    <mergeCell ref="VJ15:VL15"/>
    <mergeCell ref="VM15:VO15"/>
    <mergeCell ref="VP15:VR15"/>
    <mergeCell ref="VS15:VU15"/>
    <mergeCell ref="VA13:VC13"/>
    <mergeCell ref="VD13:VF13"/>
    <mergeCell ref="VG13:VI13"/>
    <mergeCell ref="VJ13:VL13"/>
    <mergeCell ref="VM13:VO13"/>
    <mergeCell ref="VP13:VR13"/>
    <mergeCell ref="VA16:VC16"/>
    <mergeCell ref="VD16:VF16"/>
    <mergeCell ref="VG16:VI16"/>
    <mergeCell ref="VJ16:VL16"/>
    <mergeCell ref="VM16:VO16"/>
    <mergeCell ref="VP16:VR16"/>
    <mergeCell ref="VS16:VU16"/>
    <mergeCell ref="VA29:VC29"/>
    <mergeCell ref="VD29:VF29"/>
    <mergeCell ref="VG29:VI29"/>
    <mergeCell ref="VJ29:VL29"/>
    <mergeCell ref="VM29:VO29"/>
    <mergeCell ref="VP29:VR29"/>
    <mergeCell ref="VS29:VU29"/>
    <mergeCell ref="VA33:VC33"/>
    <mergeCell ref="VD33:VF33"/>
    <mergeCell ref="VG33:VI33"/>
    <mergeCell ref="VJ33:VL33"/>
    <mergeCell ref="VM33:VO33"/>
    <mergeCell ref="VP33:VR33"/>
    <mergeCell ref="VS33:VU33"/>
    <mergeCell ref="VA30:VC30"/>
    <mergeCell ref="VD30:VF30"/>
    <mergeCell ref="VG30:VI30"/>
    <mergeCell ref="VJ30:VL30"/>
    <mergeCell ref="VM30:VO30"/>
    <mergeCell ref="VP30:VR30"/>
    <mergeCell ref="VS30:VU30"/>
    <mergeCell ref="VA31:VC31"/>
    <mergeCell ref="VD31:VF31"/>
    <mergeCell ref="VG31:VI31"/>
    <mergeCell ref="VJ31:VL31"/>
    <mergeCell ref="VM31:VO31"/>
    <mergeCell ref="VP31:VR31"/>
    <mergeCell ref="VS31:VU31"/>
    <mergeCell ref="VA32:VC32"/>
    <mergeCell ref="VD32:VF32"/>
    <mergeCell ref="VG32:VI32"/>
    <mergeCell ref="VJ32:VL32"/>
    <mergeCell ref="VM32:VO32"/>
    <mergeCell ref="VP32:VR32"/>
    <mergeCell ref="VS32:VU32"/>
    <mergeCell ref="VA39:VC39"/>
    <mergeCell ref="VD39:VF39"/>
    <mergeCell ref="VG39:VI39"/>
    <mergeCell ref="VJ39:VL39"/>
    <mergeCell ref="VM39:VO39"/>
    <mergeCell ref="VP39:VR39"/>
    <mergeCell ref="VS39:VU39"/>
    <mergeCell ref="VA19:VC19"/>
    <mergeCell ref="VD19:VF19"/>
    <mergeCell ref="VG19:VI19"/>
    <mergeCell ref="VJ19:VL19"/>
    <mergeCell ref="VM19:VO19"/>
    <mergeCell ref="VP19:VR19"/>
    <mergeCell ref="VS19:VU19"/>
    <mergeCell ref="VA20:VC20"/>
    <mergeCell ref="VD20:VF20"/>
    <mergeCell ref="VG20:VI20"/>
    <mergeCell ref="VJ20:VL20"/>
    <mergeCell ref="VM20:VO20"/>
    <mergeCell ref="VP20:VR20"/>
    <mergeCell ref="VS20:VU20"/>
    <mergeCell ref="VA21:VC21"/>
    <mergeCell ref="VD21:VF21"/>
    <mergeCell ref="VG21:VI21"/>
    <mergeCell ref="VJ21:VL21"/>
    <mergeCell ref="VM21:VO21"/>
    <mergeCell ref="VP21:VR21"/>
    <mergeCell ref="VS21:VU21"/>
    <mergeCell ref="VA22:VC22"/>
    <mergeCell ref="VD22:VF22"/>
    <mergeCell ref="VG22:VI22"/>
    <mergeCell ref="VJ22:VL22"/>
    <mergeCell ref="VM22:VO22"/>
    <mergeCell ref="VP22:VR22"/>
    <mergeCell ref="VS22:VU22"/>
    <mergeCell ref="VA36:VC36"/>
    <mergeCell ref="VD36:VF36"/>
    <mergeCell ref="VG36:VI36"/>
    <mergeCell ref="VJ36:VL36"/>
    <mergeCell ref="VM36:VO36"/>
    <mergeCell ref="VP36:VR36"/>
    <mergeCell ref="VS36:VU36"/>
    <mergeCell ref="VA40:VC40"/>
    <mergeCell ref="VD40:VF40"/>
    <mergeCell ref="VG40:VI40"/>
    <mergeCell ref="VJ40:VL40"/>
    <mergeCell ref="VM40:VO40"/>
    <mergeCell ref="VP40:VR40"/>
    <mergeCell ref="VS40:VU40"/>
    <mergeCell ref="VA41:VC41"/>
    <mergeCell ref="VD41:VF41"/>
    <mergeCell ref="VG41:VI41"/>
    <mergeCell ref="VJ41:VL41"/>
    <mergeCell ref="VM41:VO41"/>
    <mergeCell ref="VP41:VR41"/>
    <mergeCell ref="VS41:VU41"/>
    <mergeCell ref="VA54:VC54"/>
    <mergeCell ref="VD54:VF54"/>
    <mergeCell ref="VG54:VI54"/>
    <mergeCell ref="VJ54:VL54"/>
    <mergeCell ref="VM54:VO54"/>
    <mergeCell ref="VP54:VR54"/>
    <mergeCell ref="VS54:VU54"/>
    <mergeCell ref="VA42:VC42"/>
    <mergeCell ref="VD42:VF42"/>
    <mergeCell ref="VG42:VI42"/>
    <mergeCell ref="VJ42:VL42"/>
    <mergeCell ref="VM42:VO42"/>
    <mergeCell ref="VP42:VR42"/>
    <mergeCell ref="VS42:VU42"/>
    <mergeCell ref="VA55:VC55"/>
    <mergeCell ref="VD55:VF55"/>
    <mergeCell ref="VG55:VI55"/>
    <mergeCell ref="VJ55:VL55"/>
    <mergeCell ref="VM55:VO55"/>
    <mergeCell ref="VP55:VR55"/>
    <mergeCell ref="VS55:VU55"/>
    <mergeCell ref="VA56:VC56"/>
    <mergeCell ref="VD56:VF56"/>
    <mergeCell ref="VG56:VI56"/>
    <mergeCell ref="VJ56:VL56"/>
    <mergeCell ref="VM56:VO56"/>
    <mergeCell ref="VP56:VR56"/>
    <mergeCell ref="VS56:VU56"/>
    <mergeCell ref="VA57:VC57"/>
    <mergeCell ref="VD57:VF57"/>
    <mergeCell ref="VG57:VI57"/>
    <mergeCell ref="VJ57:VL57"/>
    <mergeCell ref="VM57:VO57"/>
    <mergeCell ref="VP57:VR57"/>
    <mergeCell ref="VS57:VU57"/>
    <mergeCell ref="VA43:VC43"/>
    <mergeCell ref="VD43:VF43"/>
    <mergeCell ref="VG43:VI43"/>
    <mergeCell ref="VJ43:VL43"/>
    <mergeCell ref="VM43:VO43"/>
    <mergeCell ref="VP43:VR43"/>
    <mergeCell ref="VS43:VU43"/>
    <mergeCell ref="VA44:VC44"/>
    <mergeCell ref="VD44:VF44"/>
    <mergeCell ref="VG44:VI44"/>
    <mergeCell ref="VJ44:VL44"/>
    <mergeCell ref="VM44:VO44"/>
    <mergeCell ref="VP44:VR44"/>
    <mergeCell ref="VS44:VU44"/>
    <mergeCell ref="VA59:VC59"/>
    <mergeCell ref="VD59:VF59"/>
    <mergeCell ref="VG59:VI59"/>
    <mergeCell ref="VJ59:VL59"/>
    <mergeCell ref="VM59:VO59"/>
    <mergeCell ref="VP59:VR59"/>
    <mergeCell ref="VS59:VU59"/>
    <mergeCell ref="VA60:VC60"/>
    <mergeCell ref="VD60:VF60"/>
    <mergeCell ref="VG60:VI60"/>
    <mergeCell ref="VJ60:VL60"/>
    <mergeCell ref="VM60:VO60"/>
    <mergeCell ref="VP60:VR60"/>
    <mergeCell ref="VS60:VU60"/>
    <mergeCell ref="VV2:VX2"/>
    <mergeCell ref="VY2:WA2"/>
    <mergeCell ref="WB2:WD2"/>
    <mergeCell ref="WE2:WG2"/>
    <mergeCell ref="WH2:WJ2"/>
    <mergeCell ref="WK2:WM2"/>
    <mergeCell ref="WN2:WP2"/>
    <mergeCell ref="VV3:VX3"/>
    <mergeCell ref="VY3:WA3"/>
    <mergeCell ref="WB3:WD3"/>
    <mergeCell ref="WE3:WG3"/>
    <mergeCell ref="WH3:WJ3"/>
    <mergeCell ref="WK3:WM3"/>
    <mergeCell ref="WN3:WP3"/>
    <mergeCell ref="VV5:VX5"/>
    <mergeCell ref="VY5:WA5"/>
    <mergeCell ref="WB5:WD5"/>
    <mergeCell ref="WE5:WG5"/>
    <mergeCell ref="WH5:WJ5"/>
    <mergeCell ref="WK5:WM5"/>
    <mergeCell ref="WN5:WP5"/>
    <mergeCell ref="VV6:VX6"/>
    <mergeCell ref="VY6:WA6"/>
    <mergeCell ref="WB6:WD6"/>
    <mergeCell ref="WE6:WG6"/>
    <mergeCell ref="WH6:WJ6"/>
    <mergeCell ref="WK6:WM6"/>
    <mergeCell ref="WN6:WP6"/>
    <mergeCell ref="VV7:VX7"/>
    <mergeCell ref="VY7:WA7"/>
    <mergeCell ref="WB7:WD7"/>
    <mergeCell ref="WE7:WG7"/>
    <mergeCell ref="WH7:WJ7"/>
    <mergeCell ref="WK7:WM7"/>
    <mergeCell ref="WN7:WP7"/>
    <mergeCell ref="VV8:VX8"/>
    <mergeCell ref="VY8:WA8"/>
    <mergeCell ref="WB8:WD8"/>
    <mergeCell ref="WE8:WG8"/>
    <mergeCell ref="WH8:WJ8"/>
    <mergeCell ref="WK8:WM8"/>
    <mergeCell ref="WN8:WP8"/>
    <mergeCell ref="VV9:VX9"/>
    <mergeCell ref="VY9:WA9"/>
    <mergeCell ref="WB9:WD9"/>
    <mergeCell ref="WE9:WG9"/>
    <mergeCell ref="WH9:WJ9"/>
    <mergeCell ref="WK9:WM9"/>
    <mergeCell ref="WN9:WP9"/>
    <mergeCell ref="VV10:VX10"/>
    <mergeCell ref="VY10:WA10"/>
    <mergeCell ref="WB10:WD10"/>
    <mergeCell ref="WE10:WG10"/>
    <mergeCell ref="WH10:WJ10"/>
    <mergeCell ref="WK10:WM10"/>
    <mergeCell ref="WN10:WP10"/>
    <mergeCell ref="VV11:VX11"/>
    <mergeCell ref="VY11:WA11"/>
    <mergeCell ref="WB11:WD11"/>
    <mergeCell ref="WE11:WG11"/>
    <mergeCell ref="WH11:WJ11"/>
    <mergeCell ref="WK11:WM11"/>
    <mergeCell ref="WN11:WP11"/>
    <mergeCell ref="VV14:VX14"/>
    <mergeCell ref="VY14:WA14"/>
    <mergeCell ref="WB14:WD14"/>
    <mergeCell ref="WE14:WG14"/>
    <mergeCell ref="WH14:WJ14"/>
    <mergeCell ref="WK14:WM14"/>
    <mergeCell ref="WN14:WP14"/>
    <mergeCell ref="VV15:VX15"/>
    <mergeCell ref="VY15:WA15"/>
    <mergeCell ref="WB15:WD15"/>
    <mergeCell ref="WE15:WG15"/>
    <mergeCell ref="WH15:WJ15"/>
    <mergeCell ref="WK15:WM15"/>
    <mergeCell ref="WN15:WP15"/>
    <mergeCell ref="VV13:VX13"/>
    <mergeCell ref="VY13:WA13"/>
    <mergeCell ref="WB13:WD13"/>
    <mergeCell ref="WE13:WG13"/>
    <mergeCell ref="WH13:WJ13"/>
    <mergeCell ref="WK13:WM13"/>
    <mergeCell ref="WN13:WP13"/>
    <mergeCell ref="VV12:VX12"/>
    <mergeCell ref="VY12:WA12"/>
    <mergeCell ref="WB12:WD12"/>
    <mergeCell ref="WE12:WG12"/>
    <mergeCell ref="WH12:WJ12"/>
    <mergeCell ref="WK12:WM12"/>
    <mergeCell ref="WN12:WP12"/>
    <mergeCell ref="VV16:VX16"/>
    <mergeCell ref="VY16:WA16"/>
    <mergeCell ref="WB16:WD16"/>
    <mergeCell ref="WE16:WG16"/>
    <mergeCell ref="WH16:WJ16"/>
    <mergeCell ref="WK16:WM16"/>
    <mergeCell ref="WN16:WP16"/>
    <mergeCell ref="VV29:VX29"/>
    <mergeCell ref="VY29:WA29"/>
    <mergeCell ref="WB29:WD29"/>
    <mergeCell ref="WE29:WG29"/>
    <mergeCell ref="WH29:WJ29"/>
    <mergeCell ref="WK29:WM29"/>
    <mergeCell ref="WN29:WP29"/>
    <mergeCell ref="VV33:VX33"/>
    <mergeCell ref="VY33:WA33"/>
    <mergeCell ref="WB33:WD33"/>
    <mergeCell ref="WE33:WG33"/>
    <mergeCell ref="WH33:WJ33"/>
    <mergeCell ref="WK33:WM33"/>
    <mergeCell ref="WN33:WP33"/>
    <mergeCell ref="VV30:VX30"/>
    <mergeCell ref="VY30:WA30"/>
    <mergeCell ref="WB30:WD30"/>
    <mergeCell ref="WE30:WG30"/>
    <mergeCell ref="WH30:WJ30"/>
    <mergeCell ref="WK30:WM30"/>
    <mergeCell ref="WN30:WP30"/>
    <mergeCell ref="VV31:VX31"/>
    <mergeCell ref="VY31:WA31"/>
    <mergeCell ref="WB31:WD31"/>
    <mergeCell ref="WE31:WG31"/>
    <mergeCell ref="WH31:WJ31"/>
    <mergeCell ref="WK31:WM31"/>
    <mergeCell ref="WN31:WP31"/>
    <mergeCell ref="VV32:VX32"/>
    <mergeCell ref="VV39:VX39"/>
    <mergeCell ref="VY39:WA39"/>
    <mergeCell ref="WB39:WD39"/>
    <mergeCell ref="WE39:WG39"/>
    <mergeCell ref="WH39:WJ39"/>
    <mergeCell ref="WK39:WM39"/>
    <mergeCell ref="WN39:WP39"/>
    <mergeCell ref="VY32:WA32"/>
    <mergeCell ref="WB32:WD32"/>
    <mergeCell ref="WE32:WG32"/>
    <mergeCell ref="WH32:WJ32"/>
    <mergeCell ref="WK32:WM32"/>
    <mergeCell ref="WN32:WP32"/>
    <mergeCell ref="WB20:WD20"/>
    <mergeCell ref="WE20:WG20"/>
    <mergeCell ref="WH20:WJ20"/>
    <mergeCell ref="WK20:WM20"/>
    <mergeCell ref="WN20:WP20"/>
    <mergeCell ref="VV21:VX21"/>
    <mergeCell ref="VY21:WA21"/>
    <mergeCell ref="WB21:WD21"/>
    <mergeCell ref="WE21:WG21"/>
    <mergeCell ref="WH21:WJ21"/>
    <mergeCell ref="WK21:WM21"/>
    <mergeCell ref="WN21:WP21"/>
    <mergeCell ref="VV22:VX22"/>
    <mergeCell ref="VY22:WA22"/>
    <mergeCell ref="WB22:WD22"/>
    <mergeCell ref="WE22:WG22"/>
    <mergeCell ref="WH22:WJ22"/>
    <mergeCell ref="WK22:WM22"/>
    <mergeCell ref="WN22:WP22"/>
    <mergeCell ref="VV36:VX36"/>
    <mergeCell ref="VY36:WA36"/>
    <mergeCell ref="WB36:WD36"/>
    <mergeCell ref="WE36:WG36"/>
    <mergeCell ref="WH36:WJ36"/>
    <mergeCell ref="WK36:WM36"/>
    <mergeCell ref="WN36:WP36"/>
    <mergeCell ref="VV42:VX42"/>
    <mergeCell ref="VY42:WA42"/>
    <mergeCell ref="WB42:WD42"/>
    <mergeCell ref="WE42:WG42"/>
    <mergeCell ref="WH42:WJ42"/>
    <mergeCell ref="WK42:WM42"/>
    <mergeCell ref="VV40:VX40"/>
    <mergeCell ref="VY40:WA40"/>
    <mergeCell ref="VV60:VX60"/>
    <mergeCell ref="VY60:WA60"/>
    <mergeCell ref="WB60:WD60"/>
    <mergeCell ref="WE60:WG60"/>
    <mergeCell ref="WH60:WJ60"/>
    <mergeCell ref="WK60:WM60"/>
    <mergeCell ref="WN60:WP60"/>
    <mergeCell ref="VV59:VX59"/>
    <mergeCell ref="VY59:WA59"/>
    <mergeCell ref="WB59:WD59"/>
    <mergeCell ref="WE59:WG59"/>
    <mergeCell ref="WH59:WJ59"/>
    <mergeCell ref="WK59:WM59"/>
    <mergeCell ref="WN59:WP59"/>
    <mergeCell ref="VV56:VX56"/>
    <mergeCell ref="VY56:WA56"/>
    <mergeCell ref="WB56:WD56"/>
    <mergeCell ref="WE56:WG56"/>
    <mergeCell ref="WH56:WJ56"/>
    <mergeCell ref="WK56:WM56"/>
    <mergeCell ref="WN56:WP56"/>
    <mergeCell ref="VV57:VX57"/>
    <mergeCell ref="VY57:WA57"/>
    <mergeCell ref="WB57:WD57"/>
    <mergeCell ref="WE57:WG57"/>
    <mergeCell ref="WH57:WJ57"/>
    <mergeCell ref="WK57:WM57"/>
    <mergeCell ref="WN57:WP57"/>
    <mergeCell ref="WK44:WM44"/>
    <mergeCell ref="VV54:VX54"/>
    <mergeCell ref="VY54:WA54"/>
    <mergeCell ref="WB54:WD54"/>
    <mergeCell ref="WE54:WG54"/>
    <mergeCell ref="WH54:WJ54"/>
    <mergeCell ref="WK54:WM54"/>
    <mergeCell ref="WN54:WP54"/>
    <mergeCell ref="WN44:WP44"/>
    <mergeCell ref="WW2:WY2"/>
    <mergeCell ref="WZ2:XB2"/>
    <mergeCell ref="XC2:XE2"/>
    <mergeCell ref="XF2:XH2"/>
    <mergeCell ref="XI2:XK2"/>
    <mergeCell ref="WQ3:WS3"/>
    <mergeCell ref="WT3:WV3"/>
    <mergeCell ref="WW3:WY3"/>
    <mergeCell ref="WZ3:XB3"/>
    <mergeCell ref="XC3:XE3"/>
    <mergeCell ref="XF3:XH3"/>
    <mergeCell ref="XI3:XK3"/>
    <mergeCell ref="WQ5:WS5"/>
    <mergeCell ref="WT5:WV5"/>
    <mergeCell ref="WW5:WY5"/>
    <mergeCell ref="WZ5:XB5"/>
    <mergeCell ref="XC5:XE5"/>
    <mergeCell ref="XF5:XH5"/>
    <mergeCell ref="XI5:XK5"/>
    <mergeCell ref="WQ6:WS6"/>
    <mergeCell ref="WT6:WV6"/>
    <mergeCell ref="WW6:WY6"/>
    <mergeCell ref="WZ6:XB6"/>
    <mergeCell ref="XC6:XE6"/>
    <mergeCell ref="XF6:XH6"/>
    <mergeCell ref="XI6:XK6"/>
    <mergeCell ref="WQ7:WS7"/>
    <mergeCell ref="WT7:WV7"/>
    <mergeCell ref="WW7:WY7"/>
    <mergeCell ref="WZ7:XB7"/>
    <mergeCell ref="XC7:XE7"/>
    <mergeCell ref="XF7:XH7"/>
    <mergeCell ref="XI7:XK7"/>
    <mergeCell ref="VV55:VX55"/>
    <mergeCell ref="VY55:WA55"/>
    <mergeCell ref="WB55:WD55"/>
    <mergeCell ref="WE55:WG55"/>
    <mergeCell ref="WH55:WJ55"/>
    <mergeCell ref="WK55:WM55"/>
    <mergeCell ref="WN55:WP55"/>
    <mergeCell ref="XF11:XH11"/>
    <mergeCell ref="XI11:XK11"/>
    <mergeCell ref="WQ14:WS14"/>
    <mergeCell ref="WT14:WV14"/>
    <mergeCell ref="WW14:WY14"/>
    <mergeCell ref="WZ14:XB14"/>
    <mergeCell ref="XC14:XE14"/>
    <mergeCell ref="XF14:XH14"/>
    <mergeCell ref="XI14:XK14"/>
    <mergeCell ref="WQ15:WS15"/>
    <mergeCell ref="WT15:WV15"/>
    <mergeCell ref="WW15:WY15"/>
    <mergeCell ref="WZ15:XB15"/>
    <mergeCell ref="XC15:XE15"/>
    <mergeCell ref="XF15:XH15"/>
    <mergeCell ref="XI15:XK15"/>
    <mergeCell ref="WQ13:WS13"/>
    <mergeCell ref="WT13:WV13"/>
    <mergeCell ref="WW13:WY13"/>
    <mergeCell ref="WZ13:XB13"/>
    <mergeCell ref="XC13:XE13"/>
    <mergeCell ref="XF13:XH13"/>
    <mergeCell ref="XI13:XK13"/>
    <mergeCell ref="VV43:VX43"/>
    <mergeCell ref="VY43:WA43"/>
    <mergeCell ref="WB43:WD43"/>
    <mergeCell ref="WE43:WG43"/>
    <mergeCell ref="WH43:WJ43"/>
    <mergeCell ref="WK43:WM43"/>
    <mergeCell ref="WN43:WP43"/>
    <mergeCell ref="VV44:VX44"/>
    <mergeCell ref="VY44:WA44"/>
    <mergeCell ref="WB44:WD44"/>
    <mergeCell ref="WE44:WG44"/>
    <mergeCell ref="WH44:WJ44"/>
    <mergeCell ref="VV41:VX41"/>
    <mergeCell ref="VY41:WA41"/>
    <mergeCell ref="WB41:WD41"/>
    <mergeCell ref="WE41:WG41"/>
    <mergeCell ref="WH41:WJ41"/>
    <mergeCell ref="WK41:WM41"/>
    <mergeCell ref="WN41:WP41"/>
    <mergeCell ref="WB40:WD40"/>
    <mergeCell ref="WE40:WG40"/>
    <mergeCell ref="WH40:WJ40"/>
    <mergeCell ref="WK40:WM40"/>
    <mergeCell ref="WN40:WP40"/>
    <mergeCell ref="WN42:WP42"/>
    <mergeCell ref="VV19:VX19"/>
    <mergeCell ref="VY19:WA19"/>
    <mergeCell ref="WB19:WD19"/>
    <mergeCell ref="WE19:WG19"/>
    <mergeCell ref="WH19:WJ19"/>
    <mergeCell ref="WK19:WM19"/>
    <mergeCell ref="WN19:WP19"/>
    <mergeCell ref="VV20:VX20"/>
    <mergeCell ref="VY20:WA20"/>
    <mergeCell ref="WQ16:WS16"/>
    <mergeCell ref="WT16:WV16"/>
    <mergeCell ref="WW16:WY16"/>
    <mergeCell ref="WZ16:XB16"/>
    <mergeCell ref="XC16:XE16"/>
    <mergeCell ref="XF16:XH16"/>
    <mergeCell ref="XI16:XK16"/>
    <mergeCell ref="WQ29:WS29"/>
    <mergeCell ref="WT29:WV29"/>
    <mergeCell ref="WW29:WY29"/>
    <mergeCell ref="WZ29:XB29"/>
    <mergeCell ref="XC29:XE29"/>
    <mergeCell ref="XF29:XH29"/>
    <mergeCell ref="XI29:XK29"/>
    <mergeCell ref="WQ33:WS33"/>
    <mergeCell ref="WT33:WV33"/>
    <mergeCell ref="WW33:WY33"/>
    <mergeCell ref="WZ33:XB33"/>
    <mergeCell ref="XC33:XE33"/>
    <mergeCell ref="XF33:XH33"/>
    <mergeCell ref="XI33:XK33"/>
    <mergeCell ref="WQ30:WS30"/>
    <mergeCell ref="WT30:WV30"/>
    <mergeCell ref="WW30:WY30"/>
    <mergeCell ref="WZ30:XB30"/>
    <mergeCell ref="XC30:XE30"/>
    <mergeCell ref="XF30:XH30"/>
    <mergeCell ref="XI30:XK30"/>
    <mergeCell ref="WQ31:WS31"/>
    <mergeCell ref="WT31:WV31"/>
    <mergeCell ref="WW31:WY31"/>
    <mergeCell ref="WZ31:XB31"/>
    <mergeCell ref="XC31:XE31"/>
    <mergeCell ref="XF31:XH31"/>
    <mergeCell ref="XI31:XK31"/>
    <mergeCell ref="WQ32:WS32"/>
    <mergeCell ref="WT32:WV32"/>
    <mergeCell ref="WW32:WY32"/>
    <mergeCell ref="WZ32:XB32"/>
    <mergeCell ref="XC32:XE32"/>
    <mergeCell ref="XF32:XH32"/>
    <mergeCell ref="XI32:XK32"/>
    <mergeCell ref="WQ39:WS39"/>
    <mergeCell ref="WT39:WV39"/>
    <mergeCell ref="WW39:WY39"/>
    <mergeCell ref="WZ39:XB39"/>
    <mergeCell ref="XC39:XE39"/>
    <mergeCell ref="XF39:XH39"/>
    <mergeCell ref="XI39:XK39"/>
    <mergeCell ref="WQ19:WS19"/>
    <mergeCell ref="WT19:WV19"/>
    <mergeCell ref="WW19:WY19"/>
    <mergeCell ref="WZ19:XB19"/>
    <mergeCell ref="XC19:XE19"/>
    <mergeCell ref="XF19:XH19"/>
    <mergeCell ref="XI19:XK19"/>
    <mergeCell ref="WQ20:WS20"/>
    <mergeCell ref="WT20:WV20"/>
    <mergeCell ref="WW20:WY20"/>
    <mergeCell ref="WZ20:XB20"/>
    <mergeCell ref="XC20:XE20"/>
    <mergeCell ref="XF20:XH20"/>
    <mergeCell ref="XI20:XK20"/>
    <mergeCell ref="WQ21:WS21"/>
    <mergeCell ref="WT21:WV21"/>
    <mergeCell ref="WW21:WY21"/>
    <mergeCell ref="WZ21:XB21"/>
    <mergeCell ref="XC21:XE21"/>
    <mergeCell ref="XF21:XH21"/>
    <mergeCell ref="XI21:XK21"/>
    <mergeCell ref="WQ22:WS22"/>
    <mergeCell ref="WT22:WV22"/>
    <mergeCell ref="WW22:WY22"/>
    <mergeCell ref="WZ22:XB22"/>
    <mergeCell ref="XC22:XE22"/>
    <mergeCell ref="XF22:XH22"/>
    <mergeCell ref="XI22:XK22"/>
    <mergeCell ref="WQ36:WS36"/>
    <mergeCell ref="WT36:WV36"/>
    <mergeCell ref="WW36:WY36"/>
    <mergeCell ref="WZ36:XB36"/>
    <mergeCell ref="XC36:XE36"/>
    <mergeCell ref="XF36:XH36"/>
    <mergeCell ref="XI36:XK36"/>
    <mergeCell ref="WQ40:WS40"/>
    <mergeCell ref="WT40:WV40"/>
    <mergeCell ref="WW40:WY40"/>
    <mergeCell ref="WZ40:XB40"/>
    <mergeCell ref="XC40:XE40"/>
    <mergeCell ref="XF40:XH40"/>
    <mergeCell ref="XI40:XK40"/>
    <mergeCell ref="XF59:XH59"/>
    <mergeCell ref="XI59:XK59"/>
    <mergeCell ref="WQ60:WS60"/>
    <mergeCell ref="WT60:WV60"/>
    <mergeCell ref="WW60:WY60"/>
    <mergeCell ref="WZ60:XB60"/>
    <mergeCell ref="XC60:XE60"/>
    <mergeCell ref="XF60:XH60"/>
    <mergeCell ref="XI60:XK60"/>
    <mergeCell ref="WQ41:WS41"/>
    <mergeCell ref="WT41:WV41"/>
    <mergeCell ref="WW41:WY41"/>
    <mergeCell ref="WZ41:XB41"/>
    <mergeCell ref="XC41:XE41"/>
    <mergeCell ref="XF41:XH41"/>
    <mergeCell ref="XI41:XK41"/>
    <mergeCell ref="WQ54:WS54"/>
    <mergeCell ref="WT54:WV54"/>
    <mergeCell ref="WW54:WY54"/>
    <mergeCell ref="WZ54:XB54"/>
    <mergeCell ref="XC54:XE54"/>
    <mergeCell ref="XF54:XH54"/>
    <mergeCell ref="XI54:XK54"/>
    <mergeCell ref="WQ55:WS55"/>
    <mergeCell ref="WT55:WV55"/>
    <mergeCell ref="WW55:WY55"/>
    <mergeCell ref="WZ55:XB55"/>
    <mergeCell ref="XC55:XE55"/>
    <mergeCell ref="XF55:XH55"/>
    <mergeCell ref="XI55:XK55"/>
    <mergeCell ref="WQ56:WS56"/>
    <mergeCell ref="WT56:WV56"/>
    <mergeCell ref="WW56:WY56"/>
    <mergeCell ref="WZ56:XB56"/>
    <mergeCell ref="XC56:XE56"/>
    <mergeCell ref="XF56:XH56"/>
    <mergeCell ref="XI56:XK56"/>
    <mergeCell ref="WQ57:WS57"/>
    <mergeCell ref="WT57:WV57"/>
    <mergeCell ref="WW57:WY57"/>
    <mergeCell ref="WZ57:XB57"/>
    <mergeCell ref="XC57:XE57"/>
    <mergeCell ref="XF57:XH57"/>
    <mergeCell ref="XI57:XK57"/>
    <mergeCell ref="WQ43:WS43"/>
    <mergeCell ref="WT43:WV43"/>
    <mergeCell ref="WW43:WY43"/>
    <mergeCell ref="WZ43:XB43"/>
    <mergeCell ref="XC43:XE43"/>
    <mergeCell ref="XF43:XH43"/>
    <mergeCell ref="XI43:XK43"/>
    <mergeCell ref="WQ44:WS44"/>
    <mergeCell ref="WT44:WV44"/>
    <mergeCell ref="WW44:WY44"/>
    <mergeCell ref="WZ44:XB44"/>
    <mergeCell ref="XC44:XE44"/>
    <mergeCell ref="XF44:XH44"/>
    <mergeCell ref="XI44:XK44"/>
    <mergeCell ref="WQ42:WS42"/>
    <mergeCell ref="B13:D13"/>
    <mergeCell ref="F13:H13"/>
    <mergeCell ref="I13:K13"/>
    <mergeCell ref="L13:N13"/>
    <mergeCell ref="O13:Q13"/>
    <mergeCell ref="R13:T13"/>
    <mergeCell ref="U13:W13"/>
    <mergeCell ref="X13:Z13"/>
    <mergeCell ref="AA13:AC13"/>
    <mergeCell ref="AD13:AF13"/>
    <mergeCell ref="AG13:AI13"/>
    <mergeCell ref="AJ13:AL13"/>
    <mergeCell ref="AM13:AO13"/>
    <mergeCell ref="AP13:AR13"/>
    <mergeCell ref="AS13:AU13"/>
    <mergeCell ref="AV13:AX13"/>
    <mergeCell ref="AY13:BA13"/>
    <mergeCell ref="BB13:BD13"/>
    <mergeCell ref="BE13:BG13"/>
    <mergeCell ref="BH13:BJ13"/>
    <mergeCell ref="BK13:BM13"/>
    <mergeCell ref="BN13:BP13"/>
    <mergeCell ref="BQ13:BS13"/>
    <mergeCell ref="BT13:BV13"/>
    <mergeCell ref="BW13:BY13"/>
    <mergeCell ref="BZ13:CB13"/>
    <mergeCell ref="CC13:CE13"/>
    <mergeCell ref="CF13:CH13"/>
    <mergeCell ref="CI13:CK13"/>
    <mergeCell ref="CL13:CN13"/>
    <mergeCell ref="CO13:CQ13"/>
    <mergeCell ref="CR13:CT13"/>
    <mergeCell ref="CU13:CW13"/>
    <mergeCell ref="CX13:CZ13"/>
    <mergeCell ref="DA13:DC13"/>
    <mergeCell ref="DD13:DF13"/>
    <mergeCell ref="DG13:DI13"/>
    <mergeCell ref="DJ13:DL13"/>
    <mergeCell ref="DM13:DO13"/>
    <mergeCell ref="DP13:DR13"/>
    <mergeCell ref="DS13:DU13"/>
    <mergeCell ref="DV13:DX13"/>
    <mergeCell ref="DY13:EA13"/>
    <mergeCell ref="EB13:ED13"/>
    <mergeCell ref="EE13:EG13"/>
    <mergeCell ref="EH13:EJ13"/>
    <mergeCell ref="EK13:EM13"/>
    <mergeCell ref="EN13:EP13"/>
    <mergeCell ref="EQ13:ES13"/>
    <mergeCell ref="ET13:EV13"/>
    <mergeCell ref="EW13:EY13"/>
    <mergeCell ref="EZ13:FB13"/>
    <mergeCell ref="FC13:FE13"/>
    <mergeCell ref="FF13:FH13"/>
    <mergeCell ref="FI13:FK13"/>
    <mergeCell ref="FL13:FN13"/>
    <mergeCell ref="FO13:FQ13"/>
    <mergeCell ref="FR13:FT13"/>
    <mergeCell ref="FU13:FW13"/>
    <mergeCell ref="FX13:FZ13"/>
    <mergeCell ref="GA13:GC13"/>
    <mergeCell ref="GD13:GF13"/>
    <mergeCell ref="GG13:GI13"/>
    <mergeCell ref="GJ13:GL13"/>
    <mergeCell ref="GM13:GO13"/>
    <mergeCell ref="GP13:GR13"/>
    <mergeCell ref="GV13:GX13"/>
    <mergeCell ref="GY13:HA13"/>
    <mergeCell ref="HB13:HD13"/>
    <mergeCell ref="HE13:HG13"/>
    <mergeCell ref="HH13:HJ13"/>
    <mergeCell ref="HK13:HM13"/>
    <mergeCell ref="HN13:HP13"/>
    <mergeCell ref="HQ13:HS13"/>
    <mergeCell ref="HT13:HV13"/>
    <mergeCell ref="HW13:HY13"/>
    <mergeCell ref="HZ13:IB13"/>
    <mergeCell ref="IC13:IE13"/>
    <mergeCell ref="IF13:IH13"/>
    <mergeCell ref="II13:IK13"/>
    <mergeCell ref="IL13:IN13"/>
    <mergeCell ref="IO13:IQ13"/>
    <mergeCell ref="IR13:IT13"/>
    <mergeCell ref="IU13:IW13"/>
    <mergeCell ref="IX13:IZ13"/>
    <mergeCell ref="JA13:JC13"/>
    <mergeCell ref="JD13:JF13"/>
    <mergeCell ref="JG13:JI13"/>
    <mergeCell ref="JJ13:JL13"/>
    <mergeCell ref="JM13:JO13"/>
    <mergeCell ref="JP13:JR13"/>
    <mergeCell ref="JS13:JU13"/>
    <mergeCell ref="JV13:JX13"/>
    <mergeCell ref="KE13:KG13"/>
    <mergeCell ref="KH13:KJ13"/>
    <mergeCell ref="KK13:KM13"/>
    <mergeCell ref="KN13:KP13"/>
    <mergeCell ref="KQ13:KS13"/>
    <mergeCell ref="KT13:KV13"/>
    <mergeCell ref="KW13:KY13"/>
    <mergeCell ref="KZ13:LB13"/>
    <mergeCell ref="LC13:LE13"/>
    <mergeCell ref="LF13:LH13"/>
    <mergeCell ref="LI13:LK13"/>
    <mergeCell ref="LL13:LN13"/>
    <mergeCell ref="LO13:LQ13"/>
    <mergeCell ref="LR13:LT13"/>
    <mergeCell ref="LU13:LW13"/>
    <mergeCell ref="LX13:LZ13"/>
    <mergeCell ref="MA13:MC13"/>
    <mergeCell ref="MD13:MF13"/>
    <mergeCell ref="MG13:MI13"/>
    <mergeCell ref="MJ13:ML13"/>
    <mergeCell ref="MM13:MO13"/>
    <mergeCell ref="MP13:MR13"/>
    <mergeCell ref="MS13:MU13"/>
    <mergeCell ref="MV13:MX13"/>
    <mergeCell ref="MY13:NA13"/>
    <mergeCell ref="NB13:ND13"/>
    <mergeCell ref="NE13:NG13"/>
    <mergeCell ref="NH13:NJ13"/>
    <mergeCell ref="NK13:NM13"/>
    <mergeCell ref="NN13:NP13"/>
    <mergeCell ref="NQ13:NS13"/>
    <mergeCell ref="NT13:NV13"/>
    <mergeCell ref="NW13:NY13"/>
    <mergeCell ref="OC13:OE13"/>
    <mergeCell ref="OF13:OH13"/>
    <mergeCell ref="OI13:OK13"/>
    <mergeCell ref="XL2:XN2"/>
    <mergeCell ref="XO2:XQ2"/>
    <mergeCell ref="XR2:XT2"/>
    <mergeCell ref="XL3:XN3"/>
    <mergeCell ref="XO3:XQ3"/>
    <mergeCell ref="XR3:XT3"/>
    <mergeCell ref="XL5:XN5"/>
    <mergeCell ref="XO5:XQ5"/>
    <mergeCell ref="XR5:XT5"/>
    <mergeCell ref="XL6:XN6"/>
    <mergeCell ref="XO6:XQ6"/>
    <mergeCell ref="XR6:XT6"/>
    <mergeCell ref="XL7:XN7"/>
    <mergeCell ref="XO7:XQ7"/>
    <mergeCell ref="XR7:XT7"/>
    <mergeCell ref="XL8:XN8"/>
    <mergeCell ref="XO8:XQ8"/>
    <mergeCell ref="XR8:XT8"/>
    <mergeCell ref="XL9:XN9"/>
    <mergeCell ref="XO9:XQ9"/>
    <mergeCell ref="XR9:XT9"/>
    <mergeCell ref="XL10:XN10"/>
    <mergeCell ref="XO10:XQ10"/>
    <mergeCell ref="XR10:XT10"/>
    <mergeCell ref="XL11:XN11"/>
    <mergeCell ref="XO11:XQ11"/>
    <mergeCell ref="XR11:XT11"/>
    <mergeCell ref="XL12:XN12"/>
    <mergeCell ref="XO12:XQ12"/>
    <mergeCell ref="XR12:XT12"/>
    <mergeCell ref="XL13:XN13"/>
    <mergeCell ref="XO13:XQ13"/>
    <mergeCell ref="XR13:XT13"/>
    <mergeCell ref="WT10:WV10"/>
    <mergeCell ref="WW10:WY10"/>
    <mergeCell ref="WZ10:XB10"/>
    <mergeCell ref="XC10:XE10"/>
    <mergeCell ref="XF10:XH10"/>
    <mergeCell ref="XI10:XK10"/>
    <mergeCell ref="WQ11:WS11"/>
    <mergeCell ref="WT11:WV11"/>
    <mergeCell ref="WW11:WY11"/>
    <mergeCell ref="WZ11:XB11"/>
    <mergeCell ref="XC11:XE11"/>
    <mergeCell ref="WQ8:WS8"/>
    <mergeCell ref="WT8:WV8"/>
    <mergeCell ref="WW8:WY8"/>
    <mergeCell ref="WZ8:XB8"/>
    <mergeCell ref="XC8:XE8"/>
    <mergeCell ref="XF8:XH8"/>
    <mergeCell ref="XI8:XK8"/>
    <mergeCell ref="WQ9:WS9"/>
    <mergeCell ref="WT9:WV9"/>
    <mergeCell ref="WW9:WY9"/>
    <mergeCell ref="WZ9:XB9"/>
    <mergeCell ref="XC9:XE9"/>
    <mergeCell ref="XF9:XH9"/>
    <mergeCell ref="XI9:XK9"/>
    <mergeCell ref="WQ10:WS10"/>
    <mergeCell ref="WQ2:WS2"/>
    <mergeCell ref="WT2:WV2"/>
    <mergeCell ref="XL14:XN14"/>
    <mergeCell ref="XO14:XQ14"/>
    <mergeCell ref="XR14:XT14"/>
    <mergeCell ref="XL15:XN15"/>
    <mergeCell ref="XO15:XQ15"/>
    <mergeCell ref="XR15:XT15"/>
    <mergeCell ref="XL57:XN57"/>
    <mergeCell ref="XO57:XQ57"/>
    <mergeCell ref="XR57:XT57"/>
    <mergeCell ref="XL59:XN59"/>
    <mergeCell ref="XO59:XQ59"/>
    <mergeCell ref="XR59:XT59"/>
    <mergeCell ref="XL60:XN60"/>
    <mergeCell ref="XO60:XQ60"/>
    <mergeCell ref="XR60:XT60"/>
    <mergeCell ref="XU2:XW2"/>
    <mergeCell ref="XX2:XZ2"/>
    <mergeCell ref="YA2:YC2"/>
    <mergeCell ref="XU5:XW5"/>
    <mergeCell ref="XX5:XZ5"/>
    <mergeCell ref="YA5:YC5"/>
    <mergeCell ref="XU7:XW7"/>
    <mergeCell ref="XX7:XZ7"/>
    <mergeCell ref="YA7:YC7"/>
    <mergeCell ref="XU9:XW9"/>
    <mergeCell ref="XX9:XZ9"/>
    <mergeCell ref="YA9:YC9"/>
    <mergeCell ref="XU11:XW11"/>
    <mergeCell ref="XX11:XZ11"/>
    <mergeCell ref="YA11:YC11"/>
    <mergeCell ref="XU13:XW13"/>
    <mergeCell ref="XX13:XZ13"/>
    <mergeCell ref="YA13:YC13"/>
    <mergeCell ref="XU15:XW15"/>
    <mergeCell ref="XX15:XZ15"/>
    <mergeCell ref="YA15:YC15"/>
    <mergeCell ref="XL20:XN20"/>
    <mergeCell ref="XO20:XQ20"/>
    <mergeCell ref="XR20:XT20"/>
    <mergeCell ref="XL21:XN21"/>
    <mergeCell ref="XO22:XQ22"/>
    <mergeCell ref="XR21:XT21"/>
    <mergeCell ref="XL22:XN22"/>
    <mergeCell ref="XR22:XT22"/>
    <mergeCell ref="XL36:XN36"/>
    <mergeCell ref="XO36:XQ36"/>
    <mergeCell ref="XR36:XT36"/>
    <mergeCell ref="XL40:XN40"/>
    <mergeCell ref="XO40:XQ40"/>
    <mergeCell ref="XR40:XT40"/>
    <mergeCell ref="XL41:XN41"/>
    <mergeCell ref="XO41:XQ41"/>
    <mergeCell ref="XU6:XW6"/>
    <mergeCell ref="XX6:XZ6"/>
    <mergeCell ref="YA6:YC6"/>
    <mergeCell ref="XL42:XN42"/>
    <mergeCell ref="XO42:XQ42"/>
    <mergeCell ref="XR42:XT42"/>
    <mergeCell ref="XL43:XN43"/>
    <mergeCell ref="XO43:XQ43"/>
    <mergeCell ref="XR43:XT43"/>
    <mergeCell ref="XL44:XN44"/>
    <mergeCell ref="XO44:XQ44"/>
    <mergeCell ref="XR44:XT44"/>
    <mergeCell ref="XL54:XN54"/>
    <mergeCell ref="XO54:XQ54"/>
    <mergeCell ref="XR54:XT54"/>
    <mergeCell ref="XL55:XN55"/>
    <mergeCell ref="XO55:XQ55"/>
    <mergeCell ref="XR55:XT55"/>
    <mergeCell ref="XL56:XN56"/>
    <mergeCell ref="XO56:XQ56"/>
    <mergeCell ref="XR56:XT56"/>
    <mergeCell ref="XR41:XT41"/>
    <mergeCell ref="XL16:XN16"/>
    <mergeCell ref="XO16:XQ16"/>
    <mergeCell ref="XR16:XT16"/>
    <mergeCell ref="XL29:XN29"/>
    <mergeCell ref="XO29:XQ29"/>
    <mergeCell ref="XR29:XT29"/>
    <mergeCell ref="XL33:XN33"/>
    <mergeCell ref="XO33:XQ33"/>
    <mergeCell ref="XR33:XT33"/>
    <mergeCell ref="XL30:XN30"/>
    <mergeCell ref="XO30:XQ30"/>
    <mergeCell ref="XR30:XT30"/>
    <mergeCell ref="XL31:XN31"/>
    <mergeCell ref="XO31:XQ31"/>
    <mergeCell ref="XR31:XT31"/>
    <mergeCell ref="XL32:XN32"/>
    <mergeCell ref="XO32:XQ32"/>
    <mergeCell ref="XR32:XT32"/>
    <mergeCell ref="XL39:XN39"/>
    <mergeCell ref="XO39:XQ39"/>
    <mergeCell ref="XR39:XT39"/>
    <mergeCell ref="XL19:XN19"/>
    <mergeCell ref="XO19:XQ19"/>
    <mergeCell ref="XR19:XT19"/>
    <mergeCell ref="ZK6:ZM6"/>
    <mergeCell ref="ZN6:ZP6"/>
    <mergeCell ref="ZQ6:ZS6"/>
    <mergeCell ref="ZT6:ZV6"/>
    <mergeCell ref="ZW6:ZY6"/>
    <mergeCell ref="ZZ6:AAB6"/>
    <mergeCell ref="AAC6:AAE6"/>
    <mergeCell ref="AAF6:AAH6"/>
    <mergeCell ref="AAI6:AAK6"/>
    <mergeCell ref="AAL6:AAN6"/>
    <mergeCell ref="AAO6:AAQ6"/>
    <mergeCell ref="AAR6:AAT6"/>
    <mergeCell ref="AAU6:AAW6"/>
    <mergeCell ref="AAX6:AAZ6"/>
    <mergeCell ref="YD2:YF2"/>
    <mergeCell ref="YG2:YI2"/>
    <mergeCell ref="YJ2:YL2"/>
    <mergeCell ref="YM2:YO2"/>
    <mergeCell ref="YP2:YR2"/>
    <mergeCell ref="YS2:YU2"/>
    <mergeCell ref="YV2:YX2"/>
    <mergeCell ref="YY2:ZA2"/>
    <mergeCell ref="ZB2:ZD2"/>
    <mergeCell ref="ZE2:ZG2"/>
    <mergeCell ref="ZH2:ZJ2"/>
    <mergeCell ref="ZK2:ZM2"/>
    <mergeCell ref="ZN2:ZP2"/>
    <mergeCell ref="ZQ2:ZS2"/>
    <mergeCell ref="ZT2:ZV2"/>
    <mergeCell ref="ZW2:ZY2"/>
    <mergeCell ref="ZZ2:AAB2"/>
    <mergeCell ref="AAC2:AAE2"/>
    <mergeCell ref="AAF2:AAH2"/>
    <mergeCell ref="AAI2:AAK2"/>
    <mergeCell ref="AAL2:AAN2"/>
    <mergeCell ref="AAO2:AAQ2"/>
    <mergeCell ref="AAR2:AAT2"/>
    <mergeCell ref="AAU2:AAW2"/>
    <mergeCell ref="AAX2:AAZ2"/>
    <mergeCell ref="ZB3:ZD3"/>
    <mergeCell ref="ZE3:ZG3"/>
    <mergeCell ref="ZH3:ZJ3"/>
    <mergeCell ref="ZK3:ZM3"/>
    <mergeCell ref="ZN3:ZP3"/>
    <mergeCell ref="ZQ3:ZS3"/>
    <mergeCell ref="ZT3:ZV3"/>
    <mergeCell ref="ZW3:ZY3"/>
    <mergeCell ref="ZZ3:AAB3"/>
    <mergeCell ref="AAC3:AAE3"/>
    <mergeCell ref="AAF3:AAH3"/>
    <mergeCell ref="AAI3:AAK3"/>
    <mergeCell ref="AAL3:AAN3"/>
    <mergeCell ref="AAO3:AAQ3"/>
    <mergeCell ref="AAR3:AAT3"/>
    <mergeCell ref="AAU3:AAW3"/>
    <mergeCell ref="AAX3:AAZ3"/>
    <mergeCell ref="XU3:XW3"/>
    <mergeCell ref="XX3:XZ3"/>
    <mergeCell ref="YA3:YC3"/>
    <mergeCell ref="YD3:YF3"/>
    <mergeCell ref="YG3:YI3"/>
    <mergeCell ref="YJ3:YL3"/>
    <mergeCell ref="YM3:YO3"/>
    <mergeCell ref="YP3:YR3"/>
    <mergeCell ref="YS3:YU3"/>
    <mergeCell ref="YV3:YX3"/>
    <mergeCell ref="YY3:ZA3"/>
    <mergeCell ref="ZB8:ZD8"/>
    <mergeCell ref="ZE8:ZG8"/>
    <mergeCell ref="ZH8:ZJ8"/>
    <mergeCell ref="ZK8:ZM8"/>
    <mergeCell ref="ZN8:ZP8"/>
    <mergeCell ref="ZQ8:ZS8"/>
    <mergeCell ref="ZT8:ZV8"/>
    <mergeCell ref="ZW8:ZY8"/>
    <mergeCell ref="ZZ8:AAB8"/>
    <mergeCell ref="AAC8:AAE8"/>
    <mergeCell ref="AAF8:AAH8"/>
    <mergeCell ref="AAI8:AAK8"/>
    <mergeCell ref="AAL8:AAN8"/>
    <mergeCell ref="AAO8:AAQ8"/>
    <mergeCell ref="AAR8:AAT8"/>
    <mergeCell ref="AAU8:AAW8"/>
    <mergeCell ref="AAX8:AAZ8"/>
    <mergeCell ref="YD5:YF5"/>
    <mergeCell ref="YG5:YI5"/>
    <mergeCell ref="YJ5:YL5"/>
    <mergeCell ref="YM5:YO5"/>
    <mergeCell ref="YP5:YR5"/>
    <mergeCell ref="YS5:YU5"/>
    <mergeCell ref="YV5:YX5"/>
    <mergeCell ref="YY5:ZA5"/>
    <mergeCell ref="ZB5:ZD5"/>
    <mergeCell ref="ZE5:ZG5"/>
    <mergeCell ref="ZH5:ZJ5"/>
    <mergeCell ref="ZK5:ZM5"/>
    <mergeCell ref="ZN5:ZP5"/>
    <mergeCell ref="ZQ5:ZS5"/>
    <mergeCell ref="ZT5:ZV5"/>
    <mergeCell ref="ZW5:ZY5"/>
    <mergeCell ref="ZZ5:AAB5"/>
    <mergeCell ref="AAC5:AAE5"/>
    <mergeCell ref="AAF5:AAH5"/>
    <mergeCell ref="AAI5:AAK5"/>
    <mergeCell ref="AAL5:AAN5"/>
    <mergeCell ref="AAO5:AAQ5"/>
    <mergeCell ref="AAR5:AAT5"/>
    <mergeCell ref="AAU5:AAW5"/>
    <mergeCell ref="AAX5:AAZ5"/>
    <mergeCell ref="YD6:YF6"/>
    <mergeCell ref="YG6:YI6"/>
    <mergeCell ref="YJ6:YL6"/>
    <mergeCell ref="YM6:YO6"/>
    <mergeCell ref="YP6:YR6"/>
    <mergeCell ref="YS6:YU6"/>
    <mergeCell ref="YV6:YX6"/>
    <mergeCell ref="YY6:ZA6"/>
    <mergeCell ref="ZB6:ZD6"/>
    <mergeCell ref="ZE6:ZG6"/>
    <mergeCell ref="ZH6:ZJ6"/>
    <mergeCell ref="XU10:XW10"/>
    <mergeCell ref="XX10:XZ10"/>
    <mergeCell ref="YA10:YC10"/>
    <mergeCell ref="YD10:YF10"/>
    <mergeCell ref="YG10:YI10"/>
    <mergeCell ref="YJ10:YL10"/>
    <mergeCell ref="YM10:YO10"/>
    <mergeCell ref="YP10:YR10"/>
    <mergeCell ref="YS10:YU10"/>
    <mergeCell ref="YV10:YX10"/>
    <mergeCell ref="YY10:ZA10"/>
    <mergeCell ref="ZB10:ZD10"/>
    <mergeCell ref="ZE10:ZG10"/>
    <mergeCell ref="ZH10:ZJ10"/>
    <mergeCell ref="ZK10:ZM10"/>
    <mergeCell ref="ZN10:ZP10"/>
    <mergeCell ref="ZQ10:ZS10"/>
    <mergeCell ref="ZT10:ZV10"/>
    <mergeCell ref="ZW10:ZY10"/>
    <mergeCell ref="ZZ10:AAB10"/>
    <mergeCell ref="AAC10:AAE10"/>
    <mergeCell ref="AAF10:AAH10"/>
    <mergeCell ref="AAI10:AAK10"/>
    <mergeCell ref="AAL10:AAN10"/>
    <mergeCell ref="AAO10:AAQ10"/>
    <mergeCell ref="AAR10:AAT10"/>
    <mergeCell ref="AAU10:AAW10"/>
    <mergeCell ref="AAX10:AAZ10"/>
    <mergeCell ref="YD7:YF7"/>
    <mergeCell ref="YG7:YI7"/>
    <mergeCell ref="YJ7:YL7"/>
    <mergeCell ref="YM7:YO7"/>
    <mergeCell ref="YP7:YR7"/>
    <mergeCell ref="YS7:YU7"/>
    <mergeCell ref="YV7:YX7"/>
    <mergeCell ref="YY7:ZA7"/>
    <mergeCell ref="ZB7:ZD7"/>
    <mergeCell ref="ZE7:ZG7"/>
    <mergeCell ref="ZH7:ZJ7"/>
    <mergeCell ref="ZK7:ZM7"/>
    <mergeCell ref="ZN7:ZP7"/>
    <mergeCell ref="ZQ7:ZS7"/>
    <mergeCell ref="ZT7:ZV7"/>
    <mergeCell ref="ZW7:ZY7"/>
    <mergeCell ref="ZZ7:AAB7"/>
    <mergeCell ref="AAC7:AAE7"/>
    <mergeCell ref="AAF7:AAH7"/>
    <mergeCell ref="AAI7:AAK7"/>
    <mergeCell ref="AAL7:AAN7"/>
    <mergeCell ref="AAO7:AAQ7"/>
    <mergeCell ref="AAR7:AAT7"/>
    <mergeCell ref="AAU7:AAW7"/>
    <mergeCell ref="AAX7:AAZ7"/>
    <mergeCell ref="XU8:XW8"/>
    <mergeCell ref="XX8:XZ8"/>
    <mergeCell ref="YA8:YC8"/>
    <mergeCell ref="YD8:YF8"/>
    <mergeCell ref="YG8:YI8"/>
    <mergeCell ref="YJ8:YL8"/>
    <mergeCell ref="YM8:YO8"/>
    <mergeCell ref="YP8:YR8"/>
    <mergeCell ref="YS8:YU8"/>
    <mergeCell ref="YV8:YX8"/>
    <mergeCell ref="YY8:ZA8"/>
    <mergeCell ref="ZB12:ZD12"/>
    <mergeCell ref="ZE12:ZG12"/>
    <mergeCell ref="ZH12:ZJ12"/>
    <mergeCell ref="ZK12:ZM12"/>
    <mergeCell ref="ZN12:ZP12"/>
    <mergeCell ref="ZQ12:ZS12"/>
    <mergeCell ref="ZT12:ZV12"/>
    <mergeCell ref="ZW12:ZY12"/>
    <mergeCell ref="ZZ12:AAB12"/>
    <mergeCell ref="AAC12:AAE12"/>
    <mergeCell ref="AAF12:AAH12"/>
    <mergeCell ref="AAI12:AAK12"/>
    <mergeCell ref="AAL12:AAN12"/>
    <mergeCell ref="AAO12:AAQ12"/>
    <mergeCell ref="AAR12:AAT12"/>
    <mergeCell ref="AAU12:AAW12"/>
    <mergeCell ref="AAX12:AAZ12"/>
    <mergeCell ref="YD9:YF9"/>
    <mergeCell ref="YG9:YI9"/>
    <mergeCell ref="YJ9:YL9"/>
    <mergeCell ref="YM9:YO9"/>
    <mergeCell ref="YP9:YR9"/>
    <mergeCell ref="YS9:YU9"/>
    <mergeCell ref="YV9:YX9"/>
    <mergeCell ref="YY9:ZA9"/>
    <mergeCell ref="ZB9:ZD9"/>
    <mergeCell ref="ZE9:ZG9"/>
    <mergeCell ref="ZH9:ZJ9"/>
    <mergeCell ref="ZK9:ZM9"/>
    <mergeCell ref="ZN9:ZP9"/>
    <mergeCell ref="ZQ9:ZS9"/>
    <mergeCell ref="ZT9:ZV9"/>
    <mergeCell ref="ZW9:ZY9"/>
    <mergeCell ref="ZZ9:AAB9"/>
    <mergeCell ref="AAC9:AAE9"/>
    <mergeCell ref="AAF9:AAH9"/>
    <mergeCell ref="AAI9:AAK9"/>
    <mergeCell ref="AAL9:AAN9"/>
    <mergeCell ref="AAO9:AAQ9"/>
    <mergeCell ref="AAR9:AAT9"/>
    <mergeCell ref="AAU9:AAW9"/>
    <mergeCell ref="AAX9:AAZ9"/>
    <mergeCell ref="XU14:XW14"/>
    <mergeCell ref="XX14:XZ14"/>
    <mergeCell ref="YA14:YC14"/>
    <mergeCell ref="YD14:YF14"/>
    <mergeCell ref="YG14:YI14"/>
    <mergeCell ref="YJ14:YL14"/>
    <mergeCell ref="YM14:YO14"/>
    <mergeCell ref="YP14:YR14"/>
    <mergeCell ref="YS14:YU14"/>
    <mergeCell ref="YV14:YX14"/>
    <mergeCell ref="YY14:ZA14"/>
    <mergeCell ref="ZB14:ZD14"/>
    <mergeCell ref="ZE14:ZG14"/>
    <mergeCell ref="ZH14:ZJ14"/>
    <mergeCell ref="ZK14:ZM14"/>
    <mergeCell ref="ZN14:ZP14"/>
    <mergeCell ref="ZQ14:ZS14"/>
    <mergeCell ref="ZT14:ZV14"/>
    <mergeCell ref="ZW14:ZY14"/>
    <mergeCell ref="ZZ14:AAB14"/>
    <mergeCell ref="AAC14:AAE14"/>
    <mergeCell ref="AAF14:AAH14"/>
    <mergeCell ref="AAI14:AAK14"/>
    <mergeCell ref="AAL14:AAN14"/>
    <mergeCell ref="AAO14:AAQ14"/>
    <mergeCell ref="AAR14:AAT14"/>
    <mergeCell ref="AAU14:AAW14"/>
    <mergeCell ref="AAX14:AAZ14"/>
    <mergeCell ref="YD11:YF11"/>
    <mergeCell ref="YG11:YI11"/>
    <mergeCell ref="YJ11:YL11"/>
    <mergeCell ref="YM11:YO11"/>
    <mergeCell ref="YP11:YR11"/>
    <mergeCell ref="YS11:YU11"/>
    <mergeCell ref="YV11:YX11"/>
    <mergeCell ref="YY11:ZA11"/>
    <mergeCell ref="ZB11:ZD11"/>
    <mergeCell ref="ZE11:ZG11"/>
    <mergeCell ref="ZH11:ZJ11"/>
    <mergeCell ref="ZK11:ZM11"/>
    <mergeCell ref="ZN11:ZP11"/>
    <mergeCell ref="ZQ11:ZS11"/>
    <mergeCell ref="ZT11:ZV11"/>
    <mergeCell ref="ZW11:ZY11"/>
    <mergeCell ref="ZZ11:AAB11"/>
    <mergeCell ref="AAC11:AAE11"/>
    <mergeCell ref="AAF11:AAH11"/>
    <mergeCell ref="AAI11:AAK11"/>
    <mergeCell ref="AAL11:AAN11"/>
    <mergeCell ref="AAO11:AAQ11"/>
    <mergeCell ref="AAR11:AAT11"/>
    <mergeCell ref="AAU11:AAW11"/>
    <mergeCell ref="AAX11:AAZ11"/>
    <mergeCell ref="XU12:XW12"/>
    <mergeCell ref="XX12:XZ12"/>
    <mergeCell ref="YA12:YC12"/>
    <mergeCell ref="YD12:YF12"/>
    <mergeCell ref="YG12:YI12"/>
    <mergeCell ref="YJ12:YL12"/>
    <mergeCell ref="YM12:YO12"/>
    <mergeCell ref="YP12:YR12"/>
    <mergeCell ref="YS12:YU12"/>
    <mergeCell ref="YV12:YX12"/>
    <mergeCell ref="YY12:ZA12"/>
    <mergeCell ref="YD15:YF15"/>
    <mergeCell ref="YG15:YI15"/>
    <mergeCell ref="YJ15:YL15"/>
    <mergeCell ref="YM15:YO15"/>
    <mergeCell ref="YP15:YR15"/>
    <mergeCell ref="YS15:YU15"/>
    <mergeCell ref="YV15:YX15"/>
    <mergeCell ref="YY15:ZA15"/>
    <mergeCell ref="ZB15:ZD15"/>
    <mergeCell ref="ZE15:ZG15"/>
    <mergeCell ref="ZH15:ZJ15"/>
    <mergeCell ref="ZK15:ZM15"/>
    <mergeCell ref="ZN15:ZP15"/>
    <mergeCell ref="ZQ15:ZS15"/>
    <mergeCell ref="ZT15:ZV15"/>
    <mergeCell ref="ZW15:ZY15"/>
    <mergeCell ref="ZZ15:AAB15"/>
    <mergeCell ref="AAC15:AAE15"/>
    <mergeCell ref="AAF15:AAH15"/>
    <mergeCell ref="AAI15:AAK15"/>
    <mergeCell ref="AAL15:AAN15"/>
    <mergeCell ref="AAO15:AAQ15"/>
    <mergeCell ref="AAR15:AAT15"/>
    <mergeCell ref="AAU15:AAW15"/>
    <mergeCell ref="AAX15:AAZ15"/>
    <mergeCell ref="YD13:YF13"/>
    <mergeCell ref="YG13:YI13"/>
    <mergeCell ref="YJ13:YL13"/>
    <mergeCell ref="YM13:YO13"/>
    <mergeCell ref="YP13:YR13"/>
    <mergeCell ref="YS13:YU13"/>
    <mergeCell ref="YV13:YX13"/>
    <mergeCell ref="YY13:ZA13"/>
    <mergeCell ref="ZB13:ZD13"/>
    <mergeCell ref="ZE13:ZG13"/>
    <mergeCell ref="ZH13:ZJ13"/>
    <mergeCell ref="ZK13:ZM13"/>
    <mergeCell ref="ZN13:ZP13"/>
    <mergeCell ref="ZQ13:ZS13"/>
    <mergeCell ref="ZT13:ZV13"/>
    <mergeCell ref="ZW13:ZY13"/>
    <mergeCell ref="ZZ13:AAB13"/>
    <mergeCell ref="AAC13:AAE13"/>
    <mergeCell ref="AAF13:AAH13"/>
    <mergeCell ref="AAI13:AAK13"/>
    <mergeCell ref="AAL13:AAN13"/>
    <mergeCell ref="AAO13:AAQ13"/>
    <mergeCell ref="AAR13:AAT13"/>
    <mergeCell ref="AAU13:AAW13"/>
    <mergeCell ref="AAX13:AAZ13"/>
    <mergeCell ref="XU16:XW16"/>
    <mergeCell ref="XX16:XZ16"/>
    <mergeCell ref="YA16:YC16"/>
    <mergeCell ref="YD16:YF16"/>
    <mergeCell ref="YG16:YI16"/>
    <mergeCell ref="YJ16:YL16"/>
    <mergeCell ref="YM16:YO16"/>
    <mergeCell ref="YP16:YR16"/>
    <mergeCell ref="YS16:YU16"/>
    <mergeCell ref="YV16:YX16"/>
    <mergeCell ref="YY16:ZA16"/>
    <mergeCell ref="ZB16:ZD16"/>
    <mergeCell ref="ZE16:ZG16"/>
    <mergeCell ref="ZH16:ZJ16"/>
    <mergeCell ref="ZK16:ZM16"/>
    <mergeCell ref="ZN16:ZP16"/>
    <mergeCell ref="ZQ16:ZS16"/>
    <mergeCell ref="ZT16:ZV16"/>
    <mergeCell ref="ZW16:ZY16"/>
    <mergeCell ref="ZZ16:AAB16"/>
    <mergeCell ref="AAC16:AAE16"/>
    <mergeCell ref="AAF16:AAH16"/>
    <mergeCell ref="AAI16:AAK16"/>
    <mergeCell ref="AAL16:AAN16"/>
    <mergeCell ref="AAO16:AAQ16"/>
    <mergeCell ref="AAR16:AAT16"/>
    <mergeCell ref="AAU16:AAW16"/>
    <mergeCell ref="AAX16:AAZ16"/>
    <mergeCell ref="XU29:XW29"/>
    <mergeCell ref="XX29:XZ29"/>
    <mergeCell ref="YA29:YC29"/>
    <mergeCell ref="YD29:YF29"/>
    <mergeCell ref="YG29:YI29"/>
    <mergeCell ref="YJ29:YL29"/>
    <mergeCell ref="YM29:YO29"/>
    <mergeCell ref="YP29:YR29"/>
    <mergeCell ref="YS29:YU29"/>
    <mergeCell ref="YV29:YX29"/>
    <mergeCell ref="YY29:ZA29"/>
    <mergeCell ref="ZB29:ZD29"/>
    <mergeCell ref="ZE29:ZG29"/>
    <mergeCell ref="ZH29:ZJ29"/>
    <mergeCell ref="ZK29:ZM29"/>
    <mergeCell ref="ZN29:ZP29"/>
    <mergeCell ref="ZQ29:ZS29"/>
    <mergeCell ref="ZT29:ZV29"/>
    <mergeCell ref="ZW29:ZY29"/>
    <mergeCell ref="ZZ29:AAB29"/>
    <mergeCell ref="AAC29:AAE29"/>
    <mergeCell ref="AAF29:AAH29"/>
    <mergeCell ref="AAI29:AAK29"/>
    <mergeCell ref="AAL29:AAN29"/>
    <mergeCell ref="AAO29:AAQ29"/>
    <mergeCell ref="AAR29:AAT29"/>
    <mergeCell ref="AAU29:AAW29"/>
    <mergeCell ref="AAX29:AAZ29"/>
    <mergeCell ref="YS20:YU20"/>
    <mergeCell ref="YV20:YX20"/>
    <mergeCell ref="YY20:ZA20"/>
    <mergeCell ref="ZB20:ZD20"/>
    <mergeCell ref="ZE20:ZG20"/>
    <mergeCell ref="ZH20:ZJ20"/>
    <mergeCell ref="ZK20:ZM20"/>
    <mergeCell ref="ZN20:ZP20"/>
    <mergeCell ref="XU30:XW30"/>
    <mergeCell ref="XX30:XZ30"/>
    <mergeCell ref="YA30:YC30"/>
    <mergeCell ref="YD30:YF30"/>
    <mergeCell ref="YG30:YI30"/>
    <mergeCell ref="YJ30:YL30"/>
    <mergeCell ref="YM30:YO30"/>
    <mergeCell ref="YP30:YR30"/>
    <mergeCell ref="YS30:YU30"/>
    <mergeCell ref="YV30:YX30"/>
    <mergeCell ref="YY30:ZA30"/>
    <mergeCell ref="ZB30:ZD30"/>
    <mergeCell ref="ZE30:ZG30"/>
    <mergeCell ref="ZH30:ZJ30"/>
    <mergeCell ref="ZK30:ZM30"/>
    <mergeCell ref="ZN30:ZP30"/>
    <mergeCell ref="ZQ30:ZS30"/>
    <mergeCell ref="ZT30:ZV30"/>
    <mergeCell ref="ZW30:ZY30"/>
    <mergeCell ref="ZZ30:AAB30"/>
    <mergeCell ref="AAC30:AAE30"/>
    <mergeCell ref="AAF30:AAH30"/>
    <mergeCell ref="AAI30:AAK30"/>
    <mergeCell ref="AAL30:AAN30"/>
    <mergeCell ref="AAO30:AAQ30"/>
    <mergeCell ref="AAR30:AAT30"/>
    <mergeCell ref="AAU30:AAW30"/>
    <mergeCell ref="AAX30:AAZ30"/>
    <mergeCell ref="XU31:XW31"/>
    <mergeCell ref="XX31:XZ31"/>
    <mergeCell ref="YA31:YC31"/>
    <mergeCell ref="YD31:YF31"/>
    <mergeCell ref="YG31:YI31"/>
    <mergeCell ref="YJ31:YL31"/>
    <mergeCell ref="YM31:YO31"/>
    <mergeCell ref="YP31:YR31"/>
    <mergeCell ref="AAO31:AAQ31"/>
    <mergeCell ref="AAR31:AAT31"/>
    <mergeCell ref="AAU31:AAW31"/>
    <mergeCell ref="AAX31:AAZ31"/>
    <mergeCell ref="YS31:YU31"/>
    <mergeCell ref="YV31:YX31"/>
    <mergeCell ref="YY31:ZA31"/>
    <mergeCell ref="ZB31:ZD31"/>
    <mergeCell ref="ZE31:ZG31"/>
    <mergeCell ref="ZH31:ZJ31"/>
    <mergeCell ref="ZK31:ZM31"/>
    <mergeCell ref="ZN31:ZP31"/>
    <mergeCell ref="ZQ31:ZS31"/>
    <mergeCell ref="ZT31:ZV31"/>
    <mergeCell ref="ZW31:ZY31"/>
    <mergeCell ref="ZZ31:AAB31"/>
    <mergeCell ref="AAC31:AAE31"/>
    <mergeCell ref="AAF31:AAH31"/>
    <mergeCell ref="AAI31:AAK31"/>
    <mergeCell ref="AAL31:AAN31"/>
    <mergeCell ref="YS32:YU32"/>
    <mergeCell ref="YV32:YX32"/>
    <mergeCell ref="YY32:ZA32"/>
    <mergeCell ref="ZB32:ZD32"/>
    <mergeCell ref="ZE32:ZG32"/>
    <mergeCell ref="ZH32:ZJ32"/>
    <mergeCell ref="ZK32:ZM32"/>
    <mergeCell ref="ZN32:ZP32"/>
    <mergeCell ref="ZQ32:ZS32"/>
    <mergeCell ref="ZT32:ZV32"/>
    <mergeCell ref="ZW32:ZY32"/>
    <mergeCell ref="ZZ32:AAB32"/>
    <mergeCell ref="AAC32:AAE32"/>
    <mergeCell ref="AAF32:AAH32"/>
    <mergeCell ref="AAI32:AAK32"/>
    <mergeCell ref="AAL32:AAN32"/>
    <mergeCell ref="AAO32:AAQ32"/>
    <mergeCell ref="AAR32:AAT32"/>
    <mergeCell ref="AAU32:AAW32"/>
    <mergeCell ref="AAX32:AAZ32"/>
    <mergeCell ref="XU33:XW33"/>
    <mergeCell ref="XX33:XZ33"/>
    <mergeCell ref="YA33:YC33"/>
    <mergeCell ref="YD33:YF33"/>
    <mergeCell ref="YG33:YI33"/>
    <mergeCell ref="YJ33:YL33"/>
    <mergeCell ref="YM33:YO33"/>
    <mergeCell ref="YP33:YR33"/>
    <mergeCell ref="YS33:YU33"/>
    <mergeCell ref="YV33:YX33"/>
    <mergeCell ref="YY33:ZA33"/>
    <mergeCell ref="ZB33:ZD33"/>
    <mergeCell ref="ZE33:ZG33"/>
    <mergeCell ref="ZH33:ZJ33"/>
    <mergeCell ref="ZK33:ZM33"/>
    <mergeCell ref="ZN33:ZP33"/>
    <mergeCell ref="ZQ33:ZS33"/>
    <mergeCell ref="ZT33:ZV33"/>
    <mergeCell ref="ZW33:ZY33"/>
    <mergeCell ref="ZZ33:AAB33"/>
    <mergeCell ref="AAC33:AAE33"/>
    <mergeCell ref="AAF33:AAH33"/>
    <mergeCell ref="AAI33:AAK33"/>
    <mergeCell ref="AAL33:AAN33"/>
    <mergeCell ref="AAO33:AAQ33"/>
    <mergeCell ref="AAR33:AAT33"/>
    <mergeCell ref="AAU33:AAW33"/>
    <mergeCell ref="AAX33:AAZ33"/>
    <mergeCell ref="XU39:XW39"/>
    <mergeCell ref="XX39:XZ39"/>
    <mergeCell ref="YA39:YC39"/>
    <mergeCell ref="YD39:YF39"/>
    <mergeCell ref="YG39:YI39"/>
    <mergeCell ref="YJ39:YL39"/>
    <mergeCell ref="YM39:YO39"/>
    <mergeCell ref="YP39:YR39"/>
    <mergeCell ref="YS39:YU39"/>
    <mergeCell ref="YV39:YX39"/>
    <mergeCell ref="YY39:ZA39"/>
    <mergeCell ref="ZB39:ZD39"/>
    <mergeCell ref="ZE39:ZG39"/>
    <mergeCell ref="ZH39:ZJ39"/>
    <mergeCell ref="ZK39:ZM39"/>
    <mergeCell ref="ZN39:ZP39"/>
    <mergeCell ref="ZQ39:ZS39"/>
    <mergeCell ref="ZT39:ZV39"/>
    <mergeCell ref="ZW39:ZY39"/>
    <mergeCell ref="ZZ39:AAB39"/>
    <mergeCell ref="AAC39:AAE39"/>
    <mergeCell ref="AAF39:AAH39"/>
    <mergeCell ref="AAI39:AAK39"/>
    <mergeCell ref="AAL39:AAN39"/>
    <mergeCell ref="AAO39:AAQ39"/>
    <mergeCell ref="AAR39:AAT39"/>
    <mergeCell ref="AAU39:AAW39"/>
    <mergeCell ref="AAX39:AAZ39"/>
    <mergeCell ref="XU19:XW19"/>
    <mergeCell ref="XX19:XZ19"/>
    <mergeCell ref="YA19:YC19"/>
    <mergeCell ref="YD19:YF19"/>
    <mergeCell ref="YG19:YI19"/>
    <mergeCell ref="YJ19:YL19"/>
    <mergeCell ref="YM19:YO19"/>
    <mergeCell ref="YP19:YR19"/>
    <mergeCell ref="YS19:YU19"/>
    <mergeCell ref="YV19:YX19"/>
    <mergeCell ref="YY19:ZA19"/>
    <mergeCell ref="ZB19:ZD19"/>
    <mergeCell ref="ZE19:ZG19"/>
    <mergeCell ref="ZH19:ZJ19"/>
    <mergeCell ref="ZK19:ZM19"/>
    <mergeCell ref="ZN19:ZP19"/>
    <mergeCell ref="ZQ19:ZS19"/>
    <mergeCell ref="ZT19:ZV19"/>
    <mergeCell ref="ZW19:ZY19"/>
    <mergeCell ref="ZZ19:AAB19"/>
    <mergeCell ref="AAC19:AAE19"/>
    <mergeCell ref="AAF19:AAH19"/>
    <mergeCell ref="AAI19:AAK19"/>
    <mergeCell ref="AAL19:AAN19"/>
    <mergeCell ref="AAO19:AAQ19"/>
    <mergeCell ref="AAR19:AAT19"/>
    <mergeCell ref="AAU19:AAW19"/>
    <mergeCell ref="AAX19:AAZ19"/>
    <mergeCell ref="XU20:XW20"/>
    <mergeCell ref="XX20:XZ20"/>
    <mergeCell ref="YA20:YC20"/>
    <mergeCell ref="YD20:YF20"/>
    <mergeCell ref="YG20:YI20"/>
    <mergeCell ref="YJ20:YL20"/>
    <mergeCell ref="YM20:YO20"/>
    <mergeCell ref="YP20:YR20"/>
    <mergeCell ref="ZT20:ZV20"/>
    <mergeCell ref="ZW20:ZY20"/>
    <mergeCell ref="ZZ20:AAB20"/>
    <mergeCell ref="AAC20:AAE20"/>
    <mergeCell ref="AAF20:AAH20"/>
    <mergeCell ref="AAI20:AAK20"/>
    <mergeCell ref="AAL20:AAN20"/>
    <mergeCell ref="AAO20:AAQ20"/>
    <mergeCell ref="AAR20:AAT20"/>
    <mergeCell ref="AAU20:AAW20"/>
    <mergeCell ref="AAX20:AAZ20"/>
    <mergeCell ref="XU21:XW21"/>
    <mergeCell ref="XX21:XZ21"/>
    <mergeCell ref="YA21:YC21"/>
    <mergeCell ref="YD21:YF21"/>
    <mergeCell ref="YG21:YI21"/>
    <mergeCell ref="YJ21:YL21"/>
    <mergeCell ref="YM21:YO21"/>
    <mergeCell ref="YP21:YR21"/>
    <mergeCell ref="YS21:YU21"/>
    <mergeCell ref="YV21:YX21"/>
    <mergeCell ref="YY21:ZA21"/>
    <mergeCell ref="ZB21:ZD21"/>
    <mergeCell ref="ZE21:ZG21"/>
    <mergeCell ref="ZH21:ZJ21"/>
    <mergeCell ref="ZK21:ZM21"/>
    <mergeCell ref="ZN21:ZP21"/>
    <mergeCell ref="ZQ21:ZS21"/>
    <mergeCell ref="ZT21:ZV21"/>
    <mergeCell ref="ZW21:ZY21"/>
    <mergeCell ref="ZZ21:AAB21"/>
    <mergeCell ref="AAC21:AAE21"/>
    <mergeCell ref="AAF21:AAH21"/>
    <mergeCell ref="AAI21:AAK21"/>
    <mergeCell ref="AAL21:AAN21"/>
    <mergeCell ref="AAO21:AAQ21"/>
    <mergeCell ref="AAR21:AAT21"/>
    <mergeCell ref="AAU21:AAW21"/>
    <mergeCell ref="AAX21:AAZ21"/>
    <mergeCell ref="XU22:XW22"/>
    <mergeCell ref="XX22:XZ22"/>
    <mergeCell ref="YA22:YC22"/>
    <mergeCell ref="YD22:YF22"/>
    <mergeCell ref="YG22:YI22"/>
    <mergeCell ref="YJ22:YL22"/>
    <mergeCell ref="YM22:YO22"/>
    <mergeCell ref="YP22:YR22"/>
    <mergeCell ref="YS22:YU22"/>
    <mergeCell ref="YV22:YX22"/>
    <mergeCell ref="YY22:ZA22"/>
    <mergeCell ref="ZB22:ZD22"/>
    <mergeCell ref="ZE22:ZG22"/>
    <mergeCell ref="ZH22:ZJ22"/>
    <mergeCell ref="ZK22:ZM22"/>
    <mergeCell ref="ZN22:ZP22"/>
    <mergeCell ref="ZQ22:ZS22"/>
    <mergeCell ref="ZT22:ZV22"/>
    <mergeCell ref="ZW22:ZY22"/>
    <mergeCell ref="ZZ22:AAB22"/>
    <mergeCell ref="AAC22:AAE22"/>
    <mergeCell ref="AAF22:AAH22"/>
    <mergeCell ref="AAI22:AAK22"/>
    <mergeCell ref="AAL22:AAN22"/>
    <mergeCell ref="AAO22:AAQ22"/>
    <mergeCell ref="AAR22:AAT22"/>
    <mergeCell ref="AAU22:AAW22"/>
    <mergeCell ref="AAX22:AAZ22"/>
    <mergeCell ref="XU36:XW36"/>
    <mergeCell ref="XX36:XZ36"/>
    <mergeCell ref="YA36:YC36"/>
    <mergeCell ref="YD36:YF36"/>
    <mergeCell ref="YG36:YI36"/>
    <mergeCell ref="YJ36:YL36"/>
    <mergeCell ref="YM36:YO36"/>
    <mergeCell ref="YP36:YR36"/>
    <mergeCell ref="YS36:YU36"/>
    <mergeCell ref="YV36:YX36"/>
    <mergeCell ref="YY36:ZA36"/>
    <mergeCell ref="ZB36:ZD36"/>
    <mergeCell ref="ZE36:ZG36"/>
    <mergeCell ref="ZH36:ZJ36"/>
    <mergeCell ref="ZK36:ZM36"/>
    <mergeCell ref="ZN36:ZP36"/>
    <mergeCell ref="ZQ36:ZS36"/>
    <mergeCell ref="ZT36:ZV36"/>
    <mergeCell ref="ZW36:ZY36"/>
    <mergeCell ref="ZZ36:AAB36"/>
    <mergeCell ref="AAC36:AAE36"/>
    <mergeCell ref="AAF36:AAH36"/>
    <mergeCell ref="AAI36:AAK36"/>
    <mergeCell ref="AAL36:AAN36"/>
    <mergeCell ref="AAO36:AAQ36"/>
    <mergeCell ref="AAR36:AAT36"/>
    <mergeCell ref="AAU36:AAW36"/>
    <mergeCell ref="AAX36:AAZ36"/>
    <mergeCell ref="XU32:XW32"/>
    <mergeCell ref="XX32:XZ32"/>
    <mergeCell ref="YA32:YC32"/>
    <mergeCell ref="YD32:YF32"/>
    <mergeCell ref="YG32:YI32"/>
    <mergeCell ref="YJ32:YL32"/>
    <mergeCell ref="YM32:YO32"/>
    <mergeCell ref="YP32:YR32"/>
    <mergeCell ref="ZH40:ZJ40"/>
    <mergeCell ref="ZK40:ZM40"/>
    <mergeCell ref="ZN40:ZP40"/>
    <mergeCell ref="ZQ40:ZS40"/>
    <mergeCell ref="ZT40:ZV40"/>
    <mergeCell ref="ZW40:ZY40"/>
    <mergeCell ref="ZZ40:AAB40"/>
    <mergeCell ref="AAC40:AAE40"/>
    <mergeCell ref="AAF40:AAH40"/>
    <mergeCell ref="AAI40:AAK40"/>
    <mergeCell ref="AAL40:AAN40"/>
    <mergeCell ref="AAO40:AAQ40"/>
    <mergeCell ref="AAR40:AAT40"/>
    <mergeCell ref="AAU40:AAW40"/>
    <mergeCell ref="AAX40:AAZ40"/>
    <mergeCell ref="AAR54:AAT54"/>
    <mergeCell ref="AAU54:AAW54"/>
    <mergeCell ref="AAX54:AAZ54"/>
    <mergeCell ref="XU42:XW42"/>
    <mergeCell ref="XX42:XZ42"/>
    <mergeCell ref="YA42:YC42"/>
    <mergeCell ref="YD42:YF42"/>
    <mergeCell ref="YG42:YI42"/>
    <mergeCell ref="YJ42:YL42"/>
    <mergeCell ref="YM42:YO42"/>
    <mergeCell ref="YP42:YR42"/>
    <mergeCell ref="YS42:YU42"/>
    <mergeCell ref="YV42:YX42"/>
    <mergeCell ref="YY42:ZA42"/>
    <mergeCell ref="ZB42:ZD42"/>
    <mergeCell ref="ZE42:ZG42"/>
    <mergeCell ref="ZH42:ZJ42"/>
    <mergeCell ref="ZK42:ZM42"/>
    <mergeCell ref="ZN42:ZP42"/>
    <mergeCell ref="ZQ42:ZS42"/>
    <mergeCell ref="ZT42:ZV42"/>
    <mergeCell ref="ZW42:ZY42"/>
    <mergeCell ref="ZZ42:AAB42"/>
    <mergeCell ref="XU40:XW40"/>
    <mergeCell ref="XX40:XZ40"/>
    <mergeCell ref="YA40:YC40"/>
    <mergeCell ref="YD40:YF40"/>
    <mergeCell ref="YG40:YI40"/>
    <mergeCell ref="YJ40:YL40"/>
    <mergeCell ref="YM40:YO40"/>
    <mergeCell ref="YP40:YR40"/>
    <mergeCell ref="YS40:YU40"/>
    <mergeCell ref="YV40:YX40"/>
    <mergeCell ref="YY40:ZA40"/>
    <mergeCell ref="ZB40:ZD40"/>
    <mergeCell ref="ZE40:ZG40"/>
    <mergeCell ref="ZQ56:ZS56"/>
    <mergeCell ref="ZT56:ZV56"/>
    <mergeCell ref="ZW56:ZY56"/>
    <mergeCell ref="ZZ56:AAB56"/>
    <mergeCell ref="AAC56:AAE56"/>
    <mergeCell ref="AAF56:AAH56"/>
    <mergeCell ref="AAI56:AAK56"/>
    <mergeCell ref="AAL56:AAN56"/>
    <mergeCell ref="AAO56:AAQ56"/>
    <mergeCell ref="AAR56:AAT56"/>
    <mergeCell ref="AAU56:AAW56"/>
    <mergeCell ref="AAX56:AAZ56"/>
    <mergeCell ref="XU44:XW44"/>
    <mergeCell ref="XX44:XZ44"/>
    <mergeCell ref="YA44:YC44"/>
    <mergeCell ref="YD44:YF44"/>
    <mergeCell ref="YG44:YI44"/>
    <mergeCell ref="YJ44:YL44"/>
    <mergeCell ref="YM44:YO44"/>
    <mergeCell ref="YP44:YR44"/>
    <mergeCell ref="YS44:YU44"/>
    <mergeCell ref="YV44:YX44"/>
    <mergeCell ref="YY44:ZA44"/>
    <mergeCell ref="XU41:XW41"/>
    <mergeCell ref="XX41:XZ41"/>
    <mergeCell ref="YA41:YC41"/>
    <mergeCell ref="YD41:YF41"/>
    <mergeCell ref="YG41:YI41"/>
    <mergeCell ref="YJ41:YL41"/>
    <mergeCell ref="YM41:YO41"/>
    <mergeCell ref="YP41:YR41"/>
    <mergeCell ref="YS41:YU41"/>
    <mergeCell ref="YV41:YX41"/>
    <mergeCell ref="YY41:ZA41"/>
    <mergeCell ref="ZB41:ZD41"/>
    <mergeCell ref="ZE41:ZG41"/>
    <mergeCell ref="ZH41:ZJ41"/>
    <mergeCell ref="ZK41:ZM41"/>
    <mergeCell ref="ZN41:ZP41"/>
    <mergeCell ref="ZQ41:ZS41"/>
    <mergeCell ref="ZT41:ZV41"/>
    <mergeCell ref="ZW41:ZY41"/>
    <mergeCell ref="ZZ41:AAB41"/>
    <mergeCell ref="AAC41:AAE41"/>
    <mergeCell ref="AAF41:AAH41"/>
    <mergeCell ref="AAI41:AAK41"/>
    <mergeCell ref="AAL41:AAN41"/>
    <mergeCell ref="AAO41:AAQ41"/>
    <mergeCell ref="AAR41:AAT41"/>
    <mergeCell ref="AAU41:AAW41"/>
    <mergeCell ref="AAX41:AAZ41"/>
    <mergeCell ref="ZE54:ZG54"/>
    <mergeCell ref="ZH54:ZJ54"/>
    <mergeCell ref="ZK54:ZM54"/>
    <mergeCell ref="ZN54:ZP54"/>
    <mergeCell ref="ZQ54:ZS54"/>
    <mergeCell ref="ZT54:ZV54"/>
    <mergeCell ref="ZW54:ZY54"/>
    <mergeCell ref="ZZ54:AAB54"/>
    <mergeCell ref="AAC54:AAE54"/>
    <mergeCell ref="AAF54:AAH54"/>
    <mergeCell ref="AAI54:AAK54"/>
    <mergeCell ref="AAL54:AAN54"/>
    <mergeCell ref="AAO54:AAQ54"/>
    <mergeCell ref="XU43:XW43"/>
    <mergeCell ref="XX43:XZ43"/>
    <mergeCell ref="YA43:YC43"/>
    <mergeCell ref="YD43:YF43"/>
    <mergeCell ref="YG43:YI43"/>
    <mergeCell ref="YJ43:YL43"/>
    <mergeCell ref="YM43:YO43"/>
    <mergeCell ref="YP43:YR43"/>
    <mergeCell ref="YS43:YU43"/>
    <mergeCell ref="YV43:YX43"/>
    <mergeCell ref="YY43:ZA43"/>
    <mergeCell ref="ZB43:ZD43"/>
    <mergeCell ref="ZE43:ZG43"/>
    <mergeCell ref="ZH43:ZJ43"/>
    <mergeCell ref="YD56:YF56"/>
    <mergeCell ref="YG56:YI56"/>
    <mergeCell ref="YJ56:YL56"/>
    <mergeCell ref="YM56:YO56"/>
    <mergeCell ref="YP56:YR56"/>
    <mergeCell ref="YS56:YU56"/>
    <mergeCell ref="YV56:YX56"/>
    <mergeCell ref="YY56:ZA56"/>
    <mergeCell ref="ZB56:ZD56"/>
    <mergeCell ref="ZE56:ZG56"/>
    <mergeCell ref="ZH56:ZJ56"/>
    <mergeCell ref="ZK56:ZM56"/>
    <mergeCell ref="ZN56:ZP56"/>
    <mergeCell ref="ZB44:ZD44"/>
    <mergeCell ref="ZE44:ZG44"/>
    <mergeCell ref="ZH44:ZJ44"/>
    <mergeCell ref="ZK44:ZM44"/>
    <mergeCell ref="ZN44:ZP44"/>
    <mergeCell ref="ZQ44:ZS44"/>
    <mergeCell ref="ZT44:ZV44"/>
    <mergeCell ref="ZW44:ZY44"/>
    <mergeCell ref="ZZ44:AAB44"/>
    <mergeCell ref="AAC44:AAE44"/>
    <mergeCell ref="AAF44:AAH44"/>
    <mergeCell ref="AAI44:AAK44"/>
    <mergeCell ref="AAL44:AAN44"/>
    <mergeCell ref="AAO44:AAQ44"/>
    <mergeCell ref="AAR44:AAT44"/>
    <mergeCell ref="AAU44:AAW44"/>
    <mergeCell ref="AAX44:AAZ44"/>
    <mergeCell ref="XU54:XW54"/>
    <mergeCell ref="XX54:XZ54"/>
    <mergeCell ref="YA54:YC54"/>
    <mergeCell ref="YD54:YF54"/>
    <mergeCell ref="YG54:YI54"/>
    <mergeCell ref="YP54:YR54"/>
    <mergeCell ref="YS54:YU54"/>
    <mergeCell ref="YV54:YX54"/>
    <mergeCell ref="YY54:ZA54"/>
    <mergeCell ref="ZB54:ZD54"/>
    <mergeCell ref="YJ54:YL54"/>
    <mergeCell ref="AAU60:AAW60"/>
    <mergeCell ref="AAX60:AAZ60"/>
    <mergeCell ref="XU57:XW57"/>
    <mergeCell ref="XX57:XZ57"/>
    <mergeCell ref="YA57:YC57"/>
    <mergeCell ref="YD57:YF57"/>
    <mergeCell ref="YG57:YI57"/>
    <mergeCell ref="YJ57:YL57"/>
    <mergeCell ref="YM57:YO57"/>
    <mergeCell ref="YP57:YR57"/>
    <mergeCell ref="YS57:YU57"/>
    <mergeCell ref="YV57:YX57"/>
    <mergeCell ref="YY57:ZA57"/>
    <mergeCell ref="ZB57:ZD57"/>
    <mergeCell ref="ZE57:ZG57"/>
    <mergeCell ref="ZH57:ZJ57"/>
    <mergeCell ref="ZK57:ZM57"/>
    <mergeCell ref="ZN57:ZP57"/>
    <mergeCell ref="ZQ57:ZS57"/>
    <mergeCell ref="ZT57:ZV57"/>
    <mergeCell ref="ZW57:ZY57"/>
    <mergeCell ref="ZZ57:AAB57"/>
    <mergeCell ref="AAC57:AAE57"/>
    <mergeCell ref="AAF57:AAH57"/>
    <mergeCell ref="AAI57:AAK57"/>
    <mergeCell ref="AAL57:AAN57"/>
    <mergeCell ref="AAO57:AAQ57"/>
    <mergeCell ref="AAR57:AAT57"/>
    <mergeCell ref="AAU57:AAW57"/>
    <mergeCell ref="AAX57:AAZ57"/>
    <mergeCell ref="XU59:XW59"/>
    <mergeCell ref="XX59:XZ59"/>
    <mergeCell ref="YA59:YC59"/>
    <mergeCell ref="YD59:YF59"/>
    <mergeCell ref="YG59:YI59"/>
    <mergeCell ref="YJ59:YL59"/>
    <mergeCell ref="YM59:YO59"/>
    <mergeCell ref="YP59:YR59"/>
    <mergeCell ref="YS59:YU59"/>
    <mergeCell ref="YV59:YX59"/>
    <mergeCell ref="YY59:ZA59"/>
    <mergeCell ref="ZB59:ZD59"/>
    <mergeCell ref="ZE59:ZG59"/>
    <mergeCell ref="ZH59:ZJ59"/>
    <mergeCell ref="ZK59:ZM59"/>
    <mergeCell ref="ZN59:ZP59"/>
    <mergeCell ref="ZQ59:ZS59"/>
    <mergeCell ref="ZT59:ZV59"/>
    <mergeCell ref="ZW59:ZY59"/>
    <mergeCell ref="ZZ59:AAB59"/>
    <mergeCell ref="AAC59:AAE59"/>
    <mergeCell ref="AAF59:AAH59"/>
    <mergeCell ref="AAI59:AAK59"/>
    <mergeCell ref="AAL59:AAN59"/>
    <mergeCell ref="AAO59:AAQ59"/>
    <mergeCell ref="AAR59:AAT59"/>
    <mergeCell ref="AAU59:AAW59"/>
    <mergeCell ref="AAX59:AAZ59"/>
    <mergeCell ref="AAU55:AAW55"/>
    <mergeCell ref="AAX55:AAZ55"/>
    <mergeCell ref="XU56:XW56"/>
    <mergeCell ref="XX56:XZ56"/>
    <mergeCell ref="YA56:YC56"/>
    <mergeCell ref="DM55:DO55"/>
    <mergeCell ref="GP55:GR55"/>
    <mergeCell ref="MJ55:ML55"/>
    <mergeCell ref="MM55:MO55"/>
    <mergeCell ref="NE55:NG55"/>
    <mergeCell ref="WQ59:WS59"/>
    <mergeCell ref="WT59:WV59"/>
    <mergeCell ref="WW59:WY59"/>
    <mergeCell ref="WZ59:XB59"/>
    <mergeCell ref="XC59:XE59"/>
    <mergeCell ref="XO58:XQ58"/>
    <mergeCell ref="XR58:XT58"/>
    <mergeCell ref="ZE58:ZG58"/>
    <mergeCell ref="ZH58:ZJ58"/>
    <mergeCell ref="ZK58:ZM58"/>
    <mergeCell ref="ZN58:ZP58"/>
    <mergeCell ref="ZQ58:ZS58"/>
    <mergeCell ref="ZT58:ZV58"/>
    <mergeCell ref="ZW58:ZY58"/>
    <mergeCell ref="ZZ58:AAB58"/>
    <mergeCell ref="AAC58:AAE58"/>
    <mergeCell ref="AAF58:AAH58"/>
    <mergeCell ref="AAI58:AAK58"/>
    <mergeCell ref="AAL58:AAN58"/>
    <mergeCell ref="AAO58:AAQ58"/>
    <mergeCell ref="AAR58:AAT58"/>
    <mergeCell ref="AAU58:AAW58"/>
    <mergeCell ref="AAX58:AAZ58"/>
    <mergeCell ref="DS58:DU58"/>
    <mergeCell ref="DV58:DX58"/>
    <mergeCell ref="DY58:EA58"/>
    <mergeCell ref="EB58:ED58"/>
    <mergeCell ref="EE58:EG58"/>
    <mergeCell ref="EH58:EJ58"/>
    <mergeCell ref="EK58:EM58"/>
    <mergeCell ref="EN58:EP58"/>
    <mergeCell ref="FO58:FQ58"/>
    <mergeCell ref="FR58:FT58"/>
    <mergeCell ref="FU58:FW58"/>
    <mergeCell ref="FX58:FZ58"/>
    <mergeCell ref="GA58:GC58"/>
    <mergeCell ref="XU60:XW60"/>
    <mergeCell ref="XX60:XZ60"/>
    <mergeCell ref="YA60:YC60"/>
    <mergeCell ref="YD60:YF60"/>
    <mergeCell ref="YG60:YI60"/>
    <mergeCell ref="YJ60:YL60"/>
    <mergeCell ref="YM60:YO60"/>
    <mergeCell ref="YP60:YR60"/>
    <mergeCell ref="YS60:YU60"/>
    <mergeCell ref="YV60:YX60"/>
    <mergeCell ref="YY60:ZA60"/>
    <mergeCell ref="ZB60:ZD60"/>
    <mergeCell ref="ZE60:ZG60"/>
    <mergeCell ref="ZH60:ZJ60"/>
    <mergeCell ref="ZK60:ZM60"/>
    <mergeCell ref="ZN60:ZP60"/>
    <mergeCell ref="ZQ60:ZS60"/>
    <mergeCell ref="ZT60:ZV60"/>
    <mergeCell ref="ZW60:ZY60"/>
    <mergeCell ref="ZZ60:AAB60"/>
    <mergeCell ref="AAC60:AAE60"/>
    <mergeCell ref="AAF60:AAH60"/>
    <mergeCell ref="AAI60:AAK60"/>
    <mergeCell ref="AAL60:AAN60"/>
    <mergeCell ref="AAO60:AAQ60"/>
    <mergeCell ref="AAR60:AAT60"/>
    <mergeCell ref="XU55:XW55"/>
    <mergeCell ref="XX55:XZ55"/>
    <mergeCell ref="YA55:YC55"/>
    <mergeCell ref="YD55:YF55"/>
    <mergeCell ref="YG55:YI55"/>
    <mergeCell ref="YJ55:YL55"/>
    <mergeCell ref="YM55:YO55"/>
    <mergeCell ref="YP55:YR55"/>
    <mergeCell ref="YS55:YU55"/>
    <mergeCell ref="YV55:YX55"/>
    <mergeCell ref="YY55:ZA55"/>
    <mergeCell ref="ZB55:ZD55"/>
    <mergeCell ref="ZE55:ZG55"/>
    <mergeCell ref="ZH55:ZJ55"/>
    <mergeCell ref="ZK55:ZM55"/>
    <mergeCell ref="ZN55:ZP55"/>
    <mergeCell ref="ZQ55:ZS55"/>
    <mergeCell ref="ZT55:ZV55"/>
    <mergeCell ref="ZW55:ZY55"/>
    <mergeCell ref="ZZ55:AAB55"/>
    <mergeCell ref="AAC55:AAE55"/>
    <mergeCell ref="AAF55:AAH55"/>
    <mergeCell ref="AAI55:AAK55"/>
    <mergeCell ref="AAL55:AAN55"/>
    <mergeCell ref="AAO55:AAQ55"/>
    <mergeCell ref="AAR55:AAT55"/>
    <mergeCell ref="XU58:XW58"/>
    <mergeCell ref="XX58:XZ58"/>
    <mergeCell ref="YA58:YC58"/>
    <mergeCell ref="YD58:YF58"/>
    <mergeCell ref="YG58:YI58"/>
    <mergeCell ref="YJ58:YL58"/>
    <mergeCell ref="YM58:YO58"/>
    <mergeCell ref="YP58:YR58"/>
    <mergeCell ref="YS58:YU58"/>
    <mergeCell ref="YV58:YX58"/>
    <mergeCell ref="YY58:ZA58"/>
    <mergeCell ref="ZB58:ZD58"/>
    <mergeCell ref="I61:K61"/>
    <mergeCell ref="L61:N61"/>
    <mergeCell ref="O61:Q61"/>
    <mergeCell ref="R61:T61"/>
    <mergeCell ref="U61:W61"/>
    <mergeCell ref="X61:Z61"/>
    <mergeCell ref="AA61:AC61"/>
    <mergeCell ref="AD61:AF61"/>
    <mergeCell ref="AG61:AI61"/>
    <mergeCell ref="AJ61:AL61"/>
    <mergeCell ref="AM61:AO61"/>
    <mergeCell ref="AP61:AR61"/>
    <mergeCell ref="AS61:AU61"/>
    <mergeCell ref="AV61:AX61"/>
    <mergeCell ref="AY61:BA61"/>
    <mergeCell ref="BB61:BD61"/>
    <mergeCell ref="BE61:BG61"/>
    <mergeCell ref="BH61:BJ61"/>
    <mergeCell ref="BK61:BM61"/>
    <mergeCell ref="BN61:BP61"/>
    <mergeCell ref="BQ61:BS61"/>
    <mergeCell ref="BT61:BV61"/>
    <mergeCell ref="BW61:BY61"/>
    <mergeCell ref="BZ61:CB61"/>
    <mergeCell ref="CC61:CE61"/>
    <mergeCell ref="CF61:CH61"/>
    <mergeCell ref="CI61:CK61"/>
    <mergeCell ref="CL61:CN61"/>
    <mergeCell ref="CO61:CQ61"/>
    <mergeCell ref="CR61:CT61"/>
    <mergeCell ref="CU61:CW61"/>
    <mergeCell ref="CX61:CZ61"/>
    <mergeCell ref="DA61:DC61"/>
    <mergeCell ref="DD61:DF61"/>
    <mergeCell ref="DG61:DI61"/>
    <mergeCell ref="DJ61:DL61"/>
    <mergeCell ref="DM61:DO61"/>
    <mergeCell ref="DP61:DR61"/>
    <mergeCell ref="DS61:DU61"/>
    <mergeCell ref="DV61:DX61"/>
    <mergeCell ref="DY61:EA61"/>
    <mergeCell ref="EB61:ED61"/>
    <mergeCell ref="EE61:EG61"/>
    <mergeCell ref="EH61:EJ61"/>
    <mergeCell ref="EK61:EM61"/>
    <mergeCell ref="EN61:EP61"/>
    <mergeCell ref="EQ61:ES61"/>
    <mergeCell ref="ET61:EV61"/>
    <mergeCell ref="EW61:EY61"/>
    <mergeCell ref="EZ61:FB61"/>
    <mergeCell ref="FC61:FE61"/>
    <mergeCell ref="FF61:FH61"/>
    <mergeCell ref="FI61:FK61"/>
    <mergeCell ref="FL61:FN61"/>
    <mergeCell ref="FO61:FQ61"/>
    <mergeCell ref="FR61:FT61"/>
    <mergeCell ref="FU61:FW61"/>
    <mergeCell ref="FX61:FZ61"/>
    <mergeCell ref="GA61:GC61"/>
    <mergeCell ref="GD61:GF61"/>
    <mergeCell ref="GG61:GI61"/>
    <mergeCell ref="GJ61:GL61"/>
    <mergeCell ref="GM61:GO61"/>
    <mergeCell ref="GP61:GR61"/>
    <mergeCell ref="GS61:GU61"/>
    <mergeCell ref="GV61:GX61"/>
    <mergeCell ref="GY61:HA61"/>
    <mergeCell ref="HB61:HD61"/>
    <mergeCell ref="HE61:HG61"/>
    <mergeCell ref="HH61:HJ61"/>
    <mergeCell ref="HK61:HM61"/>
    <mergeCell ref="HN61:HP61"/>
    <mergeCell ref="HQ61:HS61"/>
    <mergeCell ref="HT61:HV61"/>
    <mergeCell ref="HW61:HY61"/>
    <mergeCell ref="HZ61:IB61"/>
    <mergeCell ref="IC61:IE61"/>
    <mergeCell ref="IF61:IH61"/>
    <mergeCell ref="II61:IK61"/>
    <mergeCell ref="IL61:IN61"/>
    <mergeCell ref="IO61:IQ61"/>
    <mergeCell ref="IR61:IT61"/>
    <mergeCell ref="IU61:IW61"/>
    <mergeCell ref="IX61:IZ61"/>
    <mergeCell ref="JA61:JC61"/>
    <mergeCell ref="JD61:JF61"/>
    <mergeCell ref="JG61:JI61"/>
    <mergeCell ref="JJ61:JL61"/>
    <mergeCell ref="JM61:JO61"/>
    <mergeCell ref="JP61:JR61"/>
    <mergeCell ref="JS61:JU61"/>
    <mergeCell ref="JV61:JX61"/>
    <mergeCell ref="JY61:KA61"/>
    <mergeCell ref="KB61:KD61"/>
    <mergeCell ref="KE61:KG61"/>
    <mergeCell ref="KH61:KJ61"/>
    <mergeCell ref="KK61:KM61"/>
    <mergeCell ref="KN61:KP61"/>
    <mergeCell ref="KQ61:KS61"/>
    <mergeCell ref="KT61:KV61"/>
    <mergeCell ref="KW61:KY61"/>
    <mergeCell ref="KZ61:LB61"/>
    <mergeCell ref="LC61:LE61"/>
    <mergeCell ref="LF61:LH61"/>
    <mergeCell ref="LI61:LK61"/>
    <mergeCell ref="LL61:LN61"/>
    <mergeCell ref="LO61:LQ61"/>
    <mergeCell ref="LR61:LT61"/>
    <mergeCell ref="LU61:LW61"/>
    <mergeCell ref="LX61:LZ61"/>
    <mergeCell ref="MA61:MC61"/>
    <mergeCell ref="MD61:MF61"/>
    <mergeCell ref="MG61:MI61"/>
    <mergeCell ref="MJ61:ML61"/>
    <mergeCell ref="MM61:MO61"/>
    <mergeCell ref="MP61:MR61"/>
    <mergeCell ref="MS61:MU61"/>
    <mergeCell ref="MV61:MX61"/>
    <mergeCell ref="MY61:NA61"/>
    <mergeCell ref="NB61:ND61"/>
    <mergeCell ref="NE61:NG61"/>
    <mergeCell ref="NH61:NJ61"/>
    <mergeCell ref="NK61:NM61"/>
    <mergeCell ref="NN61:NP61"/>
    <mergeCell ref="NQ61:NS61"/>
    <mergeCell ref="NT61:NV61"/>
    <mergeCell ref="NW61:NY61"/>
    <mergeCell ref="NZ61:OB61"/>
    <mergeCell ref="OC61:OE61"/>
    <mergeCell ref="OF61:OH61"/>
    <mergeCell ref="OI61:OK61"/>
    <mergeCell ref="OL61:ON61"/>
    <mergeCell ref="OO61:OQ61"/>
    <mergeCell ref="OR61:OT61"/>
    <mergeCell ref="OU61:OW61"/>
    <mergeCell ref="OX61:OZ61"/>
    <mergeCell ref="PA61:PC61"/>
    <mergeCell ref="PD61:PF61"/>
    <mergeCell ref="PG61:PI61"/>
    <mergeCell ref="PJ61:PL61"/>
    <mergeCell ref="PM61:PO61"/>
    <mergeCell ref="PP61:PR61"/>
    <mergeCell ref="PS61:PU61"/>
    <mergeCell ref="PV61:PX61"/>
    <mergeCell ref="PY61:QA61"/>
    <mergeCell ref="QB61:QD61"/>
    <mergeCell ref="QE61:QG61"/>
    <mergeCell ref="QH61:QJ61"/>
    <mergeCell ref="QK61:QM61"/>
    <mergeCell ref="QN61:QP61"/>
    <mergeCell ref="QQ61:QS61"/>
    <mergeCell ref="QT61:QV61"/>
    <mergeCell ref="QW61:QY61"/>
    <mergeCell ref="QZ61:RB61"/>
    <mergeCell ref="RC61:RE61"/>
    <mergeCell ref="RF61:RH61"/>
    <mergeCell ref="RI61:RK61"/>
    <mergeCell ref="RL61:RN61"/>
    <mergeCell ref="RO61:RQ61"/>
    <mergeCell ref="RR61:RT61"/>
    <mergeCell ref="RU61:RW61"/>
    <mergeCell ref="RX61:RZ61"/>
    <mergeCell ref="SA61:SC61"/>
    <mergeCell ref="SD61:SF61"/>
    <mergeCell ref="SG61:SI61"/>
    <mergeCell ref="SJ61:SL61"/>
    <mergeCell ref="SM61:SO61"/>
    <mergeCell ref="SP61:SR61"/>
    <mergeCell ref="SS61:SU61"/>
    <mergeCell ref="SV61:SX61"/>
    <mergeCell ref="SY61:TA61"/>
    <mergeCell ref="TB61:TD61"/>
    <mergeCell ref="TE61:TG61"/>
    <mergeCell ref="TH61:TJ61"/>
    <mergeCell ref="TK61:TM61"/>
    <mergeCell ref="TN61:TP61"/>
    <mergeCell ref="TQ61:TS61"/>
    <mergeCell ref="TT61:TV61"/>
    <mergeCell ref="TW61:TY61"/>
    <mergeCell ref="TZ61:UB61"/>
    <mergeCell ref="UC61:UE61"/>
    <mergeCell ref="UF61:UH61"/>
    <mergeCell ref="UI61:UK61"/>
    <mergeCell ref="UL61:UN61"/>
    <mergeCell ref="UO61:UQ61"/>
    <mergeCell ref="UR61:UT61"/>
    <mergeCell ref="UU61:UW61"/>
    <mergeCell ref="UX61:UZ61"/>
    <mergeCell ref="VA61:VC61"/>
    <mergeCell ref="VD61:VF61"/>
    <mergeCell ref="VG61:VI61"/>
    <mergeCell ref="VJ61:VL61"/>
    <mergeCell ref="VM61:VO61"/>
    <mergeCell ref="VP61:VR61"/>
    <mergeCell ref="VS61:VU61"/>
    <mergeCell ref="VV61:VX61"/>
    <mergeCell ref="VY61:WA61"/>
    <mergeCell ref="WB61:WD61"/>
    <mergeCell ref="ZZ61:AAB61"/>
    <mergeCell ref="AAC61:AAE61"/>
    <mergeCell ref="AAF61:AAH61"/>
    <mergeCell ref="AAI61:AAK61"/>
    <mergeCell ref="AAL61:AAN61"/>
    <mergeCell ref="AAO61:AAQ61"/>
    <mergeCell ref="AAR61:AAT61"/>
    <mergeCell ref="AAU61:AAW61"/>
    <mergeCell ref="AAX61:AAZ61"/>
    <mergeCell ref="WE61:WG61"/>
    <mergeCell ref="WH61:WJ61"/>
    <mergeCell ref="WK61:WM61"/>
    <mergeCell ref="WN61:WP61"/>
    <mergeCell ref="WQ61:WS61"/>
    <mergeCell ref="WT61:WV61"/>
    <mergeCell ref="WW61:WY61"/>
    <mergeCell ref="WZ61:XB61"/>
    <mergeCell ref="XC61:XE61"/>
    <mergeCell ref="XF61:XH61"/>
    <mergeCell ref="XI61:XK61"/>
    <mergeCell ref="XL61:XN61"/>
    <mergeCell ref="XO61:XQ61"/>
    <mergeCell ref="XR61:XT61"/>
    <mergeCell ref="XU61:XW61"/>
    <mergeCell ref="XX61:XZ61"/>
    <mergeCell ref="YA61:YC61"/>
    <mergeCell ref="YD61:YF61"/>
    <mergeCell ref="YG61:YI61"/>
    <mergeCell ref="YJ61:YL61"/>
    <mergeCell ref="YM61:YO61"/>
    <mergeCell ref="YP61:YR61"/>
    <mergeCell ref="YS61:YU61"/>
    <mergeCell ref="YV61:YX61"/>
    <mergeCell ref="YY61:ZA61"/>
    <mergeCell ref="ZB61:ZD61"/>
    <mergeCell ref="ZE61:ZG61"/>
    <mergeCell ref="ZH61:ZJ61"/>
    <mergeCell ref="ZK61:ZM61"/>
    <mergeCell ref="ZN61:ZP61"/>
    <mergeCell ref="ZQ61:ZS61"/>
    <mergeCell ref="ZT61:ZV61"/>
    <mergeCell ref="ZW61:ZY61"/>
    <mergeCell ref="I58:K58"/>
    <mergeCell ref="L58:N58"/>
    <mergeCell ref="O58:Q58"/>
    <mergeCell ref="R58:T58"/>
    <mergeCell ref="U58:W58"/>
    <mergeCell ref="X58:Z58"/>
    <mergeCell ref="AA58:AC58"/>
    <mergeCell ref="AD58:AF58"/>
    <mergeCell ref="AG58:AI58"/>
    <mergeCell ref="AJ58:AL58"/>
    <mergeCell ref="AM58:AO58"/>
    <mergeCell ref="AP58:AR58"/>
    <mergeCell ref="AS58:AU58"/>
    <mergeCell ref="AV58:AX58"/>
    <mergeCell ref="AY58:BA58"/>
    <mergeCell ref="BB58:BD58"/>
    <mergeCell ref="BE58:BG58"/>
    <mergeCell ref="BH58:BJ58"/>
    <mergeCell ref="BK58:BM58"/>
    <mergeCell ref="BN58:BP58"/>
    <mergeCell ref="BQ58:BS58"/>
    <mergeCell ref="BT58:BV58"/>
    <mergeCell ref="BW58:BY58"/>
    <mergeCell ref="BZ58:CB58"/>
    <mergeCell ref="CC58:CE58"/>
    <mergeCell ref="CF58:CH58"/>
    <mergeCell ref="CI58:CK58"/>
    <mergeCell ref="CL58:CN58"/>
    <mergeCell ref="CO58:CQ58"/>
    <mergeCell ref="CR58:CT58"/>
    <mergeCell ref="CU58:CW58"/>
    <mergeCell ref="CX58:CZ58"/>
    <mergeCell ref="DA58:DC58"/>
    <mergeCell ref="GJ58:GL58"/>
    <mergeCell ref="GM58:GO58"/>
    <mergeCell ref="GP58:GR58"/>
    <mergeCell ref="GS58:GU58"/>
    <mergeCell ref="GV58:GX58"/>
    <mergeCell ref="GY58:HA58"/>
    <mergeCell ref="HB58:HD58"/>
    <mergeCell ref="HE58:HG58"/>
    <mergeCell ref="HH58:HJ58"/>
    <mergeCell ref="HK58:HM58"/>
    <mergeCell ref="HN58:HP58"/>
    <mergeCell ref="HQ58:HS58"/>
    <mergeCell ref="HT58:HV58"/>
    <mergeCell ref="HW58:HY58"/>
    <mergeCell ref="HZ58:IB58"/>
    <mergeCell ref="IC58:IE58"/>
    <mergeCell ref="IF58:IH58"/>
    <mergeCell ref="II58:IK58"/>
    <mergeCell ref="IL58:IN58"/>
    <mergeCell ref="IO58:IQ58"/>
    <mergeCell ref="IR58:IT58"/>
    <mergeCell ref="IU58:IW58"/>
    <mergeCell ref="IX58:IZ58"/>
    <mergeCell ref="JA58:JC58"/>
    <mergeCell ref="JD58:JF58"/>
    <mergeCell ref="JG58:JI58"/>
    <mergeCell ref="JJ58:JL58"/>
    <mergeCell ref="JM58:JO58"/>
    <mergeCell ref="JP58:JR58"/>
    <mergeCell ref="JS58:JU58"/>
    <mergeCell ref="JV58:JX58"/>
    <mergeCell ref="JY58:KA58"/>
    <mergeCell ref="KB58:KD58"/>
    <mergeCell ref="KE58:KG58"/>
    <mergeCell ref="KH58:KJ58"/>
    <mergeCell ref="KK58:KM58"/>
    <mergeCell ref="KN58:KP58"/>
    <mergeCell ref="KQ58:KS58"/>
    <mergeCell ref="KT58:KV58"/>
    <mergeCell ref="KW58:KY58"/>
    <mergeCell ref="KZ58:LB58"/>
    <mergeCell ref="LC58:LE58"/>
    <mergeCell ref="LF58:LH58"/>
    <mergeCell ref="OC58:OE58"/>
    <mergeCell ref="OF58:OH58"/>
    <mergeCell ref="OI58:OK58"/>
    <mergeCell ref="OL58:ON58"/>
    <mergeCell ref="OO58:OQ58"/>
    <mergeCell ref="OR58:OT58"/>
    <mergeCell ref="OU58:OW58"/>
    <mergeCell ref="OX58:OZ58"/>
    <mergeCell ref="PA58:PC58"/>
    <mergeCell ref="PD58:PF58"/>
    <mergeCell ref="PG58:PI58"/>
    <mergeCell ref="PJ58:PL58"/>
    <mergeCell ref="PM58:PO58"/>
    <mergeCell ref="PP58:PR58"/>
    <mergeCell ref="PS58:PU58"/>
    <mergeCell ref="PV58:PX58"/>
    <mergeCell ref="PY58:QA58"/>
    <mergeCell ref="QB58:QD58"/>
    <mergeCell ref="QE58:QG58"/>
    <mergeCell ref="QH58:QJ58"/>
    <mergeCell ref="QK58:QM58"/>
    <mergeCell ref="QN58:QP58"/>
    <mergeCell ref="QQ58:QS58"/>
    <mergeCell ref="QT58:QV58"/>
    <mergeCell ref="QW58:QY58"/>
    <mergeCell ref="QZ58:RB58"/>
    <mergeCell ref="RC58:RE58"/>
    <mergeCell ref="RF58:RH58"/>
    <mergeCell ref="RI58:RK58"/>
    <mergeCell ref="RL58:RN58"/>
    <mergeCell ref="RO58:RQ58"/>
    <mergeCell ref="RR58:RT58"/>
    <mergeCell ref="RU58:RW58"/>
    <mergeCell ref="VS58:VU58"/>
    <mergeCell ref="VV58:VX58"/>
    <mergeCell ref="VY58:WA58"/>
    <mergeCell ref="WB58:WD58"/>
    <mergeCell ref="WE58:WG58"/>
    <mergeCell ref="WH58:WJ58"/>
    <mergeCell ref="WK58:WM58"/>
    <mergeCell ref="WN58:WP58"/>
    <mergeCell ref="WQ58:WS58"/>
    <mergeCell ref="WT58:WV58"/>
    <mergeCell ref="WW58:WY58"/>
    <mergeCell ref="WZ58:XB58"/>
    <mergeCell ref="XC58:XE58"/>
    <mergeCell ref="XF58:XH58"/>
    <mergeCell ref="XI58:XK58"/>
    <mergeCell ref="XL58:XN58"/>
    <mergeCell ref="RX58:RZ58"/>
    <mergeCell ref="SA58:SC58"/>
    <mergeCell ref="SD58:SF58"/>
    <mergeCell ref="SG58:SI58"/>
    <mergeCell ref="SJ58:SL58"/>
    <mergeCell ref="SM58:SO58"/>
    <mergeCell ref="SP58:SR58"/>
    <mergeCell ref="SS58:SU58"/>
    <mergeCell ref="SV58:SX58"/>
    <mergeCell ref="SY58:TA58"/>
    <mergeCell ref="TB58:TD58"/>
    <mergeCell ref="TE58:TG58"/>
    <mergeCell ref="TH58:TJ58"/>
    <mergeCell ref="TK58:TM58"/>
    <mergeCell ref="TN58:TP58"/>
    <mergeCell ref="TQ58:TS58"/>
    <mergeCell ref="TT58:TV58"/>
    <mergeCell ref="TW58:TY58"/>
    <mergeCell ref="TZ58:UB58"/>
    <mergeCell ref="UC58:UE58"/>
    <mergeCell ref="UF58:UH58"/>
    <mergeCell ref="UI58:UK58"/>
    <mergeCell ref="UL58:UN58"/>
    <mergeCell ref="UO58:UQ58"/>
    <mergeCell ref="UR58:UT58"/>
    <mergeCell ref="UU58:UW58"/>
    <mergeCell ref="UX58:UZ58"/>
    <mergeCell ref="VA58:VC58"/>
    <mergeCell ref="VD58:VF58"/>
    <mergeCell ref="VG58:VI58"/>
    <mergeCell ref="VJ58:VL58"/>
    <mergeCell ref="VM58:VO58"/>
    <mergeCell ref="VP58:VR58"/>
    <mergeCell ref="AGX52:AGZ52"/>
    <mergeCell ref="AHA52:AHC52"/>
    <mergeCell ref="AHD52:AHF52"/>
    <mergeCell ref="AHG52:AHI52"/>
    <mergeCell ref="AHJ52:AHL52"/>
    <mergeCell ref="AHM52:AHO52"/>
    <mergeCell ref="AFT47:AFV47"/>
    <mergeCell ref="AFT52:AFV52"/>
    <mergeCell ref="AFW52:AFY52"/>
    <mergeCell ref="AFZ52:AGB52"/>
    <mergeCell ref="AGC52:AGE52"/>
    <mergeCell ref="AGF52:AGH52"/>
    <mergeCell ref="AGI52:AGK52"/>
    <mergeCell ref="AGL52:AGN52"/>
    <mergeCell ref="AEY44:AFA44"/>
    <mergeCell ref="AFB33:AFD33"/>
    <mergeCell ref="AFE33:AFG33"/>
    <mergeCell ref="AFH33:AFJ33"/>
    <mergeCell ref="AFK33:AFM33"/>
    <mergeCell ref="AFN33:AFP33"/>
    <mergeCell ref="AFQ33:AFS33"/>
    <mergeCell ref="AFT33:AFV33"/>
    <mergeCell ref="AFB30:AFD30"/>
    <mergeCell ref="AFE30:AFG30"/>
    <mergeCell ref="AFH30:AFJ30"/>
    <mergeCell ref="AFK30:AFM30"/>
    <mergeCell ref="AFN30:AFP30"/>
    <mergeCell ref="AFQ30:AFS30"/>
    <mergeCell ref="AFT30:AFV30"/>
    <mergeCell ref="AFB31:AFD31"/>
    <mergeCell ref="AFE31:AFG31"/>
    <mergeCell ref="AFH31:AFJ31"/>
    <mergeCell ref="AFK31:AFM31"/>
    <mergeCell ref="AFN31:AFP31"/>
    <mergeCell ref="AFQ31:AFS31"/>
    <mergeCell ref="AFT31:AFV31"/>
    <mergeCell ref="AFB32:AFD32"/>
    <mergeCell ref="AIW33:AIY33"/>
    <mergeCell ref="AIW30:AIY30"/>
    <mergeCell ref="AIZ30:AJB30"/>
    <mergeCell ref="AJC30:AJE30"/>
    <mergeCell ref="ACB44:ACD44"/>
    <mergeCell ref="ACE44:ACG44"/>
    <mergeCell ref="ACH44:ACJ44"/>
    <mergeCell ref="ACK44:ACM44"/>
    <mergeCell ref="ACN44:ACP44"/>
    <mergeCell ref="ACQ44:ACS44"/>
    <mergeCell ref="ACT44:ACV44"/>
    <mergeCell ref="ACW44:ACY44"/>
    <mergeCell ref="ABA43:ABC43"/>
    <mergeCell ref="ABD43:ABF43"/>
    <mergeCell ref="ABG43:ABI43"/>
    <mergeCell ref="ABJ43:ABL43"/>
    <mergeCell ref="ABM43:ABO43"/>
    <mergeCell ref="ABP43:ABR43"/>
    <mergeCell ref="ABS43:ABU43"/>
    <mergeCell ref="AFB48:AFD48"/>
    <mergeCell ref="AFB52:AFD52"/>
    <mergeCell ref="AEY45:AFA45"/>
    <mergeCell ref="AEY46:AFA46"/>
    <mergeCell ref="AEY47:AFA47"/>
    <mergeCell ref="AEY48:AFA48"/>
    <mergeCell ref="AEY52:AFA52"/>
    <mergeCell ref="AFQ45:AFS45"/>
    <mergeCell ref="AFQ46:AFS46"/>
    <mergeCell ref="AFQ47:AFS47"/>
    <mergeCell ref="AFQ48:AFS48"/>
    <mergeCell ref="AFQ52:AFS52"/>
    <mergeCell ref="ZK43:ZM43"/>
    <mergeCell ref="ABA33:ABC33"/>
    <mergeCell ref="ABD33:ABF33"/>
    <mergeCell ref="ABG33:ABI33"/>
    <mergeCell ref="ABJ33:ABL33"/>
    <mergeCell ref="ABM33:ABO33"/>
    <mergeCell ref="ABP33:ABR33"/>
    <mergeCell ref="ABS33:ABU33"/>
    <mergeCell ref="ABA30:ABC30"/>
    <mergeCell ref="ABD30:ABF30"/>
    <mergeCell ref="ABG30:ABI30"/>
    <mergeCell ref="ABJ30:ABL30"/>
    <mergeCell ref="ABM30:ABO30"/>
    <mergeCell ref="ABP30:ABR30"/>
    <mergeCell ref="ABS30:ABU30"/>
    <mergeCell ref="ABA31:ABC31"/>
    <mergeCell ref="ABD31:ABF31"/>
    <mergeCell ref="ABG31:ABI31"/>
    <mergeCell ref="ABJ31:ABL31"/>
    <mergeCell ref="ABM31:ABO31"/>
    <mergeCell ref="ABP31:ABR31"/>
    <mergeCell ref="AAC42:AAE42"/>
    <mergeCell ref="AAF42:AAH42"/>
    <mergeCell ref="AAI42:AAK42"/>
    <mergeCell ref="AAL42:AAN42"/>
    <mergeCell ref="AAO42:AAQ42"/>
    <mergeCell ref="AAR42:AAT42"/>
    <mergeCell ref="AAU42:AAW42"/>
    <mergeCell ref="AAX42:AAZ42"/>
    <mergeCell ref="ZN43:ZP43"/>
    <mergeCell ref="ZQ43:ZS43"/>
    <mergeCell ref="ZT43:ZV43"/>
    <mergeCell ref="ZW43:ZY43"/>
    <mergeCell ref="ZZ43:AAB43"/>
    <mergeCell ref="AAC43:AAE43"/>
    <mergeCell ref="AAF43:AAH43"/>
    <mergeCell ref="AAI43:AAK43"/>
    <mergeCell ref="AAL43:AAN43"/>
    <mergeCell ref="AAO43:AAQ43"/>
    <mergeCell ref="AAR43:AAT43"/>
    <mergeCell ref="AAU43:AAW43"/>
    <mergeCell ref="AAX43:AAZ43"/>
    <mergeCell ref="ABM39:ABO39"/>
    <mergeCell ref="ABP39:ABR39"/>
    <mergeCell ref="ABS39:ABU39"/>
    <mergeCell ref="ABA19:ABC19"/>
    <mergeCell ref="ABD19:ABF19"/>
    <mergeCell ref="ABG19:ABI19"/>
    <mergeCell ref="ABJ19:ABL19"/>
    <mergeCell ref="ABM19:ABO19"/>
    <mergeCell ref="ABP19:ABR19"/>
    <mergeCell ref="ABS19:ABU19"/>
    <mergeCell ref="ABA20:ABC20"/>
    <mergeCell ref="ABD20:ABF20"/>
    <mergeCell ref="ABG20:ABI20"/>
    <mergeCell ref="ABG32:ABI32"/>
    <mergeCell ref="ABJ32:ABL32"/>
    <mergeCell ref="ABM32:ABO32"/>
    <mergeCell ref="ABP32:ABR32"/>
    <mergeCell ref="ABS32:ABU32"/>
    <mergeCell ref="ABA39:ABC39"/>
    <mergeCell ref="ABD39:ABF39"/>
    <mergeCell ref="ABG39:ABI39"/>
    <mergeCell ref="ABJ39:ABL39"/>
    <mergeCell ref="AIH34:AIJ34"/>
    <mergeCell ref="AIH35:AIJ35"/>
    <mergeCell ref="AIK34:AIM34"/>
    <mergeCell ref="AIN34:AIP34"/>
    <mergeCell ref="ABA16:ABC16"/>
    <mergeCell ref="ABD16:ABF16"/>
    <mergeCell ref="ABG16:ABI16"/>
    <mergeCell ref="ABJ16:ABL16"/>
    <mergeCell ref="ABM16:ABO16"/>
    <mergeCell ref="ABP16:ABR16"/>
    <mergeCell ref="ABS16:ABU16"/>
    <mergeCell ref="ABA29:ABC29"/>
    <mergeCell ref="ABD29:ABF29"/>
    <mergeCell ref="ABG29:ABI29"/>
    <mergeCell ref="ABJ29:ABL29"/>
    <mergeCell ref="ABM29:ABO29"/>
    <mergeCell ref="ABP29:ABR29"/>
    <mergeCell ref="ABS29:ABU29"/>
    <mergeCell ref="ABA22:ABC22"/>
    <mergeCell ref="ABD22:ABF22"/>
    <mergeCell ref="ABA36:ABC36"/>
    <mergeCell ref="ABD36:ABF36"/>
    <mergeCell ref="ABG36:ABI36"/>
    <mergeCell ref="ZQ20:ZS20"/>
    <mergeCell ref="ABV44:ABX44"/>
    <mergeCell ref="ABY44:ACA44"/>
    <mergeCell ref="AEM44:AEO44"/>
    <mergeCell ref="AEP44:AER44"/>
    <mergeCell ref="AES44:AEU44"/>
    <mergeCell ref="AEV44:AEX44"/>
    <mergeCell ref="AFH43:AFJ43"/>
    <mergeCell ref="AFK43:AFM43"/>
    <mergeCell ref="AFN43:AFP43"/>
    <mergeCell ref="AFQ43:AFS43"/>
    <mergeCell ref="AFT43:AFV43"/>
    <mergeCell ref="AFT46:AFV46"/>
    <mergeCell ref="AFB47:AFD47"/>
    <mergeCell ref="AFW43:AFY43"/>
    <mergeCell ref="AFZ43:AGB43"/>
    <mergeCell ref="ACZ44:ADB44"/>
    <mergeCell ref="ADC44:ADE44"/>
    <mergeCell ref="ADF44:ADH44"/>
    <mergeCell ref="ADI44:ADK44"/>
    <mergeCell ref="ADL44:ADN44"/>
    <mergeCell ref="ADO44:ADQ44"/>
    <mergeCell ref="ADR44:ADT44"/>
    <mergeCell ref="ADU44:ADW44"/>
    <mergeCell ref="ADX44:ADZ44"/>
    <mergeCell ref="AEA44:AEC44"/>
    <mergeCell ref="AED44:AEF44"/>
    <mergeCell ref="AEG44:AEI44"/>
    <mergeCell ref="AEJ44:AEL44"/>
    <mergeCell ref="AFT45:AFV45"/>
    <mergeCell ref="AFW45:AFY45"/>
    <mergeCell ref="AFZ45:AGB45"/>
    <mergeCell ref="AGC45:AGE45"/>
    <mergeCell ref="AGF45:AGH45"/>
    <mergeCell ref="AFW44:AFY44"/>
    <mergeCell ref="AFZ44:AGB44"/>
    <mergeCell ref="AGC44:AGE44"/>
    <mergeCell ref="AGF44:AGH44"/>
    <mergeCell ref="AGC43:AGE43"/>
    <mergeCell ref="AGF43:AGH43"/>
    <mergeCell ref="AJR34:AJT34"/>
    <mergeCell ref="AJU34:AJW34"/>
    <mergeCell ref="AJX34:AJZ34"/>
    <mergeCell ref="AKA34:AKC34"/>
    <mergeCell ref="AKD34:AKF34"/>
    <mergeCell ref="AKG34:AKI34"/>
    <mergeCell ref="AKJ34:AKL34"/>
    <mergeCell ref="AKM34:AKO34"/>
    <mergeCell ref="AKP34:AKR34"/>
    <mergeCell ref="AKS34:AKU34"/>
    <mergeCell ref="AKV34:AKX34"/>
    <mergeCell ref="AKY34:ALA34"/>
    <mergeCell ref="ALB34:ALD34"/>
    <mergeCell ref="ALE34:ALG34"/>
    <mergeCell ref="ALH34:ALJ34"/>
    <mergeCell ref="ALK34:ALM34"/>
    <mergeCell ref="ALN34:ALP34"/>
    <mergeCell ref="ALQ34:ALS34"/>
    <mergeCell ref="ALT34:ALV34"/>
    <mergeCell ref="ALW34:ALY34"/>
    <mergeCell ref="ALZ34:AMB34"/>
    <mergeCell ref="AIZ33:AJB33"/>
    <mergeCell ref="AJC33:AJE33"/>
    <mergeCell ref="AJF33:AJH33"/>
    <mergeCell ref="AJI33:AJK33"/>
    <mergeCell ref="AJL33:AJN33"/>
    <mergeCell ref="AJO33:AJQ33"/>
    <mergeCell ref="AJR33:AJT33"/>
    <mergeCell ref="AJU33:AJW33"/>
    <mergeCell ref="AJX33:AJZ33"/>
    <mergeCell ref="AKA33:AKC33"/>
    <mergeCell ref="AKD33:AKF33"/>
    <mergeCell ref="AKG33:AKI33"/>
    <mergeCell ref="AKM33:AKO33"/>
    <mergeCell ref="AKP33:AKR33"/>
    <mergeCell ref="AKS33:AKU33"/>
    <mergeCell ref="AKV33:AKX33"/>
    <mergeCell ref="AKY33:ALA33"/>
    <mergeCell ref="ALB33:ALD33"/>
    <mergeCell ref="ALE33:ALG33"/>
    <mergeCell ref="AKJ33:AKL33"/>
    <mergeCell ref="AJR35:AJT35"/>
    <mergeCell ref="AJU35:AJW35"/>
    <mergeCell ref="AJX35:AJZ35"/>
    <mergeCell ref="AKA35:AKC35"/>
    <mergeCell ref="AKD35:AKF35"/>
    <mergeCell ref="AKG35:AKI35"/>
    <mergeCell ref="AKJ35:AKL35"/>
    <mergeCell ref="AKM35:AKO35"/>
    <mergeCell ref="AKP35:AKR35"/>
    <mergeCell ref="AKS35:AKU35"/>
    <mergeCell ref="AKV35:AKX35"/>
    <mergeCell ref="AKY35:ALA35"/>
    <mergeCell ref="ALB35:ALD35"/>
    <mergeCell ref="ALE35:ALG35"/>
    <mergeCell ref="ALH35:ALJ35"/>
    <mergeCell ref="ALK35:ALM35"/>
    <mergeCell ref="ALN35:ALP35"/>
    <mergeCell ref="ALQ35:ALS35"/>
    <mergeCell ref="ALT35:ALV35"/>
    <mergeCell ref="ALW35:ALY35"/>
    <mergeCell ref="ALZ35:AMB35"/>
    <mergeCell ref="ALW27:ALY27"/>
    <mergeCell ref="AQD2:AQF2"/>
    <mergeCell ref="AQG2:AQI2"/>
    <mergeCell ref="AQJ2:AQL2"/>
    <mergeCell ref="AQM2:AQO2"/>
    <mergeCell ref="AQP2:AQR2"/>
    <mergeCell ref="AQS2:AQU2"/>
    <mergeCell ref="AQD3:AQF3"/>
    <mergeCell ref="AQG3:AQI3"/>
    <mergeCell ref="AQJ3:AQL3"/>
    <mergeCell ref="AQM3:AQO3"/>
    <mergeCell ref="AQP3:AQR3"/>
    <mergeCell ref="AQS3:AQU3"/>
    <mergeCell ref="AQD5:AQF5"/>
    <mergeCell ref="AQG5:AQI5"/>
    <mergeCell ref="AQJ5:AQL5"/>
    <mergeCell ref="AQM5:AQO5"/>
    <mergeCell ref="AQP5:AQR5"/>
    <mergeCell ref="AQS5:AQU5"/>
    <mergeCell ref="AQD6:AQF6"/>
    <mergeCell ref="AQG6:AQI6"/>
    <mergeCell ref="AQJ6:AQL6"/>
    <mergeCell ref="AQM6:AQO6"/>
    <mergeCell ref="AQP6:AQR6"/>
    <mergeCell ref="AQS6:AQU6"/>
    <mergeCell ref="AQD7:AQF7"/>
    <mergeCell ref="AQG7:AQI7"/>
    <mergeCell ref="AQJ7:AQL7"/>
    <mergeCell ref="AQM7:AQO7"/>
    <mergeCell ref="AQP7:AQR7"/>
    <mergeCell ref="AQS7:AQU7"/>
    <mergeCell ref="AQD8:AQF8"/>
    <mergeCell ref="AQG8:AQI8"/>
    <mergeCell ref="AQJ8:AQL8"/>
    <mergeCell ref="AQM8:AQO8"/>
    <mergeCell ref="AQP8:AQR8"/>
    <mergeCell ref="AQS8:AQU8"/>
    <mergeCell ref="AQD15:AQF15"/>
    <mergeCell ref="AQG15:AQI15"/>
    <mergeCell ref="AQJ15:AQL15"/>
    <mergeCell ref="AQM15:AQO15"/>
    <mergeCell ref="AQP15:AQR15"/>
    <mergeCell ref="AQS15:AQU15"/>
    <mergeCell ref="AQD9:AQF9"/>
    <mergeCell ref="AQG9:AQI9"/>
    <mergeCell ref="AQJ9:AQL9"/>
    <mergeCell ref="AQM9:AQO9"/>
    <mergeCell ref="AQP9:AQR9"/>
    <mergeCell ref="AQS9:AQU9"/>
    <mergeCell ref="AQD10:AQF10"/>
    <mergeCell ref="AQG10:AQI10"/>
    <mergeCell ref="AQJ10:AQL10"/>
    <mergeCell ref="AQM10:AQO10"/>
    <mergeCell ref="AQP10:AQR10"/>
    <mergeCell ref="AQS10:AQU10"/>
    <mergeCell ref="AQD11:AQF11"/>
    <mergeCell ref="AQG11:AQI11"/>
    <mergeCell ref="AQJ11:AQL11"/>
    <mergeCell ref="AQM11:AQO11"/>
    <mergeCell ref="AQP11:AQR11"/>
    <mergeCell ref="AQS11:AQU11"/>
    <mergeCell ref="AQD12:AQF12"/>
    <mergeCell ref="AQG12:AQI12"/>
    <mergeCell ref="AQJ12:AQL12"/>
    <mergeCell ref="AQM12:AQO12"/>
    <mergeCell ref="AQP12:AQR12"/>
    <mergeCell ref="AQS12:AQU12"/>
    <mergeCell ref="AQD13:AQF13"/>
    <mergeCell ref="AQG13:AQI13"/>
    <mergeCell ref="AQJ13:AQL13"/>
    <mergeCell ref="AQM13:AQO13"/>
    <mergeCell ref="AQP13:AQR13"/>
    <mergeCell ref="AQS13:AQU13"/>
    <mergeCell ref="AQD14:AQF14"/>
    <mergeCell ref="AQG14:AQI14"/>
    <mergeCell ref="AQJ14:AQL14"/>
    <mergeCell ref="AQM14:AQO14"/>
    <mergeCell ref="AQP14:AQR14"/>
    <mergeCell ref="AQS14:AQU14"/>
    <mergeCell ref="AQP32:AQR32"/>
    <mergeCell ref="AQD33:AQF33"/>
    <mergeCell ref="AQG33:AQI33"/>
    <mergeCell ref="AQJ33:AQL33"/>
    <mergeCell ref="AQM33:AQO33"/>
    <mergeCell ref="AQP33:AQR33"/>
    <mergeCell ref="AQD34:AQF34"/>
    <mergeCell ref="AQG34:AQI34"/>
    <mergeCell ref="AQJ34:AQL34"/>
    <mergeCell ref="AQM34:AQO34"/>
    <mergeCell ref="AQP34:AQR34"/>
    <mergeCell ref="AQD35:AQF35"/>
    <mergeCell ref="AQG35:AQI35"/>
    <mergeCell ref="AQJ35:AQL35"/>
    <mergeCell ref="AQM35:AQO35"/>
    <mergeCell ref="AQP35:AQR35"/>
    <mergeCell ref="AQD39:AQF39"/>
    <mergeCell ref="AQG39:AQI39"/>
    <mergeCell ref="AQJ39:AQL39"/>
    <mergeCell ref="AQM39:AQO39"/>
    <mergeCell ref="AQP39:AQR39"/>
    <mergeCell ref="AQD16:AQF16"/>
    <mergeCell ref="AQG16:AQI16"/>
    <mergeCell ref="AQJ16:AQL16"/>
    <mergeCell ref="AQM16:AQO16"/>
    <mergeCell ref="AQP16:AQR16"/>
    <mergeCell ref="AQD29:AQF29"/>
    <mergeCell ref="AQG29:AQI29"/>
    <mergeCell ref="AQJ29:AQL29"/>
    <mergeCell ref="AQM29:AQO29"/>
    <mergeCell ref="AQP29:AQR29"/>
    <mergeCell ref="AQD30:AQF30"/>
    <mergeCell ref="AQG30:AQI30"/>
    <mergeCell ref="AQJ30:AQL30"/>
    <mergeCell ref="AQM30:AQO30"/>
    <mergeCell ref="AQP30:AQR30"/>
    <mergeCell ref="AQD18:AQF18"/>
    <mergeCell ref="AQG18:AQI18"/>
    <mergeCell ref="AQJ18:AQL18"/>
    <mergeCell ref="AQM18:AQO18"/>
    <mergeCell ref="AQP18:AQR18"/>
    <mergeCell ref="AQG23:AQI23"/>
    <mergeCell ref="AQJ23:AQL23"/>
    <mergeCell ref="AQM23:AQO23"/>
    <mergeCell ref="AQP23:AQR23"/>
    <mergeCell ref="AQD27:AQF27"/>
    <mergeCell ref="AQG27:AQI27"/>
    <mergeCell ref="AQJ27:AQL27"/>
    <mergeCell ref="AQM27:AQO27"/>
    <mergeCell ref="AQP27:AQR27"/>
    <mergeCell ref="AQD28:AQF28"/>
    <mergeCell ref="AQG28:AQI28"/>
    <mergeCell ref="AQJ28:AQL28"/>
    <mergeCell ref="AQM28:AQO28"/>
    <mergeCell ref="AQP28:AQR28"/>
    <mergeCell ref="AQD40:AQF40"/>
    <mergeCell ref="AQG40:AQI40"/>
    <mergeCell ref="AQJ40:AQL40"/>
    <mergeCell ref="AQM40:AQO40"/>
    <mergeCell ref="AQP40:AQR40"/>
    <mergeCell ref="AQD19:AQF19"/>
    <mergeCell ref="AQG19:AQI19"/>
    <mergeCell ref="AQJ19:AQL19"/>
    <mergeCell ref="AQM19:AQO19"/>
    <mergeCell ref="AQP19:AQR19"/>
    <mergeCell ref="AQD20:AQF20"/>
    <mergeCell ref="AQG20:AQI20"/>
    <mergeCell ref="AQJ20:AQL20"/>
    <mergeCell ref="AQM20:AQO20"/>
    <mergeCell ref="AQP20:AQR20"/>
    <mergeCell ref="AQD21:AQF21"/>
    <mergeCell ref="AQG21:AQI21"/>
    <mergeCell ref="AQJ21:AQL21"/>
    <mergeCell ref="AQM21:AQO21"/>
    <mergeCell ref="AQP21:AQR21"/>
    <mergeCell ref="AQD22:AQF22"/>
    <mergeCell ref="AQG22:AQI22"/>
    <mergeCell ref="AQJ22:AQL22"/>
    <mergeCell ref="AQM22:AQO22"/>
    <mergeCell ref="AQP22:AQR22"/>
    <mergeCell ref="AQD36:AQF36"/>
    <mergeCell ref="AQG36:AQI36"/>
    <mergeCell ref="AQJ36:AQL36"/>
    <mergeCell ref="AQM36:AQO36"/>
    <mergeCell ref="AQP36:AQR36"/>
    <mergeCell ref="AQD31:AQF31"/>
    <mergeCell ref="AQG31:AQI31"/>
    <mergeCell ref="AQJ31:AQL31"/>
    <mergeCell ref="AQM31:AQO31"/>
    <mergeCell ref="AQP31:AQR31"/>
    <mergeCell ref="AQD32:AQF32"/>
    <mergeCell ref="AQG32:AQI32"/>
    <mergeCell ref="AQJ32:AQL32"/>
    <mergeCell ref="AQM32:AQO32"/>
    <mergeCell ref="AQP47:AQR47"/>
    <mergeCell ref="AQD48:AQF48"/>
    <mergeCell ref="AQG48:AQI48"/>
    <mergeCell ref="AQJ48:AQL48"/>
    <mergeCell ref="AQM48:AQO48"/>
    <mergeCell ref="AQP48:AQR48"/>
    <mergeCell ref="AQD49:AQF49"/>
    <mergeCell ref="AQG49:AQI49"/>
    <mergeCell ref="AQJ49:AQL49"/>
    <mergeCell ref="AQM49:AQO49"/>
    <mergeCell ref="AQP49:AQR49"/>
    <mergeCell ref="AQD50:AQF50"/>
    <mergeCell ref="AQG50:AQI50"/>
    <mergeCell ref="AQJ50:AQL50"/>
    <mergeCell ref="AQM50:AQO50"/>
    <mergeCell ref="AQP50:AQR50"/>
    <mergeCell ref="AQD51:AQF51"/>
    <mergeCell ref="AQG51:AQI51"/>
    <mergeCell ref="AQJ51:AQL51"/>
    <mergeCell ref="AQM51:AQO51"/>
    <mergeCell ref="AQP51:AQR51"/>
    <mergeCell ref="AQD52:AQF52"/>
    <mergeCell ref="AQG52:AQI52"/>
    <mergeCell ref="AQJ52:AQL52"/>
    <mergeCell ref="AQM52:AQO52"/>
    <mergeCell ref="AQP52:AQR52"/>
    <mergeCell ref="AQD41:AQF41"/>
    <mergeCell ref="AQG41:AQI41"/>
    <mergeCell ref="AQJ41:AQL41"/>
    <mergeCell ref="AQM41:AQO41"/>
    <mergeCell ref="AQP41:AQR41"/>
    <mergeCell ref="AQD42:AQF42"/>
    <mergeCell ref="AQG42:AQI42"/>
    <mergeCell ref="AQJ42:AQL42"/>
    <mergeCell ref="AQM42:AQO42"/>
    <mergeCell ref="AQP42:AQR42"/>
    <mergeCell ref="AQD43:AQF43"/>
    <mergeCell ref="AQG43:AQI43"/>
    <mergeCell ref="AQJ43:AQL43"/>
    <mergeCell ref="AQM43:AQO43"/>
    <mergeCell ref="AQP43:AQR43"/>
    <mergeCell ref="AQD44:AQF44"/>
    <mergeCell ref="AQG44:AQI44"/>
    <mergeCell ref="AQJ44:AQL44"/>
    <mergeCell ref="AQM44:AQO44"/>
    <mergeCell ref="AQP44:AQR44"/>
    <mergeCell ref="AQD45:AQF45"/>
    <mergeCell ref="AQG45:AQI45"/>
    <mergeCell ref="AQJ45:AQL45"/>
    <mergeCell ref="AQM45:AQO45"/>
    <mergeCell ref="AQP45:AQR45"/>
    <mergeCell ref="AQD46:AQF46"/>
    <mergeCell ref="AQG46:AQI46"/>
    <mergeCell ref="AQJ46:AQL46"/>
    <mergeCell ref="AQM46:AQO46"/>
    <mergeCell ref="AQP46:AQR46"/>
    <mergeCell ref="AQD58:AQF58"/>
    <mergeCell ref="AQG58:AQI58"/>
    <mergeCell ref="AQJ58:AQL58"/>
    <mergeCell ref="AQM58:AQO58"/>
    <mergeCell ref="AQP58:AQR58"/>
    <mergeCell ref="AQD59:AQF59"/>
    <mergeCell ref="AQG59:AQI59"/>
    <mergeCell ref="AQJ59:AQL59"/>
    <mergeCell ref="AQM59:AQO59"/>
    <mergeCell ref="AQP59:AQR59"/>
    <mergeCell ref="AQD60:AQF60"/>
    <mergeCell ref="AQG60:AQI60"/>
    <mergeCell ref="AQJ60:AQL60"/>
    <mergeCell ref="AQM60:AQO60"/>
    <mergeCell ref="AQP60:AQR60"/>
    <mergeCell ref="AQD61:AQF61"/>
    <mergeCell ref="AQG61:AQI61"/>
    <mergeCell ref="AQJ61:AQL61"/>
    <mergeCell ref="AQM61:AQO61"/>
    <mergeCell ref="AQP61:AQR61"/>
    <mergeCell ref="AQS32:AQU32"/>
    <mergeCell ref="AQS19:AQU19"/>
    <mergeCell ref="AQS36:AQU36"/>
    <mergeCell ref="AQS44:AQU44"/>
    <mergeCell ref="AQS49:AQU49"/>
    <mergeCell ref="AQD54:AQF54"/>
    <mergeCell ref="AQG54:AQI54"/>
    <mergeCell ref="AQJ54:AQL54"/>
    <mergeCell ref="AQM54:AQO54"/>
    <mergeCell ref="AQP54:AQR54"/>
    <mergeCell ref="AQD55:AQF55"/>
    <mergeCell ref="AQG55:AQI55"/>
    <mergeCell ref="AQJ55:AQL55"/>
    <mergeCell ref="AQM55:AQO55"/>
    <mergeCell ref="AQP55:AQR55"/>
    <mergeCell ref="AQD56:AQF56"/>
    <mergeCell ref="AQD47:AQF47"/>
    <mergeCell ref="AQG47:AQI47"/>
    <mergeCell ref="AQJ47:AQL47"/>
    <mergeCell ref="AQM47:AQO47"/>
    <mergeCell ref="AQD57:AQF57"/>
    <mergeCell ref="AQG57:AQI57"/>
    <mergeCell ref="AQJ57:AQL57"/>
    <mergeCell ref="AQM57:AQO57"/>
    <mergeCell ref="AQP57:AQR57"/>
    <mergeCell ref="AQG56:AQI56"/>
    <mergeCell ref="AQJ56:AQL56"/>
    <mergeCell ref="AQM56:AQO56"/>
    <mergeCell ref="AQP56:AQR56"/>
    <mergeCell ref="AQS56:AQU56"/>
    <mergeCell ref="AQS57:AQU57"/>
    <mergeCell ref="ASL5:ASN5"/>
    <mergeCell ref="ASO5:ASQ5"/>
    <mergeCell ref="ASR5:AST5"/>
    <mergeCell ref="ASU5:ASW5"/>
    <mergeCell ref="ASX5:ASZ5"/>
    <mergeCell ref="ATA5:ATC5"/>
    <mergeCell ref="ASI6:ASK6"/>
    <mergeCell ref="ASL6:ASN6"/>
    <mergeCell ref="ASO6:ASQ6"/>
    <mergeCell ref="ASR6:AST6"/>
    <mergeCell ref="ASU6:ASW6"/>
    <mergeCell ref="ASX6:ASZ6"/>
    <mergeCell ref="ATA6:ATC6"/>
    <mergeCell ref="ASI2:ASK2"/>
    <mergeCell ref="ASL2:ASN2"/>
    <mergeCell ref="ASO2:ASQ2"/>
    <mergeCell ref="ASR2:AST2"/>
    <mergeCell ref="ASU2:ASW2"/>
    <mergeCell ref="ASX2:ASZ2"/>
    <mergeCell ref="ATA2:ATC2"/>
    <mergeCell ref="ASI3:ASK3"/>
    <mergeCell ref="ASL3:ASN3"/>
    <mergeCell ref="ASO3:ASQ3"/>
    <mergeCell ref="ASR3:AST3"/>
    <mergeCell ref="ASU3:ASW3"/>
    <mergeCell ref="ASX3:ASZ3"/>
    <mergeCell ref="ATA3:ATC3"/>
    <mergeCell ref="ASR14:AST14"/>
    <mergeCell ref="ASU14:ASW14"/>
    <mergeCell ref="ASX14:ASZ14"/>
    <mergeCell ref="ATA14:ATC14"/>
    <mergeCell ref="ASI15:ASK15"/>
    <mergeCell ref="ASL15:ASN15"/>
    <mergeCell ref="ASO15:ASQ15"/>
    <mergeCell ref="ASR15:AST15"/>
    <mergeCell ref="ASU15:ASW15"/>
    <mergeCell ref="ASX15:ASZ15"/>
    <mergeCell ref="ATA15:ATC15"/>
    <mergeCell ref="ASL12:ASN12"/>
    <mergeCell ref="ASI12:ASK12"/>
    <mergeCell ref="ASO12:ASQ12"/>
    <mergeCell ref="ASR12:AST12"/>
    <mergeCell ref="ASU12:ASW12"/>
    <mergeCell ref="ASX12:ASZ12"/>
    <mergeCell ref="ATA12:ATC12"/>
    <mergeCell ref="ASI13:ASK13"/>
    <mergeCell ref="ASL13:ASN13"/>
    <mergeCell ref="ASO13:ASQ13"/>
    <mergeCell ref="ASR13:AST13"/>
    <mergeCell ref="ASU13:ASW13"/>
    <mergeCell ref="ASX13:ASZ13"/>
    <mergeCell ref="ATA13:ATC13"/>
    <mergeCell ref="ASI14:ASK14"/>
    <mergeCell ref="ASL14:ASN14"/>
    <mergeCell ref="ASO14:ASQ14"/>
    <mergeCell ref="ASL7:ASN7"/>
    <mergeCell ref="ASO7:ASQ7"/>
    <mergeCell ref="ASR7:AST7"/>
    <mergeCell ref="ASU7:ASW7"/>
    <mergeCell ref="ASX7:ASZ7"/>
    <mergeCell ref="ATA7:ATC7"/>
    <mergeCell ref="ASI8:ASK8"/>
    <mergeCell ref="ASL8:ASN8"/>
    <mergeCell ref="ASO8:ASQ8"/>
    <mergeCell ref="AQV13:AQX13"/>
    <mergeCell ref="AQY13:ARA13"/>
    <mergeCell ref="ARB13:ARD13"/>
    <mergeCell ref="ARE13:ARG13"/>
    <mergeCell ref="ARH13:ARJ13"/>
    <mergeCell ref="ARK13:ARM13"/>
    <mergeCell ref="AQV14:AQX14"/>
    <mergeCell ref="AQY14:ARA14"/>
    <mergeCell ref="ARB14:ARD14"/>
    <mergeCell ref="ARE14:ARG14"/>
    <mergeCell ref="ARH14:ARJ14"/>
    <mergeCell ref="ARK14:ARM14"/>
    <mergeCell ref="AQV15:AQX15"/>
    <mergeCell ref="AQY15:ARA15"/>
    <mergeCell ref="ARB15:ARD15"/>
    <mergeCell ref="ARE15:ARG15"/>
    <mergeCell ref="ARH15:ARJ15"/>
    <mergeCell ref="ARK15:ARM15"/>
    <mergeCell ref="ARN13:ARP13"/>
    <mergeCell ref="ARQ13:ARS13"/>
    <mergeCell ref="ART13:ARV13"/>
    <mergeCell ref="ARW13:ARY13"/>
    <mergeCell ref="ARZ13:ASB13"/>
    <mergeCell ref="ASC13:ASE13"/>
    <mergeCell ref="ASF13:ASH13"/>
    <mergeCell ref="ARN14:ARP14"/>
    <mergeCell ref="ARQ14:ARS14"/>
    <mergeCell ref="ART14:ARV14"/>
    <mergeCell ref="ARW14:ARY14"/>
    <mergeCell ref="ARZ14:ASB14"/>
    <mergeCell ref="ASC14:ASE14"/>
    <mergeCell ref="ASF15:ASH15"/>
    <mergeCell ref="ASI5:ASK5"/>
    <mergeCell ref="AQV9:AQX9"/>
    <mergeCell ref="AQY9:ARA9"/>
    <mergeCell ref="ARB9:ARD9"/>
    <mergeCell ref="ARE9:ARG9"/>
    <mergeCell ref="ARH9:ARJ9"/>
    <mergeCell ref="ARK9:ARM9"/>
    <mergeCell ref="AQV10:AQX10"/>
    <mergeCell ref="AQY10:ARA10"/>
    <mergeCell ref="ARB10:ARD10"/>
    <mergeCell ref="ARE10:ARG10"/>
    <mergeCell ref="ARH10:ARJ10"/>
    <mergeCell ref="ARK10:ARM10"/>
    <mergeCell ref="AQV11:AQX11"/>
    <mergeCell ref="AQY11:ARA11"/>
    <mergeCell ref="ARB11:ARD11"/>
    <mergeCell ref="ARE11:ARG11"/>
    <mergeCell ref="ARH11:ARJ11"/>
    <mergeCell ref="ARK11:ARM11"/>
    <mergeCell ref="AQV12:AQX12"/>
    <mergeCell ref="AQY12:ARA12"/>
    <mergeCell ref="ARB12:ARD12"/>
    <mergeCell ref="ARE12:ARG12"/>
    <mergeCell ref="ARH12:ARJ12"/>
    <mergeCell ref="ARK12:ARM12"/>
    <mergeCell ref="ARQ11:ARS11"/>
    <mergeCell ref="ART11:ARV11"/>
    <mergeCell ref="ARW11:ARY11"/>
    <mergeCell ref="ARZ11:ASB11"/>
    <mergeCell ref="ASC11:ASE11"/>
    <mergeCell ref="ASF11:ASH11"/>
    <mergeCell ref="ARN12:ARP12"/>
    <mergeCell ref="AQV3:AQX3"/>
    <mergeCell ref="AQY3:ARA3"/>
    <mergeCell ref="ARB3:ARD3"/>
    <mergeCell ref="AQV2:AQX2"/>
    <mergeCell ref="AQY2:ARA2"/>
    <mergeCell ref="ARB2:ARD2"/>
    <mergeCell ref="ARE2:ARG2"/>
    <mergeCell ref="ARH2:ARJ2"/>
    <mergeCell ref="ARK2:ARM2"/>
    <mergeCell ref="ARE3:ARG3"/>
    <mergeCell ref="ARH3:ARJ3"/>
    <mergeCell ref="ARK3:ARM3"/>
    <mergeCell ref="AQV5:AQX5"/>
    <mergeCell ref="AQY5:ARA5"/>
    <mergeCell ref="ARB5:ARD5"/>
    <mergeCell ref="ARE5:ARG5"/>
    <mergeCell ref="ARH5:ARJ5"/>
    <mergeCell ref="ARK5:ARM5"/>
    <mergeCell ref="AQV6:AQX6"/>
    <mergeCell ref="AQY6:ARA6"/>
    <mergeCell ref="ARB6:ARD6"/>
    <mergeCell ref="ARE6:ARG6"/>
    <mergeCell ref="ARH6:ARJ6"/>
    <mergeCell ref="ARK6:ARM6"/>
    <mergeCell ref="AQV7:AQX7"/>
    <mergeCell ref="AQY7:ARA7"/>
    <mergeCell ref="ARB7:ARD7"/>
    <mergeCell ref="ARE7:ARG7"/>
    <mergeCell ref="ARH7:ARJ7"/>
    <mergeCell ref="ARK7:ARM7"/>
    <mergeCell ref="AQV8:AQX8"/>
    <mergeCell ref="AQY8:ARA8"/>
    <mergeCell ref="ARB8:ARD8"/>
    <mergeCell ref="ARE8:ARG8"/>
    <mergeCell ref="ARH8:ARJ8"/>
    <mergeCell ref="ARK8:ARM8"/>
    <mergeCell ref="AQS16:AQU16"/>
    <mergeCell ref="AQV16:AQX16"/>
    <mergeCell ref="AQY16:ARA16"/>
    <mergeCell ref="ARB16:ARD16"/>
    <mergeCell ref="ARE16:ARG16"/>
    <mergeCell ref="ARH16:ARJ16"/>
    <mergeCell ref="ARK16:ARM16"/>
    <mergeCell ref="AQS29:AQU29"/>
    <mergeCell ref="AQV29:AQX29"/>
    <mergeCell ref="AQY29:ARA29"/>
    <mergeCell ref="ARB29:ARD29"/>
    <mergeCell ref="ARE29:ARG29"/>
    <mergeCell ref="ARH29:ARJ29"/>
    <mergeCell ref="ARK29:ARM29"/>
    <mergeCell ref="AQS30:AQU30"/>
    <mergeCell ref="AQV30:AQX30"/>
    <mergeCell ref="AQY30:ARA30"/>
    <mergeCell ref="ARB30:ARD30"/>
    <mergeCell ref="ARE30:ARG30"/>
    <mergeCell ref="ARH30:ARJ30"/>
    <mergeCell ref="ARK30:ARM30"/>
    <mergeCell ref="AQS31:AQU31"/>
    <mergeCell ref="AQV31:AQX31"/>
    <mergeCell ref="AQY31:ARA31"/>
    <mergeCell ref="ARB31:ARD31"/>
    <mergeCell ref="ARE31:ARG31"/>
    <mergeCell ref="ARH31:ARJ31"/>
    <mergeCell ref="ARK31:ARM31"/>
    <mergeCell ref="AQV32:AQX32"/>
    <mergeCell ref="AQY32:ARA32"/>
    <mergeCell ref="ARB32:ARD32"/>
    <mergeCell ref="ARE32:ARG32"/>
    <mergeCell ref="ARH32:ARJ32"/>
    <mergeCell ref="ARK32:ARM32"/>
    <mergeCell ref="AQV23:AQX23"/>
    <mergeCell ref="AQY23:ARA23"/>
    <mergeCell ref="ARB23:ARD23"/>
    <mergeCell ref="ARE23:ARG23"/>
    <mergeCell ref="ARH23:ARJ23"/>
    <mergeCell ref="ARK23:ARM23"/>
    <mergeCell ref="AQS27:AQU27"/>
    <mergeCell ref="AQV27:AQX27"/>
    <mergeCell ref="AQY27:ARA27"/>
    <mergeCell ref="ARB27:ARD27"/>
    <mergeCell ref="ARE27:ARG27"/>
    <mergeCell ref="ARH27:ARJ27"/>
    <mergeCell ref="ARK27:ARM27"/>
    <mergeCell ref="ARB17:ARD17"/>
    <mergeCell ref="ARE17:ARG17"/>
    <mergeCell ref="ARH17:ARJ17"/>
    <mergeCell ref="ARK17:ARM17"/>
    <mergeCell ref="ARK18:ARM18"/>
    <mergeCell ref="AQS18:AQU18"/>
    <mergeCell ref="ARH28:ARJ28"/>
    <mergeCell ref="ARE28:ARG28"/>
    <mergeCell ref="ARB28:ARD28"/>
    <mergeCell ref="AQV28:AQX28"/>
    <mergeCell ref="AQS28:AQU28"/>
    <mergeCell ref="AQS33:AQU33"/>
    <mergeCell ref="AQV33:AQX33"/>
    <mergeCell ref="AQY33:ARA33"/>
    <mergeCell ref="ARB33:ARD33"/>
    <mergeCell ref="ARE33:ARG33"/>
    <mergeCell ref="ARH33:ARJ33"/>
    <mergeCell ref="ARK33:ARM33"/>
    <mergeCell ref="AQS34:AQU34"/>
    <mergeCell ref="AQV34:AQX34"/>
    <mergeCell ref="AQY34:ARA34"/>
    <mergeCell ref="ARB34:ARD34"/>
    <mergeCell ref="ARE34:ARG34"/>
    <mergeCell ref="ARH34:ARJ34"/>
    <mergeCell ref="ARK34:ARM34"/>
    <mergeCell ref="AQS35:AQU35"/>
    <mergeCell ref="AQV35:AQX35"/>
    <mergeCell ref="AQY35:ARA35"/>
    <mergeCell ref="ARB35:ARD35"/>
    <mergeCell ref="ARE35:ARG35"/>
    <mergeCell ref="ARH35:ARJ35"/>
    <mergeCell ref="ARK35:ARM35"/>
    <mergeCell ref="AQS39:AQU39"/>
    <mergeCell ref="AQV39:AQX39"/>
    <mergeCell ref="AQY39:ARA39"/>
    <mergeCell ref="ARB39:ARD39"/>
    <mergeCell ref="ARE39:ARG39"/>
    <mergeCell ref="ARH39:ARJ39"/>
    <mergeCell ref="ARK39:ARM39"/>
    <mergeCell ref="AQV19:AQX19"/>
    <mergeCell ref="AQY19:ARA19"/>
    <mergeCell ref="ARB19:ARD19"/>
    <mergeCell ref="ARE19:ARG19"/>
    <mergeCell ref="ARH19:ARJ19"/>
    <mergeCell ref="ARK19:ARM19"/>
    <mergeCell ref="AQS20:AQU20"/>
    <mergeCell ref="AQV20:AQX20"/>
    <mergeCell ref="AQY20:ARA20"/>
    <mergeCell ref="ARB20:ARD20"/>
    <mergeCell ref="ARE20:ARG20"/>
    <mergeCell ref="ARH20:ARJ20"/>
    <mergeCell ref="ARK20:ARM20"/>
    <mergeCell ref="AQS21:AQU21"/>
    <mergeCell ref="AQV21:AQX21"/>
    <mergeCell ref="AQY21:ARA21"/>
    <mergeCell ref="ARB21:ARD21"/>
    <mergeCell ref="ARE21:ARG21"/>
    <mergeCell ref="ARH21:ARJ21"/>
    <mergeCell ref="ARK21:ARM21"/>
    <mergeCell ref="AQS22:AQU22"/>
    <mergeCell ref="AQV22:AQX22"/>
    <mergeCell ref="AQY22:ARA22"/>
    <mergeCell ref="ARB22:ARD22"/>
    <mergeCell ref="ARE22:ARG22"/>
    <mergeCell ref="ARH22:ARJ22"/>
    <mergeCell ref="ARK22:ARM22"/>
    <mergeCell ref="AQV36:AQX36"/>
    <mergeCell ref="AQY36:ARA36"/>
    <mergeCell ref="ARB36:ARD36"/>
    <mergeCell ref="ARE36:ARG36"/>
    <mergeCell ref="ARH36:ARJ36"/>
    <mergeCell ref="ARK36:ARM36"/>
    <mergeCell ref="AQY28:ARA28"/>
    <mergeCell ref="ARK28:ARM28"/>
    <mergeCell ref="AQS23:AQU23"/>
    <mergeCell ref="ARK38:ARM38"/>
    <mergeCell ref="AQS40:AQU40"/>
    <mergeCell ref="AQV40:AQX40"/>
    <mergeCell ref="AQY40:ARA40"/>
    <mergeCell ref="ARB40:ARD40"/>
    <mergeCell ref="ARE40:ARG40"/>
    <mergeCell ref="ARH40:ARJ40"/>
    <mergeCell ref="ARK40:ARM40"/>
    <mergeCell ref="AQS41:AQU41"/>
    <mergeCell ref="AQV41:AQX41"/>
    <mergeCell ref="AQY41:ARA41"/>
    <mergeCell ref="ARB41:ARD41"/>
    <mergeCell ref="ARE41:ARG41"/>
    <mergeCell ref="ARH41:ARJ41"/>
    <mergeCell ref="ARK41:ARM41"/>
    <mergeCell ref="AQS42:AQU42"/>
    <mergeCell ref="AQV42:AQX42"/>
    <mergeCell ref="AQY42:ARA42"/>
    <mergeCell ref="ARB42:ARD42"/>
    <mergeCell ref="ARE42:ARG42"/>
    <mergeCell ref="ARH42:ARJ42"/>
    <mergeCell ref="ARK42:ARM42"/>
    <mergeCell ref="AQS43:AQU43"/>
    <mergeCell ref="AQV43:AQX43"/>
    <mergeCell ref="AQY43:ARA43"/>
    <mergeCell ref="ARB43:ARD43"/>
    <mergeCell ref="ARE43:ARG43"/>
    <mergeCell ref="ARH43:ARJ43"/>
    <mergeCell ref="ARK43:ARM43"/>
    <mergeCell ref="AQV44:AQX44"/>
    <mergeCell ref="AQY44:ARA44"/>
    <mergeCell ref="ARB44:ARD44"/>
    <mergeCell ref="ARE44:ARG44"/>
    <mergeCell ref="ARH44:ARJ44"/>
    <mergeCell ref="ARK44:ARM44"/>
    <mergeCell ref="AQS45:AQU45"/>
    <mergeCell ref="AQV45:AQX45"/>
    <mergeCell ref="AQY45:ARA45"/>
    <mergeCell ref="ARB45:ARD45"/>
    <mergeCell ref="ARE45:ARG45"/>
    <mergeCell ref="ARH45:ARJ45"/>
    <mergeCell ref="ARK45:ARM45"/>
    <mergeCell ref="AQS46:AQU46"/>
    <mergeCell ref="AQV46:AQX46"/>
    <mergeCell ref="AQY46:ARA46"/>
    <mergeCell ref="ARB46:ARD46"/>
    <mergeCell ref="ARE46:ARG46"/>
    <mergeCell ref="ARH46:ARJ46"/>
    <mergeCell ref="ARK46:ARM46"/>
    <mergeCell ref="AQS47:AQU47"/>
    <mergeCell ref="AQV47:AQX47"/>
    <mergeCell ref="AQY47:ARA47"/>
    <mergeCell ref="ARB47:ARD47"/>
    <mergeCell ref="ARE47:ARG47"/>
    <mergeCell ref="ARH47:ARJ47"/>
    <mergeCell ref="ARK47:ARM47"/>
    <mergeCell ref="AQS48:AQU48"/>
    <mergeCell ref="AQV48:AQX48"/>
    <mergeCell ref="AQY48:ARA48"/>
    <mergeCell ref="ARB48:ARD48"/>
    <mergeCell ref="ARE48:ARG48"/>
    <mergeCell ref="ARH48:ARJ48"/>
    <mergeCell ref="ARK48:ARM48"/>
    <mergeCell ref="AQV49:AQX49"/>
    <mergeCell ref="AQY49:ARA49"/>
    <mergeCell ref="ARB49:ARD49"/>
    <mergeCell ref="ARE49:ARG49"/>
    <mergeCell ref="ARH49:ARJ49"/>
    <mergeCell ref="ARK49:ARM49"/>
    <mergeCell ref="AQS50:AQU50"/>
    <mergeCell ref="AQV50:AQX50"/>
    <mergeCell ref="AQY50:ARA50"/>
    <mergeCell ref="ARB50:ARD50"/>
    <mergeCell ref="ARE50:ARG50"/>
    <mergeCell ref="ARH50:ARJ50"/>
    <mergeCell ref="ARK50:ARM50"/>
    <mergeCell ref="AQS51:AQU51"/>
    <mergeCell ref="AQV51:AQX51"/>
    <mergeCell ref="AQY51:ARA51"/>
    <mergeCell ref="ARB51:ARD51"/>
    <mergeCell ref="ARE51:ARG51"/>
    <mergeCell ref="ARH51:ARJ51"/>
    <mergeCell ref="ARK51:ARM51"/>
    <mergeCell ref="AQS52:AQU52"/>
    <mergeCell ref="AQV52:AQX52"/>
    <mergeCell ref="AQY52:ARA52"/>
    <mergeCell ref="ARB52:ARD52"/>
    <mergeCell ref="ARE52:ARG52"/>
    <mergeCell ref="ARH52:ARJ52"/>
    <mergeCell ref="ARK52:ARM52"/>
    <mergeCell ref="AQS54:AQU54"/>
    <mergeCell ref="AQV54:AQX54"/>
    <mergeCell ref="AQY54:ARA54"/>
    <mergeCell ref="ARB54:ARD54"/>
    <mergeCell ref="ARE54:ARG54"/>
    <mergeCell ref="ARH54:ARJ54"/>
    <mergeCell ref="ARK54:ARM54"/>
    <mergeCell ref="AQS55:AQU55"/>
    <mergeCell ref="AQV55:AQX55"/>
    <mergeCell ref="AQY55:ARA55"/>
    <mergeCell ref="ARB55:ARD55"/>
    <mergeCell ref="ARE55:ARG55"/>
    <mergeCell ref="ARH55:ARJ55"/>
    <mergeCell ref="ARK55:ARM55"/>
    <mergeCell ref="AQV56:AQX56"/>
    <mergeCell ref="AQY56:ARA56"/>
    <mergeCell ref="ARB56:ARD56"/>
    <mergeCell ref="ARE56:ARG56"/>
    <mergeCell ref="ARH56:ARJ56"/>
    <mergeCell ref="ARK56:ARM56"/>
    <mergeCell ref="AQV57:AQX57"/>
    <mergeCell ref="AQY57:ARA57"/>
    <mergeCell ref="ARB57:ARD57"/>
    <mergeCell ref="ARE57:ARG57"/>
    <mergeCell ref="ARH57:ARJ57"/>
    <mergeCell ref="ARK57:ARM57"/>
    <mergeCell ref="AQS58:AQU58"/>
    <mergeCell ref="AQV58:AQX58"/>
    <mergeCell ref="AQY58:ARA58"/>
    <mergeCell ref="ARB58:ARD58"/>
    <mergeCell ref="ARE58:ARG58"/>
    <mergeCell ref="ARH58:ARJ58"/>
    <mergeCell ref="ARK58:ARM58"/>
    <mergeCell ref="AQS59:AQU59"/>
    <mergeCell ref="AQV59:AQX59"/>
    <mergeCell ref="AQY59:ARA59"/>
    <mergeCell ref="ARB59:ARD59"/>
    <mergeCell ref="ARE59:ARG59"/>
    <mergeCell ref="ARH59:ARJ59"/>
    <mergeCell ref="ARK59:ARM59"/>
    <mergeCell ref="AQS60:AQU60"/>
    <mergeCell ref="AQV60:AQX60"/>
    <mergeCell ref="AQY60:ARA60"/>
    <mergeCell ref="ARB60:ARD60"/>
    <mergeCell ref="ARE60:ARG60"/>
    <mergeCell ref="ARH60:ARJ60"/>
    <mergeCell ref="ARK60:ARM60"/>
    <mergeCell ref="AQS61:AQU61"/>
    <mergeCell ref="AQV61:AQX61"/>
    <mergeCell ref="AQY61:ARA61"/>
    <mergeCell ref="ARB61:ARD61"/>
    <mergeCell ref="ARE61:ARG61"/>
    <mergeCell ref="ARH61:ARJ61"/>
    <mergeCell ref="ARK61:ARM61"/>
    <mergeCell ref="ARZ6:ASB6"/>
    <mergeCell ref="ASC6:ASE6"/>
    <mergeCell ref="ASF6:ASH6"/>
    <mergeCell ref="ARN7:ARP7"/>
    <mergeCell ref="ARQ7:ARS7"/>
    <mergeCell ref="ART7:ARV7"/>
    <mergeCell ref="ARW7:ARY7"/>
    <mergeCell ref="ARZ7:ASB7"/>
    <mergeCell ref="ASC7:ASE7"/>
    <mergeCell ref="ASF7:ASH7"/>
    <mergeCell ref="ARN8:ARP8"/>
    <mergeCell ref="ARQ8:ARS8"/>
    <mergeCell ref="ART8:ARV8"/>
    <mergeCell ref="ARW8:ARY8"/>
    <mergeCell ref="ARZ8:ASB8"/>
    <mergeCell ref="ASC8:ASE8"/>
    <mergeCell ref="ASF8:ASH8"/>
    <mergeCell ref="ARN2:ARP2"/>
    <mergeCell ref="ARQ2:ARS2"/>
    <mergeCell ref="ART2:ARV2"/>
    <mergeCell ref="ARQ12:ARS12"/>
    <mergeCell ref="ART12:ARV12"/>
    <mergeCell ref="ARW12:ARY12"/>
    <mergeCell ref="ARZ12:ASB12"/>
    <mergeCell ref="ASC12:ASE12"/>
    <mergeCell ref="ASF12:ASH12"/>
    <mergeCell ref="ARW2:ARY2"/>
    <mergeCell ref="ARZ2:ASB2"/>
    <mergeCell ref="ASC2:ASE2"/>
    <mergeCell ref="ASF2:ASH2"/>
    <mergeCell ref="ARN3:ARP3"/>
    <mergeCell ref="ARQ3:ARS3"/>
    <mergeCell ref="ART3:ARV3"/>
    <mergeCell ref="ARW3:ARY3"/>
    <mergeCell ref="ARZ3:ASB3"/>
    <mergeCell ref="ASC3:ASE3"/>
    <mergeCell ref="ASF3:ASH3"/>
    <mergeCell ref="ARN5:ARP5"/>
    <mergeCell ref="ARQ5:ARS5"/>
    <mergeCell ref="ART5:ARV5"/>
    <mergeCell ref="ARW5:ARY5"/>
    <mergeCell ref="ARZ5:ASB5"/>
    <mergeCell ref="ASC5:ASE5"/>
    <mergeCell ref="ASF5:ASH5"/>
    <mergeCell ref="ARN6:ARP6"/>
    <mergeCell ref="ARQ6:ARS6"/>
    <mergeCell ref="ART6:ARV6"/>
    <mergeCell ref="ARW6:ARY6"/>
    <mergeCell ref="ARN9:ARP9"/>
    <mergeCell ref="ARQ9:ARS9"/>
    <mergeCell ref="ART9:ARV9"/>
    <mergeCell ref="ARW9:ARY9"/>
    <mergeCell ref="ARZ9:ASB9"/>
    <mergeCell ref="ASC9:ASE9"/>
    <mergeCell ref="ASF9:ASH9"/>
    <mergeCell ref="ARN10:ARP10"/>
    <mergeCell ref="ARQ10:ARS10"/>
    <mergeCell ref="ART10:ARV10"/>
    <mergeCell ref="ARW10:ARY10"/>
    <mergeCell ref="ARZ10:ASB10"/>
    <mergeCell ref="ASC10:ASE10"/>
    <mergeCell ref="ASF10:ASH10"/>
    <mergeCell ref="ARN11:ARP11"/>
    <mergeCell ref="ASF14:ASH14"/>
    <mergeCell ref="ARN15:ARP15"/>
    <mergeCell ref="ARQ15:ARS15"/>
    <mergeCell ref="ART15:ARV15"/>
    <mergeCell ref="ARW15:ARY15"/>
    <mergeCell ref="ARZ15:ASB15"/>
    <mergeCell ref="ASC15:ASE15"/>
    <mergeCell ref="ARN29:ARP29"/>
    <mergeCell ref="ARQ29:ARS29"/>
    <mergeCell ref="ART29:ARV29"/>
    <mergeCell ref="ARW29:ARY29"/>
    <mergeCell ref="ARZ29:ASB29"/>
    <mergeCell ref="ASC29:ASE29"/>
    <mergeCell ref="ASF29:ASH29"/>
    <mergeCell ref="ARN19:ARP19"/>
    <mergeCell ref="ARQ19:ARS19"/>
    <mergeCell ref="ART19:ARV19"/>
    <mergeCell ref="ARW19:ARY19"/>
    <mergeCell ref="ARZ19:ASB19"/>
    <mergeCell ref="ASC19:ASE19"/>
    <mergeCell ref="ASF19:ASH19"/>
    <mergeCell ref="ARN20:ARP20"/>
    <mergeCell ref="ARQ20:ARS20"/>
    <mergeCell ref="ART20:ARV20"/>
    <mergeCell ref="ARW20:ARY20"/>
    <mergeCell ref="ARZ20:ASB20"/>
    <mergeCell ref="ASC20:ASE20"/>
    <mergeCell ref="ASF20:ASH20"/>
    <mergeCell ref="ARN21:ARP21"/>
    <mergeCell ref="ARQ21:ARS21"/>
    <mergeCell ref="ART21:ARV21"/>
    <mergeCell ref="ARW21:ARY21"/>
    <mergeCell ref="ARZ21:ASB21"/>
    <mergeCell ref="ASC21:ASE21"/>
    <mergeCell ref="ASF21:ASH21"/>
    <mergeCell ref="ARN22:ARP22"/>
    <mergeCell ref="ARQ22:ARS22"/>
    <mergeCell ref="ART22:ARV22"/>
    <mergeCell ref="ARW22:ARY22"/>
    <mergeCell ref="ARZ22:ASB22"/>
    <mergeCell ref="ASC22:ASE22"/>
    <mergeCell ref="ASF22:ASH22"/>
    <mergeCell ref="ARN18:ARP18"/>
    <mergeCell ref="ARQ18:ARS18"/>
    <mergeCell ref="ART18:ARV18"/>
    <mergeCell ref="ARW18:ARY18"/>
    <mergeCell ref="ARZ18:ASB18"/>
    <mergeCell ref="ASC18:ASE18"/>
    <mergeCell ref="ASF18:ASH18"/>
    <mergeCell ref="ART17:ARV17"/>
    <mergeCell ref="ARW17:ARY17"/>
    <mergeCell ref="ARZ17:ASB17"/>
    <mergeCell ref="ASC17:ASE17"/>
    <mergeCell ref="ASF17:ASH17"/>
    <mergeCell ref="ARN16:ARP16"/>
    <mergeCell ref="ARQ16:ARS16"/>
    <mergeCell ref="ART16:ARV16"/>
    <mergeCell ref="ARW16:ARY16"/>
    <mergeCell ref="ARZ16:ASB16"/>
    <mergeCell ref="ASC16:ASE16"/>
    <mergeCell ref="ASF16:ASH16"/>
    <mergeCell ref="ARW36:ARY36"/>
    <mergeCell ref="ARZ36:ASB36"/>
    <mergeCell ref="ASC36:ASE36"/>
    <mergeCell ref="ASF36:ASH36"/>
    <mergeCell ref="ARQ23:ARS23"/>
    <mergeCell ref="ART23:ARV23"/>
    <mergeCell ref="ARW23:ARY23"/>
    <mergeCell ref="ARZ23:ASB23"/>
    <mergeCell ref="ASC23:ASE23"/>
    <mergeCell ref="ASF23:ASH23"/>
    <mergeCell ref="ARN31:ARP31"/>
    <mergeCell ref="ARQ31:ARS31"/>
    <mergeCell ref="ART31:ARV31"/>
    <mergeCell ref="ARW31:ARY31"/>
    <mergeCell ref="ARZ31:ASB31"/>
    <mergeCell ref="ASC31:ASE31"/>
    <mergeCell ref="ASF31:ASH31"/>
    <mergeCell ref="ARN32:ARP32"/>
    <mergeCell ref="ARQ32:ARS32"/>
    <mergeCell ref="ART32:ARV32"/>
    <mergeCell ref="ARW32:ARY32"/>
    <mergeCell ref="ARZ32:ASB32"/>
    <mergeCell ref="ASC32:ASE32"/>
    <mergeCell ref="ASF32:ASH32"/>
    <mergeCell ref="ARN33:ARP33"/>
    <mergeCell ref="ARQ33:ARS33"/>
    <mergeCell ref="ART33:ARV33"/>
    <mergeCell ref="ARW33:ARY33"/>
    <mergeCell ref="ARZ33:ASB33"/>
    <mergeCell ref="ASC33:ASE33"/>
    <mergeCell ref="ASF33:ASH33"/>
    <mergeCell ref="ARN34:ARP34"/>
    <mergeCell ref="ARQ34:ARS34"/>
    <mergeCell ref="ARN23:ARP23"/>
    <mergeCell ref="ARN27:ARP27"/>
    <mergeCell ref="ARQ27:ARS27"/>
    <mergeCell ref="ART27:ARV27"/>
    <mergeCell ref="ARW27:ARY27"/>
    <mergeCell ref="ARZ27:ASB27"/>
    <mergeCell ref="ASC27:ASE27"/>
    <mergeCell ref="ASF27:ASH27"/>
    <mergeCell ref="ARN38:ARP38"/>
    <mergeCell ref="ARQ38:ARS38"/>
    <mergeCell ref="ART38:ARV38"/>
    <mergeCell ref="ARW38:ARY38"/>
    <mergeCell ref="ARZ38:ASB38"/>
    <mergeCell ref="ASC38:ASE38"/>
    <mergeCell ref="ASF38:ASH38"/>
    <mergeCell ref="ARN28:ARP28"/>
    <mergeCell ref="ARQ28:ARS28"/>
    <mergeCell ref="ART28:ARV28"/>
    <mergeCell ref="ARW28:ARY28"/>
    <mergeCell ref="ARZ28:ASB28"/>
    <mergeCell ref="ASC28:ASE28"/>
    <mergeCell ref="ASF28:ASH28"/>
    <mergeCell ref="ARN39:ARP39"/>
    <mergeCell ref="ARQ39:ARS39"/>
    <mergeCell ref="ART39:ARV39"/>
    <mergeCell ref="ARW39:ARY39"/>
    <mergeCell ref="ARZ39:ASB39"/>
    <mergeCell ref="ASC39:ASE39"/>
    <mergeCell ref="ASF39:ASH39"/>
    <mergeCell ref="ART34:ARV34"/>
    <mergeCell ref="ARW34:ARY34"/>
    <mergeCell ref="ARZ34:ASB34"/>
    <mergeCell ref="ASC34:ASE34"/>
    <mergeCell ref="ASF34:ASH34"/>
    <mergeCell ref="ARN35:ARP35"/>
    <mergeCell ref="ARQ35:ARS35"/>
    <mergeCell ref="ART35:ARV35"/>
    <mergeCell ref="ARW35:ARY35"/>
    <mergeCell ref="ARZ35:ASB35"/>
    <mergeCell ref="ASC35:ASE35"/>
    <mergeCell ref="ASF35:ASH35"/>
    <mergeCell ref="ARN30:ARP30"/>
    <mergeCell ref="ARQ30:ARS30"/>
    <mergeCell ref="ART30:ARV30"/>
    <mergeCell ref="ARW30:ARY30"/>
    <mergeCell ref="ARZ30:ASB30"/>
    <mergeCell ref="ASC30:ASE30"/>
    <mergeCell ref="ASF30:ASH30"/>
    <mergeCell ref="ARN36:ARP36"/>
    <mergeCell ref="ARQ36:ARS36"/>
    <mergeCell ref="ART36:ARV36"/>
    <mergeCell ref="ARN40:ARP40"/>
    <mergeCell ref="ARQ40:ARS40"/>
    <mergeCell ref="ART40:ARV40"/>
    <mergeCell ref="ARW40:ARY40"/>
    <mergeCell ref="ARZ40:ASB40"/>
    <mergeCell ref="ASC40:ASE40"/>
    <mergeCell ref="ASF40:ASH40"/>
    <mergeCell ref="ARN41:ARP41"/>
    <mergeCell ref="ARQ41:ARS41"/>
    <mergeCell ref="ART41:ARV41"/>
    <mergeCell ref="ARW41:ARY41"/>
    <mergeCell ref="ARZ41:ASB41"/>
    <mergeCell ref="ASC41:ASE41"/>
    <mergeCell ref="ASF41:ASH41"/>
    <mergeCell ref="ARN42:ARP42"/>
    <mergeCell ref="ARQ42:ARS42"/>
    <mergeCell ref="ART42:ARV42"/>
    <mergeCell ref="ARW42:ARY42"/>
    <mergeCell ref="ARZ42:ASB42"/>
    <mergeCell ref="ASC42:ASE42"/>
    <mergeCell ref="ASF42:ASH42"/>
    <mergeCell ref="ARN43:ARP43"/>
    <mergeCell ref="ARQ43:ARS43"/>
    <mergeCell ref="ART43:ARV43"/>
    <mergeCell ref="ARW43:ARY43"/>
    <mergeCell ref="ARZ43:ASB43"/>
    <mergeCell ref="ASC43:ASE43"/>
    <mergeCell ref="ASF43:ASH43"/>
    <mergeCell ref="ARN44:ARP44"/>
    <mergeCell ref="ARQ44:ARS44"/>
    <mergeCell ref="ART44:ARV44"/>
    <mergeCell ref="ARW44:ARY44"/>
    <mergeCell ref="ARZ44:ASB44"/>
    <mergeCell ref="ASC44:ASE44"/>
    <mergeCell ref="ASF44:ASH44"/>
    <mergeCell ref="ARN45:ARP45"/>
    <mergeCell ref="ARQ45:ARS45"/>
    <mergeCell ref="ART45:ARV45"/>
    <mergeCell ref="ARW45:ARY45"/>
    <mergeCell ref="ARZ45:ASB45"/>
    <mergeCell ref="ASC45:ASE45"/>
    <mergeCell ref="ASF45:ASH45"/>
    <mergeCell ref="ARN46:ARP46"/>
    <mergeCell ref="ARQ46:ARS46"/>
    <mergeCell ref="ART46:ARV46"/>
    <mergeCell ref="ARW46:ARY46"/>
    <mergeCell ref="ARZ46:ASB46"/>
    <mergeCell ref="ASC46:ASE46"/>
    <mergeCell ref="ASF46:ASH46"/>
    <mergeCell ref="ARN47:ARP47"/>
    <mergeCell ref="ARQ47:ARS47"/>
    <mergeCell ref="ART47:ARV47"/>
    <mergeCell ref="ARW47:ARY47"/>
    <mergeCell ref="ARZ47:ASB47"/>
    <mergeCell ref="ASC47:ASE47"/>
    <mergeCell ref="ASF47:ASH47"/>
    <mergeCell ref="ARN48:ARP48"/>
    <mergeCell ref="ARQ48:ARS48"/>
    <mergeCell ref="ART48:ARV48"/>
    <mergeCell ref="ARW48:ARY48"/>
    <mergeCell ref="ARZ48:ASB48"/>
    <mergeCell ref="ASC48:ASE48"/>
    <mergeCell ref="ASF48:ASH48"/>
    <mergeCell ref="ARN49:ARP49"/>
    <mergeCell ref="ARQ49:ARS49"/>
    <mergeCell ref="ART49:ARV49"/>
    <mergeCell ref="ARW49:ARY49"/>
    <mergeCell ref="ARZ49:ASB49"/>
    <mergeCell ref="ASC49:ASE49"/>
    <mergeCell ref="ASF49:ASH49"/>
    <mergeCell ref="ARN50:ARP50"/>
    <mergeCell ref="ARQ50:ARS50"/>
    <mergeCell ref="ART50:ARV50"/>
    <mergeCell ref="ARW50:ARY50"/>
    <mergeCell ref="ARZ50:ASB50"/>
    <mergeCell ref="ASC50:ASE50"/>
    <mergeCell ref="ASF50:ASH50"/>
    <mergeCell ref="ARN51:ARP51"/>
    <mergeCell ref="ARQ51:ARS51"/>
    <mergeCell ref="ART51:ARV51"/>
    <mergeCell ref="ARW51:ARY51"/>
    <mergeCell ref="ARZ51:ASB51"/>
    <mergeCell ref="ASC51:ASE51"/>
    <mergeCell ref="ASF51:ASH51"/>
    <mergeCell ref="ARN52:ARP52"/>
    <mergeCell ref="ARQ52:ARS52"/>
    <mergeCell ref="ART52:ARV52"/>
    <mergeCell ref="ARW52:ARY52"/>
    <mergeCell ref="ARZ52:ASB52"/>
    <mergeCell ref="ASC52:ASE52"/>
    <mergeCell ref="ASF52:ASH52"/>
    <mergeCell ref="ARN55:ARP55"/>
    <mergeCell ref="ARQ55:ARS55"/>
    <mergeCell ref="ART55:ARV55"/>
    <mergeCell ref="ARW55:ARY55"/>
    <mergeCell ref="ARZ55:ASB55"/>
    <mergeCell ref="ASC55:ASE55"/>
    <mergeCell ref="ASF55:ASH55"/>
    <mergeCell ref="ARN56:ARP56"/>
    <mergeCell ref="ARQ56:ARS56"/>
    <mergeCell ref="ART56:ARV56"/>
    <mergeCell ref="ARW56:ARY56"/>
    <mergeCell ref="ARZ56:ASB56"/>
    <mergeCell ref="ASC56:ASE56"/>
    <mergeCell ref="ASF56:ASH56"/>
    <mergeCell ref="ARN57:ARP57"/>
    <mergeCell ref="ARQ57:ARS57"/>
    <mergeCell ref="ART57:ARV57"/>
    <mergeCell ref="ARW57:ARY57"/>
    <mergeCell ref="ARZ57:ASB57"/>
    <mergeCell ref="ASC57:ASE57"/>
    <mergeCell ref="ASF57:ASH57"/>
    <mergeCell ref="ASR8:AST8"/>
    <mergeCell ref="ASU8:ASW8"/>
    <mergeCell ref="ASX8:ASZ8"/>
    <mergeCell ref="ATA8:ATC8"/>
    <mergeCell ref="ASI9:ASK9"/>
    <mergeCell ref="ASL9:ASN9"/>
    <mergeCell ref="ASO9:ASQ9"/>
    <mergeCell ref="ASR9:AST9"/>
    <mergeCell ref="ASU9:ASW9"/>
    <mergeCell ref="ASX9:ASZ9"/>
    <mergeCell ref="ATA9:ATC9"/>
    <mergeCell ref="ASI10:ASK10"/>
    <mergeCell ref="ASL10:ASN10"/>
    <mergeCell ref="ASO10:ASQ10"/>
    <mergeCell ref="ASR10:AST10"/>
    <mergeCell ref="ASU10:ASW10"/>
    <mergeCell ref="ASX10:ASZ10"/>
    <mergeCell ref="ATA10:ATC10"/>
    <mergeCell ref="ASI11:ASK11"/>
    <mergeCell ref="ASL11:ASN11"/>
    <mergeCell ref="ASO11:ASQ11"/>
    <mergeCell ref="ASR11:AST11"/>
    <mergeCell ref="ASU11:ASW11"/>
    <mergeCell ref="ASX11:ASZ11"/>
    <mergeCell ref="ATA11:ATC11"/>
    <mergeCell ref="ASI7:ASK7"/>
    <mergeCell ref="ARN60:ARP60"/>
    <mergeCell ref="ARQ60:ARS60"/>
    <mergeCell ref="ART60:ARV60"/>
    <mergeCell ref="ARW60:ARY60"/>
    <mergeCell ref="ARZ60:ASB60"/>
    <mergeCell ref="ASC60:ASE60"/>
    <mergeCell ref="ASF60:ASH60"/>
    <mergeCell ref="ARN61:ARP61"/>
    <mergeCell ref="ARQ61:ARS61"/>
    <mergeCell ref="ART61:ARV61"/>
    <mergeCell ref="ARW61:ARY61"/>
    <mergeCell ref="ARZ61:ASB61"/>
    <mergeCell ref="ASC61:ASE61"/>
    <mergeCell ref="ASF61:ASH61"/>
    <mergeCell ref="ARN58:ARP58"/>
    <mergeCell ref="ARQ58:ARS58"/>
    <mergeCell ref="ART58:ARV58"/>
    <mergeCell ref="ARW58:ARY58"/>
    <mergeCell ref="ARZ58:ASB58"/>
    <mergeCell ref="ASC58:ASE58"/>
    <mergeCell ref="ASF58:ASH58"/>
    <mergeCell ref="ARN59:ARP59"/>
    <mergeCell ref="ARQ59:ARS59"/>
    <mergeCell ref="ART59:ARV59"/>
    <mergeCell ref="ARW59:ARY59"/>
    <mergeCell ref="ARZ59:ASB59"/>
    <mergeCell ref="ASC59:ASE59"/>
    <mergeCell ref="ASF59:ASH59"/>
    <mergeCell ref="ARN54:ARP54"/>
    <mergeCell ref="ARQ54:ARS54"/>
    <mergeCell ref="ART54:ARV54"/>
    <mergeCell ref="ARW54:ARY54"/>
    <mergeCell ref="ARZ54:ASB54"/>
    <mergeCell ref="ASC54:ASE54"/>
    <mergeCell ref="ASF54:ASH54"/>
    <mergeCell ref="ASI16:ASK16"/>
    <mergeCell ref="ASL16:ASN16"/>
    <mergeCell ref="ASO16:ASQ16"/>
    <mergeCell ref="ASR16:AST16"/>
    <mergeCell ref="ASU16:ASW16"/>
    <mergeCell ref="ASX16:ASZ16"/>
    <mergeCell ref="ATA16:ATC16"/>
    <mergeCell ref="ASI29:ASK29"/>
    <mergeCell ref="ASL29:ASN29"/>
    <mergeCell ref="ASO29:ASQ29"/>
    <mergeCell ref="ASR29:AST29"/>
    <mergeCell ref="ASU29:ASW29"/>
    <mergeCell ref="ASX29:ASZ29"/>
    <mergeCell ref="ATA29:ATC29"/>
    <mergeCell ref="ASI30:ASK30"/>
    <mergeCell ref="ASL30:ASN30"/>
    <mergeCell ref="ASO30:ASQ30"/>
    <mergeCell ref="ASR30:AST30"/>
    <mergeCell ref="ASU30:ASW30"/>
    <mergeCell ref="ASX30:ASZ30"/>
    <mergeCell ref="ATA30:ATC30"/>
    <mergeCell ref="ASI31:ASK31"/>
    <mergeCell ref="ASL31:ASN31"/>
    <mergeCell ref="ASO31:ASQ31"/>
    <mergeCell ref="ASR31:AST31"/>
    <mergeCell ref="ASU31:ASW31"/>
    <mergeCell ref="ASX31:ASZ31"/>
    <mergeCell ref="ATA31:ATC31"/>
    <mergeCell ref="ASI32:ASK32"/>
    <mergeCell ref="ASL32:ASN32"/>
    <mergeCell ref="ASO32:ASQ32"/>
    <mergeCell ref="ASR32:AST32"/>
    <mergeCell ref="ASU32:ASW32"/>
    <mergeCell ref="ASX32:ASZ32"/>
    <mergeCell ref="ATA32:ATC32"/>
    <mergeCell ref="ASR27:AST27"/>
    <mergeCell ref="ASU27:ASW27"/>
    <mergeCell ref="ASX27:ASZ27"/>
    <mergeCell ref="ATA27:ATC27"/>
    <mergeCell ref="ASU39:ASW39"/>
    <mergeCell ref="ASX39:ASZ39"/>
    <mergeCell ref="ATA39:ATC39"/>
    <mergeCell ref="ASI19:ASK19"/>
    <mergeCell ref="ASL19:ASN19"/>
    <mergeCell ref="ASO19:ASQ19"/>
    <mergeCell ref="ASR19:AST19"/>
    <mergeCell ref="ASU19:ASW19"/>
    <mergeCell ref="ASX19:ASZ19"/>
    <mergeCell ref="ATA19:ATC19"/>
    <mergeCell ref="ASI20:ASK20"/>
    <mergeCell ref="ASL20:ASN20"/>
    <mergeCell ref="ASO20:ASQ20"/>
    <mergeCell ref="ASR20:AST20"/>
    <mergeCell ref="ASU20:ASW20"/>
    <mergeCell ref="ASX20:ASZ20"/>
    <mergeCell ref="ATA20:ATC20"/>
    <mergeCell ref="ASI21:ASK21"/>
    <mergeCell ref="ASL21:ASN21"/>
    <mergeCell ref="ASO21:ASQ21"/>
    <mergeCell ref="ASR21:AST21"/>
    <mergeCell ref="ASU21:ASW21"/>
    <mergeCell ref="ASX21:ASZ21"/>
    <mergeCell ref="ATA21:ATC21"/>
    <mergeCell ref="ASI22:ASK22"/>
    <mergeCell ref="ASL22:ASN22"/>
    <mergeCell ref="ASO22:ASQ22"/>
    <mergeCell ref="ASR22:AST22"/>
    <mergeCell ref="ASU22:ASW22"/>
    <mergeCell ref="ASX22:ASZ22"/>
    <mergeCell ref="ATA22:ATC22"/>
    <mergeCell ref="ASI36:ASK36"/>
    <mergeCell ref="ASL36:ASN36"/>
    <mergeCell ref="ASO36:ASQ36"/>
    <mergeCell ref="ASR36:AST36"/>
    <mergeCell ref="ASU36:ASW36"/>
    <mergeCell ref="ASX36:ASZ36"/>
    <mergeCell ref="ATA36:ATC36"/>
    <mergeCell ref="ASI23:ASK23"/>
    <mergeCell ref="ASI27:ASK27"/>
    <mergeCell ref="ASL27:ASN27"/>
    <mergeCell ref="ASO27:ASQ27"/>
    <mergeCell ref="ASI38:ASK38"/>
    <mergeCell ref="ASL38:ASN38"/>
    <mergeCell ref="ASO38:ASQ38"/>
    <mergeCell ref="ASR38:AST38"/>
    <mergeCell ref="ASU38:ASW38"/>
    <mergeCell ref="ASX38:ASZ38"/>
    <mergeCell ref="ATA38:ATC38"/>
    <mergeCell ref="ASI28:ASK28"/>
    <mergeCell ref="ASL28:ASN28"/>
    <mergeCell ref="ASO28:ASQ28"/>
    <mergeCell ref="ASR28:AST28"/>
    <mergeCell ref="ASU28:ASW28"/>
    <mergeCell ref="ASX28:ASZ28"/>
    <mergeCell ref="ATA28:ATC28"/>
    <mergeCell ref="ASR37:AST37"/>
    <mergeCell ref="ASU37:ASW37"/>
    <mergeCell ref="ASX37:ASZ37"/>
    <mergeCell ref="ATA37:ATC37"/>
    <mergeCell ref="ASI33:ASK33"/>
    <mergeCell ref="ASL33:ASN33"/>
    <mergeCell ref="ASO33:ASQ33"/>
    <mergeCell ref="ASR33:AST33"/>
    <mergeCell ref="ASU33:ASW33"/>
    <mergeCell ref="ASX33:ASZ33"/>
    <mergeCell ref="ATA33:ATC33"/>
    <mergeCell ref="ASI34:ASK34"/>
    <mergeCell ref="ASL34:ASN34"/>
    <mergeCell ref="ASO34:ASQ34"/>
    <mergeCell ref="ASR34:AST34"/>
    <mergeCell ref="ASU34:ASW34"/>
    <mergeCell ref="ASX34:ASZ34"/>
    <mergeCell ref="ATA34:ATC34"/>
    <mergeCell ref="ASI35:ASK35"/>
    <mergeCell ref="ASL35:ASN35"/>
    <mergeCell ref="ASO35:ASQ35"/>
    <mergeCell ref="ASR35:AST35"/>
    <mergeCell ref="ASU35:ASW35"/>
    <mergeCell ref="ASX35:ASZ35"/>
    <mergeCell ref="ATA35:ATC35"/>
    <mergeCell ref="ASI39:ASK39"/>
    <mergeCell ref="ASL39:ASN39"/>
    <mergeCell ref="ASO39:ASQ39"/>
    <mergeCell ref="ASR39:AST39"/>
    <mergeCell ref="ASI40:ASK40"/>
    <mergeCell ref="ASL40:ASN40"/>
    <mergeCell ref="ASO40:ASQ40"/>
    <mergeCell ref="ASR40:AST40"/>
    <mergeCell ref="ASU40:ASW40"/>
    <mergeCell ref="ASX40:ASZ40"/>
    <mergeCell ref="ATA40:ATC40"/>
    <mergeCell ref="ASI41:ASK41"/>
    <mergeCell ref="ASL41:ASN41"/>
    <mergeCell ref="ASO41:ASQ41"/>
    <mergeCell ref="ASR41:AST41"/>
    <mergeCell ref="ASU41:ASW41"/>
    <mergeCell ref="ASX41:ASZ41"/>
    <mergeCell ref="ATA41:ATC41"/>
    <mergeCell ref="ASI42:ASK42"/>
    <mergeCell ref="ASL42:ASN42"/>
    <mergeCell ref="ASO42:ASQ42"/>
    <mergeCell ref="ASR42:AST42"/>
    <mergeCell ref="ASU42:ASW42"/>
    <mergeCell ref="ASX42:ASZ42"/>
    <mergeCell ref="ATA42:ATC42"/>
    <mergeCell ref="ASI43:ASK43"/>
    <mergeCell ref="ASL43:ASN43"/>
    <mergeCell ref="ASO43:ASQ43"/>
    <mergeCell ref="ASR43:AST43"/>
    <mergeCell ref="ASU43:ASW43"/>
    <mergeCell ref="ASX43:ASZ43"/>
    <mergeCell ref="ATA43:ATC43"/>
    <mergeCell ref="ASI44:ASK44"/>
    <mergeCell ref="ASL44:ASN44"/>
    <mergeCell ref="ASO44:ASQ44"/>
    <mergeCell ref="ASR44:AST44"/>
    <mergeCell ref="ASU44:ASW44"/>
    <mergeCell ref="ASX44:ASZ44"/>
    <mergeCell ref="ATA44:ATC44"/>
    <mergeCell ref="ASI45:ASK45"/>
    <mergeCell ref="ASL45:ASN45"/>
    <mergeCell ref="ASO45:ASQ45"/>
    <mergeCell ref="ASR45:AST45"/>
    <mergeCell ref="ASU45:ASW45"/>
    <mergeCell ref="ASX45:ASZ45"/>
    <mergeCell ref="ATA45:ATC45"/>
    <mergeCell ref="ASI46:ASK46"/>
    <mergeCell ref="ASL46:ASN46"/>
    <mergeCell ref="ASO46:ASQ46"/>
    <mergeCell ref="ASR46:AST46"/>
    <mergeCell ref="ASU46:ASW46"/>
    <mergeCell ref="ASX46:ASZ46"/>
    <mergeCell ref="ATA46:ATC46"/>
    <mergeCell ref="ASI47:ASK47"/>
    <mergeCell ref="ASL47:ASN47"/>
    <mergeCell ref="ASO47:ASQ47"/>
    <mergeCell ref="ASR47:AST47"/>
    <mergeCell ref="ASU47:ASW47"/>
    <mergeCell ref="ASX47:ASZ47"/>
    <mergeCell ref="ATA47:ATC47"/>
    <mergeCell ref="ASI48:ASK48"/>
    <mergeCell ref="ASL48:ASN48"/>
    <mergeCell ref="ASO48:ASQ48"/>
    <mergeCell ref="ASR48:AST48"/>
    <mergeCell ref="ASU48:ASW48"/>
    <mergeCell ref="ASX48:ASZ48"/>
    <mergeCell ref="ATA48:ATC48"/>
    <mergeCell ref="ASI49:ASK49"/>
    <mergeCell ref="ASL49:ASN49"/>
    <mergeCell ref="ASO49:ASQ49"/>
    <mergeCell ref="ASR49:AST49"/>
    <mergeCell ref="ASU49:ASW49"/>
    <mergeCell ref="ASX49:ASZ49"/>
    <mergeCell ref="ATA49:ATC49"/>
    <mergeCell ref="ASI50:ASK50"/>
    <mergeCell ref="ASL50:ASN50"/>
    <mergeCell ref="ASO50:ASQ50"/>
    <mergeCell ref="ASR50:AST50"/>
    <mergeCell ref="ASU50:ASW50"/>
    <mergeCell ref="ASX50:ASZ50"/>
    <mergeCell ref="ATA50:ATC50"/>
    <mergeCell ref="ASI51:ASK51"/>
    <mergeCell ref="ASL51:ASN51"/>
    <mergeCell ref="ASO51:ASQ51"/>
    <mergeCell ref="ASR51:AST51"/>
    <mergeCell ref="ASU51:ASW51"/>
    <mergeCell ref="ASX51:ASZ51"/>
    <mergeCell ref="ATA51:ATC51"/>
    <mergeCell ref="ASI52:ASK52"/>
    <mergeCell ref="ASL52:ASN52"/>
    <mergeCell ref="ASO52:ASQ52"/>
    <mergeCell ref="ASR52:AST52"/>
    <mergeCell ref="ASU52:ASW52"/>
    <mergeCell ref="ASX52:ASZ52"/>
    <mergeCell ref="ATA52:ATC52"/>
    <mergeCell ref="ASI54:ASK54"/>
    <mergeCell ref="ASL54:ASN54"/>
    <mergeCell ref="ASO54:ASQ54"/>
    <mergeCell ref="ASR54:AST54"/>
    <mergeCell ref="ASU54:ASW54"/>
    <mergeCell ref="ASX54:ASZ54"/>
    <mergeCell ref="ATA54:ATC54"/>
    <mergeCell ref="ASI60:ASK60"/>
    <mergeCell ref="ASL60:ASN60"/>
    <mergeCell ref="ASO60:ASQ60"/>
    <mergeCell ref="ASR60:AST60"/>
    <mergeCell ref="ASU60:ASW60"/>
    <mergeCell ref="ASX60:ASZ60"/>
    <mergeCell ref="ATA60:ATC60"/>
    <mergeCell ref="ASI61:ASK61"/>
    <mergeCell ref="ASL61:ASN61"/>
    <mergeCell ref="ASO61:ASQ61"/>
    <mergeCell ref="ASR61:AST61"/>
    <mergeCell ref="ASU61:ASW61"/>
    <mergeCell ref="ASX61:ASZ61"/>
    <mergeCell ref="ATA61:ATC61"/>
    <mergeCell ref="ASI55:ASK55"/>
    <mergeCell ref="ASL55:ASN55"/>
    <mergeCell ref="ASO55:ASQ55"/>
    <mergeCell ref="ASR55:AST55"/>
    <mergeCell ref="ASU55:ASW55"/>
    <mergeCell ref="ASX55:ASZ55"/>
    <mergeCell ref="ATA55:ATC55"/>
    <mergeCell ref="ASI56:ASK56"/>
    <mergeCell ref="ASL56:ASN56"/>
    <mergeCell ref="ASO56:ASQ56"/>
    <mergeCell ref="ASR56:AST56"/>
    <mergeCell ref="ASU56:ASW56"/>
    <mergeCell ref="ASX56:ASZ56"/>
    <mergeCell ref="ATA56:ATC56"/>
    <mergeCell ref="ASI57:ASK57"/>
    <mergeCell ref="ASL57:ASN57"/>
    <mergeCell ref="ASO57:ASQ57"/>
    <mergeCell ref="ASR57:AST57"/>
    <mergeCell ref="ASU57:ASW57"/>
    <mergeCell ref="ASX57:ASZ57"/>
    <mergeCell ref="ATA57:ATC57"/>
    <mergeCell ref="ASI58:ASK58"/>
    <mergeCell ref="ASL58:ASN58"/>
    <mergeCell ref="ASO58:ASQ58"/>
    <mergeCell ref="ASR58:AST58"/>
    <mergeCell ref="ASU58:ASW58"/>
    <mergeCell ref="ASX58:ASZ58"/>
    <mergeCell ref="ATA58:ATC58"/>
    <mergeCell ref="ASI59:ASK59"/>
    <mergeCell ref="ASL59:ASN59"/>
    <mergeCell ref="ASO59:ASQ59"/>
    <mergeCell ref="ASR59:AST59"/>
    <mergeCell ref="ASU59:ASW59"/>
    <mergeCell ref="ASX59:ASZ59"/>
    <mergeCell ref="ATA59:ATC59"/>
    <mergeCell ref="ATD2:ATF2"/>
    <mergeCell ref="ATG2:ATI2"/>
    <mergeCell ref="ATJ2:ATL2"/>
    <mergeCell ref="ATM2:ATO2"/>
    <mergeCell ref="ATP2:ATR2"/>
    <mergeCell ref="ATS2:ATU2"/>
    <mergeCell ref="ATV2:ATX2"/>
    <mergeCell ref="ATD3:ATF3"/>
    <mergeCell ref="ATG3:ATI3"/>
    <mergeCell ref="ATJ3:ATL3"/>
    <mergeCell ref="ATM3:ATO3"/>
    <mergeCell ref="ATP3:ATR3"/>
    <mergeCell ref="ATS3:ATU3"/>
    <mergeCell ref="ATV3:ATX3"/>
    <mergeCell ref="ATD5:ATF5"/>
    <mergeCell ref="ATG5:ATI5"/>
    <mergeCell ref="ATJ5:ATL5"/>
    <mergeCell ref="ATM5:ATO5"/>
    <mergeCell ref="ATP5:ATR5"/>
    <mergeCell ref="ATS5:ATU5"/>
    <mergeCell ref="ATV5:ATX5"/>
    <mergeCell ref="ATD6:ATF6"/>
    <mergeCell ref="ATG6:ATI6"/>
    <mergeCell ref="ATJ6:ATL6"/>
    <mergeCell ref="ATM6:ATO6"/>
    <mergeCell ref="ATP6:ATR6"/>
    <mergeCell ref="ATS6:ATU6"/>
    <mergeCell ref="ATV6:ATX6"/>
    <mergeCell ref="ATD7:ATF7"/>
    <mergeCell ref="ATG7:ATI7"/>
    <mergeCell ref="ATJ7:ATL7"/>
    <mergeCell ref="ATM7:ATO7"/>
    <mergeCell ref="ATP7:ATR7"/>
    <mergeCell ref="ATS7:ATU7"/>
    <mergeCell ref="ATV7:ATX7"/>
    <mergeCell ref="ATD8:ATF8"/>
    <mergeCell ref="ATG8:ATI8"/>
    <mergeCell ref="ATJ8:ATL8"/>
    <mergeCell ref="ATM8:ATO8"/>
    <mergeCell ref="ATP8:ATR8"/>
    <mergeCell ref="ATS8:ATU8"/>
    <mergeCell ref="ATV8:ATX8"/>
    <mergeCell ref="ATD9:ATF9"/>
    <mergeCell ref="ATG9:ATI9"/>
    <mergeCell ref="ATJ9:ATL9"/>
    <mergeCell ref="ATM9:ATO9"/>
    <mergeCell ref="ATP9:ATR9"/>
    <mergeCell ref="ATS9:ATU9"/>
    <mergeCell ref="ATV9:ATX9"/>
    <mergeCell ref="ATD10:ATF10"/>
    <mergeCell ref="ATG10:ATI10"/>
    <mergeCell ref="ATJ10:ATL10"/>
    <mergeCell ref="ATM10:ATO10"/>
    <mergeCell ref="ATP10:ATR10"/>
    <mergeCell ref="ATS10:ATU10"/>
    <mergeCell ref="ATV10:ATX10"/>
    <mergeCell ref="ATD11:ATF11"/>
    <mergeCell ref="ATG11:ATI11"/>
    <mergeCell ref="ATJ11:ATL11"/>
    <mergeCell ref="ATM11:ATO11"/>
    <mergeCell ref="ATP11:ATR11"/>
    <mergeCell ref="ATS11:ATU11"/>
    <mergeCell ref="ATV11:ATX11"/>
    <mergeCell ref="ATD12:ATF12"/>
    <mergeCell ref="ATG12:ATI12"/>
    <mergeCell ref="ATJ12:ATL12"/>
    <mergeCell ref="ATM12:ATO12"/>
    <mergeCell ref="ATP12:ATR12"/>
    <mergeCell ref="ATS12:ATU12"/>
    <mergeCell ref="ATV12:ATX12"/>
    <mergeCell ref="ATD13:ATF13"/>
    <mergeCell ref="ATG13:ATI13"/>
    <mergeCell ref="ATJ13:ATL13"/>
    <mergeCell ref="ATM13:ATO13"/>
    <mergeCell ref="ATP13:ATR13"/>
    <mergeCell ref="ATS13:ATU13"/>
    <mergeCell ref="ATV13:ATX13"/>
    <mergeCell ref="ATD14:ATF14"/>
    <mergeCell ref="ATG14:ATI14"/>
    <mergeCell ref="ATJ14:ATL14"/>
    <mergeCell ref="ATM14:ATO14"/>
    <mergeCell ref="ATP14:ATR14"/>
    <mergeCell ref="ATS14:ATU14"/>
    <mergeCell ref="ATV14:ATX14"/>
    <mergeCell ref="ATD15:ATF15"/>
    <mergeCell ref="ATG15:ATI15"/>
    <mergeCell ref="ATJ15:ATL15"/>
    <mergeCell ref="ATM15:ATO15"/>
    <mergeCell ref="ATP15:ATR15"/>
    <mergeCell ref="ATS15:ATU15"/>
    <mergeCell ref="ATV15:ATX15"/>
    <mergeCell ref="ATD16:ATF16"/>
    <mergeCell ref="ATG16:ATI16"/>
    <mergeCell ref="ATJ16:ATL16"/>
    <mergeCell ref="ATM16:ATO16"/>
    <mergeCell ref="ATP16:ATR16"/>
    <mergeCell ref="ATS16:ATU16"/>
    <mergeCell ref="ATV16:ATX16"/>
    <mergeCell ref="ATG35:ATI35"/>
    <mergeCell ref="ATJ35:ATL35"/>
    <mergeCell ref="ATM35:ATO35"/>
    <mergeCell ref="ATP35:ATR35"/>
    <mergeCell ref="ATS35:ATU35"/>
    <mergeCell ref="ATV35:ATX35"/>
    <mergeCell ref="ATS30:ATU30"/>
    <mergeCell ref="ATV30:ATX30"/>
    <mergeCell ref="ATD31:ATF31"/>
    <mergeCell ref="ATG31:ATI31"/>
    <mergeCell ref="ATJ31:ATL31"/>
    <mergeCell ref="ATM31:ATO31"/>
    <mergeCell ref="ATP31:ATR31"/>
    <mergeCell ref="ATS31:ATU31"/>
    <mergeCell ref="ATV31:ATX31"/>
    <mergeCell ref="ATD32:ATF32"/>
    <mergeCell ref="ATD18:ATF18"/>
    <mergeCell ref="ATG18:ATI18"/>
    <mergeCell ref="ATJ18:ATL18"/>
    <mergeCell ref="ATM18:ATO18"/>
    <mergeCell ref="ATP18:ATR18"/>
    <mergeCell ref="ATS18:ATU18"/>
    <mergeCell ref="ATV18:ATX18"/>
    <mergeCell ref="ATG32:ATI32"/>
    <mergeCell ref="ATJ32:ATL32"/>
    <mergeCell ref="ATM32:ATO32"/>
    <mergeCell ref="ATP32:ATR32"/>
    <mergeCell ref="ATS32:ATU32"/>
    <mergeCell ref="ATV32:ATX32"/>
    <mergeCell ref="ATG27:ATI27"/>
    <mergeCell ref="ATJ27:ATL27"/>
    <mergeCell ref="ATM27:ATO27"/>
    <mergeCell ref="ATP27:ATR27"/>
    <mergeCell ref="ATS27:ATU27"/>
    <mergeCell ref="ATV27:ATX27"/>
    <mergeCell ref="ATS21:ATU21"/>
    <mergeCell ref="ATV21:ATX21"/>
    <mergeCell ref="ATD22:ATF22"/>
    <mergeCell ref="ATG22:ATI22"/>
    <mergeCell ref="ATJ22:ATL22"/>
    <mergeCell ref="ATM22:ATO22"/>
    <mergeCell ref="ATP22:ATR22"/>
    <mergeCell ref="ATS22:ATU22"/>
    <mergeCell ref="ATV22:ATX22"/>
    <mergeCell ref="ATD36:ATF36"/>
    <mergeCell ref="ATG36:ATI36"/>
    <mergeCell ref="ATJ36:ATL36"/>
    <mergeCell ref="ATM36:ATO36"/>
    <mergeCell ref="ATP36:ATR36"/>
    <mergeCell ref="ATS36:ATU36"/>
    <mergeCell ref="ATV36:ATX36"/>
    <mergeCell ref="ATD27:ATF27"/>
    <mergeCell ref="ATD29:ATF29"/>
    <mergeCell ref="ATG29:ATI29"/>
    <mergeCell ref="ATJ29:ATL29"/>
    <mergeCell ref="ATM29:ATO29"/>
    <mergeCell ref="ATP29:ATR29"/>
    <mergeCell ref="ATS29:ATU29"/>
    <mergeCell ref="ATV29:ATX29"/>
    <mergeCell ref="ATD30:ATF30"/>
    <mergeCell ref="ATG30:ATI30"/>
    <mergeCell ref="ATJ30:ATL30"/>
    <mergeCell ref="ATM30:ATO30"/>
    <mergeCell ref="ATP30:ATR30"/>
    <mergeCell ref="ATD38:ATF38"/>
    <mergeCell ref="ATG38:ATI38"/>
    <mergeCell ref="ATJ38:ATL38"/>
    <mergeCell ref="ATM38:ATO38"/>
    <mergeCell ref="ATP38:ATR38"/>
    <mergeCell ref="ATD39:ATF39"/>
    <mergeCell ref="ATD28:ATF28"/>
    <mergeCell ref="ATG28:ATI28"/>
    <mergeCell ref="ATJ28:ATL28"/>
    <mergeCell ref="ATM28:ATO28"/>
    <mergeCell ref="ATP28:ATR28"/>
    <mergeCell ref="ATS28:ATU28"/>
    <mergeCell ref="ATV28:ATX28"/>
    <mergeCell ref="ATS38:ATU38"/>
    <mergeCell ref="ATV38:ATX38"/>
    <mergeCell ref="ATD37:ATF37"/>
    <mergeCell ref="ATG37:ATI37"/>
    <mergeCell ref="ATJ37:ATL37"/>
    <mergeCell ref="ATM37:ATO37"/>
    <mergeCell ref="ATP37:ATR37"/>
    <mergeCell ref="ATS37:ATU37"/>
    <mergeCell ref="ATV37:ATX37"/>
    <mergeCell ref="ATD33:ATF33"/>
    <mergeCell ref="ATG33:ATI33"/>
    <mergeCell ref="ATJ33:ATL33"/>
    <mergeCell ref="ATM33:ATO33"/>
    <mergeCell ref="ATP33:ATR33"/>
    <mergeCell ref="ATS33:ATU33"/>
    <mergeCell ref="ATV33:ATX33"/>
    <mergeCell ref="ATD34:ATF34"/>
    <mergeCell ref="ATG34:ATI34"/>
    <mergeCell ref="ATJ34:ATL34"/>
    <mergeCell ref="ATM34:ATO34"/>
    <mergeCell ref="ATP34:ATR34"/>
    <mergeCell ref="ATS34:ATU34"/>
    <mergeCell ref="ATV34:ATX34"/>
    <mergeCell ref="ATD35:ATF35"/>
    <mergeCell ref="ATG39:ATI39"/>
    <mergeCell ref="ATJ39:ATL39"/>
    <mergeCell ref="ATM39:ATO39"/>
    <mergeCell ref="ATP39:ATR39"/>
    <mergeCell ref="ATS39:ATU39"/>
    <mergeCell ref="ATV39:ATX39"/>
    <mergeCell ref="ATD19:ATF19"/>
    <mergeCell ref="ATG19:ATI19"/>
    <mergeCell ref="ATJ19:ATL19"/>
    <mergeCell ref="ATM19:ATO19"/>
    <mergeCell ref="ATP19:ATR19"/>
    <mergeCell ref="ATS19:ATU19"/>
    <mergeCell ref="ATV19:ATX19"/>
    <mergeCell ref="ATD20:ATF20"/>
    <mergeCell ref="ATG20:ATI20"/>
    <mergeCell ref="ATJ20:ATL20"/>
    <mergeCell ref="ATM20:ATO20"/>
    <mergeCell ref="ATP20:ATR20"/>
    <mergeCell ref="ATS20:ATU20"/>
    <mergeCell ref="ATV20:ATX20"/>
    <mergeCell ref="ATD21:ATF21"/>
    <mergeCell ref="ATG21:ATI21"/>
    <mergeCell ref="ATJ21:ATL21"/>
    <mergeCell ref="ATM21:ATO21"/>
    <mergeCell ref="ATP21:ATR21"/>
    <mergeCell ref="ATP41:ATR41"/>
    <mergeCell ref="ATS41:ATU41"/>
    <mergeCell ref="ATV41:ATX41"/>
    <mergeCell ref="ATD40:ATF40"/>
    <mergeCell ref="ATG40:ATI40"/>
    <mergeCell ref="ATJ40:ATL40"/>
    <mergeCell ref="ATM40:ATO40"/>
    <mergeCell ref="ATP40:ATR40"/>
    <mergeCell ref="ATS40:ATU40"/>
    <mergeCell ref="ATV40:ATX40"/>
    <mergeCell ref="ATD41:ATF41"/>
    <mergeCell ref="ATG41:ATI41"/>
    <mergeCell ref="ATJ41:ATL41"/>
    <mergeCell ref="ATM41:ATO41"/>
    <mergeCell ref="ATD47:ATF47"/>
    <mergeCell ref="ATG47:ATI47"/>
    <mergeCell ref="ATJ47:ATL47"/>
    <mergeCell ref="ATM47:ATO47"/>
    <mergeCell ref="ATP47:ATR47"/>
    <mergeCell ref="ATS47:ATU47"/>
    <mergeCell ref="ATV47:ATX47"/>
    <mergeCell ref="ATD48:ATF48"/>
    <mergeCell ref="ATG48:ATI48"/>
    <mergeCell ref="ATJ48:ATL48"/>
    <mergeCell ref="ATM48:ATO48"/>
    <mergeCell ref="ATP48:ATR48"/>
    <mergeCell ref="ATS48:ATU48"/>
    <mergeCell ref="ATV48:ATX48"/>
    <mergeCell ref="ATD42:ATF42"/>
    <mergeCell ref="ATG42:ATI42"/>
    <mergeCell ref="ATJ42:ATL42"/>
    <mergeCell ref="ATM42:ATO42"/>
    <mergeCell ref="ATP42:ATR42"/>
    <mergeCell ref="ATS42:ATU42"/>
    <mergeCell ref="ATV42:ATX42"/>
    <mergeCell ref="ATD43:ATF43"/>
    <mergeCell ref="ATG43:ATI43"/>
    <mergeCell ref="ATJ43:ATL43"/>
    <mergeCell ref="ATM43:ATO43"/>
    <mergeCell ref="ATP43:ATR43"/>
    <mergeCell ref="ATS43:ATU43"/>
    <mergeCell ref="ATV43:ATX43"/>
    <mergeCell ref="ATD44:ATF44"/>
    <mergeCell ref="ATG44:ATI44"/>
    <mergeCell ref="ATJ44:ATL44"/>
    <mergeCell ref="ATM44:ATO44"/>
    <mergeCell ref="ATP44:ATR44"/>
    <mergeCell ref="ATS44:ATU44"/>
    <mergeCell ref="ATV44:ATX44"/>
    <mergeCell ref="ATD45:ATF45"/>
    <mergeCell ref="ATG45:ATI45"/>
    <mergeCell ref="ATJ45:ATL45"/>
    <mergeCell ref="ATM45:ATO45"/>
    <mergeCell ref="ATP45:ATR45"/>
    <mergeCell ref="ATS45:ATU45"/>
    <mergeCell ref="ATV45:ATX45"/>
    <mergeCell ref="ATD46:ATF46"/>
    <mergeCell ref="ATG46:ATI46"/>
    <mergeCell ref="ATJ46:ATL46"/>
    <mergeCell ref="ATM46:ATO46"/>
    <mergeCell ref="ATP46:ATR46"/>
    <mergeCell ref="ATS46:ATU46"/>
    <mergeCell ref="ATV46:ATX46"/>
    <mergeCell ref="ATD49:ATF49"/>
    <mergeCell ref="ATG49:ATI49"/>
    <mergeCell ref="ATJ49:ATL49"/>
    <mergeCell ref="ATM49:ATO49"/>
    <mergeCell ref="ATP49:ATR49"/>
    <mergeCell ref="ATS49:ATU49"/>
    <mergeCell ref="ATV49:ATX49"/>
    <mergeCell ref="ATD50:ATF50"/>
    <mergeCell ref="ATG50:ATI50"/>
    <mergeCell ref="ATJ50:ATL50"/>
    <mergeCell ref="ATM50:ATO50"/>
    <mergeCell ref="ATP50:ATR50"/>
    <mergeCell ref="ATS50:ATU50"/>
    <mergeCell ref="ATV50:ATX50"/>
    <mergeCell ref="ATD51:ATF51"/>
    <mergeCell ref="ATG51:ATI51"/>
    <mergeCell ref="ATJ51:ATL51"/>
    <mergeCell ref="ATM51:ATO51"/>
    <mergeCell ref="ATP51:ATR51"/>
    <mergeCell ref="ATS51:ATU51"/>
    <mergeCell ref="ATV51:ATX51"/>
    <mergeCell ref="ATD52:ATF52"/>
    <mergeCell ref="ATG52:ATI52"/>
    <mergeCell ref="ATJ52:ATL52"/>
    <mergeCell ref="ATM52:ATO52"/>
    <mergeCell ref="ATP52:ATR52"/>
    <mergeCell ref="ATS52:ATU52"/>
    <mergeCell ref="ATV52:ATX52"/>
    <mergeCell ref="ATD54:ATF54"/>
    <mergeCell ref="ATG54:ATI54"/>
    <mergeCell ref="ATJ54:ATL54"/>
    <mergeCell ref="ATM54:ATO54"/>
    <mergeCell ref="ATP54:ATR54"/>
    <mergeCell ref="ATS54:ATU54"/>
    <mergeCell ref="ATV54:ATX54"/>
    <mergeCell ref="ATD55:ATF55"/>
    <mergeCell ref="ATG55:ATI55"/>
    <mergeCell ref="ATJ55:ATL55"/>
    <mergeCell ref="ATM55:ATO55"/>
    <mergeCell ref="ATP55:ATR55"/>
    <mergeCell ref="ATS55:ATU55"/>
    <mergeCell ref="ATV55:ATX55"/>
    <mergeCell ref="ATD56:ATF56"/>
    <mergeCell ref="ATG56:ATI56"/>
    <mergeCell ref="ATJ56:ATL56"/>
    <mergeCell ref="ATM56:ATO56"/>
    <mergeCell ref="ATP56:ATR56"/>
    <mergeCell ref="ATS56:ATU56"/>
    <mergeCell ref="ATV56:ATX56"/>
    <mergeCell ref="ATD57:ATF57"/>
    <mergeCell ref="ATG57:ATI57"/>
    <mergeCell ref="ATJ57:ATL57"/>
    <mergeCell ref="ATM57:ATO57"/>
    <mergeCell ref="ATP57:ATR57"/>
    <mergeCell ref="ATS57:ATU57"/>
    <mergeCell ref="ATV57:ATX57"/>
    <mergeCell ref="ATD58:ATF58"/>
    <mergeCell ref="ATG58:ATI58"/>
    <mergeCell ref="ATJ58:ATL58"/>
    <mergeCell ref="ATM58:ATO58"/>
    <mergeCell ref="ATP58:ATR58"/>
    <mergeCell ref="ATS58:ATU58"/>
    <mergeCell ref="ATV58:ATX58"/>
    <mergeCell ref="ATD59:ATF59"/>
    <mergeCell ref="ATG59:ATI59"/>
    <mergeCell ref="ATJ59:ATL59"/>
    <mergeCell ref="ATM59:ATO59"/>
    <mergeCell ref="ATP59:ATR59"/>
    <mergeCell ref="ATS59:ATU59"/>
    <mergeCell ref="ATV59:ATX59"/>
    <mergeCell ref="ATD60:ATF60"/>
    <mergeCell ref="ATG60:ATI60"/>
    <mergeCell ref="ATJ60:ATL60"/>
    <mergeCell ref="ATM60:ATO60"/>
    <mergeCell ref="ATP60:ATR60"/>
    <mergeCell ref="ATS60:ATU60"/>
    <mergeCell ref="ATV60:ATX60"/>
    <mergeCell ref="ATD61:ATF61"/>
    <mergeCell ref="ATG61:ATI61"/>
    <mergeCell ref="ATJ61:ATL61"/>
    <mergeCell ref="ATM61:ATO61"/>
    <mergeCell ref="ATP61:ATR61"/>
    <mergeCell ref="ATS61:ATU61"/>
    <mergeCell ref="ATV61:ATX61"/>
    <mergeCell ref="ATY2:AUA2"/>
    <mergeCell ref="AUB2:AUD2"/>
    <mergeCell ref="AUE2:AUG2"/>
    <mergeCell ref="AUH2:AUJ2"/>
    <mergeCell ref="AUK2:AUM2"/>
    <mergeCell ref="AUN2:AUP2"/>
    <mergeCell ref="AUQ2:AUS2"/>
    <mergeCell ref="ATY3:AUA3"/>
    <mergeCell ref="AUB3:AUD3"/>
    <mergeCell ref="AUE3:AUG3"/>
    <mergeCell ref="AUH3:AUJ3"/>
    <mergeCell ref="AUK3:AUM3"/>
    <mergeCell ref="AUN3:AUP3"/>
    <mergeCell ref="AUQ3:AUS3"/>
    <mergeCell ref="ATY5:AUA5"/>
    <mergeCell ref="AUB5:AUD5"/>
    <mergeCell ref="AUE5:AUG5"/>
    <mergeCell ref="AUH5:AUJ5"/>
    <mergeCell ref="AUK5:AUM5"/>
    <mergeCell ref="AUN5:AUP5"/>
    <mergeCell ref="AUQ5:AUS5"/>
    <mergeCell ref="ATY6:AUA6"/>
    <mergeCell ref="AUB6:AUD6"/>
    <mergeCell ref="AUE6:AUG6"/>
    <mergeCell ref="AUH6:AUJ6"/>
    <mergeCell ref="AUK6:AUM6"/>
    <mergeCell ref="AUN6:AUP6"/>
    <mergeCell ref="AUQ6:AUS6"/>
    <mergeCell ref="ATY7:AUA7"/>
    <mergeCell ref="AUB7:AUD7"/>
    <mergeCell ref="AUE7:AUG7"/>
    <mergeCell ref="AUH7:AUJ7"/>
    <mergeCell ref="AUK7:AUM7"/>
    <mergeCell ref="AUN7:AUP7"/>
    <mergeCell ref="AUQ7:AUS7"/>
    <mergeCell ref="ATY8:AUA8"/>
    <mergeCell ref="AUB8:AUD8"/>
    <mergeCell ref="AUE8:AUG8"/>
    <mergeCell ref="AUH8:AUJ8"/>
    <mergeCell ref="AUK8:AUM8"/>
    <mergeCell ref="AUN8:AUP8"/>
    <mergeCell ref="AUQ8:AUS8"/>
    <mergeCell ref="ATY9:AUA9"/>
    <mergeCell ref="AUB9:AUD9"/>
    <mergeCell ref="AUE9:AUG9"/>
    <mergeCell ref="AUH9:AUJ9"/>
    <mergeCell ref="AUK9:AUM9"/>
    <mergeCell ref="AUN9:AUP9"/>
    <mergeCell ref="AUQ9:AUS9"/>
    <mergeCell ref="ATY10:AUA10"/>
    <mergeCell ref="ATY15:AUA15"/>
    <mergeCell ref="AUB15:AUD15"/>
    <mergeCell ref="AUE15:AUG15"/>
    <mergeCell ref="AUH15:AUJ15"/>
    <mergeCell ref="AUK15:AUM15"/>
    <mergeCell ref="AUN15:AUP15"/>
    <mergeCell ref="AUQ15:AUS15"/>
    <mergeCell ref="AUB10:AUD10"/>
    <mergeCell ref="AUE10:AUG10"/>
    <mergeCell ref="AUH10:AUJ10"/>
    <mergeCell ref="AUK10:AUM10"/>
    <mergeCell ref="AUN10:AUP10"/>
    <mergeCell ref="AUQ10:AUS10"/>
    <mergeCell ref="ATY11:AUA11"/>
    <mergeCell ref="AUB11:AUD11"/>
    <mergeCell ref="AUE11:AUG11"/>
    <mergeCell ref="AUH11:AUJ11"/>
    <mergeCell ref="AUK11:AUM11"/>
    <mergeCell ref="AUN11:AUP11"/>
    <mergeCell ref="AUQ11:AUS11"/>
    <mergeCell ref="ATY12:AUA12"/>
    <mergeCell ref="AUB12:AUD12"/>
    <mergeCell ref="AUE12:AUG12"/>
    <mergeCell ref="AUH12:AUJ12"/>
    <mergeCell ref="AUK12:AUM12"/>
    <mergeCell ref="AUN12:AUP12"/>
    <mergeCell ref="AUQ12:AUS12"/>
    <mergeCell ref="ATY13:AUA13"/>
    <mergeCell ref="AUB13:AUD13"/>
    <mergeCell ref="AUE13:AUG13"/>
    <mergeCell ref="AUH13:AUJ13"/>
    <mergeCell ref="AUK13:AUM13"/>
    <mergeCell ref="AUN13:AUP13"/>
    <mergeCell ref="AUQ13:AUS13"/>
    <mergeCell ref="ATY14:AUA14"/>
    <mergeCell ref="AUB14:AUD14"/>
    <mergeCell ref="AUE14:AUG14"/>
    <mergeCell ref="AUH14:AUJ14"/>
    <mergeCell ref="AUK14:AUM14"/>
    <mergeCell ref="AUN14:AUP14"/>
    <mergeCell ref="AUQ14:AUS14"/>
    <mergeCell ref="AUN16:AUP16"/>
    <mergeCell ref="AUQ16:AUS16"/>
    <mergeCell ref="AUB19:AUD19"/>
    <mergeCell ref="AUE19:AUG19"/>
    <mergeCell ref="AUH19:AUJ19"/>
    <mergeCell ref="AUK19:AUM19"/>
    <mergeCell ref="AUN19:AUP19"/>
    <mergeCell ref="AUQ19:AUS19"/>
    <mergeCell ref="ATY20:AUA20"/>
    <mergeCell ref="AUB20:AUD20"/>
    <mergeCell ref="AUE20:AUG20"/>
    <mergeCell ref="AUH20:AUJ20"/>
    <mergeCell ref="AUK20:AUM20"/>
    <mergeCell ref="AUN20:AUP20"/>
    <mergeCell ref="AUQ20:AUS20"/>
    <mergeCell ref="ATY21:AUA21"/>
    <mergeCell ref="AUB21:AUD21"/>
    <mergeCell ref="AUE21:AUG21"/>
    <mergeCell ref="AUH21:AUJ21"/>
    <mergeCell ref="AUK21:AUM21"/>
    <mergeCell ref="AUN21:AUP21"/>
    <mergeCell ref="AUQ21:AUS21"/>
    <mergeCell ref="ATY22:AUA22"/>
    <mergeCell ref="AUB22:AUD22"/>
    <mergeCell ref="AUE22:AUG22"/>
    <mergeCell ref="AUH22:AUJ22"/>
    <mergeCell ref="AUK22:AUM22"/>
    <mergeCell ref="AUN22:AUP22"/>
    <mergeCell ref="AUQ22:AUS22"/>
    <mergeCell ref="ATY16:AUA16"/>
    <mergeCell ref="AUB16:AUD16"/>
    <mergeCell ref="AUE16:AUG16"/>
    <mergeCell ref="AUH16:AUJ16"/>
    <mergeCell ref="AUK16:AUM16"/>
    <mergeCell ref="ATY33:AUA33"/>
    <mergeCell ref="AUB33:AUD33"/>
    <mergeCell ref="AUE33:AUG33"/>
    <mergeCell ref="AUH33:AUJ33"/>
    <mergeCell ref="AUK33:AUM33"/>
    <mergeCell ref="AUN33:AUP33"/>
    <mergeCell ref="AUQ33:AUS33"/>
    <mergeCell ref="AUK28:AUM28"/>
    <mergeCell ref="AUN28:AUP28"/>
    <mergeCell ref="AUQ28:AUS28"/>
    <mergeCell ref="ATY28:AUA28"/>
    <mergeCell ref="AUB28:AUD28"/>
    <mergeCell ref="AUE28:AUG28"/>
    <mergeCell ref="AUH28:AUJ28"/>
    <mergeCell ref="ATY38:AUA38"/>
    <mergeCell ref="AUB38:AUD38"/>
    <mergeCell ref="AUE38:AUG38"/>
    <mergeCell ref="AUK38:AUM38"/>
    <mergeCell ref="AUN38:AUP38"/>
    <mergeCell ref="AUQ38:AUS38"/>
    <mergeCell ref="AUN37:AUP37"/>
    <mergeCell ref="AUQ37:AUS37"/>
    <mergeCell ref="AUQ18:AUS18"/>
    <mergeCell ref="ATY27:AUA27"/>
    <mergeCell ref="AUB27:AUD27"/>
    <mergeCell ref="AUE27:AUG27"/>
    <mergeCell ref="AUH27:AUJ27"/>
    <mergeCell ref="AUK27:AUM27"/>
    <mergeCell ref="ATY29:AUA29"/>
    <mergeCell ref="AUB29:AUD29"/>
    <mergeCell ref="AUE29:AUG29"/>
    <mergeCell ref="AUH29:AUJ29"/>
    <mergeCell ref="AUK29:AUM29"/>
    <mergeCell ref="AUN29:AUP29"/>
    <mergeCell ref="AUQ29:AUS29"/>
    <mergeCell ref="ATY30:AUA30"/>
    <mergeCell ref="AUB30:AUD30"/>
    <mergeCell ref="AUE30:AUG30"/>
    <mergeCell ref="AUH30:AUJ30"/>
    <mergeCell ref="AUK30:AUM30"/>
    <mergeCell ref="AUN30:AUP30"/>
    <mergeCell ref="AUQ30:AUS30"/>
    <mergeCell ref="ATY31:AUA31"/>
    <mergeCell ref="AUB31:AUD31"/>
    <mergeCell ref="AUE31:AUG31"/>
    <mergeCell ref="AUH31:AUJ31"/>
    <mergeCell ref="AUK31:AUM31"/>
    <mergeCell ref="AUN31:AUP31"/>
    <mergeCell ref="AUQ31:AUS31"/>
    <mergeCell ref="ATY32:AUA32"/>
    <mergeCell ref="AUB32:AUD32"/>
    <mergeCell ref="AUE32:AUG32"/>
    <mergeCell ref="AUH32:AUJ32"/>
    <mergeCell ref="AUK32:AUM32"/>
    <mergeCell ref="AUN32:AUP32"/>
    <mergeCell ref="AUQ32:AUS32"/>
    <mergeCell ref="ATY19:AUA19"/>
    <mergeCell ref="ATY37:AUA37"/>
    <mergeCell ref="AUB37:AUD37"/>
    <mergeCell ref="AUE37:AUG37"/>
    <mergeCell ref="AUH37:AUJ37"/>
    <mergeCell ref="AUK37:AUM37"/>
    <mergeCell ref="ATY34:AUA34"/>
    <mergeCell ref="AUB34:AUD34"/>
    <mergeCell ref="AUE34:AUG34"/>
    <mergeCell ref="AUH34:AUJ34"/>
    <mergeCell ref="AUK34:AUM34"/>
    <mergeCell ref="AUN34:AUP34"/>
    <mergeCell ref="AUQ34:AUS34"/>
    <mergeCell ref="ATY35:AUA35"/>
    <mergeCell ref="AUB35:AUD35"/>
    <mergeCell ref="AUE35:AUG35"/>
    <mergeCell ref="AUH35:AUJ35"/>
    <mergeCell ref="AUK35:AUM35"/>
    <mergeCell ref="AUN35:AUP35"/>
    <mergeCell ref="AUQ35:AUS35"/>
    <mergeCell ref="ATY39:AUA39"/>
    <mergeCell ref="AUB39:AUD39"/>
    <mergeCell ref="AUE39:AUG39"/>
    <mergeCell ref="AUH39:AUJ39"/>
    <mergeCell ref="AUK39:AUM39"/>
    <mergeCell ref="AUN39:AUP39"/>
    <mergeCell ref="AUQ39:AUS39"/>
    <mergeCell ref="ATY36:AUA36"/>
    <mergeCell ref="AUB36:AUD36"/>
    <mergeCell ref="AUE36:AUG36"/>
    <mergeCell ref="AUH36:AUJ36"/>
    <mergeCell ref="AUK36:AUM36"/>
    <mergeCell ref="AUN36:AUP36"/>
    <mergeCell ref="AUQ36:AUS36"/>
    <mergeCell ref="ATY40:AUA40"/>
    <mergeCell ref="AUB40:AUD40"/>
    <mergeCell ref="AUE40:AUG40"/>
    <mergeCell ref="AUH40:AUJ40"/>
    <mergeCell ref="AUK40:AUM40"/>
    <mergeCell ref="AUN40:AUP40"/>
    <mergeCell ref="AUQ40:AUS40"/>
    <mergeCell ref="ATY41:AUA41"/>
    <mergeCell ref="AUB41:AUD41"/>
    <mergeCell ref="AUE41:AUG41"/>
    <mergeCell ref="AUH41:AUJ41"/>
    <mergeCell ref="AUK41:AUM41"/>
    <mergeCell ref="AUN41:AUP41"/>
    <mergeCell ref="AUQ41:AUS41"/>
    <mergeCell ref="ATY42:AUA42"/>
    <mergeCell ref="AUB42:AUD42"/>
    <mergeCell ref="AUE42:AUG42"/>
    <mergeCell ref="AUH42:AUJ42"/>
    <mergeCell ref="AUK42:AUM42"/>
    <mergeCell ref="AUN42:AUP42"/>
    <mergeCell ref="AUQ42:AUS42"/>
    <mergeCell ref="ATY43:AUA43"/>
    <mergeCell ref="AUB43:AUD43"/>
    <mergeCell ref="AUE43:AUG43"/>
    <mergeCell ref="AUH43:AUJ43"/>
    <mergeCell ref="AUK43:AUM43"/>
    <mergeCell ref="AUN43:AUP43"/>
    <mergeCell ref="AUQ43:AUS43"/>
    <mergeCell ref="ATY44:AUA44"/>
    <mergeCell ref="AUB44:AUD44"/>
    <mergeCell ref="AUE44:AUG44"/>
    <mergeCell ref="AUH44:AUJ44"/>
    <mergeCell ref="AUK44:AUM44"/>
    <mergeCell ref="AUN44:AUP44"/>
    <mergeCell ref="AUQ44:AUS44"/>
    <mergeCell ref="ATY45:AUA45"/>
    <mergeCell ref="AUB45:AUD45"/>
    <mergeCell ref="AUE45:AUG45"/>
    <mergeCell ref="AUH45:AUJ45"/>
    <mergeCell ref="AUK45:AUM45"/>
    <mergeCell ref="AUN45:AUP45"/>
    <mergeCell ref="AUQ45:AUS45"/>
    <mergeCell ref="ATY46:AUA46"/>
    <mergeCell ref="AUB46:AUD46"/>
    <mergeCell ref="AUE46:AUG46"/>
    <mergeCell ref="AUH46:AUJ46"/>
    <mergeCell ref="AUK46:AUM46"/>
    <mergeCell ref="AUN46:AUP46"/>
    <mergeCell ref="AUQ46:AUS46"/>
    <mergeCell ref="ATY47:AUA47"/>
    <mergeCell ref="AUB47:AUD47"/>
    <mergeCell ref="AUE47:AUG47"/>
    <mergeCell ref="AUH47:AUJ47"/>
    <mergeCell ref="AUK47:AUM47"/>
    <mergeCell ref="AUN47:AUP47"/>
    <mergeCell ref="AUQ47:AUS47"/>
    <mergeCell ref="ATY48:AUA48"/>
    <mergeCell ref="AUB48:AUD48"/>
    <mergeCell ref="AUE48:AUG48"/>
    <mergeCell ref="AUH48:AUJ48"/>
    <mergeCell ref="AUK48:AUM48"/>
    <mergeCell ref="AUN48:AUP48"/>
    <mergeCell ref="AUQ48:AUS48"/>
    <mergeCell ref="ATY49:AUA49"/>
    <mergeCell ref="AUB49:AUD49"/>
    <mergeCell ref="AUE49:AUG49"/>
    <mergeCell ref="AUH49:AUJ49"/>
    <mergeCell ref="AUK49:AUM49"/>
    <mergeCell ref="AUN49:AUP49"/>
    <mergeCell ref="AUQ49:AUS49"/>
    <mergeCell ref="ATY50:AUA50"/>
    <mergeCell ref="AUB50:AUD50"/>
    <mergeCell ref="AUE50:AUG50"/>
    <mergeCell ref="AUH50:AUJ50"/>
    <mergeCell ref="AUK50:AUM50"/>
    <mergeCell ref="AUN50:AUP50"/>
    <mergeCell ref="AUQ50:AUS50"/>
    <mergeCell ref="ATY51:AUA51"/>
    <mergeCell ref="AUB51:AUD51"/>
    <mergeCell ref="AUE51:AUG51"/>
    <mergeCell ref="AUH51:AUJ51"/>
    <mergeCell ref="AUK51:AUM51"/>
    <mergeCell ref="AUN51:AUP51"/>
    <mergeCell ref="AUQ51:AUS51"/>
    <mergeCell ref="ATY52:AUA52"/>
    <mergeCell ref="AUB52:AUD52"/>
    <mergeCell ref="AUE52:AUG52"/>
    <mergeCell ref="AUH52:AUJ52"/>
    <mergeCell ref="AUK52:AUM52"/>
    <mergeCell ref="AUN52:AUP52"/>
    <mergeCell ref="AUQ52:AUS52"/>
    <mergeCell ref="AUB55:AUD55"/>
    <mergeCell ref="AUE55:AUG55"/>
    <mergeCell ref="AUH55:AUJ55"/>
    <mergeCell ref="AUK55:AUM55"/>
    <mergeCell ref="AUN55:AUP55"/>
    <mergeCell ref="AUQ55:AUS55"/>
    <mergeCell ref="ATY56:AUA56"/>
    <mergeCell ref="AUB56:AUD56"/>
    <mergeCell ref="AUE56:AUG56"/>
    <mergeCell ref="AUH56:AUJ56"/>
    <mergeCell ref="AUK56:AUM56"/>
    <mergeCell ref="AUN56:AUP56"/>
    <mergeCell ref="AUQ56:AUS56"/>
    <mergeCell ref="ATY57:AUA57"/>
    <mergeCell ref="AUB57:AUD57"/>
    <mergeCell ref="AUE57:AUG57"/>
    <mergeCell ref="AUH57:AUJ57"/>
    <mergeCell ref="AUK57:AUM57"/>
    <mergeCell ref="AUN57:AUP57"/>
    <mergeCell ref="AUQ57:AUS57"/>
    <mergeCell ref="ATY58:AUA58"/>
    <mergeCell ref="AUB58:AUD58"/>
    <mergeCell ref="AUE58:AUG58"/>
    <mergeCell ref="AUH58:AUJ58"/>
    <mergeCell ref="AUK58:AUM58"/>
    <mergeCell ref="AUN58:AUP58"/>
    <mergeCell ref="AUQ58:AUS58"/>
    <mergeCell ref="ATY59:AUA59"/>
    <mergeCell ref="AUB59:AUD59"/>
    <mergeCell ref="AUE59:AUG59"/>
    <mergeCell ref="AUH59:AUJ59"/>
    <mergeCell ref="AUK59:AUM59"/>
    <mergeCell ref="AUN59:AUP59"/>
    <mergeCell ref="AUQ59:AUS59"/>
    <mergeCell ref="ATY60:AUA60"/>
    <mergeCell ref="AUB60:AUD60"/>
    <mergeCell ref="AUE60:AUG60"/>
    <mergeCell ref="AUH60:AUJ60"/>
    <mergeCell ref="AUK60:AUM60"/>
    <mergeCell ref="AUN60:AUP60"/>
    <mergeCell ref="AUQ60:AUS60"/>
    <mergeCell ref="ATY61:AUA61"/>
    <mergeCell ref="AUB61:AUD61"/>
    <mergeCell ref="AUE61:AUG61"/>
    <mergeCell ref="AUH61:AUJ61"/>
    <mergeCell ref="AUK61:AUM61"/>
    <mergeCell ref="AUN61:AUP61"/>
    <mergeCell ref="AUQ61:AUS61"/>
    <mergeCell ref="AUT2:AUV2"/>
    <mergeCell ref="AUW2:AUY2"/>
    <mergeCell ref="AUZ2:AVB2"/>
    <mergeCell ref="AVC2:AVE2"/>
    <mergeCell ref="AVF2:AVH2"/>
    <mergeCell ref="AUT9:AUV9"/>
    <mergeCell ref="AUW9:AUY9"/>
    <mergeCell ref="AUZ9:AVB9"/>
    <mergeCell ref="AVC9:AVE9"/>
    <mergeCell ref="AVF9:AVH9"/>
    <mergeCell ref="AUT15:AUV15"/>
    <mergeCell ref="AUW15:AUY15"/>
    <mergeCell ref="AUZ15:AVB15"/>
    <mergeCell ref="AVC15:AVE15"/>
    <mergeCell ref="AVF15:AVH15"/>
    <mergeCell ref="ATY54:AUA54"/>
    <mergeCell ref="AUB54:AUD54"/>
    <mergeCell ref="AUE54:AUG54"/>
    <mergeCell ref="AUH54:AUJ54"/>
    <mergeCell ref="AUK54:AUM54"/>
    <mergeCell ref="AUN54:AUP54"/>
    <mergeCell ref="AUQ54:AUS54"/>
    <mergeCell ref="ATY55:AUA55"/>
    <mergeCell ref="AVI2:AVK2"/>
    <mergeCell ref="AVL2:AVN2"/>
    <mergeCell ref="AUT3:AUV3"/>
    <mergeCell ref="AUW3:AUY3"/>
    <mergeCell ref="AUZ3:AVB3"/>
    <mergeCell ref="AVC3:AVE3"/>
    <mergeCell ref="AVF3:AVH3"/>
    <mergeCell ref="AVI3:AVK3"/>
    <mergeCell ref="AVL3:AVN3"/>
    <mergeCell ref="AUT5:AUV5"/>
    <mergeCell ref="AUW5:AUY5"/>
    <mergeCell ref="AUZ5:AVB5"/>
    <mergeCell ref="AVC5:AVE5"/>
    <mergeCell ref="AVF5:AVH5"/>
    <mergeCell ref="AVI5:AVK5"/>
    <mergeCell ref="AVL5:AVN5"/>
    <mergeCell ref="AUT6:AUV6"/>
    <mergeCell ref="AUW6:AUY6"/>
    <mergeCell ref="AUZ6:AVB6"/>
    <mergeCell ref="AVC6:AVE6"/>
    <mergeCell ref="AVF6:AVH6"/>
    <mergeCell ref="AVI6:AVK6"/>
    <mergeCell ref="AVL6:AVN6"/>
    <mergeCell ref="AUT7:AUV7"/>
    <mergeCell ref="AUW7:AUY7"/>
    <mergeCell ref="AUZ7:AVB7"/>
    <mergeCell ref="AVC7:AVE7"/>
    <mergeCell ref="AVF7:AVH7"/>
    <mergeCell ref="AVI7:AVK7"/>
    <mergeCell ref="AVL7:AVN7"/>
    <mergeCell ref="AUT8:AUV8"/>
    <mergeCell ref="AUW8:AUY8"/>
    <mergeCell ref="AUZ8:AVB8"/>
    <mergeCell ref="AVC8:AVE8"/>
    <mergeCell ref="AVF8:AVH8"/>
    <mergeCell ref="AVI8:AVK8"/>
    <mergeCell ref="AVL8:AVN8"/>
    <mergeCell ref="AVI15:AVK15"/>
    <mergeCell ref="AVL15:AVN15"/>
    <mergeCell ref="AVI9:AVK9"/>
    <mergeCell ref="AVL9:AVN9"/>
    <mergeCell ref="AUT10:AUV10"/>
    <mergeCell ref="AUW10:AUY10"/>
    <mergeCell ref="AUZ10:AVB10"/>
    <mergeCell ref="AVC10:AVE10"/>
    <mergeCell ref="AVF10:AVH10"/>
    <mergeCell ref="AVI10:AVK10"/>
    <mergeCell ref="AVL10:AVN10"/>
    <mergeCell ref="AUT11:AUV11"/>
    <mergeCell ref="AUW11:AUY11"/>
    <mergeCell ref="AUZ11:AVB11"/>
    <mergeCell ref="AVC11:AVE11"/>
    <mergeCell ref="AVF11:AVH11"/>
    <mergeCell ref="AVI11:AVK11"/>
    <mergeCell ref="AVL11:AVN11"/>
    <mergeCell ref="AUT12:AUV12"/>
    <mergeCell ref="AUW12:AUY12"/>
    <mergeCell ref="AUZ12:AVB12"/>
    <mergeCell ref="AVC12:AVE12"/>
    <mergeCell ref="AVF12:AVH12"/>
    <mergeCell ref="AVI12:AVK12"/>
    <mergeCell ref="AVL12:AVN12"/>
    <mergeCell ref="AUT13:AUV13"/>
    <mergeCell ref="AUW13:AUY13"/>
    <mergeCell ref="AUZ13:AVB13"/>
    <mergeCell ref="AVC13:AVE13"/>
    <mergeCell ref="AVF13:AVH13"/>
    <mergeCell ref="AVI13:AVK13"/>
    <mergeCell ref="AVL13:AVN13"/>
    <mergeCell ref="AUT14:AUV14"/>
    <mergeCell ref="AUW14:AUY14"/>
    <mergeCell ref="AUZ14:AVB14"/>
    <mergeCell ref="AVC14:AVE14"/>
    <mergeCell ref="AVF14:AVH14"/>
    <mergeCell ref="AVI14:AVK14"/>
    <mergeCell ref="AVL14:AVN14"/>
    <mergeCell ref="AVL31:AVN31"/>
    <mergeCell ref="AVF22:AVH22"/>
    <mergeCell ref="AVI22:AVK22"/>
    <mergeCell ref="AVL22:AVN22"/>
    <mergeCell ref="AVC27:AVE27"/>
    <mergeCell ref="AUT19:AUV19"/>
    <mergeCell ref="AUW19:AUY19"/>
    <mergeCell ref="AUZ19:AVB19"/>
    <mergeCell ref="AVC19:AVE19"/>
    <mergeCell ref="AVF19:AVH19"/>
    <mergeCell ref="AVI19:AVK19"/>
    <mergeCell ref="AVL19:AVN19"/>
    <mergeCell ref="AUT20:AUV20"/>
    <mergeCell ref="AUW20:AUY20"/>
    <mergeCell ref="AUZ20:AVB20"/>
    <mergeCell ref="AVC20:AVE20"/>
    <mergeCell ref="AVF20:AVH20"/>
    <mergeCell ref="AVI20:AVK20"/>
    <mergeCell ref="AVL20:AVN20"/>
    <mergeCell ref="AUT21:AUV21"/>
    <mergeCell ref="AUW21:AUY21"/>
    <mergeCell ref="AUZ21:AVB21"/>
    <mergeCell ref="AVC21:AVE21"/>
    <mergeCell ref="AVF21:AVH21"/>
    <mergeCell ref="AVI21:AVK21"/>
    <mergeCell ref="AVL21:AVN21"/>
    <mergeCell ref="AUT16:AUV16"/>
    <mergeCell ref="AUW16:AUY16"/>
    <mergeCell ref="AUZ16:AVB16"/>
    <mergeCell ref="AVC16:AVE16"/>
    <mergeCell ref="AVF16:AVH16"/>
    <mergeCell ref="AVI16:AVK16"/>
    <mergeCell ref="AVL16:AVN16"/>
    <mergeCell ref="AUT36:AUV36"/>
    <mergeCell ref="AUW36:AUY36"/>
    <mergeCell ref="AUZ36:AVB36"/>
    <mergeCell ref="AVC36:AVE36"/>
    <mergeCell ref="AVF36:AVH36"/>
    <mergeCell ref="AVI36:AVK36"/>
    <mergeCell ref="AVL36:AVN36"/>
    <mergeCell ref="AUT28:AUV28"/>
    <mergeCell ref="AUW28:AUY28"/>
    <mergeCell ref="AUZ28:AVB28"/>
    <mergeCell ref="AVC28:AVE28"/>
    <mergeCell ref="AVF28:AVH28"/>
    <mergeCell ref="AUT37:AUV37"/>
    <mergeCell ref="AUW37:AUY37"/>
    <mergeCell ref="AUZ37:AVB37"/>
    <mergeCell ref="AVC37:AVE37"/>
    <mergeCell ref="AVF37:AVH37"/>
    <mergeCell ref="AVI37:AVK37"/>
    <mergeCell ref="AUT38:AUV38"/>
    <mergeCell ref="AUW38:AUY38"/>
    <mergeCell ref="AUZ38:AVB38"/>
    <mergeCell ref="AVC38:AVE38"/>
    <mergeCell ref="AVF38:AVH38"/>
    <mergeCell ref="AVI38:AVK38"/>
    <mergeCell ref="AVL38:AVN38"/>
    <mergeCell ref="AUT29:AUV29"/>
    <mergeCell ref="AUW29:AUY29"/>
    <mergeCell ref="AUZ29:AVB29"/>
    <mergeCell ref="AVC29:AVE29"/>
    <mergeCell ref="AVF29:AVH29"/>
    <mergeCell ref="AVI29:AVK29"/>
    <mergeCell ref="AVL29:AVN29"/>
    <mergeCell ref="AUT30:AUV30"/>
    <mergeCell ref="AUW30:AUY30"/>
    <mergeCell ref="AUZ30:AVB30"/>
    <mergeCell ref="AVC30:AVE30"/>
    <mergeCell ref="AVF30:AVH30"/>
    <mergeCell ref="AVI30:AVK30"/>
    <mergeCell ref="AVL30:AVN30"/>
    <mergeCell ref="AUT31:AUV31"/>
    <mergeCell ref="AUW31:AUY31"/>
    <mergeCell ref="AUZ31:AVB31"/>
    <mergeCell ref="AVC31:AVE31"/>
    <mergeCell ref="AVF31:AVH31"/>
    <mergeCell ref="AVI31:AVK31"/>
    <mergeCell ref="AUT32:AUV32"/>
    <mergeCell ref="AUW32:AUY32"/>
    <mergeCell ref="AUZ32:AVB32"/>
    <mergeCell ref="AVC32:AVE32"/>
    <mergeCell ref="AVF32:AVH32"/>
    <mergeCell ref="AVL37:AVN37"/>
    <mergeCell ref="AUT40:AUV40"/>
    <mergeCell ref="AUW40:AUY40"/>
    <mergeCell ref="AUZ40:AVB40"/>
    <mergeCell ref="AVC40:AVE40"/>
    <mergeCell ref="AVF40:AVH40"/>
    <mergeCell ref="AVI40:AVK40"/>
    <mergeCell ref="AVL40:AVN40"/>
    <mergeCell ref="AUT41:AUV41"/>
    <mergeCell ref="AUW41:AUY41"/>
    <mergeCell ref="AUZ41:AVB41"/>
    <mergeCell ref="AVC41:AVE41"/>
    <mergeCell ref="AVF41:AVH41"/>
    <mergeCell ref="AVI41:AVK41"/>
    <mergeCell ref="AVL41:AVN41"/>
    <mergeCell ref="AUT42:AUV42"/>
    <mergeCell ref="AUW42:AUY42"/>
    <mergeCell ref="AUZ42:AVB42"/>
    <mergeCell ref="AVC42:AVE42"/>
    <mergeCell ref="AVF42:AVH42"/>
    <mergeCell ref="AVI42:AVK42"/>
    <mergeCell ref="AVL42:AVN42"/>
    <mergeCell ref="AUT43:AUV43"/>
    <mergeCell ref="AUW43:AUY43"/>
    <mergeCell ref="AUZ43:AVB43"/>
    <mergeCell ref="AVC43:AVE43"/>
    <mergeCell ref="AVF43:AVH43"/>
    <mergeCell ref="AVI43:AVK43"/>
    <mergeCell ref="AVL43:AVN43"/>
    <mergeCell ref="AUT44:AUV44"/>
    <mergeCell ref="AUW44:AUY44"/>
    <mergeCell ref="AUZ44:AVB44"/>
    <mergeCell ref="AVC44:AVE44"/>
    <mergeCell ref="AVF44:AVH44"/>
    <mergeCell ref="AVI44:AVK44"/>
    <mergeCell ref="AVL44:AVN44"/>
    <mergeCell ref="AUT45:AUV45"/>
    <mergeCell ref="AUW45:AUY45"/>
    <mergeCell ref="AUZ45:AVB45"/>
    <mergeCell ref="AVC45:AVE45"/>
    <mergeCell ref="AVF45:AVH45"/>
    <mergeCell ref="AVI45:AVK45"/>
    <mergeCell ref="AVL45:AVN45"/>
    <mergeCell ref="AUT46:AUV46"/>
    <mergeCell ref="AUW46:AUY46"/>
    <mergeCell ref="AUZ46:AVB46"/>
    <mergeCell ref="AVC46:AVE46"/>
    <mergeCell ref="AVF46:AVH46"/>
    <mergeCell ref="AVI46:AVK46"/>
    <mergeCell ref="AVL46:AVN46"/>
    <mergeCell ref="AUT47:AUV47"/>
    <mergeCell ref="AUW47:AUY47"/>
    <mergeCell ref="AUZ47:AVB47"/>
    <mergeCell ref="AVC47:AVE47"/>
    <mergeCell ref="AVF47:AVH47"/>
    <mergeCell ref="AVI47:AVK47"/>
    <mergeCell ref="AVL47:AVN47"/>
    <mergeCell ref="AUT48:AUV48"/>
    <mergeCell ref="AUW48:AUY48"/>
    <mergeCell ref="AUZ48:AVB48"/>
    <mergeCell ref="AVC48:AVE48"/>
    <mergeCell ref="AVF48:AVH48"/>
    <mergeCell ref="AVI48:AVK48"/>
    <mergeCell ref="AVL48:AVN48"/>
    <mergeCell ref="AUT49:AUV49"/>
    <mergeCell ref="AUW49:AUY49"/>
    <mergeCell ref="AUZ49:AVB49"/>
    <mergeCell ref="AVC49:AVE49"/>
    <mergeCell ref="AVF49:AVH49"/>
    <mergeCell ref="AVI49:AVK49"/>
    <mergeCell ref="AVL49:AVN49"/>
    <mergeCell ref="AUT50:AUV50"/>
    <mergeCell ref="AUW50:AUY50"/>
    <mergeCell ref="AUZ50:AVB50"/>
    <mergeCell ref="AVC50:AVE50"/>
    <mergeCell ref="AVF50:AVH50"/>
    <mergeCell ref="AVI50:AVK50"/>
    <mergeCell ref="AVL50:AVN50"/>
    <mergeCell ref="AUT51:AUV51"/>
    <mergeCell ref="AUW51:AUY51"/>
    <mergeCell ref="AUZ51:AVB51"/>
    <mergeCell ref="AVC51:AVE51"/>
    <mergeCell ref="AVF51:AVH51"/>
    <mergeCell ref="AVI51:AVK51"/>
    <mergeCell ref="AVL51:AVN51"/>
    <mergeCell ref="AUT52:AUV52"/>
    <mergeCell ref="AUW52:AUY52"/>
    <mergeCell ref="AUZ52:AVB52"/>
    <mergeCell ref="AVC52:AVE52"/>
    <mergeCell ref="AVF52:AVH52"/>
    <mergeCell ref="AVI52:AVK52"/>
    <mergeCell ref="AVL52:AVN52"/>
    <mergeCell ref="AUT58:AUV58"/>
    <mergeCell ref="AUW58:AUY58"/>
    <mergeCell ref="AUZ58:AVB58"/>
    <mergeCell ref="AVC58:AVE58"/>
    <mergeCell ref="AVF58:AVH58"/>
    <mergeCell ref="AVI58:AVK58"/>
    <mergeCell ref="AVL58:AVN58"/>
    <mergeCell ref="AUT59:AUV59"/>
    <mergeCell ref="AUW59:AUY59"/>
    <mergeCell ref="AUZ59:AVB59"/>
    <mergeCell ref="AVC59:AVE59"/>
    <mergeCell ref="AVF59:AVH59"/>
    <mergeCell ref="AVI59:AVK59"/>
    <mergeCell ref="AVL59:AVN59"/>
    <mergeCell ref="AUT60:AUV60"/>
    <mergeCell ref="AUW60:AUY60"/>
    <mergeCell ref="AUZ60:AVB60"/>
    <mergeCell ref="AVC60:AVE60"/>
    <mergeCell ref="AVF60:AVH60"/>
    <mergeCell ref="AVI60:AVK60"/>
    <mergeCell ref="AVL60:AVN60"/>
    <mergeCell ref="AUT61:AUV61"/>
    <mergeCell ref="AUW61:AUY61"/>
    <mergeCell ref="AUZ61:AVB61"/>
    <mergeCell ref="AVC61:AVE61"/>
    <mergeCell ref="AVF61:AVH61"/>
    <mergeCell ref="AVI61:AVK61"/>
    <mergeCell ref="AVL61:AVN61"/>
    <mergeCell ref="AUT54:AUV54"/>
    <mergeCell ref="AUW54:AUY54"/>
    <mergeCell ref="AUZ54:AVB54"/>
    <mergeCell ref="AVC54:AVE54"/>
    <mergeCell ref="AVF54:AVH54"/>
    <mergeCell ref="AVI54:AVK54"/>
    <mergeCell ref="AVL54:AVN54"/>
    <mergeCell ref="AUT55:AUV55"/>
    <mergeCell ref="AUW55:AUY55"/>
    <mergeCell ref="AUZ55:AVB55"/>
    <mergeCell ref="AVC55:AVE55"/>
    <mergeCell ref="AVF55:AVH55"/>
    <mergeCell ref="AVI55:AVK55"/>
    <mergeCell ref="AVL55:AVN55"/>
    <mergeCell ref="AUT56:AUV56"/>
    <mergeCell ref="AUW56:AUY56"/>
    <mergeCell ref="AUZ56:AVB56"/>
    <mergeCell ref="AVC56:AVE56"/>
    <mergeCell ref="AVF56:AVH56"/>
    <mergeCell ref="AVI56:AVK56"/>
    <mergeCell ref="AVL56:AVN56"/>
    <mergeCell ref="AUT57:AUV57"/>
    <mergeCell ref="AUW57:AUY57"/>
    <mergeCell ref="AUZ57:AVB57"/>
    <mergeCell ref="AVC57:AVE57"/>
    <mergeCell ref="AVF57:AVH57"/>
    <mergeCell ref="AVI57:AVK57"/>
    <mergeCell ref="AVL57:AVN57"/>
    <mergeCell ref="AVO2:AVQ2"/>
    <mergeCell ref="AVR2:AVT2"/>
    <mergeCell ref="AVU2:AVW2"/>
    <mergeCell ref="AVX2:AVZ2"/>
    <mergeCell ref="AWA2:AWC2"/>
    <mergeCell ref="AVO9:AVQ9"/>
    <mergeCell ref="AVR9:AVT9"/>
    <mergeCell ref="AVU9:AVW9"/>
    <mergeCell ref="AVX9:AVZ9"/>
    <mergeCell ref="AWA9:AWC9"/>
    <mergeCell ref="AVO15:AVQ15"/>
    <mergeCell ref="AVR15:AVT15"/>
    <mergeCell ref="AVU15:AVW15"/>
    <mergeCell ref="AVX15:AVZ15"/>
    <mergeCell ref="AWA15:AWC15"/>
    <mergeCell ref="AVX12:AVZ12"/>
    <mergeCell ref="AWA12:AWC12"/>
    <mergeCell ref="AWD2:AWF2"/>
    <mergeCell ref="AWG2:AWI2"/>
    <mergeCell ref="AVO3:AVQ3"/>
    <mergeCell ref="AVR3:AVT3"/>
    <mergeCell ref="AVU3:AVW3"/>
    <mergeCell ref="AVX3:AVZ3"/>
    <mergeCell ref="AWA3:AWC3"/>
    <mergeCell ref="AWD3:AWF3"/>
    <mergeCell ref="AWG3:AWI3"/>
    <mergeCell ref="AVO5:AVQ5"/>
    <mergeCell ref="AVR5:AVT5"/>
    <mergeCell ref="AVU5:AVW5"/>
    <mergeCell ref="AVX5:AVZ5"/>
    <mergeCell ref="AWA5:AWC5"/>
    <mergeCell ref="AWD5:AWF5"/>
    <mergeCell ref="AWG5:AWI5"/>
    <mergeCell ref="AVO6:AVQ6"/>
    <mergeCell ref="AVR6:AVT6"/>
    <mergeCell ref="AVU6:AVW6"/>
    <mergeCell ref="AVX6:AVZ6"/>
    <mergeCell ref="AWA6:AWC6"/>
    <mergeCell ref="AWD6:AWF6"/>
    <mergeCell ref="AWG6:AWI6"/>
    <mergeCell ref="AVO7:AVQ7"/>
    <mergeCell ref="AVR7:AVT7"/>
    <mergeCell ref="AVU7:AVW7"/>
    <mergeCell ref="AVX7:AVZ7"/>
    <mergeCell ref="AWA7:AWC7"/>
    <mergeCell ref="AWD7:AWF7"/>
    <mergeCell ref="AWG7:AWI7"/>
    <mergeCell ref="AVO8:AVQ8"/>
    <mergeCell ref="AVR8:AVT8"/>
    <mergeCell ref="AVU8:AVW8"/>
    <mergeCell ref="AVX8:AVZ8"/>
    <mergeCell ref="AWA8:AWC8"/>
    <mergeCell ref="AWD8:AWF8"/>
    <mergeCell ref="AWG8:AWI8"/>
    <mergeCell ref="AWD12:AWF12"/>
    <mergeCell ref="AWG12:AWI12"/>
    <mergeCell ref="AVO13:AVQ13"/>
    <mergeCell ref="AVR13:AVT13"/>
    <mergeCell ref="AVU13:AVW13"/>
    <mergeCell ref="AVX13:AVZ13"/>
    <mergeCell ref="AWA13:AWC13"/>
    <mergeCell ref="AWD13:AWF13"/>
    <mergeCell ref="AWG13:AWI13"/>
    <mergeCell ref="AVO14:AVQ14"/>
    <mergeCell ref="AVR14:AVT14"/>
    <mergeCell ref="AVU14:AVW14"/>
    <mergeCell ref="AVX14:AVZ14"/>
    <mergeCell ref="AWA14:AWC14"/>
    <mergeCell ref="AWD14:AWF14"/>
    <mergeCell ref="AWG14:AWI14"/>
    <mergeCell ref="AWD15:AWF15"/>
    <mergeCell ref="AWG15:AWI15"/>
    <mergeCell ref="AWD9:AWF9"/>
    <mergeCell ref="AWG9:AWI9"/>
    <mergeCell ref="AVO10:AVQ10"/>
    <mergeCell ref="AVR10:AVT10"/>
    <mergeCell ref="AVU10:AVW10"/>
    <mergeCell ref="AVX10:AVZ10"/>
    <mergeCell ref="AWA10:AWC10"/>
    <mergeCell ref="AWD10:AWF10"/>
    <mergeCell ref="AWG10:AWI10"/>
    <mergeCell ref="AVO11:AVQ11"/>
    <mergeCell ref="AVR11:AVT11"/>
    <mergeCell ref="AVU11:AVW11"/>
    <mergeCell ref="AVX11:AVZ11"/>
    <mergeCell ref="AWA11:AWC11"/>
    <mergeCell ref="AWD11:AWF11"/>
    <mergeCell ref="AWG11:AWI11"/>
    <mergeCell ref="AVO12:AVQ12"/>
    <mergeCell ref="AVR12:AVT12"/>
    <mergeCell ref="AVU12:AVW12"/>
    <mergeCell ref="AVO30:AVQ30"/>
    <mergeCell ref="AVR30:AVT30"/>
    <mergeCell ref="AVU30:AVW30"/>
    <mergeCell ref="AVX30:AVZ30"/>
    <mergeCell ref="AWA30:AWC30"/>
    <mergeCell ref="AWD30:AWF30"/>
    <mergeCell ref="AWG30:AWI30"/>
    <mergeCell ref="AVO31:AVQ31"/>
    <mergeCell ref="AVR31:AVT31"/>
    <mergeCell ref="AVU31:AVW31"/>
    <mergeCell ref="AVX31:AVZ31"/>
    <mergeCell ref="AWA31:AWC31"/>
    <mergeCell ref="AWD31:AWF31"/>
    <mergeCell ref="AWG31:AWI31"/>
    <mergeCell ref="AVO32:AVQ32"/>
    <mergeCell ref="AVR32:AVT32"/>
    <mergeCell ref="AVU32:AVW32"/>
    <mergeCell ref="AVX32:AVZ32"/>
    <mergeCell ref="AWA32:AWC32"/>
    <mergeCell ref="AWD32:AWF32"/>
    <mergeCell ref="AWG32:AWI32"/>
    <mergeCell ref="AVO33:AVQ33"/>
    <mergeCell ref="AVR33:AVT33"/>
    <mergeCell ref="AVU33:AVW33"/>
    <mergeCell ref="AVX33:AVZ33"/>
    <mergeCell ref="AWA33:AWC33"/>
    <mergeCell ref="AWD33:AWF33"/>
    <mergeCell ref="AWG33:AWI33"/>
    <mergeCell ref="AVO16:AVQ16"/>
    <mergeCell ref="AVR16:AVT16"/>
    <mergeCell ref="AVU16:AVW16"/>
    <mergeCell ref="AVX16:AVZ16"/>
    <mergeCell ref="AWA16:AWC16"/>
    <mergeCell ref="AWD16:AWF16"/>
    <mergeCell ref="AWG16:AWI16"/>
    <mergeCell ref="AWG18:AWI18"/>
    <mergeCell ref="AVU35:AVW35"/>
    <mergeCell ref="AVX35:AVZ35"/>
    <mergeCell ref="AWA35:AWC35"/>
    <mergeCell ref="AWD35:AWF35"/>
    <mergeCell ref="AWG35:AWI35"/>
    <mergeCell ref="AVO39:AVQ39"/>
    <mergeCell ref="AVR39:AVT39"/>
    <mergeCell ref="AVU39:AVW39"/>
    <mergeCell ref="AVX39:AVZ39"/>
    <mergeCell ref="AWA39:AWC39"/>
    <mergeCell ref="AWD39:AWF39"/>
    <mergeCell ref="AWG39:AWI39"/>
    <mergeCell ref="AVO19:AVQ19"/>
    <mergeCell ref="AVR19:AVT19"/>
    <mergeCell ref="AVU19:AVW19"/>
    <mergeCell ref="AVX19:AVZ19"/>
    <mergeCell ref="AWA19:AWC19"/>
    <mergeCell ref="AWD19:AWF19"/>
    <mergeCell ref="AWG19:AWI19"/>
    <mergeCell ref="AVO20:AVQ20"/>
    <mergeCell ref="AVR20:AVT20"/>
    <mergeCell ref="AVU20:AVW20"/>
    <mergeCell ref="AVX20:AVZ20"/>
    <mergeCell ref="AWA20:AWC20"/>
    <mergeCell ref="AWD20:AWF20"/>
    <mergeCell ref="AWG20:AWI20"/>
    <mergeCell ref="AVO21:AVQ21"/>
    <mergeCell ref="AVR21:AVT21"/>
    <mergeCell ref="AVU21:AVW21"/>
    <mergeCell ref="AVX21:AVZ21"/>
    <mergeCell ref="AWA21:AWC21"/>
    <mergeCell ref="AWD21:AWF21"/>
    <mergeCell ref="AWG21:AWI21"/>
    <mergeCell ref="AVO22:AVQ22"/>
    <mergeCell ref="AVR22:AVT22"/>
    <mergeCell ref="AVU22:AVW22"/>
    <mergeCell ref="AVX22:AVZ22"/>
    <mergeCell ref="AWA22:AWC22"/>
    <mergeCell ref="AWD22:AWF22"/>
    <mergeCell ref="AWG22:AWI22"/>
    <mergeCell ref="AVO36:AVQ36"/>
    <mergeCell ref="AVR36:AVT36"/>
    <mergeCell ref="AVU36:AVW36"/>
    <mergeCell ref="AVX36:AVZ36"/>
    <mergeCell ref="AWA36:AWC36"/>
    <mergeCell ref="AWD36:AWF36"/>
    <mergeCell ref="AWG36:AWI36"/>
    <mergeCell ref="AWG23:AWI23"/>
    <mergeCell ref="AVO29:AVQ29"/>
    <mergeCell ref="AVR29:AVT29"/>
    <mergeCell ref="AVU29:AVW29"/>
    <mergeCell ref="AVX29:AVZ29"/>
    <mergeCell ref="AWA29:AWC29"/>
    <mergeCell ref="AWD29:AWF29"/>
    <mergeCell ref="AWG29:AWI29"/>
    <mergeCell ref="AVO38:AVQ38"/>
    <mergeCell ref="AVR38:AVT38"/>
    <mergeCell ref="AVU38:AVW38"/>
    <mergeCell ref="AVX38:AVZ38"/>
    <mergeCell ref="AWA38:AWC38"/>
    <mergeCell ref="AWD38:AWF38"/>
    <mergeCell ref="AWG38:AWI38"/>
    <mergeCell ref="AVO37:AVQ37"/>
    <mergeCell ref="AVR37:AVT37"/>
    <mergeCell ref="AVU37:AVW37"/>
    <mergeCell ref="AVX37:AVZ37"/>
    <mergeCell ref="AWA37:AWC37"/>
    <mergeCell ref="AWD37:AWF37"/>
    <mergeCell ref="AWG37:AWI37"/>
    <mergeCell ref="AVO40:AVQ40"/>
    <mergeCell ref="AVR40:AVT40"/>
    <mergeCell ref="AVU40:AVW40"/>
    <mergeCell ref="AVX40:AVZ40"/>
    <mergeCell ref="AWA40:AWC40"/>
    <mergeCell ref="AWD40:AWF40"/>
    <mergeCell ref="AWG40:AWI40"/>
    <mergeCell ref="AVO41:AVQ41"/>
    <mergeCell ref="AVR41:AVT41"/>
    <mergeCell ref="AVU41:AVW41"/>
    <mergeCell ref="AVX41:AVZ41"/>
    <mergeCell ref="AWA41:AWC41"/>
    <mergeCell ref="AWD41:AWF41"/>
    <mergeCell ref="AWG41:AWI41"/>
    <mergeCell ref="AVO42:AVQ42"/>
    <mergeCell ref="AVR42:AVT42"/>
    <mergeCell ref="AVU42:AVW42"/>
    <mergeCell ref="AVX42:AVZ42"/>
    <mergeCell ref="AWA42:AWC42"/>
    <mergeCell ref="AWD42:AWF42"/>
    <mergeCell ref="AWG42:AWI42"/>
    <mergeCell ref="AVO43:AVQ43"/>
    <mergeCell ref="AVR43:AVT43"/>
    <mergeCell ref="AVU43:AVW43"/>
    <mergeCell ref="AVX43:AVZ43"/>
    <mergeCell ref="AWA43:AWC43"/>
    <mergeCell ref="AWD43:AWF43"/>
    <mergeCell ref="AWG43:AWI43"/>
    <mergeCell ref="AVO44:AVQ44"/>
    <mergeCell ref="AVR44:AVT44"/>
    <mergeCell ref="AVU44:AVW44"/>
    <mergeCell ref="AVX44:AVZ44"/>
    <mergeCell ref="AWA44:AWC44"/>
    <mergeCell ref="AWD44:AWF44"/>
    <mergeCell ref="AWG44:AWI44"/>
    <mergeCell ref="AVO45:AVQ45"/>
    <mergeCell ref="AVR45:AVT45"/>
    <mergeCell ref="AVU45:AVW45"/>
    <mergeCell ref="AVX45:AVZ45"/>
    <mergeCell ref="AWA45:AWC45"/>
    <mergeCell ref="AWD45:AWF45"/>
    <mergeCell ref="AWG45:AWI45"/>
    <mergeCell ref="AVO46:AVQ46"/>
    <mergeCell ref="AVR46:AVT46"/>
    <mergeCell ref="AVU46:AVW46"/>
    <mergeCell ref="AVX46:AVZ46"/>
    <mergeCell ref="AWA46:AWC46"/>
    <mergeCell ref="AWD46:AWF46"/>
    <mergeCell ref="AWG46:AWI46"/>
    <mergeCell ref="AVO47:AVQ47"/>
    <mergeCell ref="AVR47:AVT47"/>
    <mergeCell ref="AVU47:AVW47"/>
    <mergeCell ref="AVX47:AVZ47"/>
    <mergeCell ref="AWA47:AWC47"/>
    <mergeCell ref="AWD47:AWF47"/>
    <mergeCell ref="AWG47:AWI47"/>
    <mergeCell ref="AVO48:AVQ48"/>
    <mergeCell ref="AVR48:AVT48"/>
    <mergeCell ref="AVU48:AVW48"/>
    <mergeCell ref="AVX48:AVZ48"/>
    <mergeCell ref="AWA48:AWC48"/>
    <mergeCell ref="AWD48:AWF48"/>
    <mergeCell ref="AWG48:AWI48"/>
    <mergeCell ref="AVO49:AVQ49"/>
    <mergeCell ref="AVR49:AVT49"/>
    <mergeCell ref="AVU49:AVW49"/>
    <mergeCell ref="AVX49:AVZ49"/>
    <mergeCell ref="AWA49:AWC49"/>
    <mergeCell ref="AWD49:AWF49"/>
    <mergeCell ref="AWG49:AWI49"/>
    <mergeCell ref="AVO50:AVQ50"/>
    <mergeCell ref="AVR50:AVT50"/>
    <mergeCell ref="AVU50:AVW50"/>
    <mergeCell ref="AVX50:AVZ50"/>
    <mergeCell ref="AWA50:AWC50"/>
    <mergeCell ref="AWD50:AWF50"/>
    <mergeCell ref="AWG50:AWI50"/>
    <mergeCell ref="AVO51:AVQ51"/>
    <mergeCell ref="AVR51:AVT51"/>
    <mergeCell ref="AVU51:AVW51"/>
    <mergeCell ref="AVX51:AVZ51"/>
    <mergeCell ref="AWA51:AWC51"/>
    <mergeCell ref="AWD51:AWF51"/>
    <mergeCell ref="AWG51:AWI51"/>
    <mergeCell ref="AVO52:AVQ52"/>
    <mergeCell ref="AVR52:AVT52"/>
    <mergeCell ref="AVU52:AVW52"/>
    <mergeCell ref="AVX52:AVZ52"/>
    <mergeCell ref="AWA52:AWC52"/>
    <mergeCell ref="AWD52:AWF52"/>
    <mergeCell ref="AWG52:AWI52"/>
    <mergeCell ref="AWA56:AWC56"/>
    <mergeCell ref="AWD56:AWF56"/>
    <mergeCell ref="AWG56:AWI56"/>
    <mergeCell ref="AVO57:AVQ57"/>
    <mergeCell ref="AVR57:AVT57"/>
    <mergeCell ref="AVU57:AVW57"/>
    <mergeCell ref="AVX57:AVZ57"/>
    <mergeCell ref="AWA57:AWC57"/>
    <mergeCell ref="AWD57:AWF57"/>
    <mergeCell ref="AWG57:AWI57"/>
    <mergeCell ref="AVO58:AVQ58"/>
    <mergeCell ref="AVR58:AVT58"/>
    <mergeCell ref="AVU58:AVW58"/>
    <mergeCell ref="AVX58:AVZ58"/>
    <mergeCell ref="AWA58:AWC58"/>
    <mergeCell ref="AWD58:AWF58"/>
    <mergeCell ref="AWG58:AWI58"/>
    <mergeCell ref="AVO59:AVQ59"/>
    <mergeCell ref="AVR59:AVT59"/>
    <mergeCell ref="AVU59:AVW59"/>
    <mergeCell ref="AVX59:AVZ59"/>
    <mergeCell ref="AWA59:AWC59"/>
    <mergeCell ref="AWD59:AWF59"/>
    <mergeCell ref="AWG59:AWI59"/>
    <mergeCell ref="AVO60:AVQ60"/>
    <mergeCell ref="AVR60:AVT60"/>
    <mergeCell ref="AVU60:AVW60"/>
    <mergeCell ref="AVX60:AVZ60"/>
    <mergeCell ref="AWA60:AWC60"/>
    <mergeCell ref="AWD60:AWF60"/>
    <mergeCell ref="AWG60:AWI60"/>
    <mergeCell ref="AVO61:AVQ61"/>
    <mergeCell ref="AVR61:AVT61"/>
    <mergeCell ref="AVU61:AVW61"/>
    <mergeCell ref="AVX61:AVZ61"/>
    <mergeCell ref="AWA61:AWC61"/>
    <mergeCell ref="AWD61:AWF61"/>
    <mergeCell ref="AWG61:AWI61"/>
    <mergeCell ref="AVO54:AVQ54"/>
    <mergeCell ref="AVR54:AVT54"/>
    <mergeCell ref="AVU54:AVW54"/>
    <mergeCell ref="AVX54:AVZ54"/>
    <mergeCell ref="AWA54:AWC54"/>
    <mergeCell ref="AWD54:AWF54"/>
    <mergeCell ref="AWG54:AWI54"/>
    <mergeCell ref="AVO55:AVQ55"/>
    <mergeCell ref="AVR55:AVT55"/>
    <mergeCell ref="AVU55:AVW55"/>
    <mergeCell ref="AVX55:AVZ55"/>
    <mergeCell ref="AWA55:AWC55"/>
    <mergeCell ref="AWD55:AWF55"/>
    <mergeCell ref="AWG55:AWI55"/>
    <mergeCell ref="AVO56:AVQ56"/>
    <mergeCell ref="AVR56:AVT56"/>
    <mergeCell ref="AVU56:AVW56"/>
    <mergeCell ref="AVX56:AVZ56"/>
    <mergeCell ref="AUB23:AUD23"/>
    <mergeCell ref="AUE23:AUG23"/>
    <mergeCell ref="ATY18:AUA18"/>
    <mergeCell ref="AUB18:AUD18"/>
    <mergeCell ref="AUE18:AUG18"/>
    <mergeCell ref="AUH18:AUJ18"/>
    <mergeCell ref="AUK18:AUM18"/>
    <mergeCell ref="AUN18:AUP18"/>
    <mergeCell ref="AUT18:AUV18"/>
    <mergeCell ref="AUW18:AUY18"/>
    <mergeCell ref="AUZ18:AVB18"/>
    <mergeCell ref="AVC18:AVE18"/>
    <mergeCell ref="AVF18:AVH18"/>
    <mergeCell ref="AVI18:AVK18"/>
    <mergeCell ref="AVL18:AVN18"/>
    <mergeCell ref="AVO18:AVQ18"/>
    <mergeCell ref="AVR18:AVT18"/>
    <mergeCell ref="AVU18:AVW18"/>
    <mergeCell ref="AVX18:AVZ18"/>
    <mergeCell ref="AWA18:AWC18"/>
    <mergeCell ref="AWD18:AWF18"/>
    <mergeCell ref="AMX18:AMZ18"/>
    <mergeCell ref="ANA18:ANC18"/>
    <mergeCell ref="AND18:ANF18"/>
    <mergeCell ref="ANG18:ANI18"/>
    <mergeCell ref="ANJ18:ANL18"/>
    <mergeCell ref="ANM18:ANO18"/>
    <mergeCell ref="ANP18:ANR18"/>
    <mergeCell ref="ANS18:ANU18"/>
    <mergeCell ref="ANV18:ANX18"/>
    <mergeCell ref="ANY18:AOA18"/>
    <mergeCell ref="AOB18:AOD18"/>
    <mergeCell ref="AOE18:AOG18"/>
    <mergeCell ref="AOH18:AOJ18"/>
    <mergeCell ref="AOK18:AOM18"/>
    <mergeCell ref="AON18:AOP18"/>
    <mergeCell ref="AOQ18:AOS18"/>
    <mergeCell ref="AOT18:AOV18"/>
    <mergeCell ref="AOW18:AOY18"/>
    <mergeCell ref="AOZ18:APB18"/>
    <mergeCell ref="APC18:APE18"/>
    <mergeCell ref="APF18:APH18"/>
    <mergeCell ref="API18:APK18"/>
    <mergeCell ref="APL18:APN18"/>
    <mergeCell ref="APO18:APQ18"/>
    <mergeCell ref="APR18:APT18"/>
    <mergeCell ref="APU18:APW18"/>
    <mergeCell ref="APX18:APZ18"/>
    <mergeCell ref="AQV18:AQX18"/>
    <mergeCell ref="AQY18:ARA18"/>
    <mergeCell ref="ARB18:ARD18"/>
    <mergeCell ref="ARE18:ARG18"/>
    <mergeCell ref="ARH18:ARJ18"/>
    <mergeCell ref="BAH18:BAJ18"/>
    <mergeCell ref="ALZ23:AMB23"/>
    <mergeCell ref="AMC23:AME23"/>
    <mergeCell ref="AMF23:AMH23"/>
    <mergeCell ref="AMI23:AMK23"/>
    <mergeCell ref="AML23:AMN23"/>
    <mergeCell ref="AMO23:AMQ23"/>
    <mergeCell ref="AMR23:AMT23"/>
    <mergeCell ref="AMU23:AMW23"/>
    <mergeCell ref="AMX23:AMZ23"/>
    <mergeCell ref="ANA23:ANC23"/>
    <mergeCell ref="AND23:ANF23"/>
    <mergeCell ref="ANG23:ANI23"/>
    <mergeCell ref="ANJ23:ANL23"/>
    <mergeCell ref="ANM23:ANO23"/>
    <mergeCell ref="ANP23:ANR23"/>
    <mergeCell ref="ANS23:ANU23"/>
    <mergeCell ref="ANV23:ANX23"/>
    <mergeCell ref="ANY23:AOA23"/>
    <mergeCell ref="AOB23:AOD23"/>
    <mergeCell ref="AOE23:AOG23"/>
    <mergeCell ref="AOH23:AOJ23"/>
    <mergeCell ref="AOK23:AOM23"/>
    <mergeCell ref="AON23:AOP23"/>
    <mergeCell ref="AOQ23:AOS23"/>
    <mergeCell ref="AOT23:AOV23"/>
    <mergeCell ref="AOW23:AOY23"/>
    <mergeCell ref="AOZ23:APB23"/>
    <mergeCell ref="APC23:APE23"/>
    <mergeCell ref="APF23:APH23"/>
    <mergeCell ref="API23:APK23"/>
    <mergeCell ref="APL23:APN23"/>
    <mergeCell ref="APO23:APQ23"/>
    <mergeCell ref="APR23:APT23"/>
    <mergeCell ref="APU23:APW23"/>
    <mergeCell ref="APX23:APZ23"/>
    <mergeCell ref="AQA23:AQC23"/>
    <mergeCell ref="AQD23:AQF23"/>
    <mergeCell ref="AZS23:AZU23"/>
    <mergeCell ref="AZV23:AZX23"/>
    <mergeCell ref="AZY23:BAA23"/>
    <mergeCell ref="BAB23:BAD23"/>
    <mergeCell ref="BAE23:BAG23"/>
    <mergeCell ref="ASL23:ASN23"/>
    <mergeCell ref="ASO23:ASQ23"/>
    <mergeCell ref="ASR23:AST23"/>
    <mergeCell ref="ASU23:ASW23"/>
    <mergeCell ref="ASX23:ASZ23"/>
    <mergeCell ref="ATA23:ATC23"/>
    <mergeCell ref="ATD23:ATF23"/>
    <mergeCell ref="ATG23:ATI23"/>
    <mergeCell ref="ATJ23:ATL23"/>
    <mergeCell ref="ATM23:ATO23"/>
    <mergeCell ref="ATP23:ATR23"/>
    <mergeCell ref="ATS23:ATU23"/>
    <mergeCell ref="ATV23:ATX23"/>
    <mergeCell ref="ATY23:AUA23"/>
    <mergeCell ref="ASI18:ASK18"/>
    <mergeCell ref="ASL18:ASN18"/>
    <mergeCell ref="ASO18:ASQ18"/>
    <mergeCell ref="ASR18:AST18"/>
    <mergeCell ref="ASU18:ASW18"/>
    <mergeCell ref="ASX18:ASZ18"/>
    <mergeCell ref="ATA18:ATC18"/>
    <mergeCell ref="AUH23:AUJ23"/>
    <mergeCell ref="AUK23:AUM23"/>
    <mergeCell ref="AUN23:AUP23"/>
    <mergeCell ref="AUQ23:AUS23"/>
    <mergeCell ref="AUT23:AUV23"/>
    <mergeCell ref="AUW23:AUY23"/>
    <mergeCell ref="AUZ23:AVB23"/>
    <mergeCell ref="AVC23:AVE23"/>
    <mergeCell ref="AVF23:AVH23"/>
    <mergeCell ref="AVI23:AVK23"/>
    <mergeCell ref="AVL23:AVN23"/>
    <mergeCell ref="AVO23:AVQ23"/>
    <mergeCell ref="AVR23:AVT23"/>
    <mergeCell ref="AVU23:AVW23"/>
    <mergeCell ref="AVX23:AVZ23"/>
    <mergeCell ref="AWA23:AWC23"/>
    <mergeCell ref="AWD23:AWF23"/>
    <mergeCell ref="AWP23:AWR23"/>
    <mergeCell ref="AWS23:AWU23"/>
    <mergeCell ref="AWV23:AWX23"/>
    <mergeCell ref="AWY23:AXA23"/>
    <mergeCell ref="AXB23:AXD23"/>
    <mergeCell ref="AXE23:AXG23"/>
    <mergeCell ref="AXH23:AXJ23"/>
    <mergeCell ref="AXK23:AXM23"/>
    <mergeCell ref="AXN23:AXP23"/>
    <mergeCell ref="AXQ23:AXS23"/>
    <mergeCell ref="AXT23:AXV23"/>
    <mergeCell ref="AXW23:AXY23"/>
    <mergeCell ref="AXZ23:AYB23"/>
    <mergeCell ref="AYC23:AYE23"/>
    <mergeCell ref="ALW23:ALY23"/>
    <mergeCell ref="ALW17:ALY17"/>
    <mergeCell ref="ALZ17:AMB17"/>
    <mergeCell ref="AMC17:AME17"/>
    <mergeCell ref="ALW18:ALY18"/>
    <mergeCell ref="ALZ18:AMB18"/>
    <mergeCell ref="AMC21:AME21"/>
    <mergeCell ref="AMF21:AMH21"/>
    <mergeCell ref="AMI21:AMK21"/>
    <mergeCell ref="AML21:AMN21"/>
    <mergeCell ref="AMO21:AMQ21"/>
    <mergeCell ref="AMR21:AMT21"/>
    <mergeCell ref="AMF18:AMH18"/>
    <mergeCell ref="AMI18:AMK18"/>
    <mergeCell ref="AML18:AMN18"/>
    <mergeCell ref="AMO18:AMQ18"/>
    <mergeCell ref="AMR18:AMT18"/>
    <mergeCell ref="AMX17:AMZ17"/>
    <mergeCell ref="ANA17:ANC17"/>
    <mergeCell ref="AND17:ANF17"/>
    <mergeCell ref="ANG17:ANI17"/>
    <mergeCell ref="ANJ17:ANL17"/>
    <mergeCell ref="ANM17:ANO17"/>
    <mergeCell ref="ANY17:AOA17"/>
    <mergeCell ref="AOB17:AOD17"/>
    <mergeCell ref="AOE17:AOG17"/>
    <mergeCell ref="AOH17:AOJ17"/>
    <mergeCell ref="AOK17:AOM17"/>
    <mergeCell ref="AON17:AOP17"/>
    <mergeCell ref="AOQ17:AOS17"/>
    <mergeCell ref="AOT17:AOV17"/>
    <mergeCell ref="AOW17:AOY17"/>
    <mergeCell ref="AOZ17:APB17"/>
    <mergeCell ref="AMC28:AME28"/>
    <mergeCell ref="AMF28:AMH28"/>
    <mergeCell ref="AMI28:AMK28"/>
    <mergeCell ref="AML28:AMN28"/>
    <mergeCell ref="AMO28:AMQ28"/>
    <mergeCell ref="AMR28:AMT28"/>
    <mergeCell ref="AMU28:AMW28"/>
    <mergeCell ref="AMX28:AMZ28"/>
    <mergeCell ref="ANA28:ANC28"/>
    <mergeCell ref="AND28:ANF28"/>
    <mergeCell ref="ANG28:ANI28"/>
    <mergeCell ref="ANJ28:ANL28"/>
    <mergeCell ref="ANM28:ANO28"/>
    <mergeCell ref="ANP28:ANR28"/>
    <mergeCell ref="ANS28:ANU28"/>
    <mergeCell ref="ANV28:ANX28"/>
    <mergeCell ref="ANY28:AOA28"/>
    <mergeCell ref="AOB28:AOD28"/>
    <mergeCell ref="AOE28:AOG28"/>
    <mergeCell ref="AOH28:AOJ28"/>
    <mergeCell ref="AOK28:AOM28"/>
    <mergeCell ref="AON28:AOP28"/>
    <mergeCell ref="AOQ28:AOS28"/>
    <mergeCell ref="AOT28:AOV28"/>
    <mergeCell ref="AOW28:AOY28"/>
    <mergeCell ref="AOZ28:APB28"/>
    <mergeCell ref="APC28:APE28"/>
    <mergeCell ref="APF28:APH28"/>
    <mergeCell ref="API28:APK28"/>
    <mergeCell ref="APL28:APN28"/>
    <mergeCell ref="APO28:APQ28"/>
    <mergeCell ref="APR28:APT28"/>
    <mergeCell ref="APU28:APW28"/>
    <mergeCell ref="APC17:APE17"/>
    <mergeCell ref="APF17:APH17"/>
    <mergeCell ref="API17:APK17"/>
    <mergeCell ref="APL17:APN17"/>
    <mergeCell ref="APO17:APQ17"/>
    <mergeCell ref="APR17:APT17"/>
    <mergeCell ref="APU17:APW17"/>
    <mergeCell ref="APX17:APZ17"/>
    <mergeCell ref="AQA17:AQC17"/>
    <mergeCell ref="AQD17:AQF17"/>
    <mergeCell ref="AQG17:AQI17"/>
    <mergeCell ref="AQJ17:AQL17"/>
    <mergeCell ref="AQM17:AQO17"/>
    <mergeCell ref="AQP17:AQR17"/>
    <mergeCell ref="AQS17:AQU17"/>
    <mergeCell ref="AQV17:AQX17"/>
    <mergeCell ref="AQY17:ARA17"/>
    <mergeCell ref="ARN17:ARP17"/>
    <mergeCell ref="ARQ17:ARS17"/>
    <mergeCell ref="ASI17:ASK17"/>
    <mergeCell ref="ASL17:ASN17"/>
    <mergeCell ref="ASO17:ASQ17"/>
    <mergeCell ref="ASR17:AST17"/>
    <mergeCell ref="ASU17:ASW17"/>
    <mergeCell ref="ASX17:ASZ17"/>
    <mergeCell ref="ATA17:ATC17"/>
    <mergeCell ref="ATD17:ATF17"/>
    <mergeCell ref="ATG17:ATI17"/>
    <mergeCell ref="ATJ17:ATL17"/>
    <mergeCell ref="ATM17:ATO17"/>
    <mergeCell ref="ATP17:ATR17"/>
    <mergeCell ref="ATS17:ATU17"/>
    <mergeCell ref="ATV17:ATX17"/>
    <mergeCell ref="ATY17:AUA17"/>
    <mergeCell ref="AUB17:AUD17"/>
    <mergeCell ref="AUE17:AUG17"/>
    <mergeCell ref="AUH17:AUJ17"/>
    <mergeCell ref="AUK17:AUM17"/>
    <mergeCell ref="AUN17:AUP17"/>
    <mergeCell ref="AUQ17:AUS17"/>
    <mergeCell ref="AUT17:AUV17"/>
    <mergeCell ref="AUW17:AUY17"/>
    <mergeCell ref="AUZ17:AVB17"/>
    <mergeCell ref="AVC17:AVE17"/>
    <mergeCell ref="AVF17:AVH17"/>
    <mergeCell ref="AVI17:AVK17"/>
    <mergeCell ref="AZY27:BAA27"/>
    <mergeCell ref="BAB27:BAD27"/>
    <mergeCell ref="BAE27:BAG27"/>
    <mergeCell ref="AVL17:AVN17"/>
    <mergeCell ref="AVO17:AVQ17"/>
    <mergeCell ref="AVR17:AVT17"/>
    <mergeCell ref="AVU17:AVW17"/>
    <mergeCell ref="AVX17:AVZ17"/>
    <mergeCell ref="AWA17:AWC17"/>
    <mergeCell ref="AWD17:AWF17"/>
    <mergeCell ref="AWG17:AWI17"/>
    <mergeCell ref="AWJ17:AWL17"/>
    <mergeCell ref="AWM17:AWO17"/>
    <mergeCell ref="AWP17:AWR17"/>
    <mergeCell ref="AWS17:AWU17"/>
    <mergeCell ref="AWV17:AWX17"/>
    <mergeCell ref="AWY17:AXA17"/>
    <mergeCell ref="AXB17:AXD17"/>
    <mergeCell ref="AXE17:AXG17"/>
    <mergeCell ref="AXH17:AXJ17"/>
    <mergeCell ref="AXK17:AXM17"/>
    <mergeCell ref="AXN17:AXP17"/>
    <mergeCell ref="AXQ17:AXS17"/>
    <mergeCell ref="AXT17:AXV17"/>
    <mergeCell ref="AXW17:AXY17"/>
    <mergeCell ref="AXZ17:AYB17"/>
    <mergeCell ref="AYC17:AYE17"/>
    <mergeCell ref="AYF17:AYH17"/>
    <mergeCell ref="AYI17:AYK17"/>
    <mergeCell ref="AYL17:AYN17"/>
    <mergeCell ref="AYO17:AYQ17"/>
    <mergeCell ref="AYR17:AYT17"/>
    <mergeCell ref="AYU17:AYW17"/>
    <mergeCell ref="AYX17:AYZ17"/>
    <mergeCell ref="AZA17:AZC17"/>
    <mergeCell ref="AWM23:AWO23"/>
    <mergeCell ref="AZP23:AZR23"/>
    <mergeCell ref="AVI27:AVK27"/>
    <mergeCell ref="AVL27:AVN27"/>
    <mergeCell ref="AVO27:AVQ27"/>
    <mergeCell ref="AVR27:AVT27"/>
    <mergeCell ref="AVU27:AVW27"/>
    <mergeCell ref="AVX27:AVZ27"/>
    <mergeCell ref="AWA27:AWC27"/>
    <mergeCell ref="AWD27:AWF27"/>
    <mergeCell ref="AWG27:AWI27"/>
    <mergeCell ref="AWJ27:AWL27"/>
    <mergeCell ref="AWM27:AWO27"/>
    <mergeCell ref="AWP27:AWR27"/>
    <mergeCell ref="BAH37:BAJ37"/>
    <mergeCell ref="BAH17:BAJ17"/>
    <mergeCell ref="BAH27:BAJ27"/>
    <mergeCell ref="BAH23:BAJ23"/>
    <mergeCell ref="AXE27:AXG27"/>
    <mergeCell ref="AXH27:AXJ27"/>
    <mergeCell ref="AXK27:AXM27"/>
    <mergeCell ref="AXN27:AXP27"/>
    <mergeCell ref="AXQ27:AXS27"/>
    <mergeCell ref="AXT27:AXV27"/>
    <mergeCell ref="AXW27:AXY27"/>
    <mergeCell ref="AXZ27:AYB27"/>
    <mergeCell ref="AYC27:AYE27"/>
    <mergeCell ref="AYF27:AYH27"/>
    <mergeCell ref="AYI27:AYK27"/>
    <mergeCell ref="AYL27:AYN27"/>
    <mergeCell ref="AYO27:AYQ27"/>
    <mergeCell ref="AYR27:AYT27"/>
    <mergeCell ref="AYU27:AYW27"/>
    <mergeCell ref="AYX27:AYZ27"/>
    <mergeCell ref="AZA27:AZC27"/>
    <mergeCell ref="AYF23:AYH23"/>
    <mergeCell ref="AYI23:AYK23"/>
    <mergeCell ref="AYL23:AYN23"/>
    <mergeCell ref="AYO23:AYQ23"/>
    <mergeCell ref="AYR23:AYT23"/>
    <mergeCell ref="AYU23:AYW23"/>
    <mergeCell ref="AYX23:AYZ23"/>
    <mergeCell ref="AZA23:AZC23"/>
    <mergeCell ref="AZD23:AZF23"/>
    <mergeCell ref="AZG23:AZI23"/>
    <mergeCell ref="AZJ23:AZL23"/>
    <mergeCell ref="AWP37:AWR37"/>
    <mergeCell ref="AWS37:AWU37"/>
    <mergeCell ref="AWV37:AWX37"/>
    <mergeCell ref="AWY37:AXA37"/>
    <mergeCell ref="AXB37:AXD37"/>
    <mergeCell ref="AXE37:AXG37"/>
    <mergeCell ref="AXH37:AXJ37"/>
    <mergeCell ref="AXK37:AXM37"/>
    <mergeCell ref="AXN37:AXP37"/>
    <mergeCell ref="AXQ37:AXS37"/>
    <mergeCell ref="AXT37:AXV37"/>
    <mergeCell ref="AXW37:AXY37"/>
    <mergeCell ref="AXZ37:AYB37"/>
    <mergeCell ref="AYC37:AYE37"/>
    <mergeCell ref="AYF37:AYH37"/>
    <mergeCell ref="AYI37:AYK37"/>
    <mergeCell ref="AYL37:AYN37"/>
    <mergeCell ref="AYO37:AYQ37"/>
    <mergeCell ref="AYR37:AYT37"/>
    <mergeCell ref="AYU37:AYW37"/>
    <mergeCell ref="AYX37:AYZ37"/>
    <mergeCell ref="AZA37:AZC37"/>
    <mergeCell ref="AZD37:AZF37"/>
    <mergeCell ref="AZG37:AZI37"/>
    <mergeCell ref="AZJ37:AZL37"/>
    <mergeCell ref="AZM37:AZO37"/>
    <mergeCell ref="AZP37:AZR37"/>
    <mergeCell ref="AZS37:AZU37"/>
    <mergeCell ref="AZV37:AZX37"/>
    <mergeCell ref="AZY37:BAA37"/>
    <mergeCell ref="BAB37:BAD37"/>
    <mergeCell ref="BAE37:BAG37"/>
    <mergeCell ref="AZS17:AZU17"/>
    <mergeCell ref="AZV17:AZX17"/>
    <mergeCell ref="AZY17:BAA17"/>
    <mergeCell ref="BAB17:BAD17"/>
    <mergeCell ref="BAE17:BAG17"/>
    <mergeCell ref="AZD27:AZF27"/>
    <mergeCell ref="AZG27:AZI27"/>
    <mergeCell ref="AZJ27:AZL27"/>
    <mergeCell ref="AZM27:AZO27"/>
    <mergeCell ref="AZP27:AZR27"/>
    <mergeCell ref="AZS27:AZU27"/>
    <mergeCell ref="AZV27:AZX27"/>
    <mergeCell ref="AZD17:AZF17"/>
    <mergeCell ref="AZM18:AZO18"/>
    <mergeCell ref="AZM23:AZO23"/>
    <mergeCell ref="AWS27:AWU27"/>
    <mergeCell ref="AWV27:AWX27"/>
    <mergeCell ref="AZP18:AZR18"/>
    <mergeCell ref="AZS18:AZU18"/>
    <mergeCell ref="AZV18:AZX18"/>
    <mergeCell ref="AZY18:BAA18"/>
    <mergeCell ref="BAB18:BAD18"/>
    <mergeCell ref="BAE18:BAG18"/>
    <mergeCell ref="AXE18:AXG18"/>
    <mergeCell ref="AXH18:AXJ18"/>
    <mergeCell ref="AXK18:AXM18"/>
    <mergeCell ref="AXN18:AXP18"/>
    <mergeCell ref="AXQ18:AXS18"/>
    <mergeCell ref="AXT18:AXV18"/>
    <mergeCell ref="AXW18:AXY18"/>
    <mergeCell ref="AXE19:AXG19"/>
    <mergeCell ref="AXH19:AXJ19"/>
  </mergeCells>
  <conditionalFormatting sqref="F6:GO6">
    <cfRule type="expression" dxfId="279" priority="12006">
      <formula>AND(OR(F3="DOM",F3="SAB"),AND(F6&gt;39999,F6&lt;70000))</formula>
    </cfRule>
    <cfRule type="expression" dxfId="278" priority="12008">
      <formula>AND(OR(F3="DOM",F3="SAB"),AND(F6&lt;39999,F6&gt;0))</formula>
    </cfRule>
    <cfRule type="expression" dxfId="277" priority="12010">
      <formula>AND(AND(F3&lt;&gt;"DOM",F3&lt;&gt;"SAB"),AND(F6&gt;44999,F6&lt;70000))</formula>
    </cfRule>
    <cfRule type="expression" dxfId="276" priority="12013">
      <formula>AND(AND(F3&lt;&gt;"DOM",F3&lt;&gt;"SAB"),AND(F6&lt;44999,F6&gt;0))</formula>
    </cfRule>
  </conditionalFormatting>
  <conditionalFormatting sqref="F6:GO8">
    <cfRule type="expression" priority="12005">
      <formula>OR($F$6=0,$F$6="-")</formula>
    </cfRule>
  </conditionalFormatting>
  <conditionalFormatting sqref="F7:GO7">
    <cfRule type="expression" dxfId="275" priority="11996">
      <formula>AND(OR(F3="SAB",F3="DOM"),AND(F7&gt;0,F7&lt;19999))</formula>
    </cfRule>
    <cfRule type="expression" dxfId="274" priority="11997">
      <formula>AND(OR(F3="SAB",F3="DOM"),AND(F7&gt;19999,F7&lt;50000))</formula>
    </cfRule>
    <cfRule type="expression" dxfId="273" priority="11998">
      <formula>AND(AND(F3&lt;&gt;"SAB",F3&lt;&gt;"DOM"),AND(F7&gt;22499,F7&lt;50000))</formula>
    </cfRule>
    <cfRule type="expression" dxfId="272" priority="11999">
      <formula>AND(AND(F3&lt;&gt;"SAB",F3&lt;&gt;"DOM"),AND(F7&gt;0,F7&lt;22499))</formula>
    </cfRule>
  </conditionalFormatting>
  <conditionalFormatting sqref="F8:GO8">
    <cfRule type="expression" dxfId="271" priority="11991">
      <formula>AND(AND(F3&lt;&gt;"SAB",F3&lt;&gt;"DOM"),AND(F8&gt;22499,F8&lt;50000))</formula>
    </cfRule>
    <cfRule type="expression" dxfId="270" priority="11992">
      <formula>AND(AND(F3&lt;&gt;"SAB",F3&lt;&gt;"DOM"),AND(F8&gt;0,F8&lt;22499))</formula>
    </cfRule>
    <cfRule type="expression" dxfId="269" priority="11993">
      <formula>AND(OR(F3="SAB",F3="DOM"),AND(F8&gt;0,F8&lt;19999))</formula>
    </cfRule>
    <cfRule type="expression" dxfId="268" priority="11994">
      <formula>AND(OR(F3="SAB",F3="DOM"),AND(F8&gt;19999,F8&lt;50000))</formula>
    </cfRule>
  </conditionalFormatting>
  <conditionalFormatting sqref="F12:UE12">
    <cfRule type="cellIs" dxfId="267" priority="12114" operator="equal">
      <formula>80</formula>
    </cfRule>
  </conditionalFormatting>
  <conditionalFormatting sqref="F9:AAZ11 F12:UE12">
    <cfRule type="cellIs" dxfId="264" priority="12108" operator="between">
      <formula>80</formula>
      <formula>100</formula>
    </cfRule>
    <cfRule type="cellIs" dxfId="263" priority="12115" operator="between">
      <formula>1</formula>
      <formula>79</formula>
    </cfRule>
  </conditionalFormatting>
  <conditionalFormatting sqref="F29:AFS29 AFW29:AHL29">
    <cfRule type="cellIs" dxfId="262" priority="4626" operator="lessThan">
      <formula>50%</formula>
    </cfRule>
  </conditionalFormatting>
  <conditionalFormatting sqref="F23:ALV23 F24:ART26 ARW24:ARW26 ARZ24:ARZ26 ASC24:ASC26 ASF24:ASF26 ASI24:ASI26 ASL24:ASL26 ASO24:ASO26 ASR24:ASR26 ASU24:ASU26 ASX24:ASX26 ATA24:ATA26 ATD24:ATD26 ATG24:ATG26 ATJ24:ATJ26 ATM24:ATM26 ATP24:ATP26 ATS24:ATS26 ATV24:ATV26 ATY24:ATY26 AUB24:AUB26 AUE24:AUE26 AUH24:AUK26 AYO24:BAJ26 AUN24:AUN27 AUQ24:AUQ27 F27:ALV27 F37:ASQ37 AVL37 AVO37 AVR37 AVU37 AVX37 AWA37 AWD37 AWG37 AWJ37 AWM37 AWP37 AWS37 AWV37 AWY37 AXB37 AXE37 AXH37 AXK37 AXN37 AXQ37 AXT37 AXW37 AXZ37 AYC37 AYF37 AYI37 AYL37 AYO37 AYR37 AYU37 AYX37 AZA37 AZD37 AZG37 AZJ37 AZM37 AZP37 AZS37 AZV37 AZY37 BAB37 BAE37 BAH37 F37:ART38 ARW37:ARW38 ARZ37:ARZ38 ASC37:ASC38 ASF37:ASF38 ASI37:ASI38 ASL37:ASL38 ASO37:ASO38 ASR38 ASU38 ASX38 ATA38 ATD38 ATG38 ATJ38 ATM38 ATP38 ATS38 ATV38 ATY38 AUB38 AUE38 AUH38:AUK38 AUN38">
    <cfRule type="cellIs" dxfId="258" priority="2355" operator="greaterThan">
      <formula>0.25</formula>
    </cfRule>
  </conditionalFormatting>
  <conditionalFormatting sqref="F36:AUP36 F37:AUQ37">
    <cfRule type="containsText" priority="514" stopIfTrue="1" operator="containsText" text="-">
      <formula>NOT(ISERROR(SEARCH("-",F36)))</formula>
    </cfRule>
  </conditionalFormatting>
  <conditionalFormatting sqref="F36:AUP36 ASR37:AUQ37">
    <cfRule type="cellIs" dxfId="257" priority="515" operator="greaterThan">
      <formula>0.25</formula>
    </cfRule>
  </conditionalFormatting>
  <conditionalFormatting sqref="F13:AUS13">
    <cfRule type="cellIs" dxfId="256" priority="6526" operator="notEqual">
      <formula>""-""</formula>
    </cfRule>
  </conditionalFormatting>
  <conditionalFormatting sqref="F9:BAJ11">
    <cfRule type="cellIs" dxfId="255" priority="13" operator="equal">
      <formula>80</formula>
    </cfRule>
  </conditionalFormatting>
  <conditionalFormatting sqref="F61:BAJ61">
    <cfRule type="expression" dxfId="245" priority="328">
      <formula>OR(AND(F54="-",F55&lt;&gt;"-"),AND(F54&lt;&gt;"-",F55="-"))</formula>
    </cfRule>
  </conditionalFormatting>
  <conditionalFormatting sqref="BZ54:EK54 GA54:GV54 EN54:EN55 EQ54:EQ55 ET54:ET55 EW54:EW55 EZ54:EZ55 FC54:FC55 FF54:FF55 FI54:FI55 FL54:FL55 FO54:FO55 FR54:FR55 FU54:FU55 FX54:FX55 PA54:PR55 PV54:QM55 QQ54:RH55 RL54:SC55 TB54:TS55 UF54:UN55 VA54:VI55 VV54:WD55 WQ54:WY55 BZ55 CC55 CF55 CI55 CL55 CO55 CR55 CU55 CX55 DA55 DD55 DG55 DJ55 DM55 DP55 DS55 DV55 DY55 EB55 EE55 EH55:EK55 GA55 GD55 GG55 GJ55 GM55 GP55 GS55 GV55 GY55 HB55 HE55 HH55 HK55 HN55 HQ55 HT55 HW55 HZ55 IC55 IF55 II55 IL55 IO55 IR55 IU55 IX55 JA55 JD55 JG55 JJ55 JM55 JP55:MJ55 MM55 MP55:MV55 MY55 NB55:NE55 NH55 NK55 NN55 NQ55 NT55 NW55 NZ55 OO55:XK55">
    <cfRule type="cellIs" dxfId="244" priority="11984" operator="between">
      <formula>1</formula>
      <formula>39</formula>
    </cfRule>
  </conditionalFormatting>
  <conditionalFormatting sqref="BZ56:BAJ56 BZ59:BAJ59">
    <cfRule type="cellIs" dxfId="243" priority="330" operator="between">
      <formula>1</formula>
      <formula>20</formula>
    </cfRule>
  </conditionalFormatting>
  <conditionalFormatting sqref="BZ57:BAJ58 BZ60:BAJ60">
    <cfRule type="cellIs" dxfId="242" priority="311" operator="between">
      <formula>1</formula>
      <formula>20</formula>
    </cfRule>
  </conditionalFormatting>
  <conditionalFormatting sqref="GP6:GR8">
    <cfRule type="cellIs" dxfId="241" priority="10637" operator="between">
      <formula>80</formula>
      <formula>100</formula>
    </cfRule>
    <cfRule type="cellIs" dxfId="240" priority="10638" operator="equal">
      <formula>80</formula>
    </cfRule>
    <cfRule type="cellIs" dxfId="239" priority="10639" operator="between">
      <formula>1</formula>
      <formula>79</formula>
    </cfRule>
  </conditionalFormatting>
  <conditionalFormatting sqref="GS6:BAJ6">
    <cfRule type="expression" dxfId="238" priority="320">
      <formula>AND(OR(GS3="DOM",GS3="SAB"),AND(GS6&gt;39999,GS6&lt;70000))</formula>
    </cfRule>
    <cfRule type="expression" dxfId="237" priority="321">
      <formula>AND(OR(GS3="DOM",GS3="SAB"),AND(GS6&lt;39999,GS6&gt;0))</formula>
    </cfRule>
    <cfRule type="expression" dxfId="236" priority="322">
      <formula>AND(AND(GS3&lt;&gt;"DOM",GS3&lt;&gt;"SAB"),AND(GS6&gt;44999,GS6&lt;70000))</formula>
    </cfRule>
    <cfRule type="expression" dxfId="235" priority="323">
      <formula>AND(AND(GS3&lt;&gt;"DOM",GS3&lt;&gt;"SAB"),AND(GS6&lt;44999,GS6&gt;0))</formula>
    </cfRule>
  </conditionalFormatting>
  <conditionalFormatting sqref="GS6:BAJ8">
    <cfRule type="expression" priority="12">
      <formula>OR($F$6=0,$F$6="-")</formula>
    </cfRule>
  </conditionalFormatting>
  <conditionalFormatting sqref="GS7:BAJ7">
    <cfRule type="expression" dxfId="234" priority="316">
      <formula>AND(OR(GS3="SAB",GS3="DOM"),AND(GS7&gt;0,GS7&lt;19999))</formula>
    </cfRule>
    <cfRule type="expression" dxfId="233" priority="317">
      <formula>AND(OR(GS3="SAB",GS3="DOM"),AND(GS7&gt;19999,GS7&lt;50000))</formula>
    </cfRule>
    <cfRule type="expression" dxfId="232" priority="318">
      <formula>AND(AND(GS3&lt;&gt;"SAB",GS3&lt;&gt;"DOM"),AND(GS7&gt;22499,GS7&lt;50000))</formula>
    </cfRule>
    <cfRule type="expression" dxfId="231" priority="319">
      <formula>AND(AND(GS3&lt;&gt;"SAB",GS3&lt;&gt;"DOM"),AND(GS7&gt;0,GS7&lt;22499))</formula>
    </cfRule>
  </conditionalFormatting>
  <conditionalFormatting sqref="GS8:BAJ8">
    <cfRule type="expression" dxfId="230" priority="312">
      <formula>AND(AND(GS3&lt;&gt;"SAB",GS3&lt;&gt;"DOM"),AND(GS8&gt;22499,GS8&lt;50000))</formula>
    </cfRule>
    <cfRule type="expression" dxfId="229" priority="313">
      <formula>AND(AND(GS3&lt;&gt;"SAB",GS3&lt;&gt;"DOM"),AND(GS8&gt;0,GS8&lt;22499))</formula>
    </cfRule>
    <cfRule type="expression" dxfId="228" priority="314">
      <formula>AND(OR(GS3="SAB",GS3="DOM"),AND(GS8&gt;0,GS8&lt;19999))</formula>
    </cfRule>
    <cfRule type="expression" dxfId="227" priority="315">
      <formula>AND(OR(GS3="SAB",GS3="DOM"),AND(GS8&gt;19999,GS8&lt;50000))</formula>
    </cfRule>
  </conditionalFormatting>
  <conditionalFormatting sqref="GY54:OZ54">
    <cfRule type="cellIs" dxfId="226" priority="11034" operator="between">
      <formula>1</formula>
      <formula>39</formula>
    </cfRule>
  </conditionalFormatting>
  <conditionalFormatting sqref="NE17:NJ18 NZ17:OB18 NE30:NJ35 NZ30:OB35 NE39:NJ39 NZ39:OB39">
    <cfRule type="cellIs" dxfId="225" priority="10641" operator="lessThan">
      <formula>50</formula>
    </cfRule>
  </conditionalFormatting>
  <conditionalFormatting sqref="OC55">
    <cfRule type="cellIs" dxfId="224" priority="10646" operator="between">
      <formula>1</formula>
      <formula>39</formula>
    </cfRule>
  </conditionalFormatting>
  <conditionalFormatting sqref="OC9:OE13">
    <cfRule type="cellIs" dxfId="223" priority="10634" operator="between">
      <formula>80</formula>
      <formula>100</formula>
    </cfRule>
    <cfRule type="cellIs" dxfId="222" priority="10635" operator="equal">
      <formula>80</formula>
    </cfRule>
    <cfRule type="cellIs" dxfId="221" priority="10636" operator="between">
      <formula>1</formula>
      <formula>79</formula>
    </cfRule>
  </conditionalFormatting>
  <conditionalFormatting sqref="OF55">
    <cfRule type="cellIs" dxfId="220" priority="10632" operator="between">
      <formula>1</formula>
      <formula>39</formula>
    </cfRule>
  </conditionalFormatting>
  <conditionalFormatting sqref="OI55">
    <cfRule type="cellIs" dxfId="219" priority="10631" operator="between">
      <formula>1</formula>
      <formula>39</formula>
    </cfRule>
  </conditionalFormatting>
  <conditionalFormatting sqref="OL55">
    <cfRule type="cellIs" dxfId="218" priority="10630" operator="between">
      <formula>1</formula>
      <formula>39</formula>
    </cfRule>
  </conditionalFormatting>
  <conditionalFormatting sqref="OX9:OZ13">
    <cfRule type="cellIs" dxfId="217" priority="11099" operator="between">
      <formula>80</formula>
      <formula>100</formula>
    </cfRule>
    <cfRule type="cellIs" dxfId="216" priority="11100" operator="equal">
      <formula>80</formula>
    </cfRule>
    <cfRule type="cellIs" dxfId="215" priority="11101" operator="between">
      <formula>1</formula>
      <formula>79</formula>
    </cfRule>
  </conditionalFormatting>
  <conditionalFormatting sqref="PS9:PU13">
    <cfRule type="cellIs" dxfId="214" priority="10443" operator="between">
      <formula>80</formula>
      <formula>100</formula>
    </cfRule>
    <cfRule type="cellIs" dxfId="213" priority="10444" operator="equal">
      <formula>80</formula>
    </cfRule>
    <cfRule type="cellIs" dxfId="212" priority="10445" operator="between">
      <formula>1</formula>
      <formula>79</formula>
    </cfRule>
  </conditionalFormatting>
  <conditionalFormatting sqref="PS54:PU54">
    <cfRule type="cellIs" dxfId="211" priority="10378" operator="between">
      <formula>1</formula>
      <formula>39</formula>
    </cfRule>
  </conditionalFormatting>
  <conditionalFormatting sqref="QN9:QP13">
    <cfRule type="cellIs" dxfId="210" priority="10079" operator="between">
      <formula>80</formula>
      <formula>100</formula>
    </cfRule>
    <cfRule type="cellIs" dxfId="209" priority="10080" operator="equal">
      <formula>80</formula>
    </cfRule>
    <cfRule type="cellIs" dxfId="208" priority="10081" operator="between">
      <formula>1</formula>
      <formula>79</formula>
    </cfRule>
  </conditionalFormatting>
  <conditionalFormatting sqref="QN54:QP54">
    <cfRule type="cellIs" dxfId="207" priority="10014" operator="between">
      <formula>1</formula>
      <formula>39</formula>
    </cfRule>
  </conditionalFormatting>
  <conditionalFormatting sqref="RI9:RK13">
    <cfRule type="cellIs" dxfId="206" priority="9715" operator="between">
      <formula>80</formula>
      <formula>100</formula>
    </cfRule>
    <cfRule type="cellIs" dxfId="205" priority="9716" operator="equal">
      <formula>80</formula>
    </cfRule>
    <cfRule type="cellIs" dxfId="204" priority="9717" operator="between">
      <formula>1</formula>
      <formula>79</formula>
    </cfRule>
  </conditionalFormatting>
  <conditionalFormatting sqref="RI54:RK54">
    <cfRule type="cellIs" dxfId="203" priority="9650" operator="between">
      <formula>1</formula>
      <formula>39</formula>
    </cfRule>
  </conditionalFormatting>
  <conditionalFormatting sqref="SD9:SF13">
    <cfRule type="cellIs" dxfId="202" priority="9351" operator="between">
      <formula>80</formula>
      <formula>100</formula>
    </cfRule>
    <cfRule type="cellIs" dxfId="201" priority="9352" operator="equal">
      <formula>80</formula>
    </cfRule>
    <cfRule type="cellIs" dxfId="200" priority="9353" operator="between">
      <formula>1</formula>
      <formula>79</formula>
    </cfRule>
  </conditionalFormatting>
  <conditionalFormatting sqref="SD54:TA54">
    <cfRule type="cellIs" dxfId="199" priority="8922" operator="between">
      <formula>1</formula>
      <formula>39</formula>
    </cfRule>
  </conditionalFormatting>
  <conditionalFormatting sqref="SY9:TA13">
    <cfRule type="cellIs" dxfId="198" priority="8987" operator="between">
      <formula>80</formula>
      <formula>100</formula>
    </cfRule>
    <cfRule type="cellIs" dxfId="197" priority="8988" operator="equal">
      <formula>80</formula>
    </cfRule>
    <cfRule type="cellIs" dxfId="196" priority="8989" operator="between">
      <formula>1</formula>
      <formula>79</formula>
    </cfRule>
  </conditionalFormatting>
  <conditionalFormatting sqref="TT9:TV13">
    <cfRule type="cellIs" dxfId="195" priority="8623" operator="between">
      <formula>80</formula>
      <formula>100</formula>
    </cfRule>
    <cfRule type="cellIs" dxfId="194" priority="8624" operator="equal">
      <formula>80</formula>
    </cfRule>
    <cfRule type="cellIs" dxfId="193" priority="8625" operator="between">
      <formula>1</formula>
      <formula>79</formula>
    </cfRule>
  </conditionalFormatting>
  <conditionalFormatting sqref="TT54:UE54">
    <cfRule type="cellIs" dxfId="192" priority="8558" operator="between">
      <formula>1</formula>
      <formula>39</formula>
    </cfRule>
  </conditionalFormatting>
  <conditionalFormatting sqref="UO54:UZ54">
    <cfRule type="cellIs" dxfId="191" priority="8039" operator="between">
      <formula>1</formula>
      <formula>39</formula>
    </cfRule>
  </conditionalFormatting>
  <conditionalFormatting sqref="VJ54:VU54">
    <cfRule type="cellIs" dxfId="190" priority="7561" operator="between">
      <formula>1</formula>
      <formula>39</formula>
    </cfRule>
  </conditionalFormatting>
  <conditionalFormatting sqref="WE9:WG11 WE13:WG13">
    <cfRule type="cellIs" dxfId="187" priority="7149" operator="between">
      <formula>1</formula>
      <formula>79</formula>
    </cfRule>
  </conditionalFormatting>
  <conditionalFormatting sqref="WE13:WG13 WE9:WG11">
    <cfRule type="cellIs" dxfId="186" priority="7147" operator="between">
      <formula>80</formula>
      <formula>100</formula>
    </cfRule>
  </conditionalFormatting>
  <conditionalFormatting sqref="WE13:WG13">
    <cfRule type="cellIs" dxfId="185" priority="7148" operator="equal">
      <formula>80</formula>
    </cfRule>
  </conditionalFormatting>
  <conditionalFormatting sqref="WE54:WP54">
    <cfRule type="cellIs" dxfId="184" priority="7083" operator="between">
      <formula>1</formula>
      <formula>39</formula>
    </cfRule>
  </conditionalFormatting>
  <conditionalFormatting sqref="WZ9:XB11 WZ13:XB13">
    <cfRule type="cellIs" dxfId="183" priority="6671" operator="between">
      <formula>1</formula>
      <formula>79</formula>
    </cfRule>
  </conditionalFormatting>
  <conditionalFormatting sqref="WZ13:XB13 WZ9:XB11">
    <cfRule type="cellIs" dxfId="182" priority="6669" operator="between">
      <formula>80</formula>
      <formula>100</formula>
    </cfRule>
  </conditionalFormatting>
  <conditionalFormatting sqref="WZ13:XB13">
    <cfRule type="cellIs" dxfId="181" priority="6670" operator="equal">
      <formula>80</formula>
    </cfRule>
  </conditionalFormatting>
  <conditionalFormatting sqref="WZ54:XK54">
    <cfRule type="cellIs" dxfId="180" priority="6605" operator="between">
      <formula>1</formula>
      <formula>39</formula>
    </cfRule>
  </conditionalFormatting>
  <conditionalFormatting sqref="XL54:BAJ55">
    <cfRule type="cellIs" dxfId="179" priority="16" operator="between">
      <formula>1</formula>
      <formula>39</formula>
    </cfRule>
  </conditionalFormatting>
  <conditionalFormatting sqref="XU58 XX58 YA58 YD58 YG58 YJ58 YM58 YP58 YS58 YV58 YY58 ZB58 ZE58 ZH58 ZK58 ZN58 ZQ58 ZT58 ZW58 ZZ58 AAC58 AAF58 AAI58 AAL58 AAO58 AAR58 AAU58 AAX58 ABA58 ABD58 ABG58 ABJ58 ABM58 ABP58 ABS58 ABV58 ABY58 ACB58 ACE58 ACH58 ACK58 ACN58 ACQ58 ACT58 ACW58 ACZ58 ADC58 ADF58 ADI58 ADL58 ADO58 ADR58 ADU58 ADX58 AEA58 AED58 AEG58 AEJ58 AEM58 AEP58 AES58 AEV58 AEY58 AFB58 AFE58 AFH58 AFK58 AFN58 AFQ58 AFT58 AFW58 AFZ58 AGC58 AGF58 AGI58 AGL58 AGO58 AGR58 AGU58 AGX58 AHA58 AHD58 AHG58 AHJ58 AHM58 AHP58 AHS58 AHV58 AHY58 AIB58 AIE58">
    <cfRule type="cellIs" dxfId="178" priority="6382" operator="between">
      <formula>1</formula>
      <formula>20</formula>
    </cfRule>
  </conditionalFormatting>
  <conditionalFormatting sqref="XU9:XW11 XU13:XW13">
    <cfRule type="cellIs" dxfId="177" priority="5890" operator="between">
      <formula>80</formula>
      <formula>100</formula>
    </cfRule>
    <cfRule type="cellIs" dxfId="176" priority="5892" operator="between">
      <formula>1</formula>
      <formula>79</formula>
    </cfRule>
  </conditionalFormatting>
  <conditionalFormatting sqref="XU13:XW13">
    <cfRule type="cellIs" dxfId="175" priority="5891" operator="equal">
      <formula>80</formula>
    </cfRule>
  </conditionalFormatting>
  <conditionalFormatting sqref="YP9:YR11 YP13:YR13">
    <cfRule type="cellIs" dxfId="174" priority="5662" operator="between">
      <formula>80</formula>
      <formula>100</formula>
    </cfRule>
    <cfRule type="cellIs" dxfId="173" priority="5664" operator="between">
      <formula>1</formula>
      <formula>79</formula>
    </cfRule>
  </conditionalFormatting>
  <conditionalFormatting sqref="YP13:YR13">
    <cfRule type="cellIs" dxfId="172" priority="5663" operator="equal">
      <formula>80</formula>
    </cfRule>
  </conditionalFormatting>
  <conditionalFormatting sqref="ZK9:ZM11 ZK13:ZM13">
    <cfRule type="cellIs" dxfId="171" priority="4982" operator="between">
      <formula>80</formula>
      <formula>100</formula>
    </cfRule>
    <cfRule type="cellIs" dxfId="170" priority="4984" operator="between">
      <formula>1</formula>
      <formula>79</formula>
    </cfRule>
  </conditionalFormatting>
  <conditionalFormatting sqref="ZK13:ZM13">
    <cfRule type="cellIs" dxfId="169" priority="4983" operator="equal">
      <formula>80</formula>
    </cfRule>
  </conditionalFormatting>
  <conditionalFormatting sqref="AAF9:AAH11 AAF13:AAH13">
    <cfRule type="cellIs" dxfId="168" priority="4754" operator="between">
      <formula>80</formula>
      <formula>100</formula>
    </cfRule>
    <cfRule type="cellIs" dxfId="167" priority="4756" operator="between">
      <formula>1</formula>
      <formula>79</formula>
    </cfRule>
  </conditionalFormatting>
  <conditionalFormatting sqref="AAF13:AAH13">
    <cfRule type="cellIs" dxfId="166" priority="4755" operator="equal">
      <formula>80</formula>
    </cfRule>
  </conditionalFormatting>
  <conditionalFormatting sqref="ABA9:ABC11 ABA13:ABC13">
    <cfRule type="cellIs" dxfId="165" priority="4251" operator="between">
      <formula>80</formula>
      <formula>100</formula>
    </cfRule>
    <cfRule type="cellIs" dxfId="164" priority="4253" operator="between">
      <formula>1</formula>
      <formula>79</formula>
    </cfRule>
  </conditionalFormatting>
  <conditionalFormatting sqref="ABA13:ABC13">
    <cfRule type="cellIs" dxfId="163" priority="4252" operator="equal">
      <formula>80</formula>
    </cfRule>
  </conditionalFormatting>
  <conditionalFormatting sqref="ABA9:ABU11">
    <cfRule type="cellIs" dxfId="162" priority="4273" operator="between">
      <formula>80</formula>
      <formula>100</formula>
    </cfRule>
    <cfRule type="cellIs" dxfId="161" priority="4275" operator="between">
      <formula>1</formula>
      <formula>79</formula>
    </cfRule>
  </conditionalFormatting>
  <conditionalFormatting sqref="ABV9:ABX11 ABV13:ABX13">
    <cfRule type="cellIs" dxfId="160" priority="3600" operator="between">
      <formula>80</formula>
      <formula>100</formula>
    </cfRule>
    <cfRule type="cellIs" dxfId="159" priority="3602" operator="between">
      <formula>1</formula>
      <formula>79</formula>
    </cfRule>
  </conditionalFormatting>
  <conditionalFormatting sqref="ABV13:ABX13">
    <cfRule type="cellIs" dxfId="158" priority="3601" operator="equal">
      <formula>80</formula>
    </cfRule>
  </conditionalFormatting>
  <conditionalFormatting sqref="ABV9:ACP11">
    <cfRule type="cellIs" dxfId="157" priority="3622" operator="between">
      <formula>80</formula>
      <formula>100</formula>
    </cfRule>
    <cfRule type="cellIs" dxfId="156" priority="3624" operator="between">
      <formula>1</formula>
      <formula>79</formula>
    </cfRule>
  </conditionalFormatting>
  <conditionalFormatting sqref="ACQ9:ACS11 ACQ13:ACS13">
    <cfRule type="cellIs" dxfId="155" priority="3383" operator="between">
      <formula>80</formula>
      <formula>100</formula>
    </cfRule>
    <cfRule type="cellIs" dxfId="154" priority="3385" operator="between">
      <formula>1</formula>
      <formula>79</formula>
    </cfRule>
  </conditionalFormatting>
  <conditionalFormatting sqref="ACQ13:ACS13">
    <cfRule type="cellIs" dxfId="153" priority="3384" operator="equal">
      <formula>80</formula>
    </cfRule>
  </conditionalFormatting>
  <conditionalFormatting sqref="ACQ9:ADK11">
    <cfRule type="cellIs" dxfId="152" priority="3405" operator="between">
      <formula>80</formula>
      <formula>100</formula>
    </cfRule>
    <cfRule type="cellIs" dxfId="151" priority="3407" operator="between">
      <formula>1</formula>
      <formula>79</formula>
    </cfRule>
  </conditionalFormatting>
  <conditionalFormatting sqref="ADL9:ADN11 ADL13:ADN13">
    <cfRule type="cellIs" dxfId="150" priority="2732" operator="between">
      <formula>80</formula>
      <formula>100</formula>
    </cfRule>
    <cfRule type="cellIs" dxfId="149" priority="2734" operator="between">
      <formula>1</formula>
      <formula>79</formula>
    </cfRule>
  </conditionalFormatting>
  <conditionalFormatting sqref="ADL13:ADN13">
    <cfRule type="cellIs" dxfId="148" priority="2733" operator="equal">
      <formula>80</formula>
    </cfRule>
  </conditionalFormatting>
  <conditionalFormatting sqref="ADL9:AEF11">
    <cfRule type="cellIs" dxfId="145" priority="2754" operator="between">
      <formula>80</formula>
      <formula>100</formula>
    </cfRule>
    <cfRule type="cellIs" dxfId="144" priority="2756" operator="between">
      <formula>1</formula>
      <formula>79</formula>
    </cfRule>
  </conditionalFormatting>
  <conditionalFormatting sqref="AEG9:AEI11 AEG13:AEI13">
    <cfRule type="cellIs" dxfId="143" priority="2515" operator="between">
      <formula>80</formula>
      <formula>100</formula>
    </cfRule>
    <cfRule type="cellIs" dxfId="142" priority="2517" operator="between">
      <formula>1</formula>
      <formula>79</formula>
    </cfRule>
  </conditionalFormatting>
  <conditionalFormatting sqref="AEG13:AEI13">
    <cfRule type="cellIs" dxfId="141" priority="2516" operator="equal">
      <formula>80</formula>
    </cfRule>
  </conditionalFormatting>
  <conditionalFormatting sqref="AEG9:AFA11">
    <cfRule type="cellIs" dxfId="140" priority="2537" operator="between">
      <formula>80</formula>
      <formula>100</formula>
    </cfRule>
    <cfRule type="cellIs" dxfId="139" priority="2539" operator="between">
      <formula>1</formula>
      <formula>79</formula>
    </cfRule>
  </conditionalFormatting>
  <conditionalFormatting sqref="AFB9:AFD11 AFB13:AFD13">
    <cfRule type="cellIs" dxfId="138" priority="2190" operator="between">
      <formula>80</formula>
      <formula>100</formula>
    </cfRule>
    <cfRule type="cellIs" dxfId="137" priority="2192" operator="between">
      <formula>1</formula>
      <formula>79</formula>
    </cfRule>
  </conditionalFormatting>
  <conditionalFormatting sqref="AFB13:AFD13">
    <cfRule type="cellIs" dxfId="136" priority="2191" operator="equal">
      <formula>80</formula>
    </cfRule>
  </conditionalFormatting>
  <conditionalFormatting sqref="AFB9:AFV11">
    <cfRule type="cellIs" dxfId="102" priority="2198" operator="between">
      <formula>80</formula>
      <formula>100</formula>
    </cfRule>
    <cfRule type="cellIs" dxfId="101" priority="2199" operator="between">
      <formula>1</formula>
      <formula>79</formula>
    </cfRule>
  </conditionalFormatting>
  <conditionalFormatting sqref="AFW9:AFY11 AFW13:AFY13">
    <cfRule type="cellIs" dxfId="97" priority="1946" operator="between">
      <formula>80</formula>
      <formula>100</formula>
    </cfRule>
    <cfRule type="cellIs" dxfId="96" priority="1948" operator="between">
      <formula>1</formula>
      <formula>79</formula>
    </cfRule>
  </conditionalFormatting>
  <conditionalFormatting sqref="AFW13:AFY13">
    <cfRule type="cellIs" dxfId="95" priority="1947" operator="equal">
      <formula>80</formula>
    </cfRule>
  </conditionalFormatting>
  <conditionalFormatting sqref="AFW9:AGQ11">
    <cfRule type="cellIs" dxfId="94" priority="1954" operator="between">
      <formula>80</formula>
      <formula>100</formula>
    </cfRule>
    <cfRule type="cellIs" dxfId="93" priority="1955" operator="between">
      <formula>1</formula>
      <formula>79</formula>
    </cfRule>
  </conditionalFormatting>
  <conditionalFormatting sqref="AGR9:AGT11 AGR13:AGT13">
    <cfRule type="cellIs" dxfId="92" priority="1702" operator="between">
      <formula>80</formula>
      <formula>100</formula>
    </cfRule>
    <cfRule type="cellIs" dxfId="91" priority="1704" operator="between">
      <formula>1</formula>
      <formula>79</formula>
    </cfRule>
  </conditionalFormatting>
  <conditionalFormatting sqref="AGR13:AGT13">
    <cfRule type="cellIs" dxfId="90" priority="1703" operator="equal">
      <formula>80</formula>
    </cfRule>
  </conditionalFormatting>
  <conditionalFormatting sqref="AGR9:AHL11">
    <cfRule type="cellIs" dxfId="89" priority="1710" operator="between">
      <formula>80</formula>
      <formula>100</formula>
    </cfRule>
    <cfRule type="cellIs" dxfId="88" priority="1711" operator="between">
      <formula>1</formula>
      <formula>79</formula>
    </cfRule>
  </conditionalFormatting>
  <conditionalFormatting sqref="AHM9:AHO11 AHM13:AHO13">
    <cfRule type="cellIs" dxfId="87" priority="1458" operator="between">
      <formula>80</formula>
      <formula>100</formula>
    </cfRule>
    <cfRule type="cellIs" dxfId="86" priority="1460" operator="between">
      <formula>1</formula>
      <formula>79</formula>
    </cfRule>
  </conditionalFormatting>
  <conditionalFormatting sqref="AHM13:AHO13">
    <cfRule type="cellIs" dxfId="85" priority="1459" operator="equal">
      <formula>80</formula>
    </cfRule>
  </conditionalFormatting>
  <conditionalFormatting sqref="AHM9:AIG11">
    <cfRule type="cellIs" dxfId="82" priority="1466" operator="between">
      <formula>80</formula>
      <formula>100</formula>
    </cfRule>
    <cfRule type="cellIs" dxfId="81" priority="1467" operator="between">
      <formula>1</formula>
      <formula>79</formula>
    </cfRule>
  </conditionalFormatting>
  <conditionalFormatting sqref="AHP29:BAJ29">
    <cfRule type="cellIs" dxfId="80" priority="329" operator="lessThan">
      <formula>50%</formula>
    </cfRule>
  </conditionalFormatting>
  <conditionalFormatting sqref="AIH58 AIK58 AIN58 AIQ58 AIT58">
    <cfRule type="cellIs" dxfId="77" priority="1324" operator="between">
      <formula>1</formula>
      <formula>20</formula>
    </cfRule>
  </conditionalFormatting>
  <conditionalFormatting sqref="AIH9:BAJ11">
    <cfRule type="cellIs" dxfId="76" priority="17" operator="between">
      <formula>80</formula>
      <formula>100</formula>
    </cfRule>
    <cfRule type="cellIs" dxfId="75" priority="18" operator="between">
      <formula>1</formula>
      <formula>79</formula>
    </cfRule>
  </conditionalFormatting>
  <conditionalFormatting sqref="AIW58 AIZ58">
    <cfRule type="cellIs" dxfId="71" priority="1285" operator="between">
      <formula>1</formula>
      <formula>20</formula>
    </cfRule>
  </conditionalFormatting>
  <conditionalFormatting sqref="AJC58 AJF58 AJI58 AJL58 AJO58">
    <cfRule type="cellIs" dxfId="70" priority="1272" operator="between">
      <formula>1</formula>
      <formula>20</formula>
    </cfRule>
  </conditionalFormatting>
  <conditionalFormatting sqref="AJR58 AJU58">
    <cfRule type="cellIs" dxfId="69" priority="1233" operator="between">
      <formula>1</formula>
      <formula>20</formula>
    </cfRule>
  </conditionalFormatting>
  <conditionalFormatting sqref="AJX58 AKA58 AKD58 AKG58 AKJ58">
    <cfRule type="cellIs" dxfId="68" priority="1220" operator="between">
      <formula>1</formula>
      <formula>20</formula>
    </cfRule>
  </conditionalFormatting>
  <conditionalFormatting sqref="AKM58 AKP58">
    <cfRule type="cellIs" dxfId="67" priority="1181" operator="between">
      <formula>1</formula>
      <formula>20</formula>
    </cfRule>
  </conditionalFormatting>
  <conditionalFormatting sqref="AKS58 AKV58 AKY58 ALB58 ALE58">
    <cfRule type="cellIs" dxfId="66" priority="1168" operator="between">
      <formula>1</formula>
      <formula>20</formula>
    </cfRule>
  </conditionalFormatting>
  <conditionalFormatting sqref="ALH58 ALK58">
    <cfRule type="cellIs" dxfId="65" priority="1129" operator="between">
      <formula>1</formula>
      <formula>20</formula>
    </cfRule>
  </conditionalFormatting>
  <conditionalFormatting sqref="ALN58 ALQ58 ALT58 ALW58 ALZ58">
    <cfRule type="cellIs" dxfId="64" priority="1116" operator="between">
      <formula>1</formula>
      <formula>20</formula>
    </cfRule>
  </conditionalFormatting>
  <conditionalFormatting sqref="AMC58 AMF58">
    <cfRule type="cellIs" dxfId="63" priority="1073" operator="between">
      <formula>1</formula>
      <formula>20</formula>
    </cfRule>
  </conditionalFormatting>
  <conditionalFormatting sqref="AMI58 AML58 AMO58 AMR58 AMU58">
    <cfRule type="cellIs" dxfId="62" priority="1060" operator="between">
      <formula>1</formula>
      <formula>20</formula>
    </cfRule>
  </conditionalFormatting>
  <conditionalFormatting sqref="AMX58 ANA58">
    <cfRule type="cellIs" dxfId="61" priority="1021" operator="between">
      <formula>1</formula>
      <formula>20</formula>
    </cfRule>
  </conditionalFormatting>
  <conditionalFormatting sqref="AND58 ANG58 ANJ58 ANM58 ANP58">
    <cfRule type="cellIs" dxfId="60" priority="1008" operator="between">
      <formula>1</formula>
      <formula>20</formula>
    </cfRule>
  </conditionalFormatting>
  <conditionalFormatting sqref="ANS58 ANV58">
    <cfRule type="cellIs" dxfId="59" priority="943" operator="between">
      <formula>1</formula>
      <formula>20</formula>
    </cfRule>
  </conditionalFormatting>
  <conditionalFormatting sqref="ANY58 AOB58 AOE58 AOH58 AOK58">
    <cfRule type="cellIs" dxfId="58" priority="930" operator="between">
      <formula>1</formula>
      <formula>20</formula>
    </cfRule>
  </conditionalFormatting>
  <conditionalFormatting sqref="AON58 AOQ58">
    <cfRule type="cellIs" dxfId="57" priority="891" operator="between">
      <formula>1</formula>
      <formula>20</formula>
    </cfRule>
  </conditionalFormatting>
  <conditionalFormatting sqref="AOT58 AOW58 AOZ58 APC58 APF58">
    <cfRule type="cellIs" dxfId="56" priority="878" operator="between">
      <formula>1</formula>
      <formula>20</formula>
    </cfRule>
  </conditionalFormatting>
  <conditionalFormatting sqref="API58 APL58">
    <cfRule type="cellIs" dxfId="55" priority="839" operator="between">
      <formula>1</formula>
      <formula>20</formula>
    </cfRule>
  </conditionalFormatting>
  <conditionalFormatting sqref="APO58 APR58 APU58 APX58 AQA58">
    <cfRule type="cellIs" dxfId="54" priority="826" operator="between">
      <formula>1</formula>
      <formula>20</formula>
    </cfRule>
  </conditionalFormatting>
  <conditionalFormatting sqref="AQD58 AQG58 AQJ58 AQM58 AQP58">
    <cfRule type="cellIs" dxfId="51" priority="752" operator="between">
      <formula>1</formula>
      <formula>20</formula>
    </cfRule>
  </conditionalFormatting>
  <conditionalFormatting sqref="AQS58 AQV58">
    <cfRule type="cellIs" dxfId="50" priority="716" operator="between">
      <formula>1</formula>
      <formula>20</formula>
    </cfRule>
  </conditionalFormatting>
  <conditionalFormatting sqref="AQY58 ARB58 ARE58 ARH58 ARK58">
    <cfRule type="cellIs" dxfId="49" priority="704" operator="between">
      <formula>1</formula>
      <formula>20</formula>
    </cfRule>
  </conditionalFormatting>
  <conditionalFormatting sqref="ARN58 ARQ58">
    <cfRule type="cellIs" dxfId="48" priority="668" operator="between">
      <formula>1</formula>
      <formula>20</formula>
    </cfRule>
  </conditionalFormatting>
  <conditionalFormatting sqref="ART58 ARW58 ARZ58 ASC58 ASF58">
    <cfRule type="cellIs" dxfId="47" priority="656" operator="between">
      <formula>1</formula>
      <formula>20</formula>
    </cfRule>
  </conditionalFormatting>
  <conditionalFormatting sqref="ASI58 ASL58">
    <cfRule type="cellIs" dxfId="46" priority="620" operator="between">
      <formula>1</formula>
      <formula>20</formula>
    </cfRule>
  </conditionalFormatting>
  <conditionalFormatting sqref="ASO58 ASR58 ASU58 ASX58 ATA58">
    <cfRule type="cellIs" dxfId="45" priority="608" operator="between">
      <formula>1</formula>
      <formula>20</formula>
    </cfRule>
  </conditionalFormatting>
  <conditionalFormatting sqref="ATD58 ATG58">
    <cfRule type="cellIs" dxfId="44" priority="565" operator="between">
      <formula>1</formula>
      <formula>20</formula>
    </cfRule>
  </conditionalFormatting>
  <conditionalFormatting sqref="ATJ58 ATM58 ATP58 ATS58 ATV58">
    <cfRule type="cellIs" dxfId="43" priority="553" operator="between">
      <formula>1</formula>
      <formula>20</formula>
    </cfRule>
  </conditionalFormatting>
  <conditionalFormatting sqref="ATY58 AUB58">
    <cfRule type="cellIs" dxfId="42" priority="513" operator="between">
      <formula>1</formula>
      <formula>20</formula>
    </cfRule>
  </conditionalFormatting>
  <conditionalFormatting sqref="AUE58 AUH58 AUK58 AUN58 AUQ58">
    <cfRule type="cellIs" dxfId="41" priority="501" operator="between">
      <formula>1</formula>
      <formula>20</formula>
    </cfRule>
  </conditionalFormatting>
  <conditionalFormatting sqref="AUT58 AUW58">
    <cfRule type="cellIs" dxfId="40" priority="410" operator="between">
      <formula>1</formula>
      <formula>20</formula>
    </cfRule>
  </conditionalFormatting>
  <conditionalFormatting sqref="AUT37:AVC37">
    <cfRule type="containsText" priority="3" stopIfTrue="1" operator="containsText" text="-">
      <formula>NOT(ISERROR(SEARCH("-",AUT37)))</formula>
    </cfRule>
    <cfRule type="cellIs" dxfId="39" priority="4" operator="greaterThan">
      <formula>0.25</formula>
    </cfRule>
  </conditionalFormatting>
  <conditionalFormatting sqref="AUT13:BAJ13">
    <cfRule type="cellIs" dxfId="38" priority="331" operator="notEqual">
      <formula>""-""</formula>
    </cfRule>
  </conditionalFormatting>
  <conditionalFormatting sqref="AUT36:BAJ36 AVI37 AVL37 AVO37 AVR37 AVU37 AVX37 AWA37 AWD37 AWG37 AWJ37 AWM37 AWP37 AWS37 AWV37 AWY37 AXB37 AXE37 AXH37 AXK37 AXN37 AXQ37 AXT37 AXW37 AXZ37 AYC37 AYF37 AYI37 AYL37 AYO37 AYR37 AYU37 AYX37 AZA37 AZD37 AZG37 AZJ37 AZM37 AZP37 AZS37 AZV37 AZY37 BAB37 BAE37 BAH37">
    <cfRule type="containsText" priority="33" stopIfTrue="1" operator="containsText" text="-">
      <formula>NOT(ISERROR(SEARCH("-",AUT36)))</formula>
    </cfRule>
    <cfRule type="cellIs" dxfId="37" priority="34" operator="greaterThan">
      <formula>0.25</formula>
    </cfRule>
  </conditionalFormatting>
  <conditionalFormatting sqref="AUZ58 AVC58 AVF58 AVI58 AVL58">
    <cfRule type="cellIs" dxfId="36" priority="398" operator="between">
      <formula>1</formula>
      <formula>20</formula>
    </cfRule>
  </conditionalFormatting>
  <conditionalFormatting sqref="AVC37">
    <cfRule type="containsText" priority="1" stopIfTrue="1" operator="containsText" text="-">
      <formula>NOT(ISERROR(SEARCH("-",AVC37)))</formula>
    </cfRule>
    <cfRule type="cellIs" dxfId="35" priority="2" operator="greaterThan">
      <formula>0.25</formula>
    </cfRule>
  </conditionalFormatting>
  <conditionalFormatting sqref="AVF37:AVI37">
    <cfRule type="containsText" priority="426" stopIfTrue="1" operator="containsText" text="-">
      <formula>NOT(ISERROR(SEARCH("-",AVF37)))</formula>
    </cfRule>
    <cfRule type="cellIs" dxfId="34" priority="427" operator="greaterThan">
      <formula>0.25</formula>
    </cfRule>
  </conditionalFormatting>
  <conditionalFormatting sqref="AVL37 AVO37 AVR37 AVU37 AVX37 AWA37 AWD37 AWG37 AWJ37 AWM37 AWP37 AWS37 AWV37 AWY37 AXB37 AXE37 AXH37 AXK37 AXN37 AXQ37 AXT37 AXW37 AXZ37 AYC37 AYF37 AYI37 AYL37 AYO37 AYR37 AYU37 AYX37 AZA37 AZD37 AZG37 AZJ37 AZM37 AZP37 AZS37 AZV37 AZY37 BAB37 BAE37 BAH37 F23:ALV23 F24:ART26 ARW24:ARW26 ARZ24:ARZ26 ASC24:ASC26 ASF24:ASF26 ASI24:ASI26 ASL24:ASL26 ASO24:ASO26 ASR24:ASR26 ASU24:ASU26 ASX24:ASX26 ATA24:ATA26 ATD24:ATD26 ATG24:ATG26 ATJ24:ATJ26 ATM24:ATM26 ATP24:ATP26 ATS24:ATS26 ATV24:ATV26 ATY24:ATY26 AUB24:AUB26 AUE24:AUE26 AUH24:AUK26 AYO24:BAJ26 AUN24:AUN27 AUQ24:AUQ27 F27:ALV27 F37:ART38 ARW37:ARW38 ARZ37:ARZ38 ASC37:ASC38 ASF37:ASF38 ASI37:ASI38 ASL37:ASL38 ASO37:ASO38 ASR38 ASU38 ASX38 ATA38 ATD38 ATG38 ATJ38 ATM38 ATP38 ATS38 ATV38 ATY38 AUB38 AUE38 AUH38:AUK38 AUN38">
    <cfRule type="containsText" priority="2354" stopIfTrue="1" operator="containsText" text="-">
      <formula>NOT(ISERROR(SEARCH("-",F23)))</formula>
    </cfRule>
  </conditionalFormatting>
  <conditionalFormatting sqref="AVO58 AVR58">
    <cfRule type="cellIs" dxfId="33" priority="308" operator="between">
      <formula>1</formula>
      <formula>20</formula>
    </cfRule>
  </conditionalFormatting>
  <conditionalFormatting sqref="AVU58 AVX58 AWA58 AWD58 AWG58">
    <cfRule type="cellIs" dxfId="32" priority="296" operator="between">
      <formula>1</formula>
      <formula>20</formula>
    </cfRule>
  </conditionalFormatting>
  <conditionalFormatting sqref="AWJ58 AWM58">
    <cfRule type="cellIs" dxfId="31" priority="246" operator="between">
      <formula>1</formula>
      <formula>20</formula>
    </cfRule>
  </conditionalFormatting>
  <conditionalFormatting sqref="AWP58 AWS58 AWV58 AWY58 AXB58">
    <cfRule type="cellIs" dxfId="30" priority="234" operator="between">
      <formula>1</formula>
      <formula>20</formula>
    </cfRule>
  </conditionalFormatting>
  <conditionalFormatting sqref="AXE58 AXH58">
    <cfRule type="cellIs" dxfId="29" priority="194" operator="between">
      <formula>1</formula>
      <formula>20</formula>
    </cfRule>
  </conditionalFormatting>
  <conditionalFormatting sqref="AXK58 AXN58 AXQ58 AXT58 AXW58">
    <cfRule type="cellIs" dxfId="28" priority="182" operator="between">
      <formula>1</formula>
      <formula>20</formula>
    </cfRule>
  </conditionalFormatting>
  <conditionalFormatting sqref="AXZ58 AYC58">
    <cfRule type="cellIs" dxfId="27" priority="136" operator="between">
      <formula>1</formula>
      <formula>20</formula>
    </cfRule>
  </conditionalFormatting>
  <conditionalFormatting sqref="AYF58 AYI58 AYL58 AYO58 AYR58">
    <cfRule type="cellIs" dxfId="26" priority="124" operator="between">
      <formula>1</formula>
      <formula>20</formula>
    </cfRule>
  </conditionalFormatting>
  <conditionalFormatting sqref="AYU58 AYX58">
    <cfRule type="cellIs" dxfId="25" priority="84" operator="between">
      <formula>1</formula>
      <formula>20</formula>
    </cfRule>
  </conditionalFormatting>
  <conditionalFormatting sqref="AZA58 AZD58 AZG58 AZJ58 AZM58">
    <cfRule type="cellIs" dxfId="24" priority="72" operator="between">
      <formula>1</formula>
      <formula>20</formula>
    </cfRule>
  </conditionalFormatting>
  <conditionalFormatting sqref="AZP58 AZS58">
    <cfRule type="cellIs" dxfId="23" priority="32" operator="between">
      <formula>1</formula>
      <formula>20</formula>
    </cfRule>
  </conditionalFormatting>
  <conditionalFormatting sqref="AZV58 AZY58 BAB58 BAE58 BAH58">
    <cfRule type="cellIs" dxfId="22" priority="20" operator="between">
      <formula>1</formula>
      <formula>20</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478D-1556-47FB-BC73-5ABF7E147EB0}">
  <dimension ref="B2:U329"/>
  <sheetViews>
    <sheetView showGridLines="0" workbookViewId="0">
      <pane ySplit="2" topLeftCell="A18" activePane="bottomLeft" state="frozen"/>
      <selection pane="bottomLeft" activeCell="F18" sqref="F18"/>
    </sheetView>
  </sheetViews>
  <sheetFormatPr baseColWidth="10" defaultColWidth="9.1640625" defaultRowHeight="15"/>
  <cols>
    <col min="1" max="1" width="4.1640625" customWidth="1"/>
    <col min="2" max="2" width="12.6640625" style="3" customWidth="1"/>
    <col min="3" max="3" width="13" style="3" customWidth="1"/>
    <col min="4" max="4" width="62.6640625" bestFit="1" customWidth="1"/>
    <col min="5" max="5" width="10.5" hidden="1" customWidth="1"/>
    <col min="6" max="6" width="52.5" bestFit="1" customWidth="1"/>
    <col min="7" max="7" width="14" customWidth="1"/>
    <col min="8" max="8" width="77.33203125" customWidth="1"/>
  </cols>
  <sheetData>
    <row r="2" spans="2:8" ht="32">
      <c r="B2" s="24" t="s">
        <v>380</v>
      </c>
      <c r="C2" s="25" t="s">
        <v>382</v>
      </c>
      <c r="D2" s="61" t="s">
        <v>383</v>
      </c>
      <c r="E2" s="25" t="s">
        <v>385</v>
      </c>
      <c r="F2" s="61" t="s">
        <v>386</v>
      </c>
      <c r="G2" s="25" t="s">
        <v>658</v>
      </c>
      <c r="H2" s="25" t="s">
        <v>387</v>
      </c>
    </row>
    <row r="3" spans="2:8">
      <c r="B3" s="29">
        <v>45785</v>
      </c>
      <c r="C3" s="30" t="s">
        <v>415</v>
      </c>
      <c r="D3" s="31" t="s">
        <v>659</v>
      </c>
      <c r="E3" s="31"/>
      <c r="F3" s="31" t="s">
        <v>660</v>
      </c>
      <c r="G3" s="31">
        <v>11</v>
      </c>
      <c r="H3" s="31" t="s">
        <v>661</v>
      </c>
    </row>
    <row r="4" spans="2:8" ht="16">
      <c r="B4" s="29">
        <v>45805</v>
      </c>
      <c r="C4" s="30" t="s">
        <v>406</v>
      </c>
      <c r="D4" s="31" t="s">
        <v>662</v>
      </c>
      <c r="E4" s="31"/>
      <c r="F4" s="31" t="s">
        <v>569</v>
      </c>
      <c r="G4" s="31">
        <v>1</v>
      </c>
      <c r="H4" s="32" t="s">
        <v>663</v>
      </c>
    </row>
    <row r="5" spans="2:8">
      <c r="B5" s="29">
        <v>45810</v>
      </c>
      <c r="C5" s="30" t="s">
        <v>534</v>
      </c>
      <c r="D5" s="239" t="s">
        <v>664</v>
      </c>
      <c r="E5" s="874"/>
      <c r="F5" s="31" t="s">
        <v>442</v>
      </c>
      <c r="G5" s="31">
        <v>1</v>
      </c>
      <c r="H5" s="239" t="s">
        <v>665</v>
      </c>
    </row>
    <row r="6" spans="2:8">
      <c r="B6" s="29">
        <v>45820</v>
      </c>
      <c r="C6" s="30" t="s">
        <v>534</v>
      </c>
      <c r="D6" s="239" t="s">
        <v>664</v>
      </c>
      <c r="E6" s="31"/>
      <c r="F6" s="31" t="s">
        <v>666</v>
      </c>
      <c r="G6" s="31">
        <v>3</v>
      </c>
      <c r="H6" s="239" t="s">
        <v>665</v>
      </c>
    </row>
    <row r="7" spans="2:8">
      <c r="B7" s="29">
        <v>45832</v>
      </c>
      <c r="C7" s="30" t="s">
        <v>564</v>
      </c>
      <c r="D7" s="31" t="s">
        <v>667</v>
      </c>
      <c r="E7" s="31"/>
      <c r="F7" s="31" t="s">
        <v>448</v>
      </c>
      <c r="G7" s="31">
        <v>314</v>
      </c>
      <c r="H7" s="875" t="s">
        <v>668</v>
      </c>
    </row>
    <row r="8" spans="2:8">
      <c r="B8" s="29">
        <v>45832</v>
      </c>
      <c r="C8" s="30" t="s">
        <v>432</v>
      </c>
      <c r="D8" s="31" t="s">
        <v>669</v>
      </c>
      <c r="E8" s="31"/>
      <c r="F8" s="31" t="s">
        <v>448</v>
      </c>
      <c r="G8" s="31">
        <v>439</v>
      </c>
      <c r="H8" s="875" t="s">
        <v>668</v>
      </c>
    </row>
    <row r="9" spans="2:8">
      <c r="B9" s="29">
        <v>45832</v>
      </c>
      <c r="C9" s="30" t="s">
        <v>494</v>
      </c>
      <c r="D9" s="31" t="s">
        <v>587</v>
      </c>
      <c r="E9" s="31"/>
      <c r="F9" s="31" t="s">
        <v>448</v>
      </c>
      <c r="G9" s="31">
        <v>203</v>
      </c>
      <c r="H9" s="875" t="s">
        <v>668</v>
      </c>
    </row>
    <row r="10" spans="2:8">
      <c r="B10" s="29">
        <v>45832</v>
      </c>
      <c r="C10" s="30" t="s">
        <v>492</v>
      </c>
      <c r="D10" s="31" t="s">
        <v>670</v>
      </c>
      <c r="E10" s="31"/>
      <c r="F10" s="31" t="s">
        <v>448</v>
      </c>
      <c r="G10" s="31">
        <v>157</v>
      </c>
      <c r="H10" s="875" t="s">
        <v>668</v>
      </c>
    </row>
    <row r="11" spans="2:8">
      <c r="B11" s="29">
        <v>45832</v>
      </c>
      <c r="C11" s="30" t="s">
        <v>430</v>
      </c>
      <c r="D11" s="31" t="s">
        <v>671</v>
      </c>
      <c r="E11" s="31"/>
      <c r="F11" s="31" t="s">
        <v>448</v>
      </c>
      <c r="G11" s="31">
        <v>35</v>
      </c>
      <c r="H11" s="875" t="s">
        <v>668</v>
      </c>
    </row>
    <row r="12" spans="2:8">
      <c r="B12" s="29">
        <v>45832</v>
      </c>
      <c r="C12" s="30" t="s">
        <v>504</v>
      </c>
      <c r="D12" s="31" t="s">
        <v>672</v>
      </c>
      <c r="E12" s="31"/>
      <c r="F12" s="31" t="s">
        <v>448</v>
      </c>
      <c r="G12" s="31">
        <v>96</v>
      </c>
      <c r="H12" s="875" t="s">
        <v>668</v>
      </c>
    </row>
    <row r="13" spans="2:8">
      <c r="B13" s="29">
        <v>45832</v>
      </c>
      <c r="C13" s="30" t="s">
        <v>565</v>
      </c>
      <c r="D13" s="31" t="s">
        <v>673</v>
      </c>
      <c r="E13" s="31"/>
      <c r="F13" s="31" t="s">
        <v>448</v>
      </c>
      <c r="G13" s="31">
        <v>72</v>
      </c>
      <c r="H13" s="875" t="s">
        <v>668</v>
      </c>
    </row>
    <row r="14" spans="2:8">
      <c r="B14" s="29">
        <v>45832</v>
      </c>
      <c r="C14" s="30" t="s">
        <v>501</v>
      </c>
      <c r="D14" s="31" t="s">
        <v>674</v>
      </c>
      <c r="E14" s="31"/>
      <c r="F14" s="31" t="s">
        <v>448</v>
      </c>
      <c r="G14" s="31">
        <v>170</v>
      </c>
      <c r="H14" s="875" t="s">
        <v>668</v>
      </c>
    </row>
    <row r="15" spans="2:8">
      <c r="B15" s="29">
        <v>45832</v>
      </c>
      <c r="C15" s="30" t="s">
        <v>467</v>
      </c>
      <c r="D15" s="31" t="s">
        <v>582</v>
      </c>
      <c r="E15" s="31"/>
      <c r="F15" s="31" t="s">
        <v>448</v>
      </c>
      <c r="G15" s="31">
        <v>10</v>
      </c>
      <c r="H15" s="875" t="s">
        <v>668</v>
      </c>
    </row>
    <row r="16" spans="2:8">
      <c r="B16" s="29">
        <v>45832</v>
      </c>
      <c r="C16" s="30" t="s">
        <v>396</v>
      </c>
      <c r="D16" s="31" t="s">
        <v>618</v>
      </c>
      <c r="E16" s="31"/>
      <c r="F16" s="31" t="s">
        <v>448</v>
      </c>
      <c r="G16" s="31">
        <v>12</v>
      </c>
      <c r="H16" s="875" t="s">
        <v>668</v>
      </c>
    </row>
    <row r="17" spans="2:8">
      <c r="B17" s="29">
        <v>45832</v>
      </c>
      <c r="C17" s="30" t="s">
        <v>468</v>
      </c>
      <c r="D17" s="31" t="s">
        <v>675</v>
      </c>
      <c r="E17" s="31"/>
      <c r="F17" s="31" t="s">
        <v>448</v>
      </c>
      <c r="G17" s="31">
        <v>20</v>
      </c>
      <c r="H17" s="875" t="s">
        <v>668</v>
      </c>
    </row>
    <row r="18" spans="2:8">
      <c r="B18" s="29">
        <v>45832</v>
      </c>
      <c r="C18" s="30" t="s">
        <v>439</v>
      </c>
      <c r="D18" s="31" t="s">
        <v>676</v>
      </c>
      <c r="E18" s="31"/>
      <c r="F18" s="31" t="s">
        <v>448</v>
      </c>
      <c r="G18" s="31">
        <v>116</v>
      </c>
      <c r="H18" s="875" t="s">
        <v>668</v>
      </c>
    </row>
    <row r="19" spans="2:8">
      <c r="B19" s="29">
        <v>45832</v>
      </c>
      <c r="C19" s="30" t="s">
        <v>540</v>
      </c>
      <c r="D19" s="31" t="s">
        <v>677</v>
      </c>
      <c r="E19" s="31"/>
      <c r="F19" s="31" t="s">
        <v>448</v>
      </c>
      <c r="G19" s="31">
        <v>180</v>
      </c>
      <c r="H19" s="875" t="s">
        <v>668</v>
      </c>
    </row>
    <row r="20" spans="2:8">
      <c r="B20" s="29"/>
      <c r="C20" s="30"/>
      <c r="D20" s="31"/>
      <c r="E20" s="31"/>
      <c r="F20" s="31"/>
      <c r="G20" s="31"/>
      <c r="H20" s="31"/>
    </row>
    <row r="21" spans="2:8">
      <c r="B21" s="29"/>
      <c r="C21" s="30"/>
      <c r="D21" s="31"/>
      <c r="E21" s="31"/>
      <c r="F21" s="31"/>
      <c r="G21" s="31"/>
      <c r="H21" s="31"/>
    </row>
    <row r="22" spans="2:8">
      <c r="B22" s="29"/>
      <c r="C22" s="30"/>
      <c r="D22" s="31"/>
      <c r="E22" s="31"/>
      <c r="F22" s="31"/>
      <c r="G22" s="31"/>
      <c r="H22" s="31"/>
    </row>
    <row r="23" spans="2:8">
      <c r="B23" s="29"/>
      <c r="C23" s="30"/>
      <c r="D23" s="31"/>
      <c r="E23" s="31"/>
      <c r="F23" s="31"/>
      <c r="G23" s="31"/>
      <c r="H23" s="31"/>
    </row>
    <row r="24" spans="2:8">
      <c r="B24" s="29"/>
      <c r="C24" s="30"/>
      <c r="D24" s="31"/>
      <c r="E24" s="31"/>
      <c r="F24" s="31"/>
      <c r="G24" s="31"/>
      <c r="H24" s="31"/>
    </row>
    <row r="25" spans="2:8">
      <c r="B25" s="29"/>
      <c r="C25" s="30"/>
      <c r="D25" s="31"/>
      <c r="E25" s="31"/>
      <c r="F25" s="31"/>
      <c r="G25" s="31"/>
      <c r="H25" s="31"/>
    </row>
    <row r="26" spans="2:8">
      <c r="B26" s="29"/>
      <c r="C26" s="30"/>
      <c r="D26" s="31"/>
      <c r="E26" s="31"/>
      <c r="F26" s="31"/>
      <c r="G26" s="31"/>
      <c r="H26" s="31"/>
    </row>
    <row r="27" spans="2:8">
      <c r="B27" s="29"/>
      <c r="C27" s="30"/>
      <c r="D27" s="31"/>
      <c r="E27" s="31"/>
      <c r="F27" s="31"/>
      <c r="G27" s="31"/>
      <c r="H27" s="31"/>
    </row>
    <row r="28" spans="2:8">
      <c r="B28" s="29"/>
      <c r="C28" s="30"/>
      <c r="D28" s="31"/>
      <c r="E28" s="31"/>
      <c r="F28" s="31"/>
      <c r="G28" s="31"/>
      <c r="H28" s="43"/>
    </row>
    <row r="29" spans="2:8">
      <c r="B29" s="29"/>
      <c r="C29" s="30"/>
      <c r="D29" s="31"/>
      <c r="E29" s="31"/>
      <c r="F29" s="31"/>
      <c r="G29" s="31"/>
      <c r="H29" s="43"/>
    </row>
    <row r="30" spans="2:8">
      <c r="B30" s="29"/>
      <c r="C30" s="30"/>
      <c r="D30" s="31"/>
      <c r="E30" s="31"/>
      <c r="F30" s="31"/>
      <c r="G30" s="31"/>
      <c r="H30" s="43"/>
    </row>
    <row r="31" spans="2:8">
      <c r="B31" s="29"/>
      <c r="C31" s="30"/>
      <c r="D31" s="31"/>
      <c r="E31" s="31"/>
      <c r="F31" s="31"/>
      <c r="G31" s="31"/>
      <c r="H31" s="43"/>
    </row>
    <row r="32" spans="2:8">
      <c r="B32" s="29"/>
      <c r="C32" s="30"/>
      <c r="D32" s="31"/>
      <c r="E32" s="31"/>
      <c r="F32" s="31"/>
      <c r="G32" s="31"/>
      <c r="H32" s="43"/>
    </row>
    <row r="33" spans="2:8">
      <c r="B33" s="29"/>
      <c r="C33" s="30"/>
      <c r="D33" s="31"/>
      <c r="E33" s="31"/>
      <c r="F33" s="31"/>
      <c r="G33" s="31"/>
      <c r="H33" s="43"/>
    </row>
    <row r="34" spans="2:8">
      <c r="B34" s="29"/>
      <c r="C34" s="30"/>
      <c r="D34" s="31"/>
      <c r="E34" s="31"/>
      <c r="F34" s="31"/>
      <c r="G34" s="31"/>
      <c r="H34" s="43"/>
    </row>
    <row r="35" spans="2:8">
      <c r="B35" s="29"/>
      <c r="C35" s="30"/>
      <c r="D35" s="45"/>
      <c r="E35" s="85"/>
      <c r="F35" s="31"/>
      <c r="G35" s="31"/>
      <c r="H35" s="43"/>
    </row>
    <row r="36" spans="2:8">
      <c r="B36" s="29"/>
      <c r="C36" s="30"/>
      <c r="D36" s="45"/>
      <c r="E36" s="85"/>
      <c r="F36" s="31"/>
      <c r="G36" s="31"/>
      <c r="H36" s="43"/>
    </row>
    <row r="37" spans="2:8">
      <c r="B37" s="29"/>
      <c r="C37" s="30"/>
      <c r="D37" s="45"/>
      <c r="E37" s="85"/>
      <c r="F37" s="31"/>
      <c r="G37" s="31"/>
      <c r="H37" s="43"/>
    </row>
    <row r="38" spans="2:8">
      <c r="B38" s="29"/>
      <c r="C38" s="30"/>
      <c r="D38" s="62"/>
      <c r="E38" s="876"/>
      <c r="F38" s="874"/>
      <c r="G38" s="31"/>
      <c r="H38" s="43"/>
    </row>
    <row r="39" spans="2:8">
      <c r="B39" s="29"/>
      <c r="C39" s="30"/>
      <c r="D39" s="31"/>
      <c r="E39" s="31"/>
      <c r="F39" s="31"/>
      <c r="G39" s="31"/>
      <c r="H39" s="43"/>
    </row>
    <row r="40" spans="2:8">
      <c r="B40" s="29"/>
      <c r="C40" s="30"/>
      <c r="D40" s="31"/>
      <c r="E40" s="31"/>
      <c r="F40" s="31"/>
      <c r="G40" s="31"/>
      <c r="H40" s="43"/>
    </row>
    <row r="41" spans="2:8" ht="15" customHeight="1">
      <c r="B41" s="29"/>
      <c r="C41" s="30"/>
      <c r="D41" s="31"/>
      <c r="E41" s="31"/>
      <c r="F41" s="31"/>
      <c r="G41" s="31"/>
      <c r="H41" s="43"/>
    </row>
    <row r="42" spans="2:8" ht="15" customHeight="1">
      <c r="B42" s="29"/>
      <c r="C42" s="30"/>
      <c r="D42" s="31"/>
      <c r="E42" s="31"/>
      <c r="F42" s="31"/>
      <c r="G42" s="31"/>
      <c r="H42" s="43"/>
    </row>
    <row r="43" spans="2:8" ht="15" customHeight="1">
      <c r="B43" s="29"/>
      <c r="C43" s="30"/>
      <c r="D43" s="31"/>
      <c r="E43" s="31"/>
      <c r="F43" s="31"/>
      <c r="G43" s="31"/>
      <c r="H43" s="43"/>
    </row>
    <row r="44" spans="2:8" ht="15" customHeight="1">
      <c r="B44" s="29"/>
      <c r="C44" s="30"/>
      <c r="D44" s="31"/>
      <c r="E44" s="31"/>
      <c r="F44" s="31"/>
      <c r="G44" s="31"/>
      <c r="H44" s="43"/>
    </row>
    <row r="45" spans="2:8" ht="15" customHeight="1">
      <c r="B45" s="29"/>
      <c r="C45" s="30"/>
      <c r="D45" s="31"/>
      <c r="E45" s="31"/>
      <c r="F45" s="31"/>
      <c r="G45" s="31"/>
      <c r="H45" s="43"/>
    </row>
    <row r="46" spans="2:8" ht="15" customHeight="1">
      <c r="B46" s="29"/>
      <c r="C46" s="30"/>
      <c r="D46" s="31"/>
      <c r="E46" s="31"/>
      <c r="F46" s="31"/>
      <c r="G46" s="31"/>
      <c r="H46" s="43"/>
    </row>
    <row r="47" spans="2:8" ht="15" customHeight="1">
      <c r="B47" s="29"/>
      <c r="C47" s="30"/>
      <c r="D47" s="31"/>
      <c r="E47" s="31"/>
      <c r="F47" s="31"/>
      <c r="G47" s="31"/>
      <c r="H47" s="43"/>
    </row>
    <row r="48" spans="2:8" ht="15" customHeight="1">
      <c r="B48" s="29"/>
      <c r="C48" s="30"/>
      <c r="D48" s="31"/>
      <c r="E48" s="31"/>
      <c r="F48" s="31"/>
      <c r="G48" s="31"/>
      <c r="H48" s="43"/>
    </row>
    <row r="49" spans="2:8" ht="15" customHeight="1">
      <c r="B49" s="29"/>
      <c r="C49" s="30"/>
      <c r="D49" s="31"/>
      <c r="E49" s="31"/>
      <c r="F49" s="31"/>
      <c r="G49" s="31"/>
      <c r="H49" s="43"/>
    </row>
    <row r="50" spans="2:8" ht="15" customHeight="1">
      <c r="B50" s="29"/>
      <c r="C50" s="30"/>
      <c r="D50" s="31"/>
      <c r="E50" s="31"/>
      <c r="F50" s="31"/>
      <c r="G50" s="31"/>
      <c r="H50" s="43"/>
    </row>
    <row r="51" spans="2:8" ht="15" customHeight="1">
      <c r="B51" s="29"/>
      <c r="C51" s="30"/>
      <c r="D51" s="31"/>
      <c r="E51" s="31"/>
      <c r="F51" s="31"/>
      <c r="G51" s="31"/>
      <c r="H51" s="43"/>
    </row>
    <row r="52" spans="2:8" ht="15" customHeight="1">
      <c r="B52" s="29"/>
      <c r="C52" s="30"/>
      <c r="D52" s="31"/>
      <c r="E52" s="31"/>
      <c r="F52" s="31"/>
      <c r="G52" s="31"/>
      <c r="H52" s="43"/>
    </row>
    <row r="53" spans="2:8" ht="15" customHeight="1">
      <c r="B53" s="29"/>
      <c r="C53" s="30"/>
      <c r="D53" s="31"/>
      <c r="E53" s="31"/>
      <c r="F53" s="31"/>
      <c r="G53" s="31"/>
      <c r="H53" s="43"/>
    </row>
    <row r="54" spans="2:8" ht="15" customHeight="1">
      <c r="B54" s="29"/>
      <c r="C54" s="30"/>
      <c r="D54" s="31"/>
      <c r="E54" s="31"/>
      <c r="F54" s="31"/>
      <c r="G54" s="31"/>
      <c r="H54" s="43"/>
    </row>
    <row r="55" spans="2:8" ht="15" customHeight="1">
      <c r="B55" s="29"/>
      <c r="C55" s="30"/>
      <c r="D55" s="45"/>
      <c r="E55" s="85"/>
      <c r="F55" s="31"/>
      <c r="G55" s="31"/>
      <c r="H55" s="43"/>
    </row>
    <row r="56" spans="2:8" ht="15" customHeight="1">
      <c r="B56" s="29"/>
      <c r="C56" s="30"/>
      <c r="D56" s="45"/>
      <c r="E56" s="85"/>
      <c r="F56" s="31"/>
      <c r="G56" s="31"/>
      <c r="H56" s="43"/>
    </row>
    <row r="57" spans="2:8" ht="15" customHeight="1">
      <c r="B57" s="29"/>
      <c r="C57" s="30"/>
      <c r="D57" s="45"/>
      <c r="E57" s="85"/>
      <c r="F57" s="31"/>
      <c r="G57" s="31"/>
      <c r="H57" s="43"/>
    </row>
    <row r="58" spans="2:8" ht="15" customHeight="1">
      <c r="B58" s="29"/>
      <c r="C58" s="30"/>
      <c r="D58" s="45"/>
      <c r="E58" s="85"/>
      <c r="F58" s="31"/>
      <c r="G58" s="31"/>
      <c r="H58" s="43"/>
    </row>
    <row r="59" spans="2:8" ht="15" customHeight="1">
      <c r="B59" s="29"/>
      <c r="C59" s="30"/>
      <c r="D59" s="45"/>
      <c r="E59" s="85"/>
      <c r="F59" s="31"/>
      <c r="G59" s="31"/>
      <c r="H59" s="43"/>
    </row>
    <row r="60" spans="2:8" ht="15" customHeight="1">
      <c r="B60" s="29"/>
      <c r="C60" s="30"/>
      <c r="D60" s="45"/>
      <c r="E60" s="85"/>
      <c r="F60" s="31"/>
      <c r="G60" s="31"/>
      <c r="H60" s="43"/>
    </row>
    <row r="61" spans="2:8" ht="15" customHeight="1">
      <c r="B61" s="29"/>
      <c r="C61" s="30"/>
      <c r="D61" s="62"/>
      <c r="E61" s="85"/>
      <c r="F61" s="874"/>
      <c r="G61" s="31"/>
      <c r="H61" s="43"/>
    </row>
    <row r="62" spans="2:8" ht="15" customHeight="1">
      <c r="B62" s="29"/>
      <c r="C62" s="30"/>
      <c r="D62" s="45"/>
      <c r="E62" s="85"/>
      <c r="F62" s="31"/>
      <c r="G62" s="31"/>
      <c r="H62" s="43"/>
    </row>
    <row r="63" spans="2:8" ht="15" customHeight="1">
      <c r="B63" s="29"/>
      <c r="C63" s="30"/>
      <c r="D63" s="45"/>
      <c r="E63" s="85"/>
      <c r="F63" s="31"/>
      <c r="G63" s="31"/>
      <c r="H63" s="43"/>
    </row>
    <row r="64" spans="2:8" ht="15" customHeight="1">
      <c r="B64" s="29"/>
      <c r="C64" s="30"/>
      <c r="D64" s="45"/>
      <c r="E64" s="85"/>
      <c r="F64" s="31"/>
      <c r="G64" s="31"/>
      <c r="H64" s="43"/>
    </row>
    <row r="65" spans="2:8" ht="15" customHeight="1">
      <c r="B65" s="29"/>
      <c r="C65" s="30"/>
      <c r="D65" s="45"/>
      <c r="E65" s="85"/>
      <c r="F65" s="31"/>
      <c r="G65" s="31"/>
      <c r="H65" s="43"/>
    </row>
    <row r="66" spans="2:8" ht="15" customHeight="1">
      <c r="B66" s="29"/>
      <c r="C66" s="30"/>
      <c r="D66" s="45"/>
      <c r="E66" s="85"/>
      <c r="F66" s="31"/>
      <c r="G66" s="31"/>
      <c r="H66" s="43"/>
    </row>
    <row r="67" spans="2:8" ht="15" customHeight="1">
      <c r="B67" s="29"/>
      <c r="C67" s="30"/>
      <c r="D67" s="45"/>
      <c r="E67" s="85"/>
      <c r="F67" s="31"/>
      <c r="G67" s="31"/>
      <c r="H67" s="43"/>
    </row>
    <row r="68" spans="2:8" ht="15" customHeight="1">
      <c r="B68" s="29"/>
      <c r="C68" s="30"/>
      <c r="D68" s="45"/>
      <c r="E68" s="85"/>
      <c r="F68" s="31"/>
      <c r="G68" s="31"/>
      <c r="H68" s="43"/>
    </row>
    <row r="69" spans="2:8" ht="15" customHeight="1">
      <c r="B69" s="29"/>
      <c r="C69" s="30"/>
      <c r="D69" s="45"/>
      <c r="E69" s="85"/>
      <c r="F69" s="31"/>
      <c r="G69" s="31"/>
      <c r="H69" s="43"/>
    </row>
    <row r="70" spans="2:8" ht="15" customHeight="1">
      <c r="B70" s="29"/>
      <c r="C70" s="30"/>
      <c r="D70" s="45"/>
      <c r="E70" s="85"/>
      <c r="F70" s="31"/>
      <c r="G70" s="31"/>
      <c r="H70" s="43"/>
    </row>
    <row r="71" spans="2:8" ht="15" customHeight="1">
      <c r="B71" s="29"/>
      <c r="C71" s="30"/>
      <c r="D71" s="45"/>
      <c r="E71" s="85"/>
      <c r="F71" s="31"/>
      <c r="G71" s="31"/>
      <c r="H71" s="43"/>
    </row>
    <row r="72" spans="2:8" ht="15" customHeight="1">
      <c r="B72" s="29"/>
      <c r="C72" s="30"/>
      <c r="D72" s="45"/>
      <c r="E72" s="85"/>
      <c r="F72" s="31"/>
      <c r="G72" s="31"/>
      <c r="H72" s="43"/>
    </row>
    <row r="73" spans="2:8" ht="15" customHeight="1">
      <c r="B73" s="29"/>
      <c r="C73" s="30"/>
      <c r="D73" s="62"/>
      <c r="E73" s="85"/>
      <c r="F73" s="874"/>
      <c r="G73" s="31"/>
      <c r="H73" s="43"/>
    </row>
    <row r="74" spans="2:8" ht="15" customHeight="1">
      <c r="B74" s="29"/>
      <c r="C74" s="30"/>
      <c r="D74" s="45"/>
      <c r="E74" s="85"/>
      <c r="F74" s="31"/>
      <c r="G74" s="31"/>
      <c r="H74" s="43"/>
    </row>
    <row r="75" spans="2:8" ht="15" customHeight="1">
      <c r="B75" s="29"/>
      <c r="C75" s="30"/>
      <c r="D75" s="45"/>
      <c r="E75" s="85"/>
      <c r="F75" s="31"/>
      <c r="G75" s="31"/>
      <c r="H75" s="43"/>
    </row>
    <row r="76" spans="2:8">
      <c r="B76" s="29"/>
      <c r="C76" s="30"/>
      <c r="D76" s="45"/>
      <c r="E76" s="85"/>
      <c r="F76" s="31"/>
      <c r="G76" s="31"/>
      <c r="H76" s="43"/>
    </row>
    <row r="77" spans="2:8">
      <c r="B77" s="29"/>
      <c r="C77" s="30"/>
      <c r="D77" s="45"/>
      <c r="E77" s="85"/>
      <c r="F77" s="31"/>
      <c r="G77" s="31"/>
      <c r="H77" s="43"/>
    </row>
    <row r="78" spans="2:8" ht="15" customHeight="1">
      <c r="B78" s="29"/>
      <c r="C78" s="30"/>
      <c r="D78" s="45"/>
      <c r="E78" s="85"/>
      <c r="F78" s="31"/>
      <c r="G78" s="31"/>
      <c r="H78" s="43"/>
    </row>
    <row r="79" spans="2:8" ht="15" customHeight="1">
      <c r="B79" s="29"/>
      <c r="C79" s="30"/>
      <c r="D79" s="45"/>
      <c r="E79" s="85"/>
      <c r="F79" s="31"/>
      <c r="G79" s="31"/>
      <c r="H79" s="43"/>
    </row>
    <row r="80" spans="2:8" ht="15" customHeight="1">
      <c r="B80" s="29"/>
      <c r="C80" s="30"/>
      <c r="D80" s="45"/>
      <c r="E80" s="85"/>
      <c r="F80" s="31"/>
      <c r="G80" s="31"/>
      <c r="H80" s="43"/>
    </row>
    <row r="81" spans="2:8" ht="15" customHeight="1">
      <c r="B81" s="29"/>
      <c r="C81" s="30"/>
      <c r="D81" s="45"/>
      <c r="E81" s="85"/>
      <c r="F81" s="31"/>
      <c r="G81" s="31"/>
      <c r="H81" s="43"/>
    </row>
    <row r="82" spans="2:8" ht="15" customHeight="1">
      <c r="B82" s="29"/>
      <c r="C82" s="30"/>
      <c r="D82" s="45"/>
      <c r="E82" s="85"/>
      <c r="F82" s="31"/>
      <c r="G82" s="31"/>
      <c r="H82" s="43"/>
    </row>
    <row r="83" spans="2:8" ht="15" customHeight="1">
      <c r="B83" s="29"/>
      <c r="C83" s="30"/>
      <c r="D83" s="45"/>
      <c r="E83" s="85"/>
      <c r="F83" s="31"/>
      <c r="G83" s="31"/>
      <c r="H83" s="43"/>
    </row>
    <row r="84" spans="2:8" ht="15" customHeight="1">
      <c r="B84" s="29"/>
      <c r="C84" s="30"/>
      <c r="D84" s="45"/>
      <c r="E84" s="85"/>
      <c r="F84" s="31"/>
      <c r="G84" s="31"/>
      <c r="H84" s="43"/>
    </row>
    <row r="85" spans="2:8" ht="15" customHeight="1">
      <c r="B85" s="29"/>
      <c r="C85" s="30"/>
      <c r="D85" s="62"/>
      <c r="E85" s="85"/>
      <c r="F85" s="874"/>
      <c r="G85" s="31"/>
      <c r="H85" s="43"/>
    </row>
    <row r="86" spans="2:8">
      <c r="B86" s="29"/>
      <c r="C86" s="30"/>
      <c r="D86" s="45"/>
      <c r="E86" s="85"/>
      <c r="F86" s="31"/>
      <c r="G86" s="31"/>
      <c r="H86" s="43"/>
    </row>
    <row r="87" spans="2:8" ht="15" customHeight="1">
      <c r="B87" s="29"/>
      <c r="C87" s="30"/>
      <c r="D87" s="31"/>
      <c r="E87" s="31"/>
      <c r="F87" s="31"/>
      <c r="G87" s="31"/>
      <c r="H87" s="43"/>
    </row>
    <row r="88" spans="2:8" ht="15" customHeight="1">
      <c r="B88" s="29"/>
      <c r="C88" s="30"/>
      <c r="D88" s="31"/>
      <c r="E88" s="31"/>
      <c r="F88" s="31"/>
      <c r="G88" s="31"/>
      <c r="H88" s="43"/>
    </row>
    <row r="89" spans="2:8" ht="15" customHeight="1">
      <c r="B89" s="29"/>
      <c r="C89" s="30"/>
      <c r="D89" s="31"/>
      <c r="E89" s="31"/>
      <c r="F89" s="31"/>
      <c r="G89" s="31"/>
      <c r="H89" s="43"/>
    </row>
    <row r="90" spans="2:8" ht="15" customHeight="1">
      <c r="B90" s="29"/>
      <c r="C90" s="30"/>
      <c r="D90" s="31"/>
      <c r="E90" s="31"/>
      <c r="F90" s="31"/>
      <c r="G90" s="31"/>
      <c r="H90" s="43"/>
    </row>
    <row r="91" spans="2:8" ht="15" customHeight="1">
      <c r="B91" s="29"/>
      <c r="C91" s="30"/>
      <c r="D91" s="31"/>
      <c r="E91" s="31"/>
      <c r="F91" s="31"/>
      <c r="G91" s="31"/>
      <c r="H91" s="43"/>
    </row>
    <row r="92" spans="2:8" ht="15" customHeight="1">
      <c r="B92" s="29"/>
      <c r="C92" s="30"/>
      <c r="D92" s="31"/>
      <c r="E92" s="31"/>
      <c r="F92" s="31"/>
      <c r="G92" s="31"/>
      <c r="H92" s="43"/>
    </row>
    <row r="93" spans="2:8" ht="15" customHeight="1">
      <c r="B93" s="29"/>
      <c r="C93" s="30"/>
      <c r="D93" s="31"/>
      <c r="E93" s="31"/>
      <c r="F93" s="31"/>
      <c r="G93" s="31"/>
      <c r="H93" s="43"/>
    </row>
    <row r="94" spans="2:8" ht="15" customHeight="1">
      <c r="B94" s="29"/>
      <c r="C94" s="30"/>
      <c r="D94" s="31"/>
      <c r="E94" s="31"/>
      <c r="F94" s="31"/>
      <c r="G94" s="31"/>
      <c r="H94" s="43"/>
    </row>
    <row r="95" spans="2:8" ht="15" customHeight="1">
      <c r="B95" s="29"/>
      <c r="C95" s="30"/>
      <c r="D95" s="31"/>
      <c r="E95" s="31"/>
      <c r="F95" s="31"/>
      <c r="G95" s="31"/>
      <c r="H95" s="43"/>
    </row>
    <row r="96" spans="2:8" ht="15" customHeight="1">
      <c r="B96" s="29"/>
      <c r="C96" s="30"/>
      <c r="D96" s="31"/>
      <c r="E96" s="31"/>
      <c r="F96" s="31"/>
      <c r="G96" s="31"/>
      <c r="H96" s="43"/>
    </row>
    <row r="97" spans="2:8" ht="15" customHeight="1">
      <c r="B97" s="29"/>
      <c r="C97" s="30"/>
      <c r="D97" s="31"/>
      <c r="E97" s="31"/>
      <c r="F97" s="31"/>
      <c r="G97" s="31"/>
      <c r="H97" s="43"/>
    </row>
    <row r="98" spans="2:8" ht="15" customHeight="1">
      <c r="B98" s="29"/>
      <c r="C98" s="30"/>
      <c r="D98" s="31"/>
      <c r="E98" s="31"/>
      <c r="F98" s="31"/>
      <c r="G98" s="31"/>
      <c r="H98" s="43"/>
    </row>
    <row r="99" spans="2:8" ht="15" customHeight="1">
      <c r="B99" s="29"/>
      <c r="C99" s="30"/>
      <c r="D99" s="31"/>
      <c r="E99" s="31"/>
      <c r="F99" s="31"/>
      <c r="G99" s="31"/>
      <c r="H99" s="43"/>
    </row>
    <row r="100" spans="2:8" ht="15" customHeight="1">
      <c r="B100" s="29"/>
      <c r="C100" s="30"/>
      <c r="D100" s="31"/>
      <c r="E100" s="31"/>
      <c r="F100" s="31"/>
      <c r="G100" s="31"/>
      <c r="H100" s="43"/>
    </row>
    <row r="101" spans="2:8" ht="15" customHeight="1">
      <c r="B101" s="29"/>
      <c r="C101" s="30"/>
      <c r="D101" s="31"/>
      <c r="E101" s="31"/>
      <c r="F101" s="31"/>
      <c r="G101" s="31"/>
      <c r="H101" s="43"/>
    </row>
    <row r="102" spans="2:8" ht="15" customHeight="1">
      <c r="B102" s="29"/>
      <c r="C102" s="30"/>
      <c r="D102" s="31"/>
      <c r="E102" s="31"/>
      <c r="F102" s="31"/>
      <c r="G102" s="31"/>
      <c r="H102" s="43"/>
    </row>
    <row r="103" spans="2:8" ht="15" customHeight="1">
      <c r="B103" s="29"/>
      <c r="C103" s="30"/>
      <c r="D103" s="31"/>
      <c r="E103" s="31"/>
      <c r="F103" s="31"/>
      <c r="G103" s="31"/>
      <c r="H103" s="43"/>
    </row>
    <row r="104" spans="2:8" ht="15" customHeight="1">
      <c r="B104" s="29"/>
      <c r="C104" s="30"/>
      <c r="D104" s="31"/>
      <c r="E104" s="31"/>
      <c r="F104" s="31"/>
      <c r="G104" s="31"/>
      <c r="H104" s="43"/>
    </row>
    <row r="105" spans="2:8" ht="15" customHeight="1">
      <c r="B105" s="29"/>
      <c r="C105" s="30"/>
      <c r="D105" s="31"/>
      <c r="E105" s="31"/>
      <c r="F105" s="31"/>
      <c r="G105" s="31"/>
      <c r="H105" s="43"/>
    </row>
    <row r="106" spans="2:8" ht="15" customHeight="1">
      <c r="B106" s="29"/>
      <c r="C106" s="30"/>
      <c r="D106" s="31"/>
      <c r="E106" s="31"/>
      <c r="F106" s="31"/>
      <c r="G106" s="31"/>
      <c r="H106" s="43"/>
    </row>
    <row r="107" spans="2:8" ht="15" customHeight="1">
      <c r="B107" s="29"/>
      <c r="C107" s="30"/>
      <c r="D107" s="31"/>
      <c r="E107" s="31"/>
      <c r="F107" s="31"/>
      <c r="G107" s="31"/>
      <c r="H107" s="43"/>
    </row>
    <row r="108" spans="2:8" ht="15" customHeight="1">
      <c r="B108" s="29"/>
      <c r="C108" s="30"/>
      <c r="D108" s="31"/>
      <c r="E108" s="31"/>
      <c r="F108" s="31"/>
      <c r="G108" s="31"/>
      <c r="H108" s="43"/>
    </row>
    <row r="109" spans="2:8" ht="15" customHeight="1">
      <c r="B109" s="29"/>
      <c r="C109" s="30"/>
      <c r="D109" s="31"/>
      <c r="E109" s="31"/>
      <c r="F109" s="31"/>
      <c r="G109" s="31"/>
      <c r="H109" s="43"/>
    </row>
    <row r="110" spans="2:8">
      <c r="B110" s="29"/>
      <c r="C110" s="30"/>
      <c r="D110" s="31"/>
      <c r="E110" s="31"/>
      <c r="F110" s="31"/>
      <c r="G110" s="31"/>
      <c r="H110" s="43"/>
    </row>
    <row r="111" spans="2:8">
      <c r="B111" s="29"/>
      <c r="C111" s="30"/>
      <c r="D111" s="31"/>
      <c r="E111" s="31"/>
      <c r="F111" s="31"/>
      <c r="G111" s="31"/>
      <c r="H111" s="43"/>
    </row>
    <row r="112" spans="2:8">
      <c r="B112" s="29"/>
      <c r="C112" s="30"/>
      <c r="D112" s="31"/>
      <c r="E112" s="31"/>
      <c r="F112" s="31"/>
      <c r="G112" s="31"/>
      <c r="H112" s="43"/>
    </row>
    <row r="113" spans="2:8">
      <c r="B113" s="29"/>
      <c r="C113" s="30"/>
      <c r="D113" s="31"/>
      <c r="E113" s="31"/>
      <c r="F113" s="31"/>
      <c r="G113" s="31"/>
      <c r="H113" s="43"/>
    </row>
    <row r="114" spans="2:8">
      <c r="B114" s="29"/>
      <c r="C114" s="30"/>
      <c r="D114" s="31"/>
      <c r="E114" s="31"/>
      <c r="F114" s="31"/>
      <c r="G114" s="31"/>
      <c r="H114" s="43"/>
    </row>
    <row r="115" spans="2:8">
      <c r="B115" s="29"/>
      <c r="C115" s="30"/>
      <c r="D115" s="31"/>
      <c r="E115" s="31"/>
      <c r="F115" s="31"/>
      <c r="G115" s="31"/>
      <c r="H115" s="43"/>
    </row>
    <row r="116" spans="2:8">
      <c r="B116" s="29"/>
      <c r="C116" s="30"/>
      <c r="D116" s="31"/>
      <c r="E116" s="31"/>
      <c r="F116" s="31"/>
      <c r="G116" s="31"/>
      <c r="H116" s="43"/>
    </row>
    <row r="117" spans="2:8">
      <c r="B117" s="29"/>
      <c r="C117" s="30"/>
      <c r="D117" s="31"/>
      <c r="E117" s="31"/>
      <c r="F117" s="31"/>
      <c r="G117" s="31"/>
      <c r="H117" s="43"/>
    </row>
    <row r="118" spans="2:8">
      <c r="B118" s="29"/>
      <c r="C118" s="30"/>
      <c r="D118" s="31"/>
      <c r="E118" s="31"/>
      <c r="F118" s="31"/>
      <c r="G118" s="31"/>
      <c r="H118" s="43"/>
    </row>
    <row r="119" spans="2:8">
      <c r="B119" s="29"/>
      <c r="C119" s="30"/>
      <c r="D119" s="31"/>
      <c r="E119" s="31"/>
      <c r="F119" s="31"/>
      <c r="G119" s="31"/>
      <c r="H119" s="43"/>
    </row>
    <row r="120" spans="2:8">
      <c r="B120" s="29"/>
      <c r="C120" s="30"/>
      <c r="D120" s="31"/>
      <c r="E120" s="31"/>
      <c r="F120" s="31"/>
      <c r="G120" s="31"/>
      <c r="H120" s="43"/>
    </row>
    <row r="121" spans="2:8">
      <c r="B121" s="29"/>
      <c r="C121" s="30"/>
      <c r="D121" s="31"/>
      <c r="E121" s="31"/>
      <c r="F121" s="31"/>
      <c r="G121" s="31"/>
      <c r="H121" s="43"/>
    </row>
    <row r="122" spans="2:8">
      <c r="B122" s="29"/>
      <c r="C122" s="30"/>
      <c r="D122" s="31"/>
      <c r="E122" s="31"/>
      <c r="F122" s="31"/>
      <c r="G122" s="31"/>
      <c r="H122" s="43"/>
    </row>
    <row r="123" spans="2:8">
      <c r="B123" s="29"/>
      <c r="C123" s="30"/>
      <c r="D123" s="31"/>
      <c r="E123" s="31"/>
      <c r="F123" s="31"/>
      <c r="G123" s="31"/>
      <c r="H123" s="43"/>
    </row>
    <row r="124" spans="2:8" ht="15.75" customHeight="1">
      <c r="B124" s="29"/>
      <c r="C124" s="30"/>
      <c r="D124" s="31"/>
      <c r="E124" s="31"/>
      <c r="F124" s="31"/>
      <c r="G124" s="31"/>
      <c r="H124" s="43"/>
    </row>
    <row r="125" spans="2:8">
      <c r="B125" s="29"/>
      <c r="C125" s="30"/>
      <c r="D125" s="31"/>
      <c r="E125" s="31"/>
      <c r="F125" s="31"/>
      <c r="G125" s="31"/>
      <c r="H125" s="43"/>
    </row>
    <row r="126" spans="2:8">
      <c r="B126" s="29"/>
      <c r="C126" s="30"/>
      <c r="D126" s="877"/>
      <c r="E126" s="877"/>
      <c r="F126" s="31"/>
      <c r="G126" s="31"/>
      <c r="H126" s="43"/>
    </row>
    <row r="127" spans="2:8">
      <c r="B127" s="29"/>
      <c r="C127" s="54"/>
      <c r="D127" s="878"/>
      <c r="E127" s="878"/>
      <c r="F127" s="31"/>
      <c r="G127" s="31"/>
      <c r="H127" s="43"/>
    </row>
    <row r="128" spans="2:8" ht="15" customHeight="1">
      <c r="B128" s="879"/>
      <c r="C128" s="55"/>
      <c r="D128" s="878"/>
      <c r="E128" s="878"/>
      <c r="F128" s="877"/>
      <c r="G128" s="877"/>
      <c r="H128" s="880"/>
    </row>
    <row r="129" spans="2:8" ht="15" customHeight="1">
      <c r="B129" s="881"/>
      <c r="C129" s="882"/>
      <c r="D129" s="878"/>
      <c r="E129" s="878"/>
      <c r="F129" s="883"/>
      <c r="G129" s="878"/>
      <c r="H129" s="884"/>
    </row>
    <row r="130" spans="2:8" ht="15" customHeight="1">
      <c r="B130" s="881"/>
      <c r="C130" s="882"/>
      <c r="D130" s="878"/>
      <c r="E130" s="878"/>
      <c r="F130" s="883"/>
      <c r="G130" s="878"/>
      <c r="H130" s="884"/>
    </row>
    <row r="131" spans="2:8" ht="15" customHeight="1">
      <c r="B131" s="881"/>
      <c r="C131" s="882"/>
      <c r="D131" s="878"/>
      <c r="E131" s="878"/>
      <c r="F131" s="883"/>
      <c r="G131" s="878"/>
      <c r="H131" s="884"/>
    </row>
    <row r="132" spans="2:8" ht="15" customHeight="1">
      <c r="B132" s="881"/>
      <c r="C132" s="882"/>
      <c r="D132" s="878"/>
      <c r="E132" s="878"/>
      <c r="F132" s="883"/>
      <c r="G132" s="878"/>
      <c r="H132" s="884"/>
    </row>
    <row r="133" spans="2:8" ht="15" customHeight="1">
      <c r="B133" s="881"/>
      <c r="C133" s="882"/>
      <c r="D133" s="878"/>
      <c r="E133" s="878"/>
      <c r="F133" s="883"/>
      <c r="G133" s="878"/>
      <c r="H133" s="884"/>
    </row>
    <row r="134" spans="2:8" ht="15" customHeight="1">
      <c r="B134" s="881"/>
      <c r="C134" s="882"/>
      <c r="D134" s="878"/>
      <c r="E134" s="878"/>
      <c r="F134" s="883"/>
      <c r="G134" s="878"/>
      <c r="H134" s="884"/>
    </row>
    <row r="135" spans="2:8" ht="15" customHeight="1">
      <c r="B135" s="881"/>
      <c r="C135" s="882"/>
      <c r="D135" s="878"/>
      <c r="E135" s="878"/>
      <c r="F135" s="883"/>
      <c r="G135" s="878"/>
      <c r="H135" s="884"/>
    </row>
    <row r="136" spans="2:8" ht="15" customHeight="1">
      <c r="B136" s="881"/>
      <c r="C136" s="882"/>
      <c r="D136" s="878"/>
      <c r="E136" s="878"/>
      <c r="F136" s="883"/>
      <c r="G136" s="878"/>
      <c r="H136" s="883"/>
    </row>
    <row r="137" spans="2:8" ht="15" customHeight="1">
      <c r="B137" s="881"/>
      <c r="C137" s="882"/>
      <c r="D137" s="878"/>
      <c r="E137" s="878"/>
      <c r="F137" s="883"/>
      <c r="G137" s="878"/>
      <c r="H137" s="883"/>
    </row>
    <row r="138" spans="2:8" ht="15" customHeight="1">
      <c r="B138" s="881"/>
      <c r="C138" s="882"/>
      <c r="D138" s="878"/>
      <c r="E138" s="878"/>
      <c r="F138" s="883"/>
      <c r="G138" s="878"/>
      <c r="H138" s="883"/>
    </row>
    <row r="139" spans="2:8" ht="15" customHeight="1">
      <c r="B139" s="881"/>
      <c r="C139" s="882"/>
      <c r="D139" s="878"/>
      <c r="E139" s="878"/>
      <c r="F139" s="883"/>
      <c r="G139" s="878"/>
      <c r="H139" s="883"/>
    </row>
    <row r="140" spans="2:8" ht="15" customHeight="1">
      <c r="B140" s="881"/>
      <c r="C140" s="882"/>
      <c r="D140" s="878"/>
      <c r="E140" s="878"/>
      <c r="F140" s="883"/>
      <c r="G140" s="878"/>
      <c r="H140" s="883"/>
    </row>
    <row r="141" spans="2:8" ht="15" customHeight="1">
      <c r="B141" s="881"/>
      <c r="C141" s="885"/>
      <c r="D141" s="878"/>
      <c r="E141" s="878"/>
      <c r="F141" s="883"/>
      <c r="G141" s="878"/>
      <c r="H141" s="886"/>
    </row>
    <row r="142" spans="2:8" ht="15" customHeight="1">
      <c r="B142" s="29"/>
      <c r="C142" s="30"/>
      <c r="D142" s="31"/>
      <c r="E142" s="878"/>
      <c r="F142" s="31"/>
      <c r="G142" s="31"/>
      <c r="H142" s="43"/>
    </row>
    <row r="143" spans="2:8" ht="15" customHeight="1">
      <c r="B143" s="29"/>
      <c r="C143" s="30"/>
      <c r="D143" s="31"/>
      <c r="E143" s="878"/>
      <c r="F143" s="31"/>
      <c r="G143" s="31"/>
      <c r="H143" s="887"/>
    </row>
    <row r="144" spans="2:8" ht="15" customHeight="1">
      <c r="B144" s="29"/>
      <c r="C144" s="30"/>
      <c r="D144" s="31"/>
      <c r="E144" s="878"/>
      <c r="F144" s="31"/>
      <c r="G144" s="31"/>
      <c r="H144" s="884"/>
    </row>
    <row r="145" spans="2:21" ht="15" customHeight="1">
      <c r="B145" s="29"/>
      <c r="C145" s="30"/>
      <c r="D145" s="31"/>
      <c r="E145" s="878"/>
      <c r="F145" s="31"/>
      <c r="G145" s="31"/>
      <c r="H145" s="883"/>
    </row>
    <row r="146" spans="2:21" ht="15" customHeight="1">
      <c r="B146" s="29"/>
      <c r="C146" s="30"/>
      <c r="D146" s="31"/>
      <c r="E146" s="878"/>
      <c r="F146" s="31"/>
      <c r="G146" s="31"/>
      <c r="H146" s="883"/>
    </row>
    <row r="147" spans="2:21" ht="15" customHeight="1">
      <c r="B147" s="29"/>
      <c r="C147" s="30"/>
      <c r="D147" s="31"/>
      <c r="E147" s="878"/>
      <c r="F147" s="31"/>
      <c r="G147" s="31"/>
      <c r="H147" s="883"/>
    </row>
    <row r="148" spans="2:21" ht="15" customHeight="1">
      <c r="B148" s="29"/>
      <c r="C148" s="30"/>
      <c r="D148" s="31"/>
      <c r="E148" s="878"/>
      <c r="F148" s="31"/>
      <c r="G148" s="31"/>
      <c r="H148" s="883"/>
    </row>
    <row r="149" spans="2:21" ht="15" customHeight="1">
      <c r="B149" s="29"/>
      <c r="C149" s="30"/>
      <c r="D149" s="31"/>
      <c r="E149" s="878"/>
      <c r="F149" s="31"/>
      <c r="G149" s="31"/>
      <c r="H149" s="883"/>
    </row>
    <row r="150" spans="2:21" ht="15" customHeight="1">
      <c r="B150" s="29"/>
      <c r="C150" s="30"/>
      <c r="D150" s="31"/>
      <c r="E150" s="878"/>
      <c r="F150" s="31"/>
      <c r="G150" s="31"/>
      <c r="H150" s="886"/>
      <c r="J150" s="888"/>
      <c r="K150" s="888"/>
      <c r="L150" s="888"/>
      <c r="M150" s="888"/>
      <c r="N150" s="888"/>
      <c r="O150" s="888"/>
      <c r="P150" s="888"/>
      <c r="Q150" s="888"/>
      <c r="R150" s="888"/>
      <c r="S150" s="888"/>
      <c r="T150" s="888"/>
      <c r="U150" s="888"/>
    </row>
    <row r="151" spans="2:21" ht="15" customHeight="1">
      <c r="B151" s="29"/>
      <c r="C151" s="30"/>
      <c r="D151" s="31"/>
      <c r="E151" s="878"/>
      <c r="F151" s="31"/>
      <c r="G151" s="31"/>
      <c r="H151" s="43"/>
      <c r="J151" s="63"/>
      <c r="K151" s="64"/>
      <c r="L151" s="64"/>
      <c r="M151" s="64"/>
      <c r="N151" s="65"/>
      <c r="O151" s="64"/>
      <c r="P151" s="64"/>
      <c r="Q151" s="64"/>
      <c r="R151" s="64"/>
      <c r="S151" s="64"/>
      <c r="T151" s="64"/>
      <c r="U151" s="64"/>
    </row>
    <row r="152" spans="2:21" ht="15" customHeight="1">
      <c r="B152" s="29"/>
      <c r="C152" s="30"/>
      <c r="D152" s="31"/>
      <c r="E152" s="878"/>
      <c r="F152" s="31"/>
      <c r="G152" s="31"/>
      <c r="H152" s="884"/>
      <c r="J152" s="63"/>
      <c r="K152" s="64"/>
      <c r="L152" s="64"/>
      <c r="M152" s="64"/>
      <c r="N152" s="65"/>
      <c r="O152" s="64"/>
      <c r="P152" s="64"/>
      <c r="Q152" s="64"/>
      <c r="R152" s="64"/>
      <c r="S152" s="64"/>
      <c r="T152" s="64"/>
      <c r="U152" s="64"/>
    </row>
    <row r="153" spans="2:21" ht="15" customHeight="1">
      <c r="B153" s="29"/>
      <c r="C153" s="30"/>
      <c r="D153" s="31"/>
      <c r="E153" s="878"/>
      <c r="F153" s="31"/>
      <c r="G153" s="31"/>
      <c r="H153" s="883"/>
      <c r="J153" s="63"/>
      <c r="K153" s="64"/>
      <c r="L153" s="64"/>
      <c r="M153" s="64"/>
      <c r="N153" s="65"/>
      <c r="O153" s="64"/>
      <c r="P153" s="64"/>
      <c r="Q153" s="64"/>
      <c r="R153" s="64"/>
      <c r="S153" s="64"/>
      <c r="T153" s="64"/>
      <c r="U153" s="64"/>
    </row>
    <row r="154" spans="2:21" ht="15" customHeight="1">
      <c r="B154" s="29"/>
      <c r="C154" s="30"/>
      <c r="D154" s="31"/>
      <c r="E154" s="878"/>
      <c r="F154" s="31"/>
      <c r="G154" s="31"/>
      <c r="H154" s="883"/>
    </row>
    <row r="155" spans="2:21" ht="15" customHeight="1">
      <c r="B155" s="29"/>
      <c r="C155" s="30"/>
      <c r="D155" s="31"/>
      <c r="E155" s="878"/>
      <c r="F155" s="31"/>
      <c r="G155" s="31"/>
      <c r="H155" s="883"/>
    </row>
    <row r="156" spans="2:21" ht="15" customHeight="1">
      <c r="B156" s="29"/>
      <c r="C156" s="30"/>
      <c r="D156" s="31"/>
      <c r="E156" s="878"/>
      <c r="F156" s="31"/>
      <c r="G156" s="31"/>
      <c r="H156" s="883"/>
    </row>
    <row r="157" spans="2:21" ht="15" customHeight="1">
      <c r="B157" s="29"/>
      <c r="C157" s="30"/>
      <c r="D157" s="31"/>
      <c r="E157" s="878"/>
      <c r="F157" s="31"/>
      <c r="G157" s="31"/>
      <c r="H157" s="883"/>
    </row>
    <row r="158" spans="2:21" ht="15" customHeight="1">
      <c r="B158" s="29"/>
      <c r="C158" s="30"/>
      <c r="D158" s="31"/>
      <c r="E158" s="878"/>
      <c r="F158" s="31"/>
      <c r="G158" s="31"/>
      <c r="H158" s="887"/>
    </row>
    <row r="159" spans="2:21" ht="15" customHeight="1">
      <c r="B159" s="29"/>
      <c r="C159" s="889"/>
      <c r="D159" s="31"/>
      <c r="E159" s="878"/>
      <c r="F159" s="31"/>
      <c r="G159" s="31"/>
      <c r="H159" s="887"/>
    </row>
    <row r="160" spans="2:21">
      <c r="B160" s="29"/>
      <c r="C160" s="889"/>
      <c r="D160" s="31"/>
      <c r="E160" s="878"/>
      <c r="F160" s="31"/>
      <c r="G160" s="31"/>
      <c r="H160" s="887"/>
    </row>
    <row r="161" spans="2:8">
      <c r="B161" s="29"/>
      <c r="C161" s="889"/>
      <c r="D161" s="31"/>
      <c r="E161" s="31"/>
      <c r="F161" s="31"/>
      <c r="G161" s="31"/>
      <c r="H161" s="43"/>
    </row>
    <row r="162" spans="2:8">
      <c r="B162" s="29"/>
      <c r="C162" s="889"/>
      <c r="D162" s="31"/>
      <c r="E162" s="31"/>
      <c r="F162" s="31"/>
      <c r="G162" s="31"/>
      <c r="H162" s="43"/>
    </row>
    <row r="163" spans="2:8">
      <c r="B163" s="29"/>
      <c r="C163" s="889"/>
      <c r="D163" s="31"/>
      <c r="E163" s="31"/>
      <c r="F163" s="31"/>
      <c r="G163" s="31"/>
      <c r="H163" s="43"/>
    </row>
    <row r="164" spans="2:8">
      <c r="B164" s="29"/>
      <c r="C164" s="889"/>
      <c r="D164" s="31"/>
      <c r="E164" s="31"/>
      <c r="F164" s="31"/>
      <c r="G164" s="31"/>
      <c r="H164" s="43"/>
    </row>
    <row r="165" spans="2:8">
      <c r="B165" s="29"/>
      <c r="C165" s="30"/>
      <c r="D165" s="31"/>
      <c r="E165" s="31"/>
      <c r="F165" s="31"/>
      <c r="G165" s="31"/>
      <c r="H165" s="31"/>
    </row>
    <row r="166" spans="2:8">
      <c r="B166" s="29"/>
      <c r="C166" s="30"/>
      <c r="D166" s="31"/>
      <c r="E166" s="31"/>
      <c r="F166" s="31"/>
      <c r="G166" s="31"/>
      <c r="H166" s="31"/>
    </row>
    <row r="167" spans="2:8">
      <c r="B167" s="29"/>
      <c r="C167" s="30"/>
      <c r="D167" s="31"/>
      <c r="E167" s="31"/>
      <c r="F167" s="31"/>
      <c r="G167" s="31"/>
      <c r="H167" s="31"/>
    </row>
    <row r="168" spans="2:8">
      <c r="B168" s="29"/>
      <c r="C168" s="30"/>
      <c r="D168" s="31"/>
      <c r="E168" s="31"/>
      <c r="F168" s="31"/>
      <c r="G168" s="31"/>
      <c r="H168" s="31"/>
    </row>
    <row r="169" spans="2:8">
      <c r="B169" s="29"/>
      <c r="C169" s="30"/>
      <c r="D169" s="31"/>
      <c r="E169" s="31"/>
      <c r="F169" s="31"/>
      <c r="G169" s="31"/>
      <c r="H169" s="43"/>
    </row>
    <row r="170" spans="2:8">
      <c r="B170" s="29"/>
      <c r="C170" s="30"/>
      <c r="D170" s="31"/>
      <c r="E170" s="31"/>
      <c r="F170" s="31"/>
      <c r="G170" s="31"/>
      <c r="H170" s="43"/>
    </row>
    <row r="171" spans="2:8">
      <c r="B171" s="29"/>
      <c r="C171" s="30"/>
      <c r="D171" s="31"/>
      <c r="E171" s="31"/>
      <c r="F171" s="31"/>
      <c r="G171" s="31"/>
      <c r="H171" s="43"/>
    </row>
    <row r="172" spans="2:8">
      <c r="B172" s="29"/>
      <c r="C172" s="30"/>
      <c r="D172" s="31"/>
      <c r="E172" s="31"/>
      <c r="F172" s="31"/>
      <c r="G172" s="31"/>
      <c r="H172" s="43"/>
    </row>
    <row r="173" spans="2:8">
      <c r="B173" s="29"/>
      <c r="C173" s="30"/>
      <c r="D173" s="31"/>
      <c r="E173" s="31"/>
      <c r="F173" s="31"/>
      <c r="G173" s="31"/>
      <c r="H173" s="43"/>
    </row>
    <row r="174" spans="2:8">
      <c r="B174" s="29"/>
      <c r="C174" s="30"/>
      <c r="D174" s="31"/>
      <c r="E174" s="31"/>
      <c r="F174" s="31"/>
      <c r="G174" s="31"/>
      <c r="H174" s="43"/>
    </row>
    <row r="175" spans="2:8">
      <c r="B175" s="29"/>
      <c r="C175" s="30"/>
      <c r="D175" s="31"/>
      <c r="E175" s="31"/>
      <c r="F175" s="31"/>
      <c r="G175" s="31"/>
      <c r="H175" s="43"/>
    </row>
    <row r="176" spans="2:8">
      <c r="B176" s="29"/>
      <c r="C176" s="30"/>
      <c r="D176" s="31"/>
      <c r="E176" s="31"/>
      <c r="F176" s="31"/>
      <c r="G176" s="31"/>
      <c r="H176" s="43"/>
    </row>
    <row r="177" spans="2:8">
      <c r="B177" s="29"/>
      <c r="C177" s="30"/>
      <c r="D177" s="31"/>
      <c r="E177" s="31"/>
      <c r="F177" s="31"/>
      <c r="G177" s="31"/>
      <c r="H177" s="43"/>
    </row>
    <row r="178" spans="2:8">
      <c r="B178" s="29"/>
      <c r="C178" s="30"/>
      <c r="D178" s="31"/>
      <c r="E178" s="31"/>
      <c r="F178" s="31"/>
      <c r="G178" s="31"/>
      <c r="H178" s="43"/>
    </row>
    <row r="179" spans="2:8">
      <c r="B179" s="29"/>
      <c r="C179" s="30"/>
      <c r="D179" s="31"/>
      <c r="E179" s="31"/>
      <c r="F179" s="31"/>
      <c r="G179" s="31"/>
      <c r="H179" s="43"/>
    </row>
    <row r="180" spans="2:8">
      <c r="B180" s="29"/>
      <c r="C180" s="30"/>
      <c r="D180" s="31"/>
      <c r="E180" s="31"/>
      <c r="F180" s="31"/>
      <c r="G180" s="31"/>
      <c r="H180" s="43"/>
    </row>
    <row r="181" spans="2:8">
      <c r="B181" s="29"/>
      <c r="C181" s="30"/>
      <c r="D181" s="31"/>
      <c r="E181" s="31"/>
      <c r="F181" s="31"/>
      <c r="G181" s="31"/>
      <c r="H181" s="43"/>
    </row>
    <row r="182" spans="2:8">
      <c r="B182" s="29"/>
      <c r="C182" s="30"/>
      <c r="D182" s="31"/>
      <c r="E182" s="31"/>
      <c r="F182" s="31"/>
      <c r="G182" s="31"/>
      <c r="H182" s="43"/>
    </row>
    <row r="183" spans="2:8">
      <c r="B183" s="29"/>
      <c r="C183" s="30"/>
      <c r="D183" s="31"/>
      <c r="E183" s="31"/>
      <c r="F183" s="31"/>
      <c r="G183" s="31"/>
      <c r="H183" s="43"/>
    </row>
    <row r="184" spans="2:8">
      <c r="B184" s="29"/>
      <c r="C184" s="30"/>
      <c r="D184" s="31"/>
      <c r="E184" s="31"/>
      <c r="F184" s="31"/>
      <c r="G184" s="31"/>
      <c r="H184" s="43"/>
    </row>
    <row r="185" spans="2:8">
      <c r="B185" s="29"/>
      <c r="C185" s="30"/>
      <c r="D185" s="31"/>
      <c r="E185" s="31"/>
      <c r="F185" s="31"/>
      <c r="G185" s="31"/>
      <c r="H185" s="43"/>
    </row>
    <row r="186" spans="2:8">
      <c r="B186" s="29"/>
      <c r="C186" s="30"/>
      <c r="D186" s="31"/>
      <c r="E186" s="31"/>
      <c r="F186" s="31"/>
      <c r="G186" s="31"/>
      <c r="H186" s="43"/>
    </row>
    <row r="187" spans="2:8">
      <c r="B187" s="29"/>
      <c r="C187" s="30"/>
      <c r="D187" s="31"/>
      <c r="E187" s="31"/>
      <c r="F187" s="31"/>
      <c r="G187" s="31"/>
      <c r="H187" s="43"/>
    </row>
    <row r="188" spans="2:8" ht="15" customHeight="1">
      <c r="B188" s="29"/>
      <c r="C188" s="30"/>
      <c r="D188" s="31"/>
      <c r="E188" s="31"/>
      <c r="F188" s="31"/>
      <c r="G188" s="31"/>
      <c r="H188" s="43"/>
    </row>
    <row r="189" spans="2:8" ht="15" customHeight="1">
      <c r="B189" s="29"/>
      <c r="C189" s="30"/>
      <c r="D189" s="31"/>
      <c r="E189" s="31"/>
      <c r="F189" s="31"/>
      <c r="G189" s="31"/>
      <c r="H189" s="43"/>
    </row>
    <row r="190" spans="2:8">
      <c r="B190" s="29"/>
      <c r="C190" s="30"/>
      <c r="D190" s="31"/>
      <c r="E190" s="31"/>
      <c r="F190" s="31"/>
      <c r="G190" s="31"/>
      <c r="H190" s="887"/>
    </row>
    <row r="191" spans="2:8">
      <c r="B191" s="29"/>
      <c r="C191" s="30"/>
      <c r="D191" s="31"/>
      <c r="E191" s="31"/>
      <c r="F191" s="31"/>
      <c r="G191" s="31"/>
      <c r="H191" s="43"/>
    </row>
    <row r="192" spans="2:8">
      <c r="B192" s="29"/>
      <c r="C192" s="30"/>
      <c r="D192" s="31"/>
      <c r="E192" s="31"/>
      <c r="F192" s="31"/>
      <c r="G192" s="31"/>
      <c r="H192" s="43"/>
    </row>
    <row r="193" spans="2:8">
      <c r="B193" s="29"/>
      <c r="C193" s="30"/>
      <c r="D193" s="31"/>
      <c r="E193" s="31"/>
      <c r="F193" s="31"/>
      <c r="G193" s="31"/>
      <c r="H193" s="43"/>
    </row>
    <row r="194" spans="2:8">
      <c r="B194" s="29"/>
      <c r="C194" s="30"/>
      <c r="D194" s="31"/>
      <c r="E194" s="31"/>
      <c r="F194" s="31"/>
      <c r="G194" s="31"/>
      <c r="H194" s="43"/>
    </row>
    <row r="195" spans="2:8">
      <c r="B195" s="29"/>
      <c r="C195" s="30"/>
      <c r="D195" s="31"/>
      <c r="E195" s="31"/>
      <c r="F195" s="31"/>
      <c r="G195" s="31"/>
      <c r="H195" s="43"/>
    </row>
    <row r="196" spans="2:8">
      <c r="B196" s="29"/>
      <c r="C196" s="30"/>
      <c r="D196" s="31"/>
      <c r="E196" s="31"/>
      <c r="F196" s="31"/>
      <c r="G196" s="31"/>
      <c r="H196" s="43"/>
    </row>
    <row r="197" spans="2:8">
      <c r="B197" s="29"/>
      <c r="C197" s="30"/>
      <c r="D197" s="31"/>
      <c r="E197" s="31"/>
      <c r="F197" s="31"/>
      <c r="G197" s="31"/>
      <c r="H197" s="890"/>
    </row>
    <row r="198" spans="2:8">
      <c r="B198" s="29"/>
      <c r="C198" s="30"/>
      <c r="D198" s="31"/>
      <c r="E198" s="31"/>
      <c r="F198" s="31"/>
      <c r="G198" s="31"/>
      <c r="H198" s="890"/>
    </row>
    <row r="199" spans="2:8">
      <c r="B199" s="29"/>
      <c r="C199" s="30"/>
      <c r="D199" s="31"/>
      <c r="E199" s="31"/>
      <c r="F199" s="31"/>
      <c r="G199" s="31"/>
      <c r="H199" s="890"/>
    </row>
    <row r="200" spans="2:8">
      <c r="B200" s="29"/>
      <c r="C200" s="30"/>
      <c r="D200" s="31"/>
      <c r="E200" s="31"/>
      <c r="F200" s="31"/>
      <c r="G200" s="31"/>
      <c r="H200" s="890"/>
    </row>
    <row r="201" spans="2:8">
      <c r="B201" s="29"/>
      <c r="C201" s="30"/>
      <c r="D201" s="31"/>
      <c r="E201" s="31"/>
      <c r="F201" s="31"/>
      <c r="G201" s="31"/>
      <c r="H201" s="890"/>
    </row>
    <row r="202" spans="2:8">
      <c r="B202" s="29"/>
      <c r="C202" s="30"/>
      <c r="D202" s="31"/>
      <c r="E202" s="31"/>
      <c r="F202" s="31"/>
      <c r="G202" s="31"/>
      <c r="H202" s="890"/>
    </row>
    <row r="203" spans="2:8">
      <c r="B203" s="29"/>
      <c r="C203" s="30"/>
      <c r="D203" s="31"/>
      <c r="E203" s="31"/>
      <c r="F203" s="31"/>
      <c r="G203" s="31"/>
      <c r="H203" s="890"/>
    </row>
    <row r="204" spans="2:8">
      <c r="B204" s="29"/>
      <c r="C204" s="30"/>
      <c r="D204" s="31"/>
      <c r="E204" s="31"/>
      <c r="F204" s="31"/>
      <c r="G204" s="31"/>
      <c r="H204" s="890"/>
    </row>
    <row r="205" spans="2:8" ht="15" customHeight="1">
      <c r="B205" s="29"/>
      <c r="C205" s="30"/>
      <c r="D205" s="31"/>
      <c r="E205" s="31"/>
      <c r="F205" s="31"/>
      <c r="G205" s="31"/>
      <c r="H205" s="890"/>
    </row>
    <row r="206" spans="2:8" ht="15" customHeight="1">
      <c r="B206" s="29"/>
      <c r="C206" s="30"/>
      <c r="D206" s="31"/>
      <c r="E206" s="31"/>
      <c r="F206" s="31"/>
      <c r="G206" s="31"/>
      <c r="H206" s="890"/>
    </row>
    <row r="207" spans="2:8" ht="15" customHeight="1">
      <c r="B207" s="29"/>
      <c r="C207" s="30"/>
      <c r="D207" s="31"/>
      <c r="E207" s="31"/>
      <c r="F207" s="31"/>
      <c r="G207" s="31"/>
      <c r="H207" s="890"/>
    </row>
    <row r="208" spans="2:8" ht="15" customHeight="1">
      <c r="B208" s="29"/>
      <c r="C208" s="30"/>
      <c r="D208" s="31"/>
      <c r="E208" s="31"/>
      <c r="F208" s="31"/>
      <c r="G208" s="31"/>
      <c r="H208" s="890"/>
    </row>
    <row r="209" spans="2:8" ht="15" customHeight="1">
      <c r="B209" s="29"/>
      <c r="C209" s="30"/>
      <c r="D209" s="31"/>
      <c r="E209" s="31"/>
      <c r="F209" s="31"/>
      <c r="G209" s="31"/>
      <c r="H209" s="890"/>
    </row>
    <row r="210" spans="2:8" ht="15" customHeight="1">
      <c r="B210" s="29"/>
      <c r="C210" s="30"/>
      <c r="D210" s="31"/>
      <c r="E210" s="31"/>
      <c r="F210" s="31"/>
      <c r="G210" s="31"/>
      <c r="H210" s="890"/>
    </row>
    <row r="211" spans="2:8" ht="15" customHeight="1">
      <c r="B211" s="29"/>
      <c r="C211" s="30"/>
      <c r="D211" s="31"/>
      <c r="E211" s="31"/>
      <c r="F211" s="31"/>
      <c r="G211" s="31"/>
      <c r="H211" s="890"/>
    </row>
    <row r="212" spans="2:8" ht="15" customHeight="1">
      <c r="B212" s="29"/>
      <c r="C212" s="30"/>
      <c r="D212" s="31"/>
      <c r="E212" s="31"/>
      <c r="F212" s="31"/>
      <c r="G212" s="31"/>
      <c r="H212" s="890"/>
    </row>
    <row r="213" spans="2:8" ht="15" customHeight="1">
      <c r="B213" s="29"/>
      <c r="C213" s="30"/>
      <c r="D213" s="31"/>
      <c r="E213" s="31"/>
      <c r="F213" s="31"/>
      <c r="G213" s="31"/>
      <c r="H213" s="890"/>
    </row>
    <row r="214" spans="2:8" ht="15" customHeight="1">
      <c r="B214" s="29"/>
      <c r="C214" s="30"/>
      <c r="D214" s="31"/>
      <c r="E214" s="31"/>
      <c r="F214" s="31"/>
      <c r="G214" s="31"/>
      <c r="H214" s="890"/>
    </row>
    <row r="215" spans="2:8" ht="15" customHeight="1">
      <c r="B215" s="29"/>
      <c r="C215" s="30"/>
      <c r="D215" s="31"/>
      <c r="E215" s="31"/>
      <c r="F215" s="31"/>
      <c r="G215" s="31"/>
      <c r="H215" s="890"/>
    </row>
    <row r="216" spans="2:8" ht="15" customHeight="1">
      <c r="B216" s="29"/>
      <c r="C216" s="30"/>
      <c r="D216" s="31"/>
      <c r="E216" s="31"/>
      <c r="F216" s="31"/>
      <c r="G216" s="31"/>
      <c r="H216" s="890"/>
    </row>
    <row r="217" spans="2:8" ht="15" customHeight="1">
      <c r="B217" s="29"/>
      <c r="C217" s="30"/>
      <c r="D217" s="31"/>
      <c r="E217" s="31"/>
      <c r="F217" s="31"/>
      <c r="G217" s="31"/>
      <c r="H217" s="890"/>
    </row>
    <row r="218" spans="2:8" ht="15" customHeight="1">
      <c r="B218" s="29"/>
      <c r="C218" s="30"/>
      <c r="D218" s="31"/>
      <c r="E218" s="31"/>
      <c r="F218" s="31"/>
      <c r="G218" s="31"/>
      <c r="H218" s="890"/>
    </row>
    <row r="219" spans="2:8" ht="15" customHeight="1">
      <c r="B219" s="29"/>
      <c r="C219" s="30"/>
      <c r="D219" s="31"/>
      <c r="E219" s="31"/>
      <c r="F219" s="31"/>
      <c r="G219" s="31"/>
      <c r="H219" s="890"/>
    </row>
    <row r="220" spans="2:8" ht="15" customHeight="1">
      <c r="B220" s="29"/>
      <c r="C220" s="30"/>
      <c r="D220" s="31"/>
      <c r="E220" s="31"/>
      <c r="F220" s="31"/>
      <c r="G220" s="31"/>
      <c r="H220" s="890"/>
    </row>
    <row r="221" spans="2:8" ht="15" customHeight="1">
      <c r="B221" s="29"/>
      <c r="C221" s="30"/>
      <c r="D221" s="31"/>
      <c r="E221" s="31"/>
      <c r="F221" s="31"/>
      <c r="G221" s="31"/>
      <c r="H221" s="890"/>
    </row>
    <row r="222" spans="2:8" ht="15" customHeight="1">
      <c r="B222" s="29"/>
      <c r="C222" s="30"/>
      <c r="D222" s="31"/>
      <c r="E222" s="31"/>
      <c r="F222" s="31"/>
      <c r="G222" s="31"/>
      <c r="H222" s="890"/>
    </row>
    <row r="223" spans="2:8" ht="15" customHeight="1">
      <c r="B223" s="29"/>
      <c r="C223" s="30"/>
      <c r="D223" s="31"/>
      <c r="E223" s="31"/>
      <c r="F223" s="31"/>
      <c r="G223" s="31"/>
      <c r="H223" s="890"/>
    </row>
    <row r="224" spans="2:8" ht="15" customHeight="1">
      <c r="B224" s="29"/>
      <c r="C224" s="30"/>
      <c r="D224" s="31"/>
      <c r="E224" s="31"/>
      <c r="F224" s="31"/>
      <c r="G224" s="31"/>
      <c r="H224" s="890"/>
    </row>
    <row r="225" spans="2:8" ht="15" customHeight="1">
      <c r="B225" s="29"/>
      <c r="C225" s="30"/>
      <c r="D225" s="31"/>
      <c r="E225" s="31"/>
      <c r="F225" s="31"/>
      <c r="G225" s="31"/>
      <c r="H225" s="890"/>
    </row>
    <row r="226" spans="2:8" ht="15" customHeight="1">
      <c r="B226" s="29"/>
      <c r="C226" s="30"/>
      <c r="D226" s="31"/>
      <c r="E226" s="31"/>
      <c r="F226" s="31"/>
      <c r="G226" s="31"/>
      <c r="H226" s="890"/>
    </row>
    <row r="227" spans="2:8" ht="15" customHeight="1">
      <c r="B227" s="29"/>
      <c r="C227" s="30"/>
      <c r="D227" s="31"/>
      <c r="E227" s="31"/>
      <c r="F227" s="31"/>
      <c r="G227" s="31"/>
      <c r="H227" s="890"/>
    </row>
    <row r="228" spans="2:8" ht="15" customHeight="1">
      <c r="B228" s="29"/>
      <c r="C228" s="30"/>
      <c r="D228" s="31"/>
      <c r="E228" s="31"/>
      <c r="F228" s="31"/>
      <c r="G228" s="31"/>
      <c r="H228" s="890"/>
    </row>
    <row r="229" spans="2:8" ht="15" customHeight="1">
      <c r="B229" s="29"/>
      <c r="C229" s="30"/>
      <c r="D229" s="31"/>
      <c r="E229" s="31"/>
      <c r="F229" s="31"/>
      <c r="G229" s="31"/>
      <c r="H229" s="890"/>
    </row>
    <row r="230" spans="2:8" ht="15" customHeight="1">
      <c r="B230" s="29"/>
      <c r="C230" s="30"/>
      <c r="D230" s="31"/>
      <c r="E230" s="31"/>
      <c r="F230" s="31"/>
      <c r="G230" s="31"/>
      <c r="H230" s="890"/>
    </row>
    <row r="231" spans="2:8" ht="15" customHeight="1">
      <c r="B231" s="29"/>
      <c r="C231" s="30"/>
      <c r="D231" s="31"/>
      <c r="E231" s="31"/>
      <c r="F231" s="31"/>
      <c r="G231" s="31"/>
      <c r="H231" s="890"/>
    </row>
    <row r="232" spans="2:8" ht="15" customHeight="1">
      <c r="B232" s="29"/>
      <c r="C232" s="30"/>
      <c r="D232" s="31"/>
      <c r="E232" s="31"/>
      <c r="F232" s="31"/>
      <c r="G232" s="31"/>
      <c r="H232" s="890"/>
    </row>
    <row r="233" spans="2:8" ht="15" customHeight="1">
      <c r="B233" s="29"/>
      <c r="C233" s="30"/>
      <c r="D233" s="31"/>
      <c r="E233" s="31"/>
      <c r="F233" s="31"/>
      <c r="G233" s="31"/>
      <c r="H233" s="890"/>
    </row>
    <row r="234" spans="2:8" ht="15" customHeight="1">
      <c r="B234" s="29"/>
      <c r="C234" s="30"/>
      <c r="D234" s="31"/>
      <c r="E234" s="31"/>
      <c r="F234" s="31"/>
      <c r="G234" s="31"/>
      <c r="H234" s="890"/>
    </row>
    <row r="235" spans="2:8" ht="15" customHeight="1">
      <c r="B235" s="29"/>
      <c r="C235" s="30"/>
      <c r="D235" s="31"/>
      <c r="E235" s="31"/>
      <c r="F235" s="31"/>
      <c r="G235" s="31"/>
      <c r="H235" s="890"/>
    </row>
    <row r="236" spans="2:8" ht="15" customHeight="1">
      <c r="B236" s="29"/>
      <c r="C236" s="30"/>
      <c r="D236" s="31"/>
      <c r="E236" s="31"/>
      <c r="F236" s="31"/>
      <c r="G236" s="31"/>
      <c r="H236" s="890"/>
    </row>
    <row r="237" spans="2:8" ht="15" customHeight="1">
      <c r="B237" s="29"/>
      <c r="C237" s="30"/>
      <c r="D237" s="31"/>
      <c r="E237" s="31"/>
      <c r="F237" s="31"/>
      <c r="G237" s="31"/>
      <c r="H237" s="890"/>
    </row>
    <row r="238" spans="2:8" ht="15" customHeight="1">
      <c r="B238" s="29"/>
      <c r="C238" s="30"/>
      <c r="D238" s="31"/>
      <c r="E238" s="31"/>
      <c r="F238" s="31"/>
      <c r="G238" s="31"/>
      <c r="H238" s="890"/>
    </row>
    <row r="239" spans="2:8" ht="15" customHeight="1">
      <c r="B239" s="29"/>
      <c r="C239" s="30"/>
      <c r="D239" s="31"/>
      <c r="E239" s="31"/>
      <c r="F239" s="31"/>
      <c r="G239" s="31"/>
      <c r="H239" s="890"/>
    </row>
    <row r="240" spans="2:8" ht="15" customHeight="1">
      <c r="B240" s="29"/>
      <c r="C240" s="30"/>
      <c r="D240" s="31"/>
      <c r="E240" s="31"/>
      <c r="F240" s="31"/>
      <c r="G240" s="31"/>
      <c r="H240" s="890"/>
    </row>
    <row r="241" spans="2:8" ht="15" customHeight="1">
      <c r="B241" s="29"/>
      <c r="C241" s="30"/>
      <c r="D241" s="31"/>
      <c r="E241" s="31"/>
      <c r="F241" s="31"/>
      <c r="G241" s="31"/>
      <c r="H241" s="890"/>
    </row>
    <row r="242" spans="2:8" ht="15" customHeight="1">
      <c r="B242" s="29"/>
      <c r="C242" s="30"/>
      <c r="D242" s="31"/>
      <c r="E242" s="31"/>
      <c r="F242" s="31"/>
      <c r="G242" s="31"/>
      <c r="H242" s="890"/>
    </row>
    <row r="243" spans="2:8" ht="15" customHeight="1">
      <c r="B243" s="29"/>
      <c r="C243" s="30"/>
      <c r="D243" s="31"/>
      <c r="E243" s="31"/>
      <c r="F243" s="31"/>
      <c r="G243" s="31"/>
      <c r="H243" s="890"/>
    </row>
    <row r="244" spans="2:8" ht="15" customHeight="1">
      <c r="B244" s="29"/>
      <c r="C244" s="30"/>
      <c r="D244" s="31"/>
      <c r="E244" s="31"/>
      <c r="F244" s="31"/>
      <c r="G244" s="31"/>
      <c r="H244" s="890"/>
    </row>
    <row r="245" spans="2:8" ht="15" customHeight="1">
      <c r="B245" s="29"/>
      <c r="C245" s="30"/>
      <c r="D245" s="31"/>
      <c r="E245" s="31"/>
      <c r="F245" s="31"/>
      <c r="G245" s="31"/>
      <c r="H245" s="890"/>
    </row>
    <row r="246" spans="2:8" ht="15" customHeight="1">
      <c r="B246" s="29"/>
      <c r="C246" s="30"/>
      <c r="D246" s="31"/>
      <c r="E246" s="31"/>
      <c r="F246" s="31"/>
      <c r="G246" s="31"/>
      <c r="H246" s="890"/>
    </row>
    <row r="247" spans="2:8" ht="15" customHeight="1">
      <c r="B247" s="29"/>
      <c r="C247" s="30"/>
      <c r="D247" s="31"/>
      <c r="E247" s="31"/>
      <c r="F247" s="31"/>
      <c r="G247" s="31"/>
      <c r="H247" s="890"/>
    </row>
    <row r="248" spans="2:8" ht="15" customHeight="1">
      <c r="B248" s="29"/>
      <c r="C248" s="30"/>
      <c r="D248" s="31"/>
      <c r="E248" s="31"/>
      <c r="F248" s="31"/>
      <c r="G248" s="31"/>
      <c r="H248" s="890"/>
    </row>
    <row r="249" spans="2:8" ht="15" customHeight="1">
      <c r="B249" s="29"/>
      <c r="C249" s="30"/>
      <c r="D249" s="31"/>
      <c r="E249" s="31"/>
      <c r="F249" s="31"/>
      <c r="G249" s="31"/>
      <c r="H249" s="890"/>
    </row>
    <row r="250" spans="2:8" ht="15" customHeight="1">
      <c r="B250" s="29"/>
      <c r="C250" s="30"/>
      <c r="D250" s="31"/>
      <c r="E250" s="31"/>
      <c r="F250" s="31"/>
      <c r="G250" s="31"/>
      <c r="H250" s="890"/>
    </row>
    <row r="251" spans="2:8" ht="15" customHeight="1">
      <c r="B251" s="29"/>
      <c r="C251" s="30"/>
      <c r="D251" s="31"/>
      <c r="E251" s="31"/>
      <c r="F251" s="31"/>
      <c r="G251" s="31"/>
      <c r="H251" s="890"/>
    </row>
    <row r="252" spans="2:8" ht="15" customHeight="1">
      <c r="B252" s="29"/>
      <c r="C252" s="30"/>
      <c r="D252" s="31"/>
      <c r="E252" s="31"/>
      <c r="F252" s="31"/>
      <c r="G252" s="31"/>
      <c r="H252" s="890"/>
    </row>
    <row r="253" spans="2:8" ht="15" customHeight="1">
      <c r="B253" s="29"/>
      <c r="C253" s="30"/>
      <c r="D253" s="31"/>
      <c r="E253" s="31"/>
      <c r="F253" s="31"/>
      <c r="G253" s="31"/>
      <c r="H253" s="890"/>
    </row>
    <row r="254" spans="2:8" ht="15" customHeight="1">
      <c r="B254" s="29"/>
      <c r="C254" s="30"/>
      <c r="D254" s="31"/>
      <c r="E254" s="31"/>
      <c r="F254" s="31"/>
      <c r="G254" s="31"/>
      <c r="H254" s="890"/>
    </row>
    <row r="255" spans="2:8" ht="15" customHeight="1">
      <c r="B255" s="29"/>
      <c r="C255" s="30"/>
      <c r="D255" s="31"/>
      <c r="E255" s="31"/>
      <c r="F255" s="31"/>
      <c r="G255" s="31"/>
      <c r="H255" s="890"/>
    </row>
    <row r="256" spans="2:8" ht="15" customHeight="1">
      <c r="B256" s="29"/>
      <c r="C256" s="30"/>
      <c r="D256" s="31"/>
      <c r="E256" s="31"/>
      <c r="F256" s="31"/>
      <c r="G256" s="31"/>
      <c r="H256" s="890"/>
    </row>
    <row r="257" spans="2:8" ht="15" customHeight="1">
      <c r="B257" s="29"/>
      <c r="C257" s="30"/>
      <c r="D257" s="31"/>
      <c r="E257" s="31"/>
      <c r="F257" s="31"/>
      <c r="G257" s="31"/>
      <c r="H257" s="890"/>
    </row>
    <row r="258" spans="2:8" ht="15" customHeight="1">
      <c r="B258" s="29"/>
      <c r="C258" s="30"/>
      <c r="D258" s="31"/>
      <c r="E258" s="31"/>
      <c r="F258" s="31"/>
      <c r="G258" s="31"/>
      <c r="H258" s="890"/>
    </row>
    <row r="259" spans="2:8" ht="15" customHeight="1">
      <c r="B259" s="29"/>
      <c r="C259" s="30"/>
      <c r="D259" s="31"/>
      <c r="E259" s="31"/>
      <c r="F259" s="31"/>
      <c r="G259" s="31"/>
      <c r="H259" s="890"/>
    </row>
    <row r="260" spans="2:8" ht="15" customHeight="1">
      <c r="B260" s="29"/>
      <c r="C260" s="30"/>
      <c r="D260" s="31"/>
      <c r="E260" s="31"/>
      <c r="F260" s="31"/>
      <c r="G260" s="31"/>
      <c r="H260" s="890"/>
    </row>
    <row r="261" spans="2:8" ht="15" customHeight="1">
      <c r="B261" s="29"/>
      <c r="C261" s="30"/>
      <c r="D261" s="31"/>
      <c r="E261" s="31"/>
      <c r="F261" s="31"/>
      <c r="G261" s="31"/>
      <c r="H261" s="890"/>
    </row>
    <row r="262" spans="2:8">
      <c r="B262" s="29"/>
      <c r="C262" s="30"/>
      <c r="D262" s="31"/>
      <c r="E262" s="31"/>
      <c r="F262" s="31"/>
      <c r="G262" s="31"/>
      <c r="H262" s="890"/>
    </row>
    <row r="263" spans="2:8">
      <c r="B263" s="29"/>
      <c r="C263" s="30"/>
      <c r="D263" s="31"/>
      <c r="E263" s="31"/>
      <c r="F263" s="31"/>
      <c r="G263" s="31"/>
      <c r="H263" s="890"/>
    </row>
    <row r="264" spans="2:8">
      <c r="B264" s="29"/>
      <c r="C264" s="30"/>
      <c r="D264" s="31"/>
      <c r="E264" s="31"/>
      <c r="F264" s="31"/>
      <c r="G264" s="31"/>
      <c r="H264" s="890"/>
    </row>
    <row r="265" spans="2:8">
      <c r="B265" s="29"/>
      <c r="C265" s="30"/>
      <c r="D265" s="31"/>
      <c r="E265" s="31"/>
      <c r="F265" s="31"/>
      <c r="G265" s="31"/>
      <c r="H265" s="890"/>
    </row>
    <row r="266" spans="2:8">
      <c r="B266" s="29"/>
      <c r="C266" s="30"/>
      <c r="D266" s="31"/>
      <c r="E266" s="31"/>
      <c r="F266" s="31"/>
      <c r="G266" s="31"/>
      <c r="H266" s="890"/>
    </row>
    <row r="267" spans="2:8">
      <c r="B267" s="29"/>
      <c r="C267" s="30"/>
      <c r="D267" s="31"/>
      <c r="E267" s="31"/>
      <c r="F267" s="31"/>
      <c r="G267" s="31"/>
      <c r="H267" s="890"/>
    </row>
    <row r="268" spans="2:8">
      <c r="B268" s="29"/>
      <c r="C268" s="30"/>
      <c r="D268" s="31"/>
      <c r="E268" s="31"/>
      <c r="F268" s="31"/>
      <c r="G268" s="31"/>
      <c r="H268" s="890"/>
    </row>
    <row r="269" spans="2:8">
      <c r="B269" s="29"/>
      <c r="C269" s="30"/>
      <c r="D269" s="31"/>
      <c r="E269" s="31"/>
      <c r="F269" s="31"/>
      <c r="G269" s="31"/>
      <c r="H269" s="890"/>
    </row>
    <row r="270" spans="2:8">
      <c r="B270" s="29"/>
      <c r="C270" s="30"/>
      <c r="D270" s="31"/>
      <c r="E270" s="31"/>
      <c r="F270" s="31"/>
      <c r="G270" s="31"/>
      <c r="H270" s="890"/>
    </row>
    <row r="271" spans="2:8">
      <c r="B271" s="29"/>
      <c r="C271" s="30"/>
      <c r="D271" s="31"/>
      <c r="E271" s="31"/>
      <c r="F271" s="31"/>
      <c r="G271" s="31"/>
      <c r="H271" s="890"/>
    </row>
    <row r="272" spans="2:8">
      <c r="B272" s="29"/>
      <c r="C272" s="30"/>
      <c r="D272" s="31"/>
      <c r="E272" s="31"/>
      <c r="F272" s="31"/>
      <c r="G272" s="31"/>
      <c r="H272" s="890"/>
    </row>
    <row r="273" spans="2:8">
      <c r="B273" s="29"/>
      <c r="C273" s="30"/>
      <c r="D273" s="31"/>
      <c r="E273" s="31"/>
      <c r="F273" s="31"/>
      <c r="G273" s="31"/>
      <c r="H273" s="890"/>
    </row>
    <row r="274" spans="2:8">
      <c r="B274" s="29"/>
      <c r="C274" s="30"/>
      <c r="D274" s="31"/>
      <c r="E274" s="31"/>
      <c r="F274" s="31"/>
      <c r="G274" s="31"/>
      <c r="H274" s="890"/>
    </row>
    <row r="275" spans="2:8">
      <c r="B275" s="29"/>
      <c r="C275" s="30"/>
      <c r="D275" s="31"/>
      <c r="E275" s="31"/>
      <c r="F275" s="31"/>
      <c r="G275" s="31"/>
      <c r="H275" s="890"/>
    </row>
    <row r="276" spans="2:8">
      <c r="B276" s="29"/>
      <c r="C276" s="30"/>
      <c r="D276" s="31"/>
      <c r="E276" s="31"/>
      <c r="F276" s="31"/>
      <c r="G276" s="31"/>
      <c r="H276" s="890"/>
    </row>
    <row r="277" spans="2:8">
      <c r="B277" s="29"/>
      <c r="C277" s="30"/>
      <c r="D277" s="31"/>
      <c r="E277" s="31"/>
      <c r="F277" s="31"/>
      <c r="G277" s="31"/>
      <c r="H277" s="890"/>
    </row>
    <row r="278" spans="2:8">
      <c r="B278" s="29"/>
      <c r="C278" s="30"/>
      <c r="D278" s="31"/>
      <c r="E278" s="31"/>
      <c r="F278" s="31"/>
      <c r="G278" s="31"/>
      <c r="H278" s="890"/>
    </row>
    <row r="279" spans="2:8">
      <c r="B279" s="29"/>
      <c r="C279" s="30"/>
      <c r="D279" s="31"/>
      <c r="E279" s="31"/>
      <c r="F279" s="31"/>
      <c r="G279" s="31"/>
      <c r="H279" s="890"/>
    </row>
    <row r="280" spans="2:8">
      <c r="B280" s="29"/>
      <c r="C280" s="30"/>
      <c r="D280" s="31"/>
      <c r="E280" s="31"/>
      <c r="F280" s="31"/>
      <c r="G280" s="31"/>
      <c r="H280" s="890"/>
    </row>
    <row r="281" spans="2:8">
      <c r="B281" s="58"/>
      <c r="C281" s="59"/>
      <c r="D281" s="59"/>
      <c r="E281" s="31"/>
      <c r="F281" s="31"/>
      <c r="G281" s="31"/>
      <c r="H281" s="875"/>
    </row>
    <row r="282" spans="2:8">
      <c r="B282" s="58"/>
      <c r="C282" s="59"/>
      <c r="D282" s="59"/>
      <c r="E282" s="31"/>
      <c r="F282" s="31"/>
      <c r="G282" s="31"/>
      <c r="H282" s="875"/>
    </row>
    <row r="283" spans="2:8">
      <c r="B283" s="58"/>
      <c r="C283" s="59"/>
      <c r="D283" s="59"/>
      <c r="E283" s="31"/>
      <c r="F283" s="31"/>
      <c r="G283" s="31"/>
      <c r="H283" s="875"/>
    </row>
    <row r="284" spans="2:8">
      <c r="B284" s="58"/>
      <c r="C284" s="59"/>
      <c r="D284" s="59"/>
      <c r="E284" s="31"/>
      <c r="F284" s="31"/>
      <c r="G284" s="31"/>
      <c r="H284" s="875"/>
    </row>
    <row r="285" spans="2:8">
      <c r="B285" s="56"/>
      <c r="C285" s="57"/>
      <c r="D285" s="57"/>
      <c r="E285" s="31"/>
      <c r="F285" s="31"/>
      <c r="G285" s="31"/>
      <c r="H285" s="875"/>
    </row>
    <row r="286" spans="2:8">
      <c r="B286" s="58"/>
      <c r="C286" s="59"/>
      <c r="D286" s="59"/>
      <c r="E286" s="31"/>
      <c r="F286" s="31"/>
      <c r="G286" s="31"/>
      <c r="H286" s="875"/>
    </row>
    <row r="287" spans="2:8">
      <c r="B287" s="58"/>
      <c r="C287" s="59"/>
      <c r="D287" s="59"/>
      <c r="E287" s="31"/>
      <c r="F287" s="31"/>
      <c r="G287" s="31"/>
      <c r="H287" s="875"/>
    </row>
    <row r="288" spans="2:8">
      <c r="B288" s="58"/>
      <c r="C288" s="59"/>
      <c r="D288" s="59"/>
      <c r="E288" s="31"/>
      <c r="F288" s="31"/>
      <c r="G288" s="31"/>
      <c r="H288" s="875"/>
    </row>
    <row r="289" spans="2:8">
      <c r="B289" s="58"/>
      <c r="C289" s="59"/>
      <c r="D289" s="59"/>
      <c r="E289" s="31"/>
      <c r="F289" s="31"/>
      <c r="G289" s="31"/>
      <c r="H289" s="875"/>
    </row>
    <row r="290" spans="2:8">
      <c r="B290" s="58"/>
      <c r="C290" s="59"/>
      <c r="D290" s="59"/>
      <c r="E290" s="31"/>
      <c r="F290" s="31"/>
      <c r="G290" s="31"/>
      <c r="H290" s="60"/>
    </row>
    <row r="291" spans="2:8">
      <c r="B291" s="58"/>
      <c r="C291" s="59"/>
      <c r="D291" s="59"/>
      <c r="E291" s="31"/>
      <c r="F291" s="31"/>
      <c r="G291" s="31"/>
      <c r="H291" s="875"/>
    </row>
    <row r="292" spans="2:8">
      <c r="B292" s="58"/>
      <c r="C292" s="59"/>
      <c r="D292" s="59"/>
      <c r="E292" s="31"/>
      <c r="F292" s="31"/>
      <c r="G292" s="31"/>
      <c r="H292" s="875"/>
    </row>
    <row r="293" spans="2:8">
      <c r="B293" s="58"/>
      <c r="C293" s="59"/>
      <c r="D293" s="59"/>
      <c r="E293" s="31"/>
      <c r="F293" s="31"/>
      <c r="G293" s="31"/>
      <c r="H293" s="875"/>
    </row>
    <row r="294" spans="2:8">
      <c r="B294" s="58"/>
      <c r="C294" s="59"/>
      <c r="D294" s="59"/>
      <c r="E294" s="31"/>
      <c r="F294" s="31"/>
      <c r="G294" s="31"/>
      <c r="H294" s="875"/>
    </row>
    <row r="295" spans="2:8">
      <c r="B295" s="58"/>
      <c r="C295" s="59"/>
      <c r="D295" s="59"/>
      <c r="E295" s="31"/>
      <c r="F295" s="31"/>
      <c r="G295" s="31"/>
      <c r="H295" s="875"/>
    </row>
    <row r="296" spans="2:8">
      <c r="B296" s="58"/>
      <c r="C296" s="59"/>
      <c r="D296" s="59"/>
      <c r="E296" s="31"/>
      <c r="F296" s="31"/>
      <c r="G296" s="31"/>
      <c r="H296" s="60"/>
    </row>
    <row r="297" spans="2:8">
      <c r="B297" s="58"/>
      <c r="C297" s="59"/>
      <c r="D297" s="59"/>
      <c r="E297" s="31"/>
      <c r="F297" s="31"/>
      <c r="G297" s="31"/>
      <c r="H297" s="875"/>
    </row>
    <row r="298" spans="2:8">
      <c r="B298" s="58"/>
      <c r="C298" s="59"/>
      <c r="D298" s="59"/>
      <c r="E298" s="31"/>
      <c r="F298" s="31"/>
      <c r="G298" s="31"/>
      <c r="H298" s="875"/>
    </row>
    <row r="299" spans="2:8">
      <c r="B299" s="58"/>
      <c r="C299" s="59"/>
      <c r="D299" s="59"/>
      <c r="E299" s="31"/>
      <c r="F299" s="31"/>
      <c r="G299" s="31"/>
      <c r="H299" s="875"/>
    </row>
    <row r="300" spans="2:8">
      <c r="B300" s="58"/>
      <c r="C300" s="59"/>
      <c r="D300" s="59"/>
      <c r="E300" s="31"/>
      <c r="F300" s="31"/>
      <c r="G300" s="31"/>
      <c r="H300" s="875"/>
    </row>
    <row r="301" spans="2:8">
      <c r="B301" s="58"/>
      <c r="C301" s="59"/>
      <c r="D301" s="59"/>
      <c r="E301" s="31"/>
      <c r="F301" s="31"/>
      <c r="G301" s="31"/>
      <c r="H301" s="875"/>
    </row>
    <row r="302" spans="2:8">
      <c r="B302" s="56"/>
      <c r="C302" s="57"/>
      <c r="D302" s="57"/>
      <c r="E302" s="31"/>
      <c r="F302" s="31"/>
      <c r="G302" s="31"/>
      <c r="H302" s="875"/>
    </row>
    <row r="303" spans="2:8">
      <c r="B303" s="58"/>
      <c r="C303" s="59"/>
      <c r="D303" s="59"/>
      <c r="E303" s="31"/>
      <c r="F303" s="31"/>
      <c r="G303" s="31"/>
      <c r="H303" s="875"/>
    </row>
    <row r="304" spans="2:8">
      <c r="B304" s="58"/>
      <c r="C304" s="59"/>
      <c r="D304" s="59"/>
      <c r="E304" s="31"/>
      <c r="F304" s="31"/>
      <c r="G304" s="31"/>
      <c r="H304" s="875"/>
    </row>
    <row r="305" spans="2:8">
      <c r="B305" s="58"/>
      <c r="C305" s="59"/>
      <c r="D305" s="59"/>
      <c r="E305" s="31"/>
      <c r="F305" s="31"/>
      <c r="G305" s="31"/>
      <c r="H305" s="875"/>
    </row>
    <row r="306" spans="2:8">
      <c r="B306" s="58"/>
      <c r="C306" s="59"/>
      <c r="D306" s="59"/>
      <c r="E306" s="31"/>
      <c r="F306" s="31"/>
      <c r="G306" s="31"/>
      <c r="H306" s="875"/>
    </row>
    <row r="307" spans="2:8">
      <c r="B307" s="58"/>
      <c r="C307" s="59"/>
      <c r="D307" s="59"/>
      <c r="E307" s="31"/>
      <c r="F307" s="31"/>
      <c r="G307" s="31"/>
      <c r="H307" s="60"/>
    </row>
    <row r="308" spans="2:8">
      <c r="B308" s="58"/>
      <c r="C308" s="59"/>
      <c r="D308" s="59"/>
      <c r="E308" s="31"/>
      <c r="F308" s="31"/>
      <c r="G308" s="31"/>
      <c r="H308" s="875"/>
    </row>
    <row r="309" spans="2:8">
      <c r="B309" s="58"/>
      <c r="C309" s="59"/>
      <c r="D309" s="59"/>
      <c r="E309" s="31"/>
      <c r="F309" s="31"/>
      <c r="G309" s="31"/>
      <c r="H309" s="875"/>
    </row>
    <row r="310" spans="2:8">
      <c r="B310" s="58"/>
      <c r="C310" s="59"/>
      <c r="D310" s="59"/>
      <c r="E310" s="31"/>
      <c r="F310" s="31"/>
      <c r="G310" s="31"/>
      <c r="H310" s="875"/>
    </row>
    <row r="311" spans="2:8">
      <c r="B311" s="58"/>
      <c r="C311" s="59"/>
      <c r="D311" s="59"/>
      <c r="E311" s="31"/>
      <c r="F311" s="31"/>
      <c r="G311" s="31"/>
      <c r="H311" s="875"/>
    </row>
    <row r="312" spans="2:8">
      <c r="B312" s="58"/>
      <c r="C312" s="59"/>
      <c r="D312" s="59"/>
      <c r="E312" s="31"/>
      <c r="F312" s="31"/>
      <c r="G312" s="31"/>
      <c r="H312" s="875"/>
    </row>
    <row r="313" spans="2:8">
      <c r="B313" s="58"/>
      <c r="C313" s="59"/>
      <c r="D313" s="59"/>
      <c r="E313" s="31"/>
      <c r="F313" s="31"/>
      <c r="G313" s="31"/>
      <c r="H313" s="60"/>
    </row>
    <row r="314" spans="2:8">
      <c r="B314" s="58"/>
      <c r="C314" s="59"/>
      <c r="D314" s="59"/>
      <c r="E314" s="31"/>
      <c r="F314" s="31"/>
      <c r="G314" s="31"/>
      <c r="H314" s="875"/>
    </row>
    <row r="315" spans="2:8">
      <c r="B315" s="58"/>
      <c r="C315" s="59"/>
      <c r="D315" s="59"/>
      <c r="E315" s="31"/>
      <c r="F315" s="31"/>
      <c r="G315" s="31"/>
      <c r="H315" s="875"/>
    </row>
    <row r="316" spans="2:8">
      <c r="B316" s="58"/>
      <c r="C316" s="59"/>
      <c r="D316" s="59"/>
      <c r="E316" s="31"/>
      <c r="F316" s="31"/>
      <c r="G316" s="31"/>
      <c r="H316" s="875"/>
    </row>
    <row r="317" spans="2:8">
      <c r="B317" s="58"/>
      <c r="C317" s="59"/>
      <c r="D317" s="59"/>
      <c r="E317" s="31"/>
      <c r="F317" s="31"/>
      <c r="G317" s="31"/>
      <c r="H317" s="875"/>
    </row>
    <row r="318" spans="2:8">
      <c r="B318" s="58"/>
      <c r="C318" s="59"/>
      <c r="D318" s="59"/>
      <c r="E318" s="31"/>
      <c r="F318" s="31"/>
      <c r="G318" s="31"/>
      <c r="H318" s="875"/>
    </row>
    <row r="319" spans="2:8">
      <c r="B319" s="56"/>
      <c r="C319" s="57"/>
      <c r="D319" s="57"/>
      <c r="E319" s="31"/>
      <c r="F319" s="31"/>
      <c r="G319" s="31"/>
      <c r="H319" s="875"/>
    </row>
    <row r="320" spans="2:8">
      <c r="B320" s="58"/>
      <c r="C320" s="59"/>
      <c r="D320" s="59"/>
      <c r="E320" s="31"/>
      <c r="F320" s="31"/>
      <c r="G320" s="31"/>
      <c r="H320" s="875"/>
    </row>
    <row r="321" spans="2:8">
      <c r="B321" s="58"/>
      <c r="C321" s="59"/>
      <c r="D321" s="59"/>
      <c r="E321" s="31"/>
      <c r="F321" s="31"/>
      <c r="G321" s="31"/>
      <c r="H321" s="875"/>
    </row>
    <row r="322" spans="2:8">
      <c r="B322" s="58"/>
      <c r="C322" s="59"/>
      <c r="D322" s="59"/>
      <c r="E322" s="31"/>
      <c r="F322" s="31"/>
      <c r="G322" s="31"/>
      <c r="H322" s="875"/>
    </row>
    <row r="323" spans="2:8">
      <c r="B323" s="58"/>
      <c r="C323" s="59"/>
      <c r="D323" s="59"/>
      <c r="E323" s="31"/>
      <c r="F323" s="31"/>
      <c r="G323" s="31"/>
      <c r="H323" s="875"/>
    </row>
    <row r="324" spans="2:8">
      <c r="B324" s="58"/>
      <c r="C324" s="59"/>
      <c r="D324" s="59"/>
      <c r="E324" s="31"/>
      <c r="F324" s="31"/>
      <c r="G324" s="31"/>
      <c r="H324" s="60"/>
    </row>
    <row r="325" spans="2:8">
      <c r="B325" s="58"/>
      <c r="C325" s="59"/>
      <c r="D325" s="59"/>
      <c r="E325" s="31"/>
      <c r="F325" s="31"/>
      <c r="G325" s="31"/>
      <c r="H325" s="875"/>
    </row>
    <row r="326" spans="2:8">
      <c r="B326" s="58"/>
      <c r="C326" s="59"/>
      <c r="D326" s="59"/>
      <c r="E326" s="31"/>
      <c r="F326" s="31"/>
      <c r="G326" s="31"/>
      <c r="H326" s="875"/>
    </row>
    <row r="327" spans="2:8">
      <c r="B327" s="58"/>
      <c r="C327" s="59"/>
      <c r="D327" s="59"/>
      <c r="E327" s="31"/>
      <c r="F327" s="31"/>
      <c r="G327" s="31"/>
      <c r="H327" s="875"/>
    </row>
    <row r="328" spans="2:8">
      <c r="B328" s="58"/>
      <c r="C328" s="59"/>
      <c r="D328" s="59"/>
      <c r="E328" s="31"/>
      <c r="F328" s="31"/>
      <c r="G328" s="31"/>
      <c r="H328" s="875"/>
    </row>
    <row r="329" spans="2:8">
      <c r="B329" s="58"/>
      <c r="C329" s="59"/>
      <c r="D329" s="59"/>
      <c r="E329" s="31"/>
      <c r="F329" s="31"/>
      <c r="G329" s="31"/>
      <c r="H329" s="875"/>
    </row>
  </sheetData>
  <autoFilter ref="B2:H212" xr:uid="{E6FC5F49-D4A3-4AA3-9E47-7BFDB327CD2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9927-0B35-4B96-A134-78BB9F4EC127}">
  <sheetPr filterMode="1"/>
  <dimension ref="B1:V875"/>
  <sheetViews>
    <sheetView showGridLines="0" workbookViewId="0">
      <pane ySplit="1" topLeftCell="A682" activePane="bottomLeft" state="frozen"/>
      <selection pane="bottomLeft" activeCell="F705" sqref="F705"/>
    </sheetView>
  </sheetViews>
  <sheetFormatPr baseColWidth="10" defaultColWidth="9.1640625" defaultRowHeight="15"/>
  <cols>
    <col min="1" max="1" width="4.1640625" customWidth="1"/>
    <col min="2" max="3" width="12.6640625" style="3" customWidth="1"/>
    <col min="4" max="4" width="13" style="3" customWidth="1"/>
    <col min="5" max="5" width="51.5" customWidth="1"/>
    <col min="6" max="6" width="47.1640625" customWidth="1"/>
    <col min="7" max="7" width="14" customWidth="1"/>
    <col min="8" max="8" width="21.1640625" style="3" customWidth="1"/>
    <col min="9" max="9" width="104.5" bestFit="1" customWidth="1"/>
  </cols>
  <sheetData>
    <row r="1" spans="2:9" ht="32">
      <c r="B1" s="24" t="s">
        <v>380</v>
      </c>
      <c r="C1" s="25" t="s">
        <v>381</v>
      </c>
      <c r="D1" s="25" t="s">
        <v>382</v>
      </c>
      <c r="E1" s="61" t="s">
        <v>383</v>
      </c>
      <c r="F1" s="61" t="s">
        <v>386</v>
      </c>
      <c r="G1" s="25" t="s">
        <v>678</v>
      </c>
      <c r="H1" s="25" t="s">
        <v>679</v>
      </c>
      <c r="I1" s="25" t="s">
        <v>387</v>
      </c>
    </row>
    <row r="2" spans="2:9" hidden="1">
      <c r="B2" s="29">
        <v>45761</v>
      </c>
      <c r="C2" s="514" t="s">
        <v>680</v>
      </c>
      <c r="D2" s="30" t="s">
        <v>476</v>
      </c>
      <c r="E2" s="31" t="s">
        <v>681</v>
      </c>
      <c r="F2" s="31" t="s">
        <v>682</v>
      </c>
      <c r="G2" s="31">
        <v>1</v>
      </c>
      <c r="H2" s="30" t="s">
        <v>683</v>
      </c>
      <c r="I2" s="891" t="s">
        <v>684</v>
      </c>
    </row>
    <row r="3" spans="2:9" ht="16" hidden="1">
      <c r="B3" s="29">
        <v>45761</v>
      </c>
      <c r="C3" s="514" t="s">
        <v>680</v>
      </c>
      <c r="D3" s="30" t="s">
        <v>494</v>
      </c>
      <c r="E3" s="31" t="s">
        <v>587</v>
      </c>
      <c r="F3" s="31" t="s">
        <v>449</v>
      </c>
      <c r="G3" s="31">
        <v>1</v>
      </c>
      <c r="H3" s="30" t="s">
        <v>685</v>
      </c>
      <c r="I3" s="892" t="s">
        <v>686</v>
      </c>
    </row>
    <row r="4" spans="2:9" hidden="1">
      <c r="B4" s="29">
        <v>45761</v>
      </c>
      <c r="C4" s="514" t="s">
        <v>680</v>
      </c>
      <c r="D4" s="30" t="s">
        <v>506</v>
      </c>
      <c r="E4" s="31" t="s">
        <v>687</v>
      </c>
      <c r="F4" s="31" t="s">
        <v>688</v>
      </c>
      <c r="G4" s="31">
        <v>1</v>
      </c>
      <c r="H4" s="30" t="s">
        <v>689</v>
      </c>
      <c r="I4" s="891" t="s">
        <v>690</v>
      </c>
    </row>
    <row r="5" spans="2:9" hidden="1">
      <c r="B5" s="29">
        <v>45761</v>
      </c>
      <c r="C5" s="514" t="s">
        <v>680</v>
      </c>
      <c r="D5" s="30" t="s">
        <v>494</v>
      </c>
      <c r="E5" s="31" t="s">
        <v>587</v>
      </c>
      <c r="F5" s="31" t="s">
        <v>688</v>
      </c>
      <c r="G5" s="31">
        <v>11</v>
      </c>
      <c r="H5" s="30" t="s">
        <v>689</v>
      </c>
      <c r="I5" s="891" t="s">
        <v>690</v>
      </c>
    </row>
    <row r="6" spans="2:9" hidden="1">
      <c r="B6" s="29">
        <v>45761</v>
      </c>
      <c r="C6" s="514" t="s">
        <v>680</v>
      </c>
      <c r="D6" s="30" t="s">
        <v>509</v>
      </c>
      <c r="E6" s="31" t="s">
        <v>691</v>
      </c>
      <c r="F6" s="31" t="s">
        <v>688</v>
      </c>
      <c r="G6" s="31">
        <v>8</v>
      </c>
      <c r="H6" s="30" t="s">
        <v>689</v>
      </c>
      <c r="I6" s="891" t="s">
        <v>690</v>
      </c>
    </row>
    <row r="7" spans="2:9" hidden="1">
      <c r="B7" s="29">
        <v>45761</v>
      </c>
      <c r="C7" s="514" t="s">
        <v>680</v>
      </c>
      <c r="D7" s="30" t="s">
        <v>415</v>
      </c>
      <c r="E7" s="31" t="s">
        <v>659</v>
      </c>
      <c r="F7" s="31" t="s">
        <v>688</v>
      </c>
      <c r="G7" s="31">
        <v>5</v>
      </c>
      <c r="H7" s="30" t="s">
        <v>689</v>
      </c>
      <c r="I7" s="891" t="s">
        <v>690</v>
      </c>
    </row>
    <row r="8" spans="2:9" hidden="1">
      <c r="B8" s="29">
        <v>45761</v>
      </c>
      <c r="C8" s="514" t="s">
        <v>680</v>
      </c>
      <c r="D8" s="30" t="s">
        <v>497</v>
      </c>
      <c r="E8" s="31" t="s">
        <v>692</v>
      </c>
      <c r="F8" s="31" t="s">
        <v>688</v>
      </c>
      <c r="G8" s="31">
        <v>8</v>
      </c>
      <c r="H8" s="30" t="s">
        <v>689</v>
      </c>
      <c r="I8" s="891" t="s">
        <v>690</v>
      </c>
    </row>
    <row r="9" spans="2:9" hidden="1">
      <c r="B9" s="29">
        <v>45761</v>
      </c>
      <c r="C9" s="514" t="s">
        <v>680</v>
      </c>
      <c r="D9" s="30" t="s">
        <v>504</v>
      </c>
      <c r="E9" s="31" t="s">
        <v>672</v>
      </c>
      <c r="F9" s="31" t="s">
        <v>688</v>
      </c>
      <c r="G9" s="31">
        <v>10</v>
      </c>
      <c r="H9" s="30" t="s">
        <v>689</v>
      </c>
      <c r="I9" s="891" t="s">
        <v>690</v>
      </c>
    </row>
    <row r="10" spans="2:9" hidden="1">
      <c r="B10" s="29">
        <v>45761</v>
      </c>
      <c r="C10" s="514" t="s">
        <v>680</v>
      </c>
      <c r="D10" s="30" t="s">
        <v>432</v>
      </c>
      <c r="E10" s="31" t="s">
        <v>693</v>
      </c>
      <c r="F10" s="31" t="s">
        <v>688</v>
      </c>
      <c r="G10" s="31">
        <v>1</v>
      </c>
      <c r="H10" s="30" t="s">
        <v>689</v>
      </c>
      <c r="I10" s="891" t="s">
        <v>690</v>
      </c>
    </row>
    <row r="11" spans="2:9" hidden="1">
      <c r="B11" s="29">
        <v>45761</v>
      </c>
      <c r="C11" s="514" t="s">
        <v>680</v>
      </c>
      <c r="D11" s="30" t="s">
        <v>504</v>
      </c>
      <c r="E11" s="31" t="s">
        <v>672</v>
      </c>
      <c r="F11" s="31" t="s">
        <v>491</v>
      </c>
      <c r="G11" s="31">
        <v>2</v>
      </c>
      <c r="H11" s="30" t="s">
        <v>689</v>
      </c>
      <c r="I11" s="891" t="s">
        <v>694</v>
      </c>
    </row>
    <row r="12" spans="2:9" ht="16" hidden="1">
      <c r="B12" s="29">
        <v>45761</v>
      </c>
      <c r="C12" s="514" t="s">
        <v>680</v>
      </c>
      <c r="D12" s="30" t="s">
        <v>470</v>
      </c>
      <c r="E12" s="31" t="s">
        <v>590</v>
      </c>
      <c r="F12" s="31" t="s">
        <v>695</v>
      </c>
      <c r="G12" s="31">
        <v>1</v>
      </c>
      <c r="H12" s="30" t="s">
        <v>685</v>
      </c>
      <c r="I12" s="892" t="s">
        <v>686</v>
      </c>
    </row>
    <row r="13" spans="2:9" hidden="1">
      <c r="B13" s="29">
        <v>45762</v>
      </c>
      <c r="C13" s="514" t="s">
        <v>680</v>
      </c>
      <c r="D13" s="30" t="s">
        <v>501</v>
      </c>
      <c r="E13" s="31" t="s">
        <v>696</v>
      </c>
      <c r="F13" s="31" t="s">
        <v>697</v>
      </c>
      <c r="G13" s="31">
        <v>5</v>
      </c>
      <c r="H13" s="30" t="s">
        <v>683</v>
      </c>
      <c r="I13" s="31" t="s">
        <v>698</v>
      </c>
    </row>
    <row r="14" spans="2:9" hidden="1">
      <c r="B14" s="29">
        <v>45762</v>
      </c>
      <c r="C14" s="514" t="s">
        <v>680</v>
      </c>
      <c r="D14" s="30" t="s">
        <v>476</v>
      </c>
      <c r="E14" s="31" t="s">
        <v>681</v>
      </c>
      <c r="F14" s="31" t="s">
        <v>697</v>
      </c>
      <c r="G14" s="31">
        <v>2</v>
      </c>
      <c r="H14" s="30" t="s">
        <v>683</v>
      </c>
      <c r="I14" s="31" t="s">
        <v>698</v>
      </c>
    </row>
    <row r="15" spans="2:9" hidden="1">
      <c r="B15" s="29">
        <v>45762</v>
      </c>
      <c r="C15" s="514" t="s">
        <v>680</v>
      </c>
      <c r="D15" s="30" t="s">
        <v>470</v>
      </c>
      <c r="E15" s="31" t="s">
        <v>590</v>
      </c>
      <c r="F15" s="31" t="s">
        <v>648</v>
      </c>
      <c r="G15" s="31">
        <v>2</v>
      </c>
      <c r="H15" s="30" t="s">
        <v>683</v>
      </c>
      <c r="I15" s="31" t="s">
        <v>699</v>
      </c>
    </row>
    <row r="16" spans="2:9" hidden="1">
      <c r="B16" s="29">
        <v>45762</v>
      </c>
      <c r="C16" s="514" t="s">
        <v>680</v>
      </c>
      <c r="D16" s="30" t="s">
        <v>494</v>
      </c>
      <c r="E16" s="31" t="s">
        <v>587</v>
      </c>
      <c r="F16" s="31" t="s">
        <v>648</v>
      </c>
      <c r="G16" s="31">
        <v>1</v>
      </c>
      <c r="H16" s="30" t="s">
        <v>683</v>
      </c>
      <c r="I16" s="31" t="s">
        <v>699</v>
      </c>
    </row>
    <row r="17" spans="2:9" hidden="1">
      <c r="B17" s="29">
        <v>45762</v>
      </c>
      <c r="C17" s="514" t="s">
        <v>680</v>
      </c>
      <c r="D17" s="30" t="s">
        <v>509</v>
      </c>
      <c r="E17" s="31" t="s">
        <v>691</v>
      </c>
      <c r="F17" s="31" t="s">
        <v>648</v>
      </c>
      <c r="G17" s="31">
        <v>1</v>
      </c>
      <c r="H17" s="30" t="s">
        <v>683</v>
      </c>
      <c r="I17" s="31" t="s">
        <v>699</v>
      </c>
    </row>
    <row r="18" spans="2:9" hidden="1">
      <c r="B18" s="29">
        <v>45762</v>
      </c>
      <c r="C18" s="514" t="s">
        <v>680</v>
      </c>
      <c r="D18" s="30" t="s">
        <v>415</v>
      </c>
      <c r="E18" s="31" t="s">
        <v>659</v>
      </c>
      <c r="F18" s="31" t="s">
        <v>648</v>
      </c>
      <c r="G18" s="31">
        <v>2</v>
      </c>
      <c r="H18" s="30" t="s">
        <v>683</v>
      </c>
      <c r="I18" s="31" t="s">
        <v>699</v>
      </c>
    </row>
    <row r="19" spans="2:9" hidden="1">
      <c r="B19" s="29">
        <v>45762</v>
      </c>
      <c r="C19" s="514" t="s">
        <v>680</v>
      </c>
      <c r="D19" s="30" t="s">
        <v>497</v>
      </c>
      <c r="E19" s="31" t="s">
        <v>692</v>
      </c>
      <c r="F19" s="31" t="s">
        <v>648</v>
      </c>
      <c r="G19" s="31">
        <v>1</v>
      </c>
      <c r="H19" s="30" t="s">
        <v>683</v>
      </c>
      <c r="I19" s="31" t="s">
        <v>699</v>
      </c>
    </row>
    <row r="20" spans="2:9" hidden="1">
      <c r="B20" s="29">
        <v>45762</v>
      </c>
      <c r="C20" s="514" t="s">
        <v>680</v>
      </c>
      <c r="D20" s="30" t="s">
        <v>504</v>
      </c>
      <c r="E20" s="31" t="s">
        <v>672</v>
      </c>
      <c r="F20" s="31" t="s">
        <v>648</v>
      </c>
      <c r="G20" s="31">
        <v>2</v>
      </c>
      <c r="H20" s="30" t="s">
        <v>683</v>
      </c>
      <c r="I20" s="31" t="s">
        <v>699</v>
      </c>
    </row>
    <row r="21" spans="2:9" hidden="1">
      <c r="B21" s="29">
        <v>45762</v>
      </c>
      <c r="C21" s="514" t="s">
        <v>680</v>
      </c>
      <c r="D21" s="30" t="s">
        <v>432</v>
      </c>
      <c r="E21" s="31" t="s">
        <v>693</v>
      </c>
      <c r="F21" s="31" t="s">
        <v>648</v>
      </c>
      <c r="G21" s="31">
        <v>1</v>
      </c>
      <c r="H21" s="30" t="s">
        <v>683</v>
      </c>
      <c r="I21" s="31" t="s">
        <v>699</v>
      </c>
    </row>
    <row r="22" spans="2:9" hidden="1">
      <c r="B22" s="29">
        <v>45762</v>
      </c>
      <c r="C22" s="514" t="s">
        <v>680</v>
      </c>
      <c r="D22" s="30" t="s">
        <v>478</v>
      </c>
      <c r="E22" s="31" t="s">
        <v>700</v>
      </c>
      <c r="F22" s="31" t="s">
        <v>648</v>
      </c>
      <c r="G22" s="31">
        <v>2</v>
      </c>
      <c r="H22" s="30" t="s">
        <v>683</v>
      </c>
      <c r="I22" s="31" t="s">
        <v>699</v>
      </c>
    </row>
    <row r="23" spans="2:9" hidden="1">
      <c r="B23" s="29">
        <v>45762</v>
      </c>
      <c r="C23" s="514" t="s">
        <v>680</v>
      </c>
      <c r="D23" s="30" t="s">
        <v>419</v>
      </c>
      <c r="E23" s="31" t="s">
        <v>701</v>
      </c>
      <c r="F23" s="31" t="s">
        <v>648</v>
      </c>
      <c r="G23" s="31">
        <v>1</v>
      </c>
      <c r="H23" s="30" t="s">
        <v>683</v>
      </c>
      <c r="I23" s="31" t="s">
        <v>699</v>
      </c>
    </row>
    <row r="24" spans="2:9" hidden="1">
      <c r="B24" s="29">
        <v>45762</v>
      </c>
      <c r="C24" s="514" t="s">
        <v>680</v>
      </c>
      <c r="D24" s="30" t="s">
        <v>501</v>
      </c>
      <c r="E24" s="31" t="s">
        <v>696</v>
      </c>
      <c r="F24" s="31" t="s">
        <v>648</v>
      </c>
      <c r="G24" s="31">
        <v>2</v>
      </c>
      <c r="H24" s="30" t="s">
        <v>683</v>
      </c>
      <c r="I24" s="31" t="s">
        <v>699</v>
      </c>
    </row>
    <row r="25" spans="2:9" hidden="1">
      <c r="B25" s="29">
        <v>45762</v>
      </c>
      <c r="C25" s="514" t="s">
        <v>680</v>
      </c>
      <c r="D25" s="30" t="s">
        <v>467</v>
      </c>
      <c r="E25" s="31" t="s">
        <v>702</v>
      </c>
      <c r="F25" s="31" t="s">
        <v>648</v>
      </c>
      <c r="G25" s="31">
        <v>1</v>
      </c>
      <c r="H25" s="30" t="s">
        <v>683</v>
      </c>
      <c r="I25" s="31" t="s">
        <v>699</v>
      </c>
    </row>
    <row r="26" spans="2:9" hidden="1">
      <c r="B26" s="29">
        <v>45762</v>
      </c>
      <c r="C26" s="514" t="s">
        <v>680</v>
      </c>
      <c r="D26" s="30" t="s">
        <v>476</v>
      </c>
      <c r="E26" s="31" t="s">
        <v>681</v>
      </c>
      <c r="F26" s="31" t="s">
        <v>648</v>
      </c>
      <c r="G26" s="31">
        <v>1</v>
      </c>
      <c r="H26" s="30" t="s">
        <v>683</v>
      </c>
      <c r="I26" s="31" t="s">
        <v>699</v>
      </c>
    </row>
    <row r="27" spans="2:9" hidden="1">
      <c r="B27" s="29">
        <v>45762</v>
      </c>
      <c r="C27" s="514" t="s">
        <v>680</v>
      </c>
      <c r="D27" s="30" t="s">
        <v>396</v>
      </c>
      <c r="E27" s="31" t="s">
        <v>703</v>
      </c>
      <c r="F27" s="31" t="s">
        <v>648</v>
      </c>
      <c r="G27" s="31">
        <v>1</v>
      </c>
      <c r="H27" s="30" t="s">
        <v>683</v>
      </c>
      <c r="I27" s="31" t="s">
        <v>699</v>
      </c>
    </row>
    <row r="28" spans="2:9" hidden="1">
      <c r="B28" s="29">
        <v>45762</v>
      </c>
      <c r="C28" s="514" t="s">
        <v>680</v>
      </c>
      <c r="D28" s="30" t="s">
        <v>509</v>
      </c>
      <c r="E28" s="31" t="s">
        <v>691</v>
      </c>
      <c r="F28" s="31" t="s">
        <v>704</v>
      </c>
      <c r="G28" s="31">
        <v>24</v>
      </c>
      <c r="H28" s="30" t="s">
        <v>705</v>
      </c>
      <c r="I28" s="31" t="s">
        <v>706</v>
      </c>
    </row>
    <row r="29" spans="2:9" hidden="1">
      <c r="B29" s="29">
        <v>45762</v>
      </c>
      <c r="C29" s="514" t="s">
        <v>680</v>
      </c>
      <c r="D29" s="30" t="s">
        <v>504</v>
      </c>
      <c r="E29" s="31" t="s">
        <v>672</v>
      </c>
      <c r="F29" s="31" t="s">
        <v>704</v>
      </c>
      <c r="G29" s="31">
        <v>18</v>
      </c>
      <c r="H29" s="30" t="s">
        <v>705</v>
      </c>
      <c r="I29" s="31" t="s">
        <v>706</v>
      </c>
    </row>
    <row r="30" spans="2:9" hidden="1">
      <c r="B30" s="29">
        <v>45762</v>
      </c>
      <c r="C30" s="514" t="s">
        <v>680</v>
      </c>
      <c r="D30" s="30" t="s">
        <v>432</v>
      </c>
      <c r="E30" s="31" t="s">
        <v>693</v>
      </c>
      <c r="F30" s="31" t="s">
        <v>704</v>
      </c>
      <c r="G30" s="31">
        <v>2</v>
      </c>
      <c r="H30" s="30" t="s">
        <v>705</v>
      </c>
      <c r="I30" s="31" t="s">
        <v>706</v>
      </c>
    </row>
    <row r="31" spans="2:9" hidden="1">
      <c r="B31" s="29">
        <v>45762</v>
      </c>
      <c r="C31" s="514" t="s">
        <v>680</v>
      </c>
      <c r="D31" s="30" t="s">
        <v>478</v>
      </c>
      <c r="E31" s="31" t="s">
        <v>700</v>
      </c>
      <c r="F31" s="31" t="s">
        <v>704</v>
      </c>
      <c r="G31" s="31">
        <v>1</v>
      </c>
      <c r="H31" s="30" t="s">
        <v>705</v>
      </c>
      <c r="I31" s="31" t="s">
        <v>706</v>
      </c>
    </row>
    <row r="32" spans="2:9" hidden="1">
      <c r="B32" s="29">
        <v>45762</v>
      </c>
      <c r="C32" s="514" t="s">
        <v>680</v>
      </c>
      <c r="D32" s="30" t="s">
        <v>419</v>
      </c>
      <c r="E32" s="31" t="s">
        <v>701</v>
      </c>
      <c r="F32" s="31" t="s">
        <v>704</v>
      </c>
      <c r="G32" s="31">
        <v>2</v>
      </c>
      <c r="H32" s="30" t="s">
        <v>705</v>
      </c>
      <c r="I32" s="31" t="s">
        <v>706</v>
      </c>
    </row>
    <row r="33" spans="2:9" hidden="1">
      <c r="B33" s="29">
        <v>45763</v>
      </c>
      <c r="C33" s="514" t="s">
        <v>680</v>
      </c>
      <c r="D33" s="30" t="s">
        <v>402</v>
      </c>
      <c r="E33" s="31" t="s">
        <v>707</v>
      </c>
      <c r="F33" s="31" t="s">
        <v>708</v>
      </c>
      <c r="G33" s="31">
        <v>20</v>
      </c>
      <c r="H33" s="30" t="s">
        <v>683</v>
      </c>
      <c r="I33" s="43" t="s">
        <v>709</v>
      </c>
    </row>
    <row r="34" spans="2:9" hidden="1">
      <c r="B34" s="29">
        <v>45763</v>
      </c>
      <c r="C34" s="514" t="s">
        <v>680</v>
      </c>
      <c r="D34" s="30" t="s">
        <v>467</v>
      </c>
      <c r="E34" s="31" t="s">
        <v>702</v>
      </c>
      <c r="F34" s="31" t="s">
        <v>462</v>
      </c>
      <c r="G34" s="31">
        <v>1</v>
      </c>
      <c r="H34" s="30" t="s">
        <v>685</v>
      </c>
      <c r="I34" s="43" t="s">
        <v>686</v>
      </c>
    </row>
    <row r="35" spans="2:9" hidden="1">
      <c r="B35" s="29">
        <v>45763</v>
      </c>
      <c r="C35" s="514" t="s">
        <v>680</v>
      </c>
      <c r="D35" s="30" t="s">
        <v>509</v>
      </c>
      <c r="E35" s="31" t="s">
        <v>691</v>
      </c>
      <c r="F35" s="31" t="s">
        <v>521</v>
      </c>
      <c r="G35" s="31">
        <v>1</v>
      </c>
      <c r="H35" s="30" t="s">
        <v>685</v>
      </c>
      <c r="I35" s="43" t="s">
        <v>710</v>
      </c>
    </row>
    <row r="36" spans="2:9" hidden="1">
      <c r="B36" s="29">
        <v>45763</v>
      </c>
      <c r="C36" s="514" t="s">
        <v>680</v>
      </c>
      <c r="D36" s="30" t="s">
        <v>432</v>
      </c>
      <c r="E36" s="31" t="s">
        <v>693</v>
      </c>
      <c r="F36" s="31" t="s">
        <v>521</v>
      </c>
      <c r="G36" s="31">
        <v>1</v>
      </c>
      <c r="H36" s="30" t="s">
        <v>685</v>
      </c>
      <c r="I36" s="43" t="s">
        <v>710</v>
      </c>
    </row>
    <row r="37" spans="2:9" hidden="1">
      <c r="B37" s="29">
        <v>45764</v>
      </c>
      <c r="C37" s="514" t="s">
        <v>680</v>
      </c>
      <c r="D37" s="30" t="s">
        <v>501</v>
      </c>
      <c r="E37" s="875" t="s">
        <v>696</v>
      </c>
      <c r="F37" s="31" t="s">
        <v>711</v>
      </c>
      <c r="G37" s="31">
        <v>2</v>
      </c>
      <c r="H37" s="30" t="s">
        <v>685</v>
      </c>
      <c r="I37" s="43" t="s">
        <v>712</v>
      </c>
    </row>
    <row r="38" spans="2:9" hidden="1">
      <c r="B38" s="29">
        <v>45764</v>
      </c>
      <c r="C38" s="514" t="s">
        <v>680</v>
      </c>
      <c r="D38" s="30" t="s">
        <v>476</v>
      </c>
      <c r="E38" s="875" t="s">
        <v>681</v>
      </c>
      <c r="F38" s="31" t="s">
        <v>711</v>
      </c>
      <c r="G38" s="31">
        <v>2</v>
      </c>
      <c r="H38" s="30" t="s">
        <v>685</v>
      </c>
      <c r="I38" s="43" t="s">
        <v>712</v>
      </c>
    </row>
    <row r="39" spans="2:9" hidden="1">
      <c r="B39" s="29">
        <v>45764</v>
      </c>
      <c r="C39" s="514" t="s">
        <v>680</v>
      </c>
      <c r="D39" s="30" t="s">
        <v>509</v>
      </c>
      <c r="E39" s="875" t="s">
        <v>691</v>
      </c>
      <c r="F39" s="31" t="s">
        <v>713</v>
      </c>
      <c r="G39" s="31">
        <v>40</v>
      </c>
      <c r="H39" s="30" t="s">
        <v>685</v>
      </c>
      <c r="I39" s="43" t="s">
        <v>714</v>
      </c>
    </row>
    <row r="40" spans="2:9" hidden="1">
      <c r="B40" s="29">
        <v>45764</v>
      </c>
      <c r="C40" s="514" t="s">
        <v>680</v>
      </c>
      <c r="D40" s="30" t="s">
        <v>432</v>
      </c>
      <c r="E40" s="875" t="s">
        <v>693</v>
      </c>
      <c r="F40" s="31" t="s">
        <v>713</v>
      </c>
      <c r="G40" s="31">
        <v>5</v>
      </c>
      <c r="H40" s="30" t="s">
        <v>685</v>
      </c>
      <c r="I40" s="43" t="s">
        <v>714</v>
      </c>
    </row>
    <row r="41" spans="2:9" hidden="1">
      <c r="B41" s="29">
        <v>45768</v>
      </c>
      <c r="C41" s="514" t="s">
        <v>680</v>
      </c>
      <c r="D41" s="30" t="s">
        <v>467</v>
      </c>
      <c r="E41" s="875" t="s">
        <v>702</v>
      </c>
      <c r="F41" s="31" t="s">
        <v>450</v>
      </c>
      <c r="G41" s="31">
        <v>1</v>
      </c>
      <c r="H41" s="30" t="s">
        <v>685</v>
      </c>
      <c r="I41" s="43" t="s">
        <v>686</v>
      </c>
    </row>
    <row r="42" spans="2:9" ht="16" hidden="1">
      <c r="B42" s="29">
        <v>45768</v>
      </c>
      <c r="C42" s="514" t="s">
        <v>680</v>
      </c>
      <c r="D42" s="30" t="s">
        <v>494</v>
      </c>
      <c r="E42" s="83" t="s">
        <v>587</v>
      </c>
      <c r="F42" s="874" t="s">
        <v>715</v>
      </c>
      <c r="G42" s="31">
        <v>1</v>
      </c>
      <c r="H42" s="30" t="s">
        <v>344</v>
      </c>
      <c r="I42" s="887" t="s">
        <v>716</v>
      </c>
    </row>
    <row r="43" spans="2:9" hidden="1">
      <c r="B43" s="29">
        <v>45768</v>
      </c>
      <c r="C43" s="514" t="s">
        <v>680</v>
      </c>
      <c r="D43" s="30" t="s">
        <v>414</v>
      </c>
      <c r="E43" s="875" t="s">
        <v>717</v>
      </c>
      <c r="F43" s="31" t="s">
        <v>474</v>
      </c>
      <c r="G43" s="31">
        <v>1</v>
      </c>
      <c r="H43" s="30" t="s">
        <v>718</v>
      </c>
      <c r="I43" s="43" t="s">
        <v>719</v>
      </c>
    </row>
    <row r="44" spans="2:9" hidden="1">
      <c r="B44" s="29">
        <v>45769</v>
      </c>
      <c r="C44" s="514" t="s">
        <v>680</v>
      </c>
      <c r="D44" s="30" t="s">
        <v>426</v>
      </c>
      <c r="E44" s="31" t="s">
        <v>720</v>
      </c>
      <c r="F44" s="31" t="s">
        <v>721</v>
      </c>
      <c r="G44" s="31">
        <v>2</v>
      </c>
      <c r="H44" s="30" t="s">
        <v>689</v>
      </c>
      <c r="I44" s="43" t="s">
        <v>722</v>
      </c>
    </row>
    <row r="45" spans="2:9" ht="15" hidden="1" customHeight="1">
      <c r="B45" s="29">
        <v>45769</v>
      </c>
      <c r="C45" s="514" t="s">
        <v>680</v>
      </c>
      <c r="D45" s="30" t="s">
        <v>430</v>
      </c>
      <c r="E45" s="31" t="s">
        <v>723</v>
      </c>
      <c r="F45" s="31" t="s">
        <v>721</v>
      </c>
      <c r="G45" s="31">
        <v>5</v>
      </c>
      <c r="H45" s="30" t="s">
        <v>689</v>
      </c>
      <c r="I45" s="43" t="s">
        <v>722</v>
      </c>
    </row>
    <row r="46" spans="2:9" ht="15" hidden="1" customHeight="1">
      <c r="B46" s="29">
        <v>45769</v>
      </c>
      <c r="C46" s="514" t="s">
        <v>680</v>
      </c>
      <c r="D46" s="30" t="s">
        <v>597</v>
      </c>
      <c r="E46" s="31" t="s">
        <v>724</v>
      </c>
      <c r="F46" s="31" t="s">
        <v>721</v>
      </c>
      <c r="G46" s="31">
        <v>2</v>
      </c>
      <c r="H46" s="30" t="s">
        <v>689</v>
      </c>
      <c r="I46" s="43" t="s">
        <v>722</v>
      </c>
    </row>
    <row r="47" spans="2:9" ht="15" hidden="1" customHeight="1">
      <c r="B47" s="29">
        <v>45769</v>
      </c>
      <c r="C47" s="514" t="s">
        <v>680</v>
      </c>
      <c r="D47" s="30" t="s">
        <v>414</v>
      </c>
      <c r="E47" s="31" t="s">
        <v>717</v>
      </c>
      <c r="F47" s="31" t="s">
        <v>574</v>
      </c>
      <c r="G47" s="31">
        <v>1</v>
      </c>
      <c r="H47" s="30" t="s">
        <v>683</v>
      </c>
      <c r="I47" s="43" t="s">
        <v>725</v>
      </c>
    </row>
    <row r="48" spans="2:9" ht="15" hidden="1" customHeight="1">
      <c r="B48" s="29">
        <v>45769</v>
      </c>
      <c r="C48" s="514" t="s">
        <v>680</v>
      </c>
      <c r="D48" s="30" t="s">
        <v>396</v>
      </c>
      <c r="E48" s="31" t="s">
        <v>703</v>
      </c>
      <c r="F48" s="31" t="s">
        <v>570</v>
      </c>
      <c r="G48" s="31">
        <v>5</v>
      </c>
      <c r="H48" s="30" t="s">
        <v>685</v>
      </c>
      <c r="I48" s="43" t="s">
        <v>686</v>
      </c>
    </row>
    <row r="49" spans="2:9" ht="15" hidden="1" customHeight="1">
      <c r="B49" s="29">
        <v>45770</v>
      </c>
      <c r="C49" s="514" t="s">
        <v>680</v>
      </c>
      <c r="D49" s="30" t="s">
        <v>504</v>
      </c>
      <c r="E49" s="31" t="s">
        <v>672</v>
      </c>
      <c r="F49" s="31" t="s">
        <v>638</v>
      </c>
      <c r="G49" s="31">
        <v>1</v>
      </c>
      <c r="H49" s="30" t="s">
        <v>685</v>
      </c>
      <c r="I49" s="43" t="s">
        <v>726</v>
      </c>
    </row>
    <row r="50" spans="2:9" ht="15" hidden="1" customHeight="1">
      <c r="B50" s="29">
        <v>45770</v>
      </c>
      <c r="C50" s="514" t="s">
        <v>680</v>
      </c>
      <c r="D50" s="30" t="s">
        <v>547</v>
      </c>
      <c r="E50" s="31" t="s">
        <v>727</v>
      </c>
      <c r="F50" s="31" t="s">
        <v>487</v>
      </c>
      <c r="G50" s="31">
        <v>1</v>
      </c>
      <c r="H50" s="30" t="s">
        <v>685</v>
      </c>
      <c r="I50" s="43" t="s">
        <v>712</v>
      </c>
    </row>
    <row r="51" spans="2:9" ht="15" hidden="1" customHeight="1">
      <c r="B51" s="29">
        <v>45770</v>
      </c>
      <c r="C51" s="514" t="s">
        <v>680</v>
      </c>
      <c r="D51" s="30" t="s">
        <v>494</v>
      </c>
      <c r="E51" s="31" t="s">
        <v>587</v>
      </c>
      <c r="F51" s="31" t="s">
        <v>487</v>
      </c>
      <c r="G51" s="31">
        <v>1</v>
      </c>
      <c r="H51" s="30" t="s">
        <v>685</v>
      </c>
      <c r="I51" s="43" t="s">
        <v>712</v>
      </c>
    </row>
    <row r="52" spans="2:9" ht="15" hidden="1" customHeight="1">
      <c r="B52" s="29">
        <v>45770</v>
      </c>
      <c r="C52" s="514" t="s">
        <v>680</v>
      </c>
      <c r="D52" s="30" t="s">
        <v>415</v>
      </c>
      <c r="E52" s="31" t="s">
        <v>659</v>
      </c>
      <c r="F52" s="31" t="s">
        <v>487</v>
      </c>
      <c r="G52" s="31">
        <v>10</v>
      </c>
      <c r="H52" s="30" t="s">
        <v>685</v>
      </c>
      <c r="I52" s="43" t="s">
        <v>712</v>
      </c>
    </row>
    <row r="53" spans="2:9" ht="15" hidden="1" customHeight="1">
      <c r="B53" s="29">
        <v>45770</v>
      </c>
      <c r="C53" s="514" t="s">
        <v>680</v>
      </c>
      <c r="D53" s="30" t="s">
        <v>497</v>
      </c>
      <c r="E53" s="31" t="s">
        <v>692</v>
      </c>
      <c r="F53" s="31" t="s">
        <v>487</v>
      </c>
      <c r="G53" s="31">
        <v>9</v>
      </c>
      <c r="H53" s="30" t="s">
        <v>685</v>
      </c>
      <c r="I53" s="43" t="s">
        <v>712</v>
      </c>
    </row>
    <row r="54" spans="2:9" ht="15" hidden="1" customHeight="1">
      <c r="B54" s="29">
        <v>45770</v>
      </c>
      <c r="C54" s="514" t="s">
        <v>680</v>
      </c>
      <c r="D54" s="30" t="s">
        <v>509</v>
      </c>
      <c r="E54" s="31" t="s">
        <v>691</v>
      </c>
      <c r="F54" s="31" t="s">
        <v>429</v>
      </c>
      <c r="G54" s="31">
        <v>20</v>
      </c>
      <c r="H54" s="30" t="s">
        <v>685</v>
      </c>
      <c r="I54" s="43" t="s">
        <v>712</v>
      </c>
    </row>
    <row r="55" spans="2:9" ht="15" hidden="1" customHeight="1">
      <c r="B55" s="29">
        <v>45770</v>
      </c>
      <c r="C55" s="514" t="s">
        <v>680</v>
      </c>
      <c r="D55" s="30" t="s">
        <v>504</v>
      </c>
      <c r="E55" s="45" t="s">
        <v>672</v>
      </c>
      <c r="F55" s="85" t="s">
        <v>429</v>
      </c>
      <c r="G55" s="31">
        <v>13</v>
      </c>
      <c r="H55" s="30" t="s">
        <v>685</v>
      </c>
      <c r="I55" s="43" t="s">
        <v>712</v>
      </c>
    </row>
    <row r="56" spans="2:9" ht="15" hidden="1" customHeight="1">
      <c r="B56" s="29">
        <v>45770</v>
      </c>
      <c r="C56" s="514" t="s">
        <v>680</v>
      </c>
      <c r="D56" s="30" t="s">
        <v>432</v>
      </c>
      <c r="E56" s="45" t="s">
        <v>693</v>
      </c>
      <c r="F56" s="85" t="s">
        <v>429</v>
      </c>
      <c r="G56" s="31">
        <v>6</v>
      </c>
      <c r="H56" s="30" t="s">
        <v>685</v>
      </c>
      <c r="I56" s="43" t="s">
        <v>712</v>
      </c>
    </row>
    <row r="57" spans="2:9" ht="15" hidden="1" customHeight="1">
      <c r="B57" s="29">
        <v>45770</v>
      </c>
      <c r="C57" s="514" t="s">
        <v>680</v>
      </c>
      <c r="D57" s="30" t="s">
        <v>501</v>
      </c>
      <c r="E57" s="45" t="s">
        <v>696</v>
      </c>
      <c r="F57" s="85" t="s">
        <v>486</v>
      </c>
      <c r="G57" s="31">
        <v>15</v>
      </c>
      <c r="H57" s="30" t="s">
        <v>683</v>
      </c>
      <c r="I57" s="43" t="s">
        <v>728</v>
      </c>
    </row>
    <row r="58" spans="2:9" ht="15" hidden="1" customHeight="1">
      <c r="B58" s="29">
        <v>45770</v>
      </c>
      <c r="C58" s="514" t="s">
        <v>680</v>
      </c>
      <c r="D58" s="30" t="s">
        <v>467</v>
      </c>
      <c r="E58" s="45" t="s">
        <v>702</v>
      </c>
      <c r="F58" s="85" t="s">
        <v>486</v>
      </c>
      <c r="G58" s="31">
        <v>3</v>
      </c>
      <c r="H58" s="30" t="s">
        <v>683</v>
      </c>
      <c r="I58" s="43" t="s">
        <v>728</v>
      </c>
    </row>
    <row r="59" spans="2:9" ht="15" hidden="1" customHeight="1">
      <c r="B59" s="29">
        <v>45770</v>
      </c>
      <c r="C59" s="514" t="s">
        <v>680</v>
      </c>
      <c r="D59" s="30" t="s">
        <v>476</v>
      </c>
      <c r="E59" s="45" t="s">
        <v>681</v>
      </c>
      <c r="F59" s="85" t="s">
        <v>486</v>
      </c>
      <c r="G59" s="31">
        <v>22</v>
      </c>
      <c r="H59" s="30" t="s">
        <v>683</v>
      </c>
      <c r="I59" s="43" t="s">
        <v>728</v>
      </c>
    </row>
    <row r="60" spans="2:9" ht="15" hidden="1" customHeight="1">
      <c r="B60" s="29">
        <v>45770</v>
      </c>
      <c r="C60" s="514" t="s">
        <v>680</v>
      </c>
      <c r="D60" s="30" t="s">
        <v>396</v>
      </c>
      <c r="E60" s="45" t="s">
        <v>703</v>
      </c>
      <c r="F60" s="85" t="s">
        <v>486</v>
      </c>
      <c r="G60" s="31">
        <v>1</v>
      </c>
      <c r="H60" s="30" t="s">
        <v>683</v>
      </c>
      <c r="I60" s="43" t="s">
        <v>728</v>
      </c>
    </row>
    <row r="61" spans="2:9" ht="15" hidden="1" customHeight="1">
      <c r="B61" s="29">
        <v>45770</v>
      </c>
      <c r="C61" s="514" t="s">
        <v>680</v>
      </c>
      <c r="D61" s="30" t="s">
        <v>524</v>
      </c>
      <c r="E61" s="45" t="s">
        <v>729</v>
      </c>
      <c r="F61" s="85" t="s">
        <v>400</v>
      </c>
      <c r="G61" s="31">
        <v>4</v>
      </c>
      <c r="H61" s="30" t="s">
        <v>685</v>
      </c>
      <c r="I61" s="43" t="s">
        <v>730</v>
      </c>
    </row>
    <row r="62" spans="2:9" ht="15" hidden="1" customHeight="1">
      <c r="B62" s="29">
        <v>45770</v>
      </c>
      <c r="C62" s="514" t="s">
        <v>680</v>
      </c>
      <c r="D62" s="30" t="s">
        <v>415</v>
      </c>
      <c r="E62" s="45" t="s">
        <v>659</v>
      </c>
      <c r="F62" s="85" t="s">
        <v>400</v>
      </c>
      <c r="G62" s="31">
        <v>5</v>
      </c>
      <c r="H62" s="30" t="s">
        <v>685</v>
      </c>
      <c r="I62" s="43" t="s">
        <v>730</v>
      </c>
    </row>
    <row r="63" spans="2:9" ht="15" hidden="1" customHeight="1">
      <c r="B63" s="29">
        <v>45770</v>
      </c>
      <c r="C63" s="514" t="s">
        <v>680</v>
      </c>
      <c r="D63" s="30" t="s">
        <v>497</v>
      </c>
      <c r="E63" s="45" t="s">
        <v>692</v>
      </c>
      <c r="F63" s="85" t="s">
        <v>400</v>
      </c>
      <c r="G63" s="31">
        <v>10</v>
      </c>
      <c r="H63" s="30" t="s">
        <v>685</v>
      </c>
      <c r="I63" s="43" t="s">
        <v>730</v>
      </c>
    </row>
    <row r="64" spans="2:9" ht="15" hidden="1" customHeight="1">
      <c r="B64" s="29">
        <v>45770</v>
      </c>
      <c r="C64" s="514" t="s">
        <v>680</v>
      </c>
      <c r="D64" s="30" t="s">
        <v>504</v>
      </c>
      <c r="E64" s="45" t="s">
        <v>672</v>
      </c>
      <c r="F64" s="85" t="s">
        <v>400</v>
      </c>
      <c r="G64" s="31">
        <v>5</v>
      </c>
      <c r="H64" s="30" t="s">
        <v>685</v>
      </c>
      <c r="I64" s="43" t="s">
        <v>730</v>
      </c>
    </row>
    <row r="65" spans="2:9" ht="15" hidden="1" customHeight="1">
      <c r="B65" s="29">
        <v>45770</v>
      </c>
      <c r="C65" s="514" t="s">
        <v>680</v>
      </c>
      <c r="D65" s="30" t="s">
        <v>430</v>
      </c>
      <c r="E65" s="62" t="s">
        <v>723</v>
      </c>
      <c r="F65" s="85" t="s">
        <v>400</v>
      </c>
      <c r="G65" s="31">
        <v>5</v>
      </c>
      <c r="H65" s="30" t="s">
        <v>685</v>
      </c>
      <c r="I65" s="43" t="s">
        <v>730</v>
      </c>
    </row>
    <row r="66" spans="2:9" ht="15" hidden="1" customHeight="1">
      <c r="B66" s="29">
        <v>45770</v>
      </c>
      <c r="C66" s="514" t="s">
        <v>680</v>
      </c>
      <c r="D66" s="30" t="s">
        <v>432</v>
      </c>
      <c r="E66" s="45" t="s">
        <v>693</v>
      </c>
      <c r="F66" s="85" t="s">
        <v>400</v>
      </c>
      <c r="G66" s="31">
        <v>2</v>
      </c>
      <c r="H66" s="30" t="s">
        <v>685</v>
      </c>
      <c r="I66" s="43" t="s">
        <v>730</v>
      </c>
    </row>
    <row r="67" spans="2:9" ht="15" hidden="1" customHeight="1">
      <c r="B67" s="29">
        <v>45770</v>
      </c>
      <c r="C67" s="514" t="s">
        <v>680</v>
      </c>
      <c r="D67" s="30" t="s">
        <v>501</v>
      </c>
      <c r="E67" s="45" t="s">
        <v>696</v>
      </c>
      <c r="F67" s="85" t="s">
        <v>400</v>
      </c>
      <c r="G67" s="31">
        <v>10</v>
      </c>
      <c r="H67" s="30" t="s">
        <v>685</v>
      </c>
      <c r="I67" s="43" t="s">
        <v>730</v>
      </c>
    </row>
    <row r="68" spans="2:9" ht="15" hidden="1" customHeight="1">
      <c r="B68" s="29">
        <v>45770</v>
      </c>
      <c r="C68" s="514" t="s">
        <v>680</v>
      </c>
      <c r="D68" s="30" t="s">
        <v>476</v>
      </c>
      <c r="E68" s="45" t="s">
        <v>681</v>
      </c>
      <c r="F68" s="85" t="s">
        <v>400</v>
      </c>
      <c r="G68" s="31">
        <v>10</v>
      </c>
      <c r="H68" s="30" t="s">
        <v>685</v>
      </c>
      <c r="I68" s="43" t="s">
        <v>730</v>
      </c>
    </row>
    <row r="69" spans="2:9" ht="15" hidden="1" customHeight="1">
      <c r="B69" s="29">
        <v>45770</v>
      </c>
      <c r="C69" s="514" t="s">
        <v>680</v>
      </c>
      <c r="D69" s="30" t="s">
        <v>564</v>
      </c>
      <c r="E69" s="45" t="s">
        <v>667</v>
      </c>
      <c r="F69" s="85" t="s">
        <v>496</v>
      </c>
      <c r="G69" s="31">
        <v>3</v>
      </c>
      <c r="H69" s="30" t="s">
        <v>344</v>
      </c>
      <c r="I69" s="43" t="s">
        <v>731</v>
      </c>
    </row>
    <row r="70" spans="2:9" ht="15" hidden="1" customHeight="1">
      <c r="B70" s="29">
        <v>45771</v>
      </c>
      <c r="C70" s="514" t="s">
        <v>680</v>
      </c>
      <c r="D70" s="30" t="s">
        <v>501</v>
      </c>
      <c r="E70" s="45" t="s">
        <v>696</v>
      </c>
      <c r="F70" s="85" t="s">
        <v>704</v>
      </c>
      <c r="G70" s="31">
        <v>20</v>
      </c>
      <c r="H70" s="30" t="s">
        <v>732</v>
      </c>
      <c r="I70" s="43" t="s">
        <v>706</v>
      </c>
    </row>
    <row r="71" spans="2:9" ht="15" hidden="1" customHeight="1">
      <c r="B71" s="29">
        <v>45771</v>
      </c>
      <c r="C71" s="514" t="s">
        <v>680</v>
      </c>
      <c r="D71" s="30" t="s">
        <v>467</v>
      </c>
      <c r="E71" s="45" t="s">
        <v>702</v>
      </c>
      <c r="F71" s="85" t="s">
        <v>704</v>
      </c>
      <c r="G71" s="31">
        <v>5</v>
      </c>
      <c r="H71" s="30" t="s">
        <v>732</v>
      </c>
      <c r="I71" s="43" t="s">
        <v>706</v>
      </c>
    </row>
    <row r="72" spans="2:9" ht="15" hidden="1" customHeight="1">
      <c r="B72" s="29">
        <v>45771</v>
      </c>
      <c r="C72" s="514" t="s">
        <v>680</v>
      </c>
      <c r="D72" s="30" t="s">
        <v>476</v>
      </c>
      <c r="E72" s="45" t="s">
        <v>681</v>
      </c>
      <c r="F72" s="85" t="s">
        <v>704</v>
      </c>
      <c r="G72" s="31">
        <v>27</v>
      </c>
      <c r="H72" s="30" t="s">
        <v>732</v>
      </c>
      <c r="I72" s="43" t="s">
        <v>706</v>
      </c>
    </row>
    <row r="73" spans="2:9" ht="15" hidden="1" customHeight="1">
      <c r="B73" s="29">
        <v>45771</v>
      </c>
      <c r="C73" s="514" t="s">
        <v>680</v>
      </c>
      <c r="D73" s="30" t="s">
        <v>396</v>
      </c>
      <c r="E73" s="45" t="s">
        <v>703</v>
      </c>
      <c r="F73" s="85" t="s">
        <v>704</v>
      </c>
      <c r="G73" s="31">
        <v>8</v>
      </c>
      <c r="H73" s="30" t="s">
        <v>732</v>
      </c>
      <c r="I73" s="43" t="s">
        <v>706</v>
      </c>
    </row>
    <row r="74" spans="2:9" ht="15" hidden="1" customHeight="1">
      <c r="B74" s="29">
        <v>45771</v>
      </c>
      <c r="C74" s="514" t="s">
        <v>680</v>
      </c>
      <c r="D74" s="30" t="s">
        <v>411</v>
      </c>
      <c r="E74" s="45" t="s">
        <v>733</v>
      </c>
      <c r="F74" s="85" t="s">
        <v>704</v>
      </c>
      <c r="G74" s="31">
        <v>7</v>
      </c>
      <c r="H74" s="30" t="s">
        <v>732</v>
      </c>
      <c r="I74" s="43" t="s">
        <v>706</v>
      </c>
    </row>
    <row r="75" spans="2:9" ht="15" hidden="1" customHeight="1">
      <c r="B75" s="29">
        <v>45771</v>
      </c>
      <c r="C75" s="514" t="s">
        <v>680</v>
      </c>
      <c r="D75" s="30" t="s">
        <v>597</v>
      </c>
      <c r="E75" s="45" t="s">
        <v>724</v>
      </c>
      <c r="F75" s="85" t="s">
        <v>541</v>
      </c>
      <c r="G75" s="31">
        <v>11</v>
      </c>
      <c r="H75" s="30" t="s">
        <v>689</v>
      </c>
      <c r="I75" s="43" t="s">
        <v>686</v>
      </c>
    </row>
    <row r="76" spans="2:9" ht="15" hidden="1" customHeight="1">
      <c r="B76" s="29">
        <v>45771</v>
      </c>
      <c r="C76" s="514" t="s">
        <v>680</v>
      </c>
      <c r="D76" s="30" t="s">
        <v>468</v>
      </c>
      <c r="E76" s="62" t="s">
        <v>734</v>
      </c>
      <c r="F76" s="85" t="s">
        <v>639</v>
      </c>
      <c r="G76" s="31">
        <v>5</v>
      </c>
      <c r="H76" s="30" t="s">
        <v>685</v>
      </c>
      <c r="I76" s="43" t="s">
        <v>730</v>
      </c>
    </row>
    <row r="77" spans="2:9" ht="15" hidden="1" customHeight="1">
      <c r="B77" s="29">
        <v>45771</v>
      </c>
      <c r="C77" s="514" t="s">
        <v>680</v>
      </c>
      <c r="D77" s="30" t="s">
        <v>504</v>
      </c>
      <c r="E77" s="45" t="s">
        <v>672</v>
      </c>
      <c r="F77" s="85" t="s">
        <v>639</v>
      </c>
      <c r="G77" s="31">
        <v>5</v>
      </c>
      <c r="H77" s="30" t="s">
        <v>685</v>
      </c>
      <c r="I77" s="43" t="s">
        <v>730</v>
      </c>
    </row>
    <row r="78" spans="2:9" ht="15" hidden="1" customHeight="1">
      <c r="B78" s="29">
        <v>45771</v>
      </c>
      <c r="C78" s="514" t="s">
        <v>680</v>
      </c>
      <c r="D78" s="30" t="s">
        <v>501</v>
      </c>
      <c r="E78" s="45" t="s">
        <v>696</v>
      </c>
      <c r="F78" s="85" t="s">
        <v>639</v>
      </c>
      <c r="G78" s="31">
        <v>5</v>
      </c>
      <c r="H78" s="30" t="s">
        <v>685</v>
      </c>
      <c r="I78" s="43" t="s">
        <v>730</v>
      </c>
    </row>
    <row r="79" spans="2:9" ht="16" hidden="1">
      <c r="B79" s="29">
        <v>45772</v>
      </c>
      <c r="C79" s="514" t="s">
        <v>680</v>
      </c>
      <c r="D79" s="30" t="s">
        <v>402</v>
      </c>
      <c r="E79" s="893" t="s">
        <v>707</v>
      </c>
      <c r="F79" s="85" t="s">
        <v>735</v>
      </c>
      <c r="G79" s="31">
        <v>20</v>
      </c>
      <c r="H79" s="30" t="s">
        <v>683</v>
      </c>
      <c r="I79" s="43" t="s">
        <v>709</v>
      </c>
    </row>
    <row r="80" spans="2:9" ht="16" hidden="1">
      <c r="B80" s="29">
        <v>45772</v>
      </c>
      <c r="C80" s="514" t="s">
        <v>680</v>
      </c>
      <c r="D80" s="30" t="s">
        <v>476</v>
      </c>
      <c r="E80" s="893" t="s">
        <v>681</v>
      </c>
      <c r="F80" s="85" t="s">
        <v>433</v>
      </c>
      <c r="G80" s="31">
        <v>2</v>
      </c>
      <c r="H80" s="30" t="s">
        <v>683</v>
      </c>
      <c r="I80" s="43" t="s">
        <v>736</v>
      </c>
    </row>
    <row r="81" spans="2:9" ht="15" hidden="1" customHeight="1">
      <c r="B81" s="29">
        <v>45772</v>
      </c>
      <c r="C81" s="514" t="s">
        <v>680</v>
      </c>
      <c r="D81" s="30" t="s">
        <v>396</v>
      </c>
      <c r="E81" s="893" t="s">
        <v>703</v>
      </c>
      <c r="F81" s="85" t="s">
        <v>570</v>
      </c>
      <c r="G81" s="31">
        <v>5</v>
      </c>
      <c r="H81" s="30" t="s">
        <v>685</v>
      </c>
      <c r="I81" s="43" t="s">
        <v>686</v>
      </c>
    </row>
    <row r="82" spans="2:9" ht="15" hidden="1" customHeight="1">
      <c r="B82" s="29">
        <v>45772</v>
      </c>
      <c r="C82" s="514" t="s">
        <v>680</v>
      </c>
      <c r="D82" s="30" t="s">
        <v>501</v>
      </c>
      <c r="E82" s="893" t="s">
        <v>696</v>
      </c>
      <c r="F82" s="85" t="s">
        <v>632</v>
      </c>
      <c r="G82" s="31">
        <v>5</v>
      </c>
      <c r="H82" s="30" t="s">
        <v>685</v>
      </c>
      <c r="I82" s="43" t="s">
        <v>737</v>
      </c>
    </row>
    <row r="83" spans="2:9" ht="15" hidden="1" customHeight="1">
      <c r="B83" s="29">
        <v>45773</v>
      </c>
      <c r="C83" s="514" t="s">
        <v>680</v>
      </c>
      <c r="D83" s="30" t="s">
        <v>494</v>
      </c>
      <c r="E83" s="45" t="s">
        <v>587</v>
      </c>
      <c r="F83" s="85" t="s">
        <v>445</v>
      </c>
      <c r="G83" s="31">
        <v>1</v>
      </c>
      <c r="H83" s="30" t="s">
        <v>685</v>
      </c>
      <c r="I83" s="43" t="s">
        <v>730</v>
      </c>
    </row>
    <row r="84" spans="2:9" ht="15" hidden="1" customHeight="1">
      <c r="B84" s="29">
        <v>45773</v>
      </c>
      <c r="C84" s="514" t="s">
        <v>680</v>
      </c>
      <c r="D84" s="30" t="s">
        <v>509</v>
      </c>
      <c r="E84" s="45" t="s">
        <v>691</v>
      </c>
      <c r="F84" s="85" t="s">
        <v>445</v>
      </c>
      <c r="G84" s="31">
        <v>13</v>
      </c>
      <c r="H84" s="30" t="s">
        <v>685</v>
      </c>
      <c r="I84" s="43" t="s">
        <v>730</v>
      </c>
    </row>
    <row r="85" spans="2:9" ht="15" hidden="1" customHeight="1">
      <c r="B85" s="29">
        <v>45773</v>
      </c>
      <c r="C85" s="514" t="s">
        <v>680</v>
      </c>
      <c r="D85" s="30" t="s">
        <v>415</v>
      </c>
      <c r="E85" s="45" t="s">
        <v>659</v>
      </c>
      <c r="F85" s="85" t="s">
        <v>445</v>
      </c>
      <c r="G85" s="31">
        <v>8</v>
      </c>
      <c r="H85" s="30" t="s">
        <v>685</v>
      </c>
      <c r="I85" s="43" t="s">
        <v>730</v>
      </c>
    </row>
    <row r="86" spans="2:9" ht="15" hidden="1" customHeight="1">
      <c r="B86" s="29">
        <v>45773</v>
      </c>
      <c r="C86" s="514" t="s">
        <v>680</v>
      </c>
      <c r="D86" s="30" t="s">
        <v>497</v>
      </c>
      <c r="E86" s="45" t="s">
        <v>692</v>
      </c>
      <c r="F86" s="85" t="s">
        <v>445</v>
      </c>
      <c r="G86" s="31">
        <v>2</v>
      </c>
      <c r="H86" s="30" t="s">
        <v>685</v>
      </c>
      <c r="I86" s="43" t="s">
        <v>730</v>
      </c>
    </row>
    <row r="87" spans="2:9" ht="15" hidden="1" customHeight="1">
      <c r="B87" s="29">
        <v>45773</v>
      </c>
      <c r="C87" s="514" t="s">
        <v>680</v>
      </c>
      <c r="D87" s="30" t="s">
        <v>504</v>
      </c>
      <c r="E87" s="45" t="s">
        <v>672</v>
      </c>
      <c r="F87" s="85" t="s">
        <v>445</v>
      </c>
      <c r="G87" s="31">
        <v>3</v>
      </c>
      <c r="H87" s="30" t="s">
        <v>685</v>
      </c>
      <c r="I87" s="43" t="s">
        <v>730</v>
      </c>
    </row>
    <row r="88" spans="2:9" ht="15" hidden="1" customHeight="1">
      <c r="B88" s="29">
        <v>45773</v>
      </c>
      <c r="C88" s="514" t="s">
        <v>680</v>
      </c>
      <c r="D88" s="30" t="s">
        <v>432</v>
      </c>
      <c r="E88" s="62" t="s">
        <v>693</v>
      </c>
      <c r="F88" s="876" t="s">
        <v>445</v>
      </c>
      <c r="G88" s="31">
        <v>6</v>
      </c>
      <c r="H88" s="30" t="s">
        <v>685</v>
      </c>
      <c r="I88" s="43" t="s">
        <v>730</v>
      </c>
    </row>
    <row r="89" spans="2:9" hidden="1">
      <c r="B89" s="29">
        <v>45773</v>
      </c>
      <c r="C89" s="514" t="s">
        <v>680</v>
      </c>
      <c r="D89" s="30" t="s">
        <v>494</v>
      </c>
      <c r="E89" s="45" t="s">
        <v>587</v>
      </c>
      <c r="F89" s="85" t="s">
        <v>514</v>
      </c>
      <c r="G89" s="31">
        <v>1</v>
      </c>
      <c r="H89" s="30" t="s">
        <v>683</v>
      </c>
      <c r="I89" s="43" t="s">
        <v>738</v>
      </c>
    </row>
    <row r="90" spans="2:9" ht="15" hidden="1" customHeight="1">
      <c r="B90" s="29">
        <v>45773</v>
      </c>
      <c r="C90" s="514" t="s">
        <v>680</v>
      </c>
      <c r="D90" s="30" t="s">
        <v>509</v>
      </c>
      <c r="E90" s="45" t="s">
        <v>691</v>
      </c>
      <c r="F90" s="85" t="s">
        <v>514</v>
      </c>
      <c r="G90" s="31">
        <v>14</v>
      </c>
      <c r="H90" s="30" t="s">
        <v>683</v>
      </c>
      <c r="I90" s="43" t="s">
        <v>738</v>
      </c>
    </row>
    <row r="91" spans="2:9" ht="15" hidden="1" customHeight="1">
      <c r="B91" s="29">
        <v>45773</v>
      </c>
      <c r="C91" s="514" t="s">
        <v>680</v>
      </c>
      <c r="D91" s="30" t="s">
        <v>415</v>
      </c>
      <c r="E91" s="45" t="s">
        <v>659</v>
      </c>
      <c r="F91" s="85" t="s">
        <v>514</v>
      </c>
      <c r="G91" s="31">
        <v>18</v>
      </c>
      <c r="H91" s="30" t="s">
        <v>683</v>
      </c>
      <c r="I91" s="43" t="s">
        <v>738</v>
      </c>
    </row>
    <row r="92" spans="2:9" ht="15" hidden="1" customHeight="1">
      <c r="B92" s="29">
        <v>45773</v>
      </c>
      <c r="C92" s="514" t="s">
        <v>680</v>
      </c>
      <c r="D92" s="30" t="s">
        <v>497</v>
      </c>
      <c r="E92" s="45" t="s">
        <v>692</v>
      </c>
      <c r="F92" s="85" t="s">
        <v>514</v>
      </c>
      <c r="G92" s="31">
        <v>14</v>
      </c>
      <c r="H92" s="30" t="s">
        <v>683</v>
      </c>
      <c r="I92" s="894" t="s">
        <v>738</v>
      </c>
    </row>
    <row r="93" spans="2:9" ht="15" hidden="1" customHeight="1">
      <c r="B93" s="29">
        <v>45773</v>
      </c>
      <c r="C93" s="514" t="s">
        <v>680</v>
      </c>
      <c r="D93" s="30" t="s">
        <v>504</v>
      </c>
      <c r="E93" s="45" t="s">
        <v>672</v>
      </c>
      <c r="F93" s="85" t="s">
        <v>514</v>
      </c>
      <c r="G93" s="31">
        <v>3</v>
      </c>
      <c r="H93" s="30" t="s">
        <v>683</v>
      </c>
      <c r="I93" s="894" t="s">
        <v>738</v>
      </c>
    </row>
    <row r="94" spans="2:9" ht="15" hidden="1" customHeight="1">
      <c r="B94" s="29">
        <v>45773</v>
      </c>
      <c r="C94" s="514" t="s">
        <v>680</v>
      </c>
      <c r="D94" s="30" t="s">
        <v>432</v>
      </c>
      <c r="E94" s="45" t="s">
        <v>693</v>
      </c>
      <c r="F94" s="85" t="s">
        <v>514</v>
      </c>
      <c r="G94" s="31">
        <v>3</v>
      </c>
      <c r="H94" s="30" t="s">
        <v>683</v>
      </c>
      <c r="I94" s="894" t="s">
        <v>738</v>
      </c>
    </row>
    <row r="95" spans="2:9" ht="15" hidden="1" customHeight="1">
      <c r="B95" s="29">
        <v>45773</v>
      </c>
      <c r="C95" s="514" t="s">
        <v>680</v>
      </c>
      <c r="D95" s="30" t="s">
        <v>467</v>
      </c>
      <c r="E95" s="45" t="s">
        <v>702</v>
      </c>
      <c r="F95" s="85" t="s">
        <v>739</v>
      </c>
      <c r="G95" s="31">
        <v>30</v>
      </c>
      <c r="H95" s="30" t="s">
        <v>683</v>
      </c>
      <c r="I95" s="894" t="s">
        <v>740</v>
      </c>
    </row>
    <row r="96" spans="2:9" ht="15" hidden="1" customHeight="1">
      <c r="B96" s="29">
        <v>45773</v>
      </c>
      <c r="C96" s="514" t="s">
        <v>680</v>
      </c>
      <c r="D96" s="30" t="s">
        <v>473</v>
      </c>
      <c r="E96" s="45" t="s">
        <v>741</v>
      </c>
      <c r="F96" s="85" t="s">
        <v>416</v>
      </c>
      <c r="G96" s="31">
        <v>50</v>
      </c>
      <c r="H96" s="54" t="s">
        <v>685</v>
      </c>
      <c r="I96" s="894" t="s">
        <v>686</v>
      </c>
    </row>
    <row r="97" spans="2:11" ht="15" hidden="1" customHeight="1">
      <c r="B97" s="895">
        <v>45776</v>
      </c>
      <c r="C97" s="514" t="s">
        <v>680</v>
      </c>
      <c r="D97" s="896" t="s">
        <v>439</v>
      </c>
      <c r="E97" s="43" t="s">
        <v>742</v>
      </c>
      <c r="F97" s="43" t="s">
        <v>554</v>
      </c>
      <c r="G97" s="43">
        <v>5</v>
      </c>
      <c r="H97" s="896" t="s">
        <v>718</v>
      </c>
      <c r="I97" s="43" t="s">
        <v>743</v>
      </c>
    </row>
    <row r="98" spans="2:11" ht="15" hidden="1" customHeight="1">
      <c r="B98" s="895">
        <v>45776</v>
      </c>
      <c r="C98" s="514" t="s">
        <v>680</v>
      </c>
      <c r="D98" s="896" t="s">
        <v>564</v>
      </c>
      <c r="E98" s="43" t="s">
        <v>667</v>
      </c>
      <c r="F98" s="43" t="s">
        <v>450</v>
      </c>
      <c r="G98" s="43">
        <v>3</v>
      </c>
      <c r="H98" s="896" t="s">
        <v>689</v>
      </c>
      <c r="I98" s="43" t="s">
        <v>744</v>
      </c>
    </row>
    <row r="99" spans="2:11" ht="15" hidden="1" customHeight="1">
      <c r="B99" s="895">
        <v>45776</v>
      </c>
      <c r="C99" s="514" t="s">
        <v>680</v>
      </c>
      <c r="D99" s="896" t="s">
        <v>509</v>
      </c>
      <c r="E99" s="43" t="s">
        <v>691</v>
      </c>
      <c r="F99" s="43" t="s">
        <v>450</v>
      </c>
      <c r="G99" s="43">
        <v>10</v>
      </c>
      <c r="H99" s="896" t="s">
        <v>689</v>
      </c>
      <c r="I99" s="43" t="s">
        <v>744</v>
      </c>
    </row>
    <row r="100" spans="2:11" ht="15" hidden="1" customHeight="1">
      <c r="B100" s="895">
        <v>45776</v>
      </c>
      <c r="C100" s="514" t="s">
        <v>680</v>
      </c>
      <c r="D100" s="896" t="s">
        <v>415</v>
      </c>
      <c r="E100" s="43" t="s">
        <v>659</v>
      </c>
      <c r="F100" s="43" t="s">
        <v>450</v>
      </c>
      <c r="G100" s="43">
        <v>14</v>
      </c>
      <c r="H100" s="896" t="s">
        <v>689</v>
      </c>
      <c r="I100" s="43" t="s">
        <v>744</v>
      </c>
    </row>
    <row r="101" spans="2:11" ht="15" hidden="1" customHeight="1">
      <c r="B101" s="895">
        <v>45776</v>
      </c>
      <c r="C101" s="514" t="s">
        <v>680</v>
      </c>
      <c r="D101" s="896" t="s">
        <v>497</v>
      </c>
      <c r="E101" s="43" t="s">
        <v>692</v>
      </c>
      <c r="F101" s="43" t="s">
        <v>450</v>
      </c>
      <c r="G101" s="43">
        <v>10</v>
      </c>
      <c r="H101" s="896" t="s">
        <v>689</v>
      </c>
      <c r="I101" s="43" t="s">
        <v>744</v>
      </c>
    </row>
    <row r="102" spans="2:11" ht="15" hidden="1" customHeight="1">
      <c r="B102" s="895">
        <v>45776</v>
      </c>
      <c r="C102" s="514" t="s">
        <v>680</v>
      </c>
      <c r="D102" s="896" t="s">
        <v>432</v>
      </c>
      <c r="E102" s="43" t="s">
        <v>693</v>
      </c>
      <c r="F102" s="43" t="s">
        <v>450</v>
      </c>
      <c r="G102" s="43">
        <v>5</v>
      </c>
      <c r="H102" s="896" t="s">
        <v>689</v>
      </c>
      <c r="I102" s="43" t="s">
        <v>744</v>
      </c>
    </row>
    <row r="103" spans="2:11" ht="15" hidden="1" customHeight="1">
      <c r="B103" s="895">
        <v>45776</v>
      </c>
      <c r="C103" s="514" t="s">
        <v>680</v>
      </c>
      <c r="D103" s="896" t="s">
        <v>478</v>
      </c>
      <c r="E103" s="43" t="s">
        <v>700</v>
      </c>
      <c r="F103" s="43" t="s">
        <v>450</v>
      </c>
      <c r="G103" s="43">
        <v>1</v>
      </c>
      <c r="H103" s="896" t="s">
        <v>689</v>
      </c>
      <c r="I103" s="43" t="s">
        <v>744</v>
      </c>
    </row>
    <row r="104" spans="2:11" ht="15" hidden="1" customHeight="1">
      <c r="B104" s="895">
        <v>45776</v>
      </c>
      <c r="C104" s="514" t="s">
        <v>680</v>
      </c>
      <c r="D104" s="896" t="s">
        <v>479</v>
      </c>
      <c r="E104" s="43" t="s">
        <v>745</v>
      </c>
      <c r="F104" s="43" t="s">
        <v>450</v>
      </c>
      <c r="G104" s="43">
        <v>1</v>
      </c>
      <c r="H104" s="896" t="s">
        <v>689</v>
      </c>
      <c r="I104" s="43" t="s">
        <v>744</v>
      </c>
    </row>
    <row r="105" spans="2:11" ht="15" hidden="1" customHeight="1">
      <c r="B105" s="895">
        <v>45776</v>
      </c>
      <c r="C105" s="514" t="s">
        <v>680</v>
      </c>
      <c r="D105" s="896" t="s">
        <v>467</v>
      </c>
      <c r="E105" s="43" t="s">
        <v>702</v>
      </c>
      <c r="F105" s="43" t="s">
        <v>450</v>
      </c>
      <c r="G105" s="43">
        <v>2</v>
      </c>
      <c r="H105" s="896" t="s">
        <v>689</v>
      </c>
      <c r="I105" s="43" t="s">
        <v>744</v>
      </c>
    </row>
    <row r="106" spans="2:11" ht="15" hidden="1" customHeight="1">
      <c r="B106" s="895">
        <v>45776</v>
      </c>
      <c r="C106" s="514" t="s">
        <v>680</v>
      </c>
      <c r="D106" s="896" t="s">
        <v>396</v>
      </c>
      <c r="E106" s="43" t="s">
        <v>703</v>
      </c>
      <c r="F106" s="43" t="s">
        <v>450</v>
      </c>
      <c r="G106" s="43">
        <v>1</v>
      </c>
      <c r="H106" s="896" t="s">
        <v>689</v>
      </c>
      <c r="I106" s="43" t="s">
        <v>744</v>
      </c>
    </row>
    <row r="107" spans="2:11" ht="15" hidden="1" customHeight="1">
      <c r="B107" s="895">
        <v>45776</v>
      </c>
      <c r="C107" s="514" t="s">
        <v>680</v>
      </c>
      <c r="D107" s="896" t="s">
        <v>476</v>
      </c>
      <c r="E107" s="43" t="s">
        <v>681</v>
      </c>
      <c r="F107" s="43" t="s">
        <v>518</v>
      </c>
      <c r="G107" s="43">
        <v>18</v>
      </c>
      <c r="H107" s="896" t="s">
        <v>685</v>
      </c>
      <c r="I107" s="43" t="s">
        <v>686</v>
      </c>
    </row>
    <row r="108" spans="2:11" ht="15" hidden="1" customHeight="1">
      <c r="B108" s="895">
        <v>45776</v>
      </c>
      <c r="C108" s="514" t="s">
        <v>680</v>
      </c>
      <c r="D108" s="896" t="s">
        <v>396</v>
      </c>
      <c r="E108" s="43" t="s">
        <v>703</v>
      </c>
      <c r="F108" s="43" t="s">
        <v>541</v>
      </c>
      <c r="G108" s="43">
        <v>39</v>
      </c>
      <c r="H108" s="896" t="s">
        <v>689</v>
      </c>
      <c r="I108" s="43" t="s">
        <v>746</v>
      </c>
    </row>
    <row r="109" spans="2:11" ht="15" hidden="1" customHeight="1">
      <c r="B109" s="29">
        <v>45776</v>
      </c>
      <c r="C109" s="514" t="s">
        <v>680</v>
      </c>
      <c r="D109" s="30" t="s">
        <v>597</v>
      </c>
      <c r="E109" s="31" t="s">
        <v>724</v>
      </c>
      <c r="F109" s="31" t="s">
        <v>541</v>
      </c>
      <c r="G109" s="31">
        <v>11</v>
      </c>
      <c r="H109" s="30" t="s">
        <v>689</v>
      </c>
      <c r="I109" s="43" t="s">
        <v>746</v>
      </c>
    </row>
    <row r="110" spans="2:11" ht="15" hidden="1" customHeight="1">
      <c r="B110" s="29">
        <v>45776</v>
      </c>
      <c r="C110" s="514" t="s">
        <v>680</v>
      </c>
      <c r="D110" s="30" t="s">
        <v>396</v>
      </c>
      <c r="E110" s="31" t="s">
        <v>703</v>
      </c>
      <c r="F110" s="31" t="s">
        <v>639</v>
      </c>
      <c r="G110" s="31">
        <v>10</v>
      </c>
      <c r="H110" s="30" t="s">
        <v>685</v>
      </c>
      <c r="I110" s="43" t="s">
        <v>737</v>
      </c>
    </row>
    <row r="111" spans="2:11" ht="15" customHeight="1">
      <c r="B111" s="895">
        <v>45779</v>
      </c>
      <c r="C111" s="514" t="s">
        <v>747</v>
      </c>
      <c r="D111" s="896" t="s">
        <v>494</v>
      </c>
      <c r="E111" s="43" t="s">
        <v>587</v>
      </c>
      <c r="F111" s="43" t="s">
        <v>511</v>
      </c>
      <c r="G111" s="43">
        <v>1</v>
      </c>
      <c r="H111" s="30" t="s">
        <v>685</v>
      </c>
      <c r="I111" s="43" t="s">
        <v>748</v>
      </c>
      <c r="K111" t="str">
        <f>TRIM(J111)</f>
        <v/>
      </c>
    </row>
    <row r="112" spans="2:11" ht="15" customHeight="1">
      <c r="B112" s="895">
        <v>45779</v>
      </c>
      <c r="C112" s="514" t="s">
        <v>747</v>
      </c>
      <c r="D112" s="896" t="s">
        <v>512</v>
      </c>
      <c r="E112" s="43" t="s">
        <v>749</v>
      </c>
      <c r="F112" s="43" t="s">
        <v>750</v>
      </c>
      <c r="G112" s="43">
        <f>81+159</f>
        <v>240</v>
      </c>
      <c r="H112" s="896" t="s">
        <v>689</v>
      </c>
      <c r="I112" s="43" t="s">
        <v>751</v>
      </c>
    </row>
    <row r="113" spans="2:11" ht="15" customHeight="1">
      <c r="B113" s="895">
        <v>45779</v>
      </c>
      <c r="C113" s="514" t="s">
        <v>747</v>
      </c>
      <c r="D113" s="896" t="s">
        <v>509</v>
      </c>
      <c r="E113" s="43" t="s">
        <v>691</v>
      </c>
      <c r="F113" s="43" t="s">
        <v>398</v>
      </c>
      <c r="G113" s="43">
        <v>5</v>
      </c>
      <c r="H113" s="30" t="s">
        <v>685</v>
      </c>
      <c r="I113" s="43" t="s">
        <v>730</v>
      </c>
      <c r="K113" t="str">
        <f t="shared" ref="K113:K151" si="0">TRIM(J113)</f>
        <v/>
      </c>
    </row>
    <row r="114" spans="2:11">
      <c r="B114" s="895">
        <v>45779</v>
      </c>
      <c r="C114" s="514" t="s">
        <v>747</v>
      </c>
      <c r="D114" s="896" t="s">
        <v>497</v>
      </c>
      <c r="E114" s="43" t="s">
        <v>692</v>
      </c>
      <c r="F114" s="43" t="s">
        <v>398</v>
      </c>
      <c r="G114" s="43">
        <v>10</v>
      </c>
      <c r="H114" s="30" t="s">
        <v>685</v>
      </c>
      <c r="I114" s="43" t="s">
        <v>730</v>
      </c>
      <c r="K114" t="str">
        <f t="shared" si="0"/>
        <v/>
      </c>
    </row>
    <row r="115" spans="2:11">
      <c r="B115" s="895">
        <v>45779</v>
      </c>
      <c r="C115" s="514" t="s">
        <v>747</v>
      </c>
      <c r="D115" s="896" t="s">
        <v>504</v>
      </c>
      <c r="E115" s="43" t="s">
        <v>672</v>
      </c>
      <c r="F115" s="43" t="s">
        <v>398</v>
      </c>
      <c r="G115" s="43">
        <v>2</v>
      </c>
      <c r="H115" s="30" t="s">
        <v>685</v>
      </c>
      <c r="I115" s="43" t="s">
        <v>730</v>
      </c>
      <c r="K115" t="str">
        <f t="shared" si="0"/>
        <v/>
      </c>
    </row>
    <row r="116" spans="2:11">
      <c r="B116" s="895">
        <v>45779</v>
      </c>
      <c r="C116" s="514" t="s">
        <v>747</v>
      </c>
      <c r="D116" s="896" t="s">
        <v>432</v>
      </c>
      <c r="E116" s="43" t="s">
        <v>693</v>
      </c>
      <c r="F116" s="43" t="s">
        <v>398</v>
      </c>
      <c r="G116" s="43">
        <v>2</v>
      </c>
      <c r="H116" s="30" t="s">
        <v>685</v>
      </c>
      <c r="I116" s="43" t="s">
        <v>730</v>
      </c>
      <c r="K116" t="str">
        <f t="shared" si="0"/>
        <v/>
      </c>
    </row>
    <row r="117" spans="2:11">
      <c r="B117" s="895">
        <v>45779</v>
      </c>
      <c r="C117" s="514" t="s">
        <v>747</v>
      </c>
      <c r="D117" s="896" t="s">
        <v>549</v>
      </c>
      <c r="E117" s="43" t="s">
        <v>614</v>
      </c>
      <c r="F117" s="43" t="s">
        <v>752</v>
      </c>
      <c r="G117" s="43">
        <v>40</v>
      </c>
      <c r="H117" s="896" t="s">
        <v>689</v>
      </c>
      <c r="I117" s="43" t="s">
        <v>744</v>
      </c>
      <c r="K117" t="str">
        <f t="shared" si="0"/>
        <v/>
      </c>
    </row>
    <row r="118" spans="2:11">
      <c r="B118" s="895">
        <v>45779</v>
      </c>
      <c r="C118" s="514" t="s">
        <v>747</v>
      </c>
      <c r="D118" s="896" t="s">
        <v>483</v>
      </c>
      <c r="E118" s="43" t="s">
        <v>753</v>
      </c>
      <c r="F118" s="43" t="s">
        <v>752</v>
      </c>
      <c r="G118" s="43">
        <v>10</v>
      </c>
      <c r="H118" s="896" t="s">
        <v>689</v>
      </c>
      <c r="I118" s="43" t="s">
        <v>744</v>
      </c>
      <c r="K118" t="str">
        <f t="shared" si="0"/>
        <v/>
      </c>
    </row>
    <row r="119" spans="2:11">
      <c r="B119" s="895">
        <v>45779</v>
      </c>
      <c r="C119" s="514" t="s">
        <v>747</v>
      </c>
      <c r="D119" s="896" t="s">
        <v>509</v>
      </c>
      <c r="E119" s="43" t="s">
        <v>691</v>
      </c>
      <c r="F119" s="43" t="s">
        <v>752</v>
      </c>
      <c r="G119" s="43">
        <v>20</v>
      </c>
      <c r="H119" s="896" t="s">
        <v>689</v>
      </c>
      <c r="I119" s="43" t="s">
        <v>744</v>
      </c>
      <c r="K119" t="str">
        <f t="shared" si="0"/>
        <v/>
      </c>
    </row>
    <row r="120" spans="2:11">
      <c r="B120" s="895">
        <v>45779</v>
      </c>
      <c r="C120" s="514" t="s">
        <v>747</v>
      </c>
      <c r="D120" s="896" t="s">
        <v>415</v>
      </c>
      <c r="E120" s="43" t="s">
        <v>659</v>
      </c>
      <c r="F120" s="43" t="s">
        <v>752</v>
      </c>
      <c r="G120" s="43">
        <v>5</v>
      </c>
      <c r="H120" s="896" t="s">
        <v>689</v>
      </c>
      <c r="I120" s="43" t="s">
        <v>744</v>
      </c>
      <c r="K120" t="str">
        <f t="shared" si="0"/>
        <v/>
      </c>
    </row>
    <row r="121" spans="2:11">
      <c r="B121" s="895">
        <v>45779</v>
      </c>
      <c r="C121" s="514" t="s">
        <v>747</v>
      </c>
      <c r="D121" s="896" t="s">
        <v>504</v>
      </c>
      <c r="E121" s="43" t="s">
        <v>672</v>
      </c>
      <c r="F121" s="43" t="s">
        <v>752</v>
      </c>
      <c r="G121" s="43">
        <v>10</v>
      </c>
      <c r="H121" s="896" t="s">
        <v>689</v>
      </c>
      <c r="I121" s="43" t="s">
        <v>744</v>
      </c>
    </row>
    <row r="122" spans="2:11">
      <c r="B122" s="895">
        <v>45779</v>
      </c>
      <c r="C122" s="514" t="s">
        <v>747</v>
      </c>
      <c r="D122" s="896" t="s">
        <v>432</v>
      </c>
      <c r="E122" s="43" t="s">
        <v>693</v>
      </c>
      <c r="F122" s="43" t="s">
        <v>752</v>
      </c>
      <c r="G122" s="43">
        <v>2</v>
      </c>
      <c r="H122" s="896" t="s">
        <v>689</v>
      </c>
      <c r="I122" s="43" t="s">
        <v>744</v>
      </c>
    </row>
    <row r="123" spans="2:11">
      <c r="B123" s="895">
        <v>45779</v>
      </c>
      <c r="C123" s="514" t="s">
        <v>747</v>
      </c>
      <c r="D123" s="896" t="s">
        <v>415</v>
      </c>
      <c r="E123" s="43" t="s">
        <v>659</v>
      </c>
      <c r="F123" s="43" t="s">
        <v>754</v>
      </c>
      <c r="G123" s="43">
        <v>8</v>
      </c>
      <c r="H123" s="30" t="s">
        <v>685</v>
      </c>
      <c r="I123" s="43" t="s">
        <v>730</v>
      </c>
    </row>
    <row r="124" spans="2:11">
      <c r="B124" s="895">
        <v>45779</v>
      </c>
      <c r="C124" s="514" t="s">
        <v>747</v>
      </c>
      <c r="D124" s="896" t="s">
        <v>497</v>
      </c>
      <c r="E124" s="43" t="s">
        <v>692</v>
      </c>
      <c r="F124" s="43" t="s">
        <v>754</v>
      </c>
      <c r="G124" s="43">
        <v>8</v>
      </c>
      <c r="H124" s="30" t="s">
        <v>685</v>
      </c>
      <c r="I124" s="43" t="s">
        <v>730</v>
      </c>
      <c r="K124" t="str">
        <f t="shared" si="0"/>
        <v/>
      </c>
    </row>
    <row r="125" spans="2:11">
      <c r="B125" s="895">
        <v>45779</v>
      </c>
      <c r="C125" s="514" t="s">
        <v>747</v>
      </c>
      <c r="D125" s="896" t="s">
        <v>504</v>
      </c>
      <c r="E125" s="43" t="s">
        <v>672</v>
      </c>
      <c r="F125" s="43" t="s">
        <v>754</v>
      </c>
      <c r="G125" s="43">
        <v>2</v>
      </c>
      <c r="H125" s="30" t="s">
        <v>685</v>
      </c>
      <c r="I125" s="43" t="s">
        <v>730</v>
      </c>
      <c r="K125" t="str">
        <f t="shared" si="0"/>
        <v/>
      </c>
    </row>
    <row r="126" spans="2:11">
      <c r="B126" s="895">
        <v>45779</v>
      </c>
      <c r="C126" s="514" t="s">
        <v>747</v>
      </c>
      <c r="D126" s="896" t="s">
        <v>432</v>
      </c>
      <c r="E126" s="43" t="s">
        <v>693</v>
      </c>
      <c r="F126" s="43" t="s">
        <v>754</v>
      </c>
      <c r="G126" s="43">
        <v>2</v>
      </c>
      <c r="H126" s="30" t="s">
        <v>685</v>
      </c>
      <c r="I126" s="43" t="s">
        <v>730</v>
      </c>
      <c r="K126" t="str">
        <f t="shared" si="0"/>
        <v/>
      </c>
    </row>
    <row r="127" spans="2:11">
      <c r="B127" s="895">
        <v>45779</v>
      </c>
      <c r="C127" s="514" t="s">
        <v>747</v>
      </c>
      <c r="D127" s="896" t="s">
        <v>478</v>
      </c>
      <c r="E127" s="43" t="s">
        <v>700</v>
      </c>
      <c r="F127" s="43" t="s">
        <v>754</v>
      </c>
      <c r="G127" s="43">
        <v>4</v>
      </c>
      <c r="H127" s="30" t="s">
        <v>685</v>
      </c>
      <c r="I127" s="43" t="s">
        <v>730</v>
      </c>
      <c r="K127" t="str">
        <f t="shared" si="0"/>
        <v/>
      </c>
    </row>
    <row r="128" spans="2:11">
      <c r="B128" s="895">
        <v>45779</v>
      </c>
      <c r="C128" s="514" t="s">
        <v>747</v>
      </c>
      <c r="D128" s="896" t="s">
        <v>501</v>
      </c>
      <c r="E128" s="43" t="s">
        <v>696</v>
      </c>
      <c r="F128" s="43" t="s">
        <v>754</v>
      </c>
      <c r="G128" s="43">
        <v>4</v>
      </c>
      <c r="H128" s="30" t="s">
        <v>685</v>
      </c>
      <c r="I128" s="43" t="s">
        <v>730</v>
      </c>
      <c r="K128" t="str">
        <f t="shared" si="0"/>
        <v/>
      </c>
    </row>
    <row r="129" spans="2:11">
      <c r="B129" s="895">
        <v>45779</v>
      </c>
      <c r="C129" s="514" t="s">
        <v>747</v>
      </c>
      <c r="D129" s="896" t="s">
        <v>476</v>
      </c>
      <c r="E129" s="43" t="s">
        <v>681</v>
      </c>
      <c r="F129" s="43" t="s">
        <v>754</v>
      </c>
      <c r="G129" s="43">
        <v>33</v>
      </c>
      <c r="H129" s="30" t="s">
        <v>685</v>
      </c>
      <c r="I129" s="43" t="s">
        <v>730</v>
      </c>
      <c r="K129" t="str">
        <f t="shared" si="0"/>
        <v/>
      </c>
    </row>
    <row r="130" spans="2:11" ht="15.75" customHeight="1">
      <c r="B130" s="895">
        <v>45779</v>
      </c>
      <c r="C130" s="514" t="s">
        <v>747</v>
      </c>
      <c r="D130" s="896" t="s">
        <v>411</v>
      </c>
      <c r="E130" s="43" t="s">
        <v>733</v>
      </c>
      <c r="F130" s="43" t="s">
        <v>754</v>
      </c>
      <c r="G130" s="43">
        <v>6</v>
      </c>
      <c r="H130" s="30" t="s">
        <v>685</v>
      </c>
      <c r="I130" s="43" t="s">
        <v>730</v>
      </c>
      <c r="K130" t="str">
        <f t="shared" si="0"/>
        <v/>
      </c>
    </row>
    <row r="131" spans="2:11">
      <c r="B131" s="29">
        <v>45779</v>
      </c>
      <c r="C131" s="514" t="s">
        <v>747</v>
      </c>
      <c r="D131" s="30" t="s">
        <v>444</v>
      </c>
      <c r="E131" s="31" t="s">
        <v>755</v>
      </c>
      <c r="F131" s="31" t="s">
        <v>756</v>
      </c>
      <c r="G131" s="31">
        <v>29</v>
      </c>
      <c r="H131" s="30" t="s">
        <v>685</v>
      </c>
      <c r="I131" s="43" t="s">
        <v>757</v>
      </c>
      <c r="K131" t="str">
        <f t="shared" si="0"/>
        <v/>
      </c>
    </row>
    <row r="132" spans="2:11">
      <c r="B132" s="29">
        <v>45779</v>
      </c>
      <c r="C132" s="514" t="s">
        <v>747</v>
      </c>
      <c r="D132" s="30" t="s">
        <v>506</v>
      </c>
      <c r="E132" s="877" t="s">
        <v>687</v>
      </c>
      <c r="F132" s="31" t="s">
        <v>715</v>
      </c>
      <c r="G132" s="31">
        <v>1</v>
      </c>
      <c r="H132" s="896" t="s">
        <v>689</v>
      </c>
      <c r="I132" s="43" t="s">
        <v>744</v>
      </c>
      <c r="K132" t="str">
        <f t="shared" si="0"/>
        <v/>
      </c>
    </row>
    <row r="133" spans="2:11">
      <c r="B133" s="29">
        <v>45779</v>
      </c>
      <c r="C133" s="514" t="s">
        <v>747</v>
      </c>
      <c r="D133" s="54" t="s">
        <v>494</v>
      </c>
      <c r="E133" s="878" t="s">
        <v>587</v>
      </c>
      <c r="F133" s="31" t="s">
        <v>715</v>
      </c>
      <c r="G133" s="31">
        <v>1</v>
      </c>
      <c r="H133" s="896" t="s">
        <v>689</v>
      </c>
      <c r="I133" s="43" t="s">
        <v>744</v>
      </c>
      <c r="K133" t="str">
        <f t="shared" si="0"/>
        <v/>
      </c>
    </row>
    <row r="134" spans="2:11" ht="15" customHeight="1">
      <c r="B134" s="29">
        <v>45779</v>
      </c>
      <c r="C134" s="514" t="s">
        <v>747</v>
      </c>
      <c r="D134" s="55" t="s">
        <v>509</v>
      </c>
      <c r="E134" s="878" t="s">
        <v>691</v>
      </c>
      <c r="F134" s="877" t="s">
        <v>715</v>
      </c>
      <c r="G134" s="877">
        <v>9</v>
      </c>
      <c r="H134" s="896" t="s">
        <v>689</v>
      </c>
      <c r="I134" s="43" t="s">
        <v>744</v>
      </c>
      <c r="K134" t="str">
        <f t="shared" si="0"/>
        <v/>
      </c>
    </row>
    <row r="135" spans="2:11" ht="15" customHeight="1">
      <c r="B135" s="29">
        <v>45779</v>
      </c>
      <c r="C135" s="514" t="s">
        <v>747</v>
      </c>
      <c r="D135" s="882" t="s">
        <v>415</v>
      </c>
      <c r="E135" s="878" t="s">
        <v>659</v>
      </c>
      <c r="F135" s="883" t="s">
        <v>715</v>
      </c>
      <c r="G135" s="878">
        <v>3</v>
      </c>
      <c r="H135" s="896" t="s">
        <v>689</v>
      </c>
      <c r="I135" s="43" t="s">
        <v>744</v>
      </c>
      <c r="K135" t="str">
        <f t="shared" si="0"/>
        <v/>
      </c>
    </row>
    <row r="136" spans="2:11" ht="15" customHeight="1">
      <c r="B136" s="29">
        <v>45779</v>
      </c>
      <c r="C136" s="514" t="s">
        <v>747</v>
      </c>
      <c r="D136" s="882" t="s">
        <v>497</v>
      </c>
      <c r="E136" s="878" t="s">
        <v>692</v>
      </c>
      <c r="F136" s="883" t="s">
        <v>715</v>
      </c>
      <c r="G136" s="878">
        <v>8</v>
      </c>
      <c r="H136" s="896" t="s">
        <v>689</v>
      </c>
      <c r="I136" s="43" t="s">
        <v>744</v>
      </c>
      <c r="K136" t="str">
        <f t="shared" si="0"/>
        <v/>
      </c>
    </row>
    <row r="137" spans="2:11" ht="15" customHeight="1">
      <c r="B137" s="29">
        <v>45779</v>
      </c>
      <c r="C137" s="514" t="s">
        <v>747</v>
      </c>
      <c r="D137" s="882" t="s">
        <v>504</v>
      </c>
      <c r="E137" s="878" t="s">
        <v>672</v>
      </c>
      <c r="F137" s="883" t="s">
        <v>715</v>
      </c>
      <c r="G137" s="878">
        <v>2</v>
      </c>
      <c r="H137" s="896" t="s">
        <v>689</v>
      </c>
      <c r="I137" s="43" t="s">
        <v>744</v>
      </c>
      <c r="K137" t="str">
        <f t="shared" si="0"/>
        <v/>
      </c>
    </row>
    <row r="138" spans="2:11" ht="15" customHeight="1">
      <c r="B138" s="29">
        <v>45779</v>
      </c>
      <c r="C138" s="514" t="s">
        <v>747</v>
      </c>
      <c r="D138" s="882" t="s">
        <v>432</v>
      </c>
      <c r="E138" s="878" t="s">
        <v>693</v>
      </c>
      <c r="F138" s="883" t="s">
        <v>715</v>
      </c>
      <c r="G138" s="878">
        <v>1</v>
      </c>
      <c r="H138" s="896" t="s">
        <v>689</v>
      </c>
      <c r="I138" s="43" t="s">
        <v>744</v>
      </c>
      <c r="K138" t="str">
        <f t="shared" si="0"/>
        <v/>
      </c>
    </row>
    <row r="139" spans="2:11" ht="15" customHeight="1">
      <c r="B139" s="29">
        <v>45779</v>
      </c>
      <c r="C139" s="514" t="s">
        <v>747</v>
      </c>
      <c r="D139" s="882" t="s">
        <v>501</v>
      </c>
      <c r="E139" s="878" t="s">
        <v>696</v>
      </c>
      <c r="F139" s="883" t="s">
        <v>715</v>
      </c>
      <c r="G139" s="878">
        <v>3</v>
      </c>
      <c r="H139" s="896" t="s">
        <v>689</v>
      </c>
      <c r="I139" s="43" t="s">
        <v>744</v>
      </c>
      <c r="K139" t="str">
        <f t="shared" si="0"/>
        <v/>
      </c>
    </row>
    <row r="140" spans="2:11" ht="15" customHeight="1">
      <c r="B140" s="29">
        <v>45779</v>
      </c>
      <c r="C140" s="514" t="s">
        <v>747</v>
      </c>
      <c r="D140" s="882" t="s">
        <v>467</v>
      </c>
      <c r="E140" s="878" t="s">
        <v>702</v>
      </c>
      <c r="F140" s="883" t="s">
        <v>715</v>
      </c>
      <c r="G140" s="878">
        <v>1</v>
      </c>
      <c r="H140" s="896" t="s">
        <v>689</v>
      </c>
      <c r="I140" s="43" t="s">
        <v>744</v>
      </c>
      <c r="K140" t="str">
        <f t="shared" si="0"/>
        <v/>
      </c>
    </row>
    <row r="141" spans="2:11" ht="15" customHeight="1">
      <c r="B141" s="29">
        <v>45779</v>
      </c>
      <c r="C141" s="514" t="s">
        <v>747</v>
      </c>
      <c r="D141" s="882" t="s">
        <v>494</v>
      </c>
      <c r="E141" s="878" t="s">
        <v>587</v>
      </c>
      <c r="F141" s="883" t="s">
        <v>450</v>
      </c>
      <c r="G141" s="878">
        <v>1</v>
      </c>
      <c r="H141" s="896" t="s">
        <v>689</v>
      </c>
      <c r="I141" s="884" t="s">
        <v>744</v>
      </c>
      <c r="K141" t="str">
        <f t="shared" si="0"/>
        <v/>
      </c>
    </row>
    <row r="142" spans="2:11" ht="15" customHeight="1">
      <c r="B142" s="29">
        <v>45779</v>
      </c>
      <c r="C142" s="514" t="s">
        <v>747</v>
      </c>
      <c r="D142" s="882" t="s">
        <v>509</v>
      </c>
      <c r="E142" s="878" t="s">
        <v>691</v>
      </c>
      <c r="F142" s="883" t="s">
        <v>450</v>
      </c>
      <c r="G142" s="878">
        <v>10</v>
      </c>
      <c r="H142" s="896" t="s">
        <v>689</v>
      </c>
      <c r="I142" s="884" t="s">
        <v>744</v>
      </c>
      <c r="K142" t="str">
        <f t="shared" si="0"/>
        <v/>
      </c>
    </row>
    <row r="143" spans="2:11" ht="15" customHeight="1">
      <c r="B143" s="29">
        <v>45779</v>
      </c>
      <c r="C143" s="514" t="s">
        <v>747</v>
      </c>
      <c r="D143" s="882" t="s">
        <v>415</v>
      </c>
      <c r="E143" s="878" t="s">
        <v>659</v>
      </c>
      <c r="F143" s="883" t="s">
        <v>450</v>
      </c>
      <c r="G143" s="878">
        <v>2</v>
      </c>
      <c r="H143" s="896" t="s">
        <v>689</v>
      </c>
      <c r="I143" s="884" t="s">
        <v>744</v>
      </c>
      <c r="K143" t="str">
        <f t="shared" si="0"/>
        <v/>
      </c>
    </row>
    <row r="144" spans="2:11" ht="15" customHeight="1">
      <c r="B144" s="29">
        <v>45779</v>
      </c>
      <c r="C144" s="514" t="s">
        <v>747</v>
      </c>
      <c r="D144" s="882" t="s">
        <v>497</v>
      </c>
      <c r="E144" s="878" t="s">
        <v>692</v>
      </c>
      <c r="F144" s="883" t="s">
        <v>450</v>
      </c>
      <c r="G144" s="878">
        <v>10</v>
      </c>
      <c r="H144" s="896" t="s">
        <v>689</v>
      </c>
      <c r="I144" s="884" t="s">
        <v>744</v>
      </c>
      <c r="K144" t="str">
        <f t="shared" si="0"/>
        <v/>
      </c>
    </row>
    <row r="145" spans="2:22" ht="15" customHeight="1">
      <c r="B145" s="29">
        <v>45779</v>
      </c>
      <c r="C145" s="514" t="s">
        <v>747</v>
      </c>
      <c r="D145" s="882" t="s">
        <v>478</v>
      </c>
      <c r="E145" s="878" t="s">
        <v>700</v>
      </c>
      <c r="F145" s="883" t="s">
        <v>450</v>
      </c>
      <c r="G145" s="878">
        <v>5</v>
      </c>
      <c r="H145" s="896" t="s">
        <v>689</v>
      </c>
      <c r="I145" s="884" t="s">
        <v>744</v>
      </c>
      <c r="K145" t="str">
        <f t="shared" si="0"/>
        <v/>
      </c>
    </row>
    <row r="146" spans="2:22" ht="15" customHeight="1">
      <c r="B146" s="29">
        <v>45779</v>
      </c>
      <c r="C146" s="514" t="s">
        <v>747</v>
      </c>
      <c r="D146" s="882" t="s">
        <v>479</v>
      </c>
      <c r="E146" s="878" t="s">
        <v>745</v>
      </c>
      <c r="F146" s="883" t="s">
        <v>450</v>
      </c>
      <c r="G146" s="878">
        <v>5</v>
      </c>
      <c r="H146" s="896" t="s">
        <v>689</v>
      </c>
      <c r="I146" s="884" t="s">
        <v>744</v>
      </c>
      <c r="K146" t="str">
        <f t="shared" si="0"/>
        <v/>
      </c>
    </row>
    <row r="147" spans="2:22" ht="15" customHeight="1">
      <c r="B147" s="29">
        <v>45779</v>
      </c>
      <c r="C147" s="514" t="s">
        <v>747</v>
      </c>
      <c r="D147" s="885" t="s">
        <v>501</v>
      </c>
      <c r="E147" s="878" t="s">
        <v>696</v>
      </c>
      <c r="F147" s="883" t="s">
        <v>450</v>
      </c>
      <c r="G147" s="878">
        <v>12</v>
      </c>
      <c r="H147" s="896" t="s">
        <v>689</v>
      </c>
      <c r="I147" s="884" t="s">
        <v>744</v>
      </c>
      <c r="K147" t="str">
        <f t="shared" si="0"/>
        <v/>
      </c>
    </row>
    <row r="148" spans="2:22" ht="15" customHeight="1">
      <c r="B148" s="29">
        <v>45779</v>
      </c>
      <c r="C148" s="514" t="s">
        <v>747</v>
      </c>
      <c r="D148" s="30" t="s">
        <v>467</v>
      </c>
      <c r="E148" s="31" t="s">
        <v>702</v>
      </c>
      <c r="F148" s="31" t="s">
        <v>450</v>
      </c>
      <c r="G148" s="31">
        <v>8</v>
      </c>
      <c r="H148" s="896" t="s">
        <v>689</v>
      </c>
      <c r="I148" s="884" t="s">
        <v>744</v>
      </c>
      <c r="K148" t="str">
        <f t="shared" si="0"/>
        <v/>
      </c>
    </row>
    <row r="149" spans="2:22" ht="15" customHeight="1">
      <c r="B149" s="29">
        <v>45779</v>
      </c>
      <c r="C149" s="514" t="s">
        <v>747</v>
      </c>
      <c r="D149" s="30" t="s">
        <v>476</v>
      </c>
      <c r="E149" s="31" t="s">
        <v>681</v>
      </c>
      <c r="F149" s="31" t="s">
        <v>450</v>
      </c>
      <c r="G149" s="31">
        <v>12</v>
      </c>
      <c r="H149" s="896" t="s">
        <v>689</v>
      </c>
      <c r="I149" s="884" t="s">
        <v>744</v>
      </c>
      <c r="K149" t="str">
        <f t="shared" si="0"/>
        <v/>
      </c>
    </row>
    <row r="150" spans="2:22" ht="15" customHeight="1">
      <c r="B150" s="29">
        <v>45779</v>
      </c>
      <c r="C150" s="514" t="s">
        <v>747</v>
      </c>
      <c r="D150" s="30" t="s">
        <v>396</v>
      </c>
      <c r="E150" s="31" t="s">
        <v>703</v>
      </c>
      <c r="F150" s="31" t="s">
        <v>450</v>
      </c>
      <c r="G150" s="31">
        <v>6</v>
      </c>
      <c r="H150" s="896" t="s">
        <v>689</v>
      </c>
      <c r="I150" s="884" t="s">
        <v>744</v>
      </c>
      <c r="K150" t="str">
        <f t="shared" si="0"/>
        <v/>
      </c>
    </row>
    <row r="151" spans="2:22" ht="15" customHeight="1">
      <c r="B151" s="29">
        <v>45779</v>
      </c>
      <c r="C151" s="514" t="s">
        <v>747</v>
      </c>
      <c r="D151" s="30" t="s">
        <v>411</v>
      </c>
      <c r="E151" s="31" t="s">
        <v>733</v>
      </c>
      <c r="F151" s="31" t="s">
        <v>450</v>
      </c>
      <c r="G151" s="31">
        <v>5</v>
      </c>
      <c r="H151" s="896" t="s">
        <v>689</v>
      </c>
      <c r="I151" s="884" t="s">
        <v>744</v>
      </c>
      <c r="K151" t="str">
        <f t="shared" si="0"/>
        <v/>
      </c>
    </row>
    <row r="152" spans="2:22" ht="15" customHeight="1">
      <c r="B152" s="29">
        <v>45780</v>
      </c>
      <c r="C152" s="514" t="s">
        <v>747</v>
      </c>
      <c r="D152" s="30" t="s">
        <v>598</v>
      </c>
      <c r="E152" s="31" t="s">
        <v>758</v>
      </c>
      <c r="F152" s="31" t="s">
        <v>401</v>
      </c>
      <c r="G152" s="31">
        <v>7</v>
      </c>
      <c r="H152" s="30" t="s">
        <v>685</v>
      </c>
      <c r="I152" s="43" t="s">
        <v>730</v>
      </c>
    </row>
    <row r="153" spans="2:22" ht="15" customHeight="1">
      <c r="B153" s="29">
        <v>45780</v>
      </c>
      <c r="C153" s="514" t="s">
        <v>747</v>
      </c>
      <c r="D153" s="30" t="s">
        <v>549</v>
      </c>
      <c r="E153" s="31" t="s">
        <v>614</v>
      </c>
      <c r="F153" s="31" t="s">
        <v>401</v>
      </c>
      <c r="G153" s="31">
        <v>26</v>
      </c>
      <c r="H153" s="30" t="s">
        <v>685</v>
      </c>
      <c r="I153" s="43" t="s">
        <v>730</v>
      </c>
    </row>
    <row r="154" spans="2:22" ht="15" customHeight="1">
      <c r="B154" s="29">
        <v>45780</v>
      </c>
      <c r="C154" s="514" t="s">
        <v>747</v>
      </c>
      <c r="D154" s="30" t="s">
        <v>494</v>
      </c>
      <c r="E154" s="31" t="s">
        <v>587</v>
      </c>
      <c r="F154" s="31" t="s">
        <v>401</v>
      </c>
      <c r="G154" s="31">
        <v>10</v>
      </c>
      <c r="H154" s="30" t="s">
        <v>685</v>
      </c>
      <c r="I154" s="43" t="s">
        <v>730</v>
      </c>
    </row>
    <row r="155" spans="2:22" ht="15" customHeight="1">
      <c r="B155" s="29">
        <v>45780</v>
      </c>
      <c r="C155" s="514" t="s">
        <v>747</v>
      </c>
      <c r="D155" s="30" t="s">
        <v>509</v>
      </c>
      <c r="E155" s="31" t="s">
        <v>691</v>
      </c>
      <c r="F155" s="31" t="s">
        <v>401</v>
      </c>
      <c r="G155" s="31">
        <v>5</v>
      </c>
      <c r="H155" s="30" t="s">
        <v>685</v>
      </c>
      <c r="I155" s="43" t="s">
        <v>730</v>
      </c>
    </row>
    <row r="156" spans="2:22" ht="15" customHeight="1">
      <c r="B156" s="29">
        <v>45780</v>
      </c>
      <c r="C156" s="514" t="s">
        <v>747</v>
      </c>
      <c r="D156" s="30" t="s">
        <v>415</v>
      </c>
      <c r="E156" s="31" t="s">
        <v>659</v>
      </c>
      <c r="F156" s="31" t="s">
        <v>401</v>
      </c>
      <c r="G156" s="31">
        <v>15</v>
      </c>
      <c r="H156" s="30" t="s">
        <v>685</v>
      </c>
      <c r="I156" s="43" t="s">
        <v>730</v>
      </c>
      <c r="K156" s="888"/>
      <c r="L156" s="888"/>
      <c r="M156" s="888"/>
      <c r="N156" s="888"/>
      <c r="O156" s="888"/>
      <c r="P156" s="888"/>
      <c r="Q156" s="888"/>
      <c r="R156" s="888"/>
      <c r="S156" s="888"/>
      <c r="T156" s="888"/>
      <c r="U156" s="888"/>
      <c r="V156" s="888"/>
    </row>
    <row r="157" spans="2:22" ht="15" customHeight="1">
      <c r="B157" s="29">
        <v>45780</v>
      </c>
      <c r="C157" s="514" t="s">
        <v>747</v>
      </c>
      <c r="D157" s="30" t="s">
        <v>504</v>
      </c>
      <c r="E157" s="31" t="s">
        <v>672</v>
      </c>
      <c r="F157" s="31" t="s">
        <v>401</v>
      </c>
      <c r="G157" s="31">
        <v>5</v>
      </c>
      <c r="H157" s="30" t="s">
        <v>685</v>
      </c>
      <c r="I157" s="43" t="s">
        <v>730</v>
      </c>
      <c r="K157" s="63"/>
      <c r="L157" s="64"/>
      <c r="M157" s="64"/>
      <c r="N157" s="64"/>
      <c r="O157" s="65"/>
      <c r="P157" s="64"/>
      <c r="Q157" s="64"/>
      <c r="R157" s="64"/>
      <c r="S157" s="64"/>
      <c r="T157" s="64"/>
      <c r="U157" s="64"/>
      <c r="V157" s="64"/>
    </row>
    <row r="158" spans="2:22" ht="15" customHeight="1">
      <c r="B158" s="29">
        <v>45782</v>
      </c>
      <c r="C158" s="514" t="s">
        <v>747</v>
      </c>
      <c r="D158" s="30" t="s">
        <v>501</v>
      </c>
      <c r="E158" s="31" t="s">
        <v>696</v>
      </c>
      <c r="F158" s="31" t="s">
        <v>502</v>
      </c>
      <c r="G158" s="31">
        <v>3</v>
      </c>
      <c r="H158" s="897" t="s">
        <v>685</v>
      </c>
      <c r="I158" s="884" t="s">
        <v>759</v>
      </c>
      <c r="K158" s="63"/>
      <c r="L158" s="64"/>
      <c r="M158" s="64"/>
      <c r="N158" s="64"/>
      <c r="O158" s="65"/>
      <c r="P158" s="64"/>
      <c r="Q158" s="64"/>
      <c r="R158" s="64"/>
      <c r="S158" s="64"/>
      <c r="T158" s="64"/>
      <c r="U158" s="64"/>
      <c r="V158" s="64"/>
    </row>
    <row r="159" spans="2:22" ht="15" customHeight="1">
      <c r="B159" s="29">
        <v>45782</v>
      </c>
      <c r="C159" s="514" t="s">
        <v>747</v>
      </c>
      <c r="D159" s="30" t="s">
        <v>467</v>
      </c>
      <c r="E159" s="31" t="s">
        <v>702</v>
      </c>
      <c r="F159" s="31" t="s">
        <v>502</v>
      </c>
      <c r="G159" s="31">
        <v>4</v>
      </c>
      <c r="H159" s="897" t="s">
        <v>685</v>
      </c>
      <c r="I159" s="884" t="s">
        <v>759</v>
      </c>
      <c r="K159" s="63"/>
      <c r="L159" s="64"/>
      <c r="M159" s="64"/>
      <c r="N159" s="64"/>
      <c r="O159" s="65"/>
      <c r="P159" s="64"/>
      <c r="Q159" s="64"/>
      <c r="R159" s="64"/>
      <c r="S159" s="64"/>
      <c r="T159" s="64"/>
      <c r="U159" s="64"/>
      <c r="V159" s="64"/>
    </row>
    <row r="160" spans="2:22" ht="15" customHeight="1">
      <c r="B160" s="29">
        <v>45782</v>
      </c>
      <c r="C160" s="514" t="s">
        <v>747</v>
      </c>
      <c r="D160" s="30" t="s">
        <v>476</v>
      </c>
      <c r="E160" s="31" t="s">
        <v>681</v>
      </c>
      <c r="F160" s="31" t="s">
        <v>502</v>
      </c>
      <c r="G160" s="31">
        <v>5</v>
      </c>
      <c r="H160" s="897" t="s">
        <v>685</v>
      </c>
      <c r="I160" s="884" t="s">
        <v>759</v>
      </c>
    </row>
    <row r="161" spans="2:9" ht="15" customHeight="1">
      <c r="B161" s="29">
        <v>45782</v>
      </c>
      <c r="C161" s="514" t="s">
        <v>747</v>
      </c>
      <c r="D161" s="30" t="s">
        <v>468</v>
      </c>
      <c r="E161" s="31" t="s">
        <v>734</v>
      </c>
      <c r="F161" s="31" t="s">
        <v>440</v>
      </c>
      <c r="G161" s="31">
        <v>1</v>
      </c>
      <c r="H161" s="897" t="s">
        <v>685</v>
      </c>
      <c r="I161" s="883" t="s">
        <v>686</v>
      </c>
    </row>
    <row r="162" spans="2:9" ht="16">
      <c r="B162" s="29">
        <v>45782</v>
      </c>
      <c r="C162" s="514" t="s">
        <v>747</v>
      </c>
      <c r="D162" s="889" t="s">
        <v>547</v>
      </c>
      <c r="E162" s="31" t="s">
        <v>727</v>
      </c>
      <c r="F162" s="31" t="s">
        <v>507</v>
      </c>
      <c r="G162" s="31">
        <v>5</v>
      </c>
      <c r="H162" s="896" t="s">
        <v>689</v>
      </c>
      <c r="I162" s="884" t="s">
        <v>744</v>
      </c>
    </row>
    <row r="163" spans="2:9" ht="16">
      <c r="B163" s="29">
        <v>45782</v>
      </c>
      <c r="C163" s="514" t="s">
        <v>747</v>
      </c>
      <c r="D163" s="889" t="s">
        <v>506</v>
      </c>
      <c r="E163" s="31" t="s">
        <v>687</v>
      </c>
      <c r="F163" s="31" t="s">
        <v>507</v>
      </c>
      <c r="G163" s="31">
        <v>5</v>
      </c>
      <c r="H163" s="896" t="s">
        <v>689</v>
      </c>
      <c r="I163" s="884" t="s">
        <v>744</v>
      </c>
    </row>
    <row r="164" spans="2:9" ht="16">
      <c r="B164" s="29">
        <v>45782</v>
      </c>
      <c r="C164" s="514" t="s">
        <v>747</v>
      </c>
      <c r="D164" s="889" t="s">
        <v>468</v>
      </c>
      <c r="E164" s="31" t="s">
        <v>734</v>
      </c>
      <c r="F164" s="31" t="s">
        <v>507</v>
      </c>
      <c r="G164" s="31">
        <v>10</v>
      </c>
      <c r="H164" s="896" t="s">
        <v>689</v>
      </c>
      <c r="I164" s="884" t="s">
        <v>744</v>
      </c>
    </row>
    <row r="165" spans="2:9">
      <c r="B165" s="29">
        <v>45782</v>
      </c>
      <c r="C165" s="514" t="s">
        <v>747</v>
      </c>
      <c r="D165" s="30" t="s">
        <v>553</v>
      </c>
      <c r="E165" s="31" t="s">
        <v>760</v>
      </c>
      <c r="F165" s="31" t="s">
        <v>507</v>
      </c>
      <c r="G165" s="31">
        <v>10</v>
      </c>
      <c r="H165" s="896" t="s">
        <v>689</v>
      </c>
      <c r="I165" s="884" t="s">
        <v>744</v>
      </c>
    </row>
    <row r="166" spans="2:9">
      <c r="B166" s="29">
        <v>45782</v>
      </c>
      <c r="C166" s="514" t="s">
        <v>747</v>
      </c>
      <c r="D166" s="30" t="s">
        <v>488</v>
      </c>
      <c r="E166" s="31" t="s">
        <v>761</v>
      </c>
      <c r="F166" s="31" t="s">
        <v>507</v>
      </c>
      <c r="G166" s="31">
        <v>5</v>
      </c>
      <c r="H166" s="896" t="s">
        <v>689</v>
      </c>
      <c r="I166" s="884" t="s">
        <v>744</v>
      </c>
    </row>
    <row r="167" spans="2:9">
      <c r="B167" s="29">
        <v>45782</v>
      </c>
      <c r="C167" s="514" t="s">
        <v>747</v>
      </c>
      <c r="D167" s="30" t="s">
        <v>494</v>
      </c>
      <c r="E167" s="31" t="s">
        <v>587</v>
      </c>
      <c r="F167" s="31" t="s">
        <v>507</v>
      </c>
      <c r="G167" s="31">
        <v>30</v>
      </c>
      <c r="H167" s="896" t="s">
        <v>689</v>
      </c>
      <c r="I167" s="884" t="s">
        <v>744</v>
      </c>
    </row>
    <row r="168" spans="2:9">
      <c r="B168" s="29">
        <v>45782</v>
      </c>
      <c r="C168" s="514" t="s">
        <v>747</v>
      </c>
      <c r="D168" s="30" t="s">
        <v>395</v>
      </c>
      <c r="E168" s="31" t="s">
        <v>762</v>
      </c>
      <c r="F168" s="31" t="s">
        <v>507</v>
      </c>
      <c r="G168" s="31">
        <v>5</v>
      </c>
      <c r="H168" s="896" t="s">
        <v>689</v>
      </c>
      <c r="I168" s="884" t="s">
        <v>744</v>
      </c>
    </row>
    <row r="169" spans="2:9">
      <c r="B169" s="29">
        <v>45782</v>
      </c>
      <c r="C169" s="514" t="s">
        <v>747</v>
      </c>
      <c r="D169" s="30" t="s">
        <v>415</v>
      </c>
      <c r="E169" s="31" t="s">
        <v>659</v>
      </c>
      <c r="F169" s="31" t="s">
        <v>507</v>
      </c>
      <c r="G169" s="31">
        <v>3</v>
      </c>
      <c r="H169" s="896" t="s">
        <v>689</v>
      </c>
      <c r="I169" s="884" t="s">
        <v>744</v>
      </c>
    </row>
    <row r="170" spans="2:9">
      <c r="B170" s="29">
        <v>45782</v>
      </c>
      <c r="C170" s="514" t="s">
        <v>747</v>
      </c>
      <c r="D170" s="30" t="s">
        <v>504</v>
      </c>
      <c r="E170" s="31" t="s">
        <v>672</v>
      </c>
      <c r="F170" s="31" t="s">
        <v>507</v>
      </c>
      <c r="G170" s="31">
        <v>5</v>
      </c>
      <c r="H170" s="896" t="s">
        <v>689</v>
      </c>
      <c r="I170" s="884" t="s">
        <v>744</v>
      </c>
    </row>
    <row r="171" spans="2:9">
      <c r="B171" s="29">
        <v>45782</v>
      </c>
      <c r="C171" s="514" t="s">
        <v>747</v>
      </c>
      <c r="D171" s="30" t="s">
        <v>432</v>
      </c>
      <c r="E171" s="31" t="s">
        <v>693</v>
      </c>
      <c r="F171" s="31" t="s">
        <v>507</v>
      </c>
      <c r="G171" s="31">
        <v>1</v>
      </c>
      <c r="H171" s="896" t="s">
        <v>689</v>
      </c>
      <c r="I171" s="884" t="s">
        <v>744</v>
      </c>
    </row>
    <row r="172" spans="2:9">
      <c r="B172" s="29">
        <v>45782</v>
      </c>
      <c r="C172" s="514" t="s">
        <v>747</v>
      </c>
      <c r="D172" s="30" t="s">
        <v>597</v>
      </c>
      <c r="E172" s="31" t="s">
        <v>724</v>
      </c>
      <c r="F172" s="31" t="s">
        <v>507</v>
      </c>
      <c r="G172" s="31">
        <v>1</v>
      </c>
      <c r="H172" s="896" t="s">
        <v>689</v>
      </c>
      <c r="I172" s="884" t="s">
        <v>744</v>
      </c>
    </row>
    <row r="173" spans="2:9">
      <c r="B173" s="29">
        <v>45782</v>
      </c>
      <c r="C173" s="514" t="s">
        <v>747</v>
      </c>
      <c r="D173" s="30" t="s">
        <v>501</v>
      </c>
      <c r="E173" s="31" t="s">
        <v>696</v>
      </c>
      <c r="F173" s="31" t="s">
        <v>507</v>
      </c>
      <c r="G173" s="31">
        <v>40</v>
      </c>
      <c r="H173" s="896" t="s">
        <v>689</v>
      </c>
      <c r="I173" s="884" t="s">
        <v>744</v>
      </c>
    </row>
    <row r="174" spans="2:9">
      <c r="B174" s="29">
        <v>45782</v>
      </c>
      <c r="C174" s="514" t="s">
        <v>747</v>
      </c>
      <c r="D174" s="30" t="s">
        <v>397</v>
      </c>
      <c r="E174" s="31" t="s">
        <v>733</v>
      </c>
      <c r="F174" s="31" t="s">
        <v>507</v>
      </c>
      <c r="G174" s="31">
        <v>2</v>
      </c>
      <c r="H174" s="896" t="s">
        <v>689</v>
      </c>
      <c r="I174" s="884" t="s">
        <v>744</v>
      </c>
    </row>
    <row r="175" spans="2:9">
      <c r="B175" s="29">
        <v>45783</v>
      </c>
      <c r="C175" s="514" t="s">
        <v>747</v>
      </c>
      <c r="D175" s="30" t="s">
        <v>530</v>
      </c>
      <c r="E175" s="31" t="s">
        <v>763</v>
      </c>
      <c r="F175" s="31" t="s">
        <v>431</v>
      </c>
      <c r="G175" s="31">
        <v>21</v>
      </c>
      <c r="H175" s="896" t="s">
        <v>689</v>
      </c>
      <c r="I175" s="884" t="s">
        <v>744</v>
      </c>
    </row>
    <row r="176" spans="2:9">
      <c r="B176" s="29">
        <v>45783</v>
      </c>
      <c r="C176" s="514" t="s">
        <v>747</v>
      </c>
      <c r="D176" s="30" t="s">
        <v>434</v>
      </c>
      <c r="E176" s="31" t="s">
        <v>764</v>
      </c>
      <c r="F176" s="31" t="s">
        <v>431</v>
      </c>
      <c r="G176" s="31">
        <v>63</v>
      </c>
      <c r="H176" s="896" t="s">
        <v>689</v>
      </c>
      <c r="I176" s="884" t="s">
        <v>744</v>
      </c>
    </row>
    <row r="177" spans="2:9">
      <c r="B177" s="29">
        <v>45783</v>
      </c>
      <c r="C177" s="514" t="s">
        <v>747</v>
      </c>
      <c r="D177" s="30" t="s">
        <v>495</v>
      </c>
      <c r="E177" s="31" t="s">
        <v>765</v>
      </c>
      <c r="F177" s="31" t="s">
        <v>431</v>
      </c>
      <c r="G177" s="31">
        <v>10</v>
      </c>
      <c r="H177" s="896" t="s">
        <v>689</v>
      </c>
      <c r="I177" s="884" t="s">
        <v>744</v>
      </c>
    </row>
    <row r="178" spans="2:9">
      <c r="B178" s="29">
        <v>45783</v>
      </c>
      <c r="C178" s="514" t="s">
        <v>747</v>
      </c>
      <c r="D178" s="30" t="s">
        <v>470</v>
      </c>
      <c r="E178" s="31" t="s">
        <v>590</v>
      </c>
      <c r="F178" s="31" t="s">
        <v>431</v>
      </c>
      <c r="G178" s="31">
        <v>14</v>
      </c>
      <c r="H178" s="896" t="s">
        <v>689</v>
      </c>
      <c r="I178" s="884" t="s">
        <v>744</v>
      </c>
    </row>
    <row r="179" spans="2:9">
      <c r="B179" s="29">
        <v>45783</v>
      </c>
      <c r="C179" s="514" t="s">
        <v>747</v>
      </c>
      <c r="D179" s="30" t="s">
        <v>483</v>
      </c>
      <c r="E179" s="31" t="s">
        <v>753</v>
      </c>
      <c r="F179" s="31" t="s">
        <v>431</v>
      </c>
      <c r="G179" s="31">
        <v>10</v>
      </c>
      <c r="H179" s="896" t="s">
        <v>689</v>
      </c>
      <c r="I179" s="884" t="s">
        <v>744</v>
      </c>
    </row>
    <row r="180" spans="2:9">
      <c r="B180" s="29">
        <v>45783</v>
      </c>
      <c r="C180" s="514" t="s">
        <v>747</v>
      </c>
      <c r="D180" s="30" t="s">
        <v>494</v>
      </c>
      <c r="E180" s="31" t="s">
        <v>587</v>
      </c>
      <c r="F180" s="31" t="s">
        <v>431</v>
      </c>
      <c r="G180" s="31">
        <v>26</v>
      </c>
      <c r="H180" s="896" t="s">
        <v>689</v>
      </c>
      <c r="I180" s="884" t="s">
        <v>744</v>
      </c>
    </row>
    <row r="181" spans="2:9">
      <c r="B181" s="29">
        <v>45783</v>
      </c>
      <c r="C181" s="514" t="s">
        <v>747</v>
      </c>
      <c r="D181" s="30" t="s">
        <v>509</v>
      </c>
      <c r="E181" s="31" t="s">
        <v>691</v>
      </c>
      <c r="F181" s="31" t="s">
        <v>431</v>
      </c>
      <c r="G181" s="31">
        <v>5</v>
      </c>
      <c r="H181" s="896" t="s">
        <v>689</v>
      </c>
      <c r="I181" s="884" t="s">
        <v>744</v>
      </c>
    </row>
    <row r="182" spans="2:9">
      <c r="B182" s="29">
        <v>45783</v>
      </c>
      <c r="C182" s="514" t="s">
        <v>747</v>
      </c>
      <c r="D182" s="30" t="s">
        <v>415</v>
      </c>
      <c r="E182" s="31" t="s">
        <v>659</v>
      </c>
      <c r="F182" s="31" t="s">
        <v>431</v>
      </c>
      <c r="G182" s="31">
        <v>10</v>
      </c>
      <c r="H182" s="896" t="s">
        <v>689</v>
      </c>
      <c r="I182" s="884" t="s">
        <v>744</v>
      </c>
    </row>
    <row r="183" spans="2:9">
      <c r="B183" s="29">
        <v>45783</v>
      </c>
      <c r="C183" s="514" t="s">
        <v>747</v>
      </c>
      <c r="D183" s="30" t="s">
        <v>497</v>
      </c>
      <c r="E183" s="31" t="s">
        <v>692</v>
      </c>
      <c r="F183" s="31" t="s">
        <v>431</v>
      </c>
      <c r="G183" s="31">
        <v>10</v>
      </c>
      <c r="H183" s="896" t="s">
        <v>689</v>
      </c>
      <c r="I183" s="884" t="s">
        <v>744</v>
      </c>
    </row>
    <row r="184" spans="2:9">
      <c r="B184" s="29">
        <v>45783</v>
      </c>
      <c r="C184" s="514" t="s">
        <v>747</v>
      </c>
      <c r="D184" s="30" t="s">
        <v>432</v>
      </c>
      <c r="E184" s="31" t="s">
        <v>693</v>
      </c>
      <c r="F184" s="31" t="s">
        <v>431</v>
      </c>
      <c r="G184" s="31">
        <v>2</v>
      </c>
      <c r="H184" s="896" t="s">
        <v>689</v>
      </c>
      <c r="I184" s="884" t="s">
        <v>744</v>
      </c>
    </row>
    <row r="185" spans="2:9">
      <c r="B185" s="29">
        <v>45783</v>
      </c>
      <c r="C185" s="514" t="s">
        <v>747</v>
      </c>
      <c r="D185" s="30" t="s">
        <v>478</v>
      </c>
      <c r="E185" s="31" t="s">
        <v>700</v>
      </c>
      <c r="F185" s="31" t="s">
        <v>431</v>
      </c>
      <c r="G185" s="31">
        <v>1</v>
      </c>
      <c r="H185" s="896" t="s">
        <v>689</v>
      </c>
      <c r="I185" s="884" t="s">
        <v>744</v>
      </c>
    </row>
    <row r="186" spans="2:9">
      <c r="B186" s="29">
        <v>45783</v>
      </c>
      <c r="C186" s="514" t="s">
        <v>747</v>
      </c>
      <c r="D186" s="30" t="s">
        <v>479</v>
      </c>
      <c r="E186" s="31" t="s">
        <v>745</v>
      </c>
      <c r="F186" s="31" t="s">
        <v>431</v>
      </c>
      <c r="G186" s="31">
        <v>2</v>
      </c>
      <c r="H186" s="896" t="s">
        <v>689</v>
      </c>
      <c r="I186" s="884" t="s">
        <v>744</v>
      </c>
    </row>
    <row r="187" spans="2:9">
      <c r="B187" s="29">
        <v>45783</v>
      </c>
      <c r="C187" s="514" t="s">
        <v>747</v>
      </c>
      <c r="D187" s="30" t="s">
        <v>436</v>
      </c>
      <c r="E187" s="31" t="s">
        <v>766</v>
      </c>
      <c r="F187" s="31" t="s">
        <v>431</v>
      </c>
      <c r="G187" s="31">
        <v>1</v>
      </c>
      <c r="H187" s="896" t="s">
        <v>689</v>
      </c>
      <c r="I187" s="884" t="s">
        <v>744</v>
      </c>
    </row>
    <row r="188" spans="2:9" ht="15" customHeight="1">
      <c r="B188" s="29">
        <v>45784</v>
      </c>
      <c r="C188" s="514" t="s">
        <v>747</v>
      </c>
      <c r="D188" s="30" t="s">
        <v>564</v>
      </c>
      <c r="E188" s="31" t="s">
        <v>667</v>
      </c>
      <c r="F188" s="31" t="s">
        <v>767</v>
      </c>
      <c r="G188" s="31">
        <v>3</v>
      </c>
      <c r="H188" s="30" t="s">
        <v>344</v>
      </c>
      <c r="I188" s="43" t="s">
        <v>768</v>
      </c>
    </row>
    <row r="189" spans="2:9" ht="15" customHeight="1">
      <c r="B189" s="29">
        <v>45784</v>
      </c>
      <c r="C189" s="514" t="s">
        <v>747</v>
      </c>
      <c r="D189" s="30" t="s">
        <v>396</v>
      </c>
      <c r="E189" s="31" t="s">
        <v>703</v>
      </c>
      <c r="F189" s="31" t="s">
        <v>767</v>
      </c>
      <c r="G189" s="31">
        <v>1</v>
      </c>
      <c r="H189" s="897" t="s">
        <v>685</v>
      </c>
      <c r="I189" s="43" t="s">
        <v>686</v>
      </c>
    </row>
    <row r="190" spans="2:9">
      <c r="B190" s="29">
        <v>45784</v>
      </c>
      <c r="C190" s="514" t="s">
        <v>747</v>
      </c>
      <c r="D190" s="30" t="s">
        <v>411</v>
      </c>
      <c r="E190" s="31" t="s">
        <v>733</v>
      </c>
      <c r="F190" s="31" t="s">
        <v>769</v>
      </c>
      <c r="G190" s="31">
        <v>1</v>
      </c>
      <c r="H190" s="897" t="s">
        <v>718</v>
      </c>
      <c r="I190" s="43" t="s">
        <v>770</v>
      </c>
    </row>
    <row r="191" spans="2:9">
      <c r="B191" s="29">
        <v>45784</v>
      </c>
      <c r="C191" s="514" t="s">
        <v>747</v>
      </c>
      <c r="D191" s="30" t="s">
        <v>497</v>
      </c>
      <c r="E191" s="31" t="s">
        <v>692</v>
      </c>
      <c r="F191" s="31" t="s">
        <v>713</v>
      </c>
      <c r="G191" s="31">
        <v>5</v>
      </c>
      <c r="H191" s="897" t="s">
        <v>685</v>
      </c>
      <c r="I191" s="43" t="s">
        <v>686</v>
      </c>
    </row>
    <row r="192" spans="2:9">
      <c r="B192" s="29">
        <v>45784</v>
      </c>
      <c r="C192" s="514" t="s">
        <v>747</v>
      </c>
      <c r="D192" s="30" t="s">
        <v>470</v>
      </c>
      <c r="E192" s="31" t="s">
        <v>590</v>
      </c>
      <c r="F192" s="31" t="s">
        <v>496</v>
      </c>
      <c r="G192" s="31">
        <v>17</v>
      </c>
      <c r="H192" s="30" t="s">
        <v>344</v>
      </c>
      <c r="I192" s="43" t="s">
        <v>771</v>
      </c>
    </row>
    <row r="193" spans="2:9">
      <c r="B193" s="29">
        <v>45784</v>
      </c>
      <c r="C193" s="514" t="s">
        <v>747</v>
      </c>
      <c r="D193" s="30" t="s">
        <v>476</v>
      </c>
      <c r="E193" s="31" t="s">
        <v>681</v>
      </c>
      <c r="F193" s="31" t="s">
        <v>772</v>
      </c>
      <c r="G193" s="31">
        <v>1</v>
      </c>
      <c r="H193" s="897" t="s">
        <v>718</v>
      </c>
      <c r="I193" s="43" t="s">
        <v>770</v>
      </c>
    </row>
    <row r="194" spans="2:9">
      <c r="B194" s="29">
        <v>45784</v>
      </c>
      <c r="C194" s="514" t="s">
        <v>747</v>
      </c>
      <c r="D194" s="30" t="s">
        <v>547</v>
      </c>
      <c r="E194" s="31" t="s">
        <v>727</v>
      </c>
      <c r="F194" s="31" t="s">
        <v>581</v>
      </c>
      <c r="G194" s="31">
        <v>4</v>
      </c>
      <c r="H194" s="30" t="s">
        <v>685</v>
      </c>
      <c r="I194" s="43" t="s">
        <v>730</v>
      </c>
    </row>
    <row r="195" spans="2:9">
      <c r="B195" s="29">
        <v>45784</v>
      </c>
      <c r="C195" s="514" t="s">
        <v>747</v>
      </c>
      <c r="D195" s="30" t="s">
        <v>506</v>
      </c>
      <c r="E195" s="31" t="s">
        <v>687</v>
      </c>
      <c r="F195" s="31" t="s">
        <v>581</v>
      </c>
      <c r="G195" s="31">
        <v>1</v>
      </c>
      <c r="H195" s="30" t="s">
        <v>685</v>
      </c>
      <c r="I195" s="43" t="s">
        <v>730</v>
      </c>
    </row>
    <row r="196" spans="2:9">
      <c r="B196" s="29">
        <v>45784</v>
      </c>
      <c r="C196" s="514" t="s">
        <v>747</v>
      </c>
      <c r="D196" s="30" t="s">
        <v>494</v>
      </c>
      <c r="E196" s="31" t="s">
        <v>587</v>
      </c>
      <c r="F196" s="31" t="s">
        <v>581</v>
      </c>
      <c r="G196" s="31">
        <v>18</v>
      </c>
      <c r="H196" s="30" t="s">
        <v>685</v>
      </c>
      <c r="I196" s="43" t="s">
        <v>730</v>
      </c>
    </row>
    <row r="197" spans="2:9">
      <c r="B197" s="29">
        <v>45784</v>
      </c>
      <c r="C197" s="514" t="s">
        <v>747</v>
      </c>
      <c r="D197" s="30" t="s">
        <v>509</v>
      </c>
      <c r="E197" s="31" t="s">
        <v>691</v>
      </c>
      <c r="F197" s="31" t="s">
        <v>581</v>
      </c>
      <c r="G197" s="31">
        <v>3</v>
      </c>
      <c r="H197" s="30" t="s">
        <v>685</v>
      </c>
      <c r="I197" s="43" t="s">
        <v>730</v>
      </c>
    </row>
    <row r="198" spans="2:9">
      <c r="B198" s="29">
        <v>45784</v>
      </c>
      <c r="C198" s="514" t="s">
        <v>747</v>
      </c>
      <c r="D198" s="30" t="s">
        <v>415</v>
      </c>
      <c r="E198" s="31" t="s">
        <v>659</v>
      </c>
      <c r="F198" s="31" t="s">
        <v>581</v>
      </c>
      <c r="G198" s="31">
        <v>3</v>
      </c>
      <c r="H198" s="30" t="s">
        <v>685</v>
      </c>
      <c r="I198" s="43" t="s">
        <v>730</v>
      </c>
    </row>
    <row r="199" spans="2:9">
      <c r="B199" s="29">
        <v>45784</v>
      </c>
      <c r="C199" s="514" t="s">
        <v>747</v>
      </c>
      <c r="D199" s="30" t="s">
        <v>497</v>
      </c>
      <c r="E199" s="31" t="s">
        <v>692</v>
      </c>
      <c r="F199" s="31" t="s">
        <v>581</v>
      </c>
      <c r="G199" s="31">
        <v>3</v>
      </c>
      <c r="H199" s="30" t="s">
        <v>685</v>
      </c>
      <c r="I199" s="43" t="s">
        <v>730</v>
      </c>
    </row>
    <row r="200" spans="2:9">
      <c r="B200" s="29">
        <v>45784</v>
      </c>
      <c r="C200" s="514" t="s">
        <v>747</v>
      </c>
      <c r="D200" s="30" t="s">
        <v>504</v>
      </c>
      <c r="E200" s="31" t="s">
        <v>672</v>
      </c>
      <c r="F200" s="31" t="s">
        <v>581</v>
      </c>
      <c r="G200" s="31">
        <v>5</v>
      </c>
      <c r="H200" s="30" t="s">
        <v>685</v>
      </c>
      <c r="I200" s="43" t="s">
        <v>730</v>
      </c>
    </row>
    <row r="201" spans="2:9">
      <c r="B201" s="29">
        <v>45784</v>
      </c>
      <c r="C201" s="514" t="s">
        <v>747</v>
      </c>
      <c r="D201" s="30" t="s">
        <v>430</v>
      </c>
      <c r="E201" s="31" t="s">
        <v>723</v>
      </c>
      <c r="F201" s="31" t="s">
        <v>581</v>
      </c>
      <c r="G201" s="31">
        <v>1</v>
      </c>
      <c r="H201" s="30" t="s">
        <v>685</v>
      </c>
      <c r="I201" s="43" t="s">
        <v>730</v>
      </c>
    </row>
    <row r="202" spans="2:9">
      <c r="B202" s="29">
        <v>45784</v>
      </c>
      <c r="C202" s="514" t="s">
        <v>747</v>
      </c>
      <c r="D202" s="30" t="s">
        <v>492</v>
      </c>
      <c r="E202" s="31" t="s">
        <v>773</v>
      </c>
      <c r="F202" s="31" t="s">
        <v>581</v>
      </c>
      <c r="G202" s="31">
        <v>1</v>
      </c>
      <c r="H202" s="30" t="s">
        <v>685</v>
      </c>
      <c r="I202" s="43" t="s">
        <v>730</v>
      </c>
    </row>
    <row r="203" spans="2:9">
      <c r="B203" s="29">
        <v>45784</v>
      </c>
      <c r="C203" s="514" t="s">
        <v>747</v>
      </c>
      <c r="D203" s="30" t="s">
        <v>432</v>
      </c>
      <c r="E203" s="31" t="s">
        <v>693</v>
      </c>
      <c r="F203" s="31" t="s">
        <v>581</v>
      </c>
      <c r="G203" s="31">
        <v>1</v>
      </c>
      <c r="H203" s="30" t="s">
        <v>685</v>
      </c>
      <c r="I203" s="43" t="s">
        <v>730</v>
      </c>
    </row>
    <row r="204" spans="2:9" ht="15" customHeight="1">
      <c r="B204" s="29">
        <v>45784</v>
      </c>
      <c r="C204" s="514" t="s">
        <v>747</v>
      </c>
      <c r="D204" s="30" t="s">
        <v>522</v>
      </c>
      <c r="E204" s="31" t="s">
        <v>774</v>
      </c>
      <c r="F204" s="31" t="s">
        <v>775</v>
      </c>
      <c r="G204" s="31">
        <v>15</v>
      </c>
      <c r="H204" s="896" t="s">
        <v>689</v>
      </c>
      <c r="I204" s="898" t="s">
        <v>744</v>
      </c>
    </row>
    <row r="205" spans="2:9" ht="15" customHeight="1">
      <c r="B205" s="29">
        <v>45785</v>
      </c>
      <c r="C205" s="514" t="s">
        <v>747</v>
      </c>
      <c r="D205" s="30" t="s">
        <v>506</v>
      </c>
      <c r="E205" s="31" t="s">
        <v>687</v>
      </c>
      <c r="F205" s="31" t="s">
        <v>466</v>
      </c>
      <c r="G205" s="31">
        <v>1</v>
      </c>
      <c r="H205" s="896" t="s">
        <v>689</v>
      </c>
      <c r="I205" s="898" t="s">
        <v>776</v>
      </c>
    </row>
    <row r="206" spans="2:9" ht="15" customHeight="1">
      <c r="B206" s="29">
        <v>45785</v>
      </c>
      <c r="C206" s="514" t="s">
        <v>747</v>
      </c>
      <c r="D206" s="30" t="s">
        <v>396</v>
      </c>
      <c r="E206" s="31" t="s">
        <v>703</v>
      </c>
      <c r="F206" s="31" t="s">
        <v>465</v>
      </c>
      <c r="G206" s="31">
        <v>1</v>
      </c>
      <c r="H206" s="896" t="s">
        <v>689</v>
      </c>
      <c r="I206" s="898" t="s">
        <v>777</v>
      </c>
    </row>
    <row r="207" spans="2:9" ht="15" customHeight="1">
      <c r="B207" s="29">
        <v>45786</v>
      </c>
      <c r="C207" s="514" t="s">
        <v>747</v>
      </c>
      <c r="D207" s="30" t="s">
        <v>547</v>
      </c>
      <c r="E207" s="31" t="s">
        <v>727</v>
      </c>
      <c r="F207" s="31" t="s">
        <v>541</v>
      </c>
      <c r="G207" s="31">
        <v>17</v>
      </c>
      <c r="H207" s="897" t="s">
        <v>685</v>
      </c>
      <c r="I207" s="898" t="s">
        <v>778</v>
      </c>
    </row>
    <row r="208" spans="2:9" ht="15" customHeight="1">
      <c r="B208" s="29">
        <v>45786</v>
      </c>
      <c r="C208" s="514" t="s">
        <v>747</v>
      </c>
      <c r="D208" s="30" t="s">
        <v>506</v>
      </c>
      <c r="E208" s="31" t="s">
        <v>687</v>
      </c>
      <c r="F208" s="31" t="s">
        <v>541</v>
      </c>
      <c r="G208" s="31">
        <v>22</v>
      </c>
      <c r="H208" s="897" t="s">
        <v>685</v>
      </c>
      <c r="I208" s="898" t="s">
        <v>778</v>
      </c>
    </row>
    <row r="209" spans="2:9" ht="15" customHeight="1">
      <c r="B209" s="29">
        <v>45786</v>
      </c>
      <c r="C209" s="514" t="s">
        <v>747</v>
      </c>
      <c r="D209" s="30" t="s">
        <v>494</v>
      </c>
      <c r="E209" s="31" t="s">
        <v>587</v>
      </c>
      <c r="F209" s="31" t="s">
        <v>541</v>
      </c>
      <c r="G209" s="31">
        <v>29</v>
      </c>
      <c r="H209" s="897" t="s">
        <v>685</v>
      </c>
      <c r="I209" s="898" t="s">
        <v>778</v>
      </c>
    </row>
    <row r="210" spans="2:9" ht="15" customHeight="1">
      <c r="B210" s="29">
        <v>45786</v>
      </c>
      <c r="C210" s="514" t="s">
        <v>747</v>
      </c>
      <c r="D210" s="30" t="s">
        <v>509</v>
      </c>
      <c r="E210" s="31" t="s">
        <v>691</v>
      </c>
      <c r="F210" s="31" t="s">
        <v>541</v>
      </c>
      <c r="G210" s="31">
        <v>97</v>
      </c>
      <c r="H210" s="897" t="s">
        <v>685</v>
      </c>
      <c r="I210" s="898" t="s">
        <v>778</v>
      </c>
    </row>
    <row r="211" spans="2:9" ht="15" customHeight="1">
      <c r="B211" s="29">
        <v>45786</v>
      </c>
      <c r="C211" s="514" t="s">
        <v>747</v>
      </c>
      <c r="D211" s="30" t="s">
        <v>415</v>
      </c>
      <c r="E211" s="31" t="s">
        <v>659</v>
      </c>
      <c r="F211" s="31" t="s">
        <v>541</v>
      </c>
      <c r="G211" s="31">
        <v>9</v>
      </c>
      <c r="H211" s="897" t="s">
        <v>685</v>
      </c>
      <c r="I211" s="898" t="s">
        <v>778</v>
      </c>
    </row>
    <row r="212" spans="2:9" ht="15" customHeight="1">
      <c r="B212" s="29">
        <v>45786</v>
      </c>
      <c r="C212" s="514" t="s">
        <v>747</v>
      </c>
      <c r="D212" s="30" t="s">
        <v>497</v>
      </c>
      <c r="E212" s="31" t="s">
        <v>692</v>
      </c>
      <c r="F212" s="31" t="s">
        <v>541</v>
      </c>
      <c r="G212" s="31">
        <v>6</v>
      </c>
      <c r="H212" s="897" t="s">
        <v>685</v>
      </c>
      <c r="I212" s="898" t="s">
        <v>778</v>
      </c>
    </row>
    <row r="213" spans="2:9" ht="15" customHeight="1">
      <c r="B213" s="29">
        <v>45786</v>
      </c>
      <c r="C213" s="514" t="s">
        <v>747</v>
      </c>
      <c r="D213" s="30" t="s">
        <v>504</v>
      </c>
      <c r="E213" s="31" t="s">
        <v>672</v>
      </c>
      <c r="F213" s="31" t="s">
        <v>541</v>
      </c>
      <c r="G213" s="31">
        <v>38</v>
      </c>
      <c r="H213" s="897" t="s">
        <v>685</v>
      </c>
      <c r="I213" s="898" t="s">
        <v>778</v>
      </c>
    </row>
    <row r="214" spans="2:9" ht="15" customHeight="1">
      <c r="B214" s="29">
        <v>45786</v>
      </c>
      <c r="C214" s="514" t="s">
        <v>747</v>
      </c>
      <c r="D214" s="30" t="s">
        <v>430</v>
      </c>
      <c r="E214" s="31" t="s">
        <v>723</v>
      </c>
      <c r="F214" s="31" t="s">
        <v>541</v>
      </c>
      <c r="G214" s="31">
        <v>25</v>
      </c>
      <c r="H214" s="897" t="s">
        <v>685</v>
      </c>
      <c r="I214" s="898" t="s">
        <v>778</v>
      </c>
    </row>
    <row r="215" spans="2:9" ht="15" customHeight="1">
      <c r="B215" s="29">
        <v>45786</v>
      </c>
      <c r="C215" s="514" t="s">
        <v>747</v>
      </c>
      <c r="D215" s="30" t="s">
        <v>492</v>
      </c>
      <c r="E215" s="31" t="s">
        <v>773</v>
      </c>
      <c r="F215" s="31" t="s">
        <v>541</v>
      </c>
      <c r="G215" s="31">
        <v>18</v>
      </c>
      <c r="H215" s="897" t="s">
        <v>685</v>
      </c>
      <c r="I215" s="898" t="s">
        <v>778</v>
      </c>
    </row>
    <row r="216" spans="2:9" ht="15" customHeight="1">
      <c r="B216" s="29">
        <v>45786</v>
      </c>
      <c r="C216" s="514" t="s">
        <v>747</v>
      </c>
      <c r="D216" s="30" t="s">
        <v>432</v>
      </c>
      <c r="E216" s="31" t="s">
        <v>693</v>
      </c>
      <c r="F216" s="31" t="s">
        <v>541</v>
      </c>
      <c r="G216" s="31">
        <v>16</v>
      </c>
      <c r="H216" s="897" t="s">
        <v>685</v>
      </c>
      <c r="I216" s="898" t="s">
        <v>778</v>
      </c>
    </row>
    <row r="217" spans="2:9" ht="15" customHeight="1">
      <c r="B217" s="29">
        <v>45786</v>
      </c>
      <c r="C217" s="514" t="s">
        <v>747</v>
      </c>
      <c r="D217" s="30" t="s">
        <v>597</v>
      </c>
      <c r="E217" s="31" t="s">
        <v>724</v>
      </c>
      <c r="F217" s="31" t="s">
        <v>541</v>
      </c>
      <c r="G217" s="31">
        <v>17</v>
      </c>
      <c r="H217" s="897" t="s">
        <v>685</v>
      </c>
      <c r="I217" s="898" t="s">
        <v>778</v>
      </c>
    </row>
    <row r="218" spans="2:9" ht="15" customHeight="1">
      <c r="B218" s="29">
        <v>45789</v>
      </c>
      <c r="C218" s="514" t="s">
        <v>747</v>
      </c>
      <c r="D218" s="30" t="s">
        <v>547</v>
      </c>
      <c r="E218" s="31" t="s">
        <v>727</v>
      </c>
      <c r="F218" s="31" t="s">
        <v>704</v>
      </c>
      <c r="G218" s="31">
        <v>6</v>
      </c>
      <c r="H218" s="896" t="s">
        <v>705</v>
      </c>
      <c r="I218" s="894" t="s">
        <v>779</v>
      </c>
    </row>
    <row r="219" spans="2:9" ht="15" customHeight="1">
      <c r="B219" s="29">
        <v>45789</v>
      </c>
      <c r="C219" s="514" t="s">
        <v>747</v>
      </c>
      <c r="D219" s="30" t="s">
        <v>506</v>
      </c>
      <c r="E219" s="31" t="s">
        <v>687</v>
      </c>
      <c r="F219" s="31" t="s">
        <v>704</v>
      </c>
      <c r="G219" s="31">
        <v>6</v>
      </c>
      <c r="H219" s="896" t="s">
        <v>705</v>
      </c>
      <c r="I219" s="894" t="s">
        <v>779</v>
      </c>
    </row>
    <row r="220" spans="2:9" ht="15" customHeight="1">
      <c r="B220" s="29">
        <v>45789</v>
      </c>
      <c r="C220" s="514" t="s">
        <v>747</v>
      </c>
      <c r="D220" s="30" t="s">
        <v>494</v>
      </c>
      <c r="E220" s="31" t="s">
        <v>587</v>
      </c>
      <c r="F220" s="31" t="s">
        <v>704</v>
      </c>
      <c r="G220" s="31">
        <v>7</v>
      </c>
      <c r="H220" s="896" t="s">
        <v>705</v>
      </c>
      <c r="I220" s="894" t="s">
        <v>779</v>
      </c>
    </row>
    <row r="221" spans="2:9" ht="15" customHeight="1">
      <c r="B221" s="29">
        <v>45789</v>
      </c>
      <c r="C221" s="514" t="s">
        <v>747</v>
      </c>
      <c r="D221" s="30" t="s">
        <v>509</v>
      </c>
      <c r="E221" s="31" t="s">
        <v>691</v>
      </c>
      <c r="F221" s="31" t="s">
        <v>704</v>
      </c>
      <c r="G221" s="31">
        <v>7</v>
      </c>
      <c r="H221" s="896" t="s">
        <v>705</v>
      </c>
      <c r="I221" s="894" t="s">
        <v>779</v>
      </c>
    </row>
    <row r="222" spans="2:9" ht="15" customHeight="1">
      <c r="B222" s="29">
        <v>45789</v>
      </c>
      <c r="C222" s="514" t="s">
        <v>747</v>
      </c>
      <c r="D222" s="30" t="s">
        <v>407</v>
      </c>
      <c r="E222" s="31" t="s">
        <v>780</v>
      </c>
      <c r="F222" s="31" t="s">
        <v>704</v>
      </c>
      <c r="G222" s="31">
        <v>7</v>
      </c>
      <c r="H222" s="896" t="s">
        <v>705</v>
      </c>
      <c r="I222" s="894" t="s">
        <v>779</v>
      </c>
    </row>
    <row r="223" spans="2:9" ht="15" customHeight="1">
      <c r="B223" s="29">
        <v>45789</v>
      </c>
      <c r="C223" s="514" t="s">
        <v>747</v>
      </c>
      <c r="D223" s="30" t="s">
        <v>415</v>
      </c>
      <c r="E223" s="31" t="s">
        <v>659</v>
      </c>
      <c r="F223" s="31" t="s">
        <v>704</v>
      </c>
      <c r="G223" s="31">
        <v>3</v>
      </c>
      <c r="H223" s="896" t="s">
        <v>705</v>
      </c>
      <c r="I223" s="894" t="s">
        <v>779</v>
      </c>
    </row>
    <row r="224" spans="2:9" ht="15" customHeight="1">
      <c r="B224" s="29">
        <v>45789</v>
      </c>
      <c r="C224" s="514" t="s">
        <v>747</v>
      </c>
      <c r="D224" s="30" t="s">
        <v>497</v>
      </c>
      <c r="E224" s="31" t="s">
        <v>692</v>
      </c>
      <c r="F224" s="31" t="s">
        <v>704</v>
      </c>
      <c r="G224" s="31">
        <v>1</v>
      </c>
      <c r="H224" s="896" t="s">
        <v>705</v>
      </c>
      <c r="I224" s="894" t="s">
        <v>779</v>
      </c>
    </row>
    <row r="225" spans="2:9" ht="15" customHeight="1">
      <c r="B225" s="29">
        <v>45789</v>
      </c>
      <c r="C225" s="514" t="s">
        <v>747</v>
      </c>
      <c r="D225" s="30" t="s">
        <v>504</v>
      </c>
      <c r="E225" s="31" t="s">
        <v>672</v>
      </c>
      <c r="F225" s="31" t="s">
        <v>704</v>
      </c>
      <c r="G225" s="31">
        <v>8</v>
      </c>
      <c r="H225" s="896" t="s">
        <v>705</v>
      </c>
      <c r="I225" s="894" t="s">
        <v>779</v>
      </c>
    </row>
    <row r="226" spans="2:9" ht="15" customHeight="1">
      <c r="B226" s="29">
        <v>45789</v>
      </c>
      <c r="C226" s="514" t="s">
        <v>747</v>
      </c>
      <c r="D226" s="30" t="s">
        <v>432</v>
      </c>
      <c r="E226" s="31" t="s">
        <v>693</v>
      </c>
      <c r="F226" s="31" t="s">
        <v>704</v>
      </c>
      <c r="G226" s="31">
        <v>2</v>
      </c>
      <c r="H226" s="896" t="s">
        <v>705</v>
      </c>
      <c r="I226" s="894" t="s">
        <v>779</v>
      </c>
    </row>
    <row r="227" spans="2:9" ht="15" customHeight="1">
      <c r="B227" s="29">
        <v>45789</v>
      </c>
      <c r="C227" s="514" t="s">
        <v>747</v>
      </c>
      <c r="D227" s="30" t="s">
        <v>501</v>
      </c>
      <c r="E227" s="31" t="s">
        <v>696</v>
      </c>
      <c r="F227" s="31" t="s">
        <v>704</v>
      </c>
      <c r="G227" s="31">
        <v>11</v>
      </c>
      <c r="H227" s="896" t="s">
        <v>705</v>
      </c>
      <c r="I227" s="894" t="s">
        <v>779</v>
      </c>
    </row>
    <row r="228" spans="2:9" ht="15" customHeight="1">
      <c r="B228" s="29">
        <v>45789</v>
      </c>
      <c r="C228" s="514" t="s">
        <v>747</v>
      </c>
      <c r="D228" s="30" t="s">
        <v>476</v>
      </c>
      <c r="E228" s="31" t="s">
        <v>681</v>
      </c>
      <c r="F228" s="31" t="s">
        <v>704</v>
      </c>
      <c r="G228" s="31">
        <v>18</v>
      </c>
      <c r="H228" s="896" t="s">
        <v>705</v>
      </c>
      <c r="I228" s="894" t="s">
        <v>779</v>
      </c>
    </row>
    <row r="229" spans="2:9" ht="15" customHeight="1">
      <c r="B229" s="29">
        <v>45789</v>
      </c>
      <c r="C229" s="514" t="s">
        <v>747</v>
      </c>
      <c r="D229" s="30" t="s">
        <v>397</v>
      </c>
      <c r="E229" s="31" t="s">
        <v>733</v>
      </c>
      <c r="F229" s="31" t="s">
        <v>704</v>
      </c>
      <c r="G229" s="31">
        <v>7</v>
      </c>
      <c r="H229" s="896" t="s">
        <v>705</v>
      </c>
      <c r="I229" s="894" t="s">
        <v>779</v>
      </c>
    </row>
    <row r="230" spans="2:9" ht="15" customHeight="1">
      <c r="B230" s="29">
        <v>45789</v>
      </c>
      <c r="C230" s="514" t="s">
        <v>747</v>
      </c>
      <c r="D230" s="30" t="s">
        <v>411</v>
      </c>
      <c r="E230" s="31" t="s">
        <v>733</v>
      </c>
      <c r="F230" s="31" t="s">
        <v>704</v>
      </c>
      <c r="G230" s="31">
        <v>1</v>
      </c>
      <c r="H230" s="896" t="s">
        <v>705</v>
      </c>
      <c r="I230" s="899" t="s">
        <v>779</v>
      </c>
    </row>
    <row r="231" spans="2:9" ht="15" customHeight="1">
      <c r="B231" s="29">
        <v>45789</v>
      </c>
      <c r="C231" s="514" t="s">
        <v>747</v>
      </c>
      <c r="D231" s="30" t="s">
        <v>470</v>
      </c>
      <c r="E231" s="31" t="s">
        <v>590</v>
      </c>
      <c r="F231" s="31" t="s">
        <v>704</v>
      </c>
      <c r="G231" s="31">
        <v>33</v>
      </c>
      <c r="H231" s="896" t="s">
        <v>705</v>
      </c>
      <c r="I231" s="894" t="s">
        <v>779</v>
      </c>
    </row>
    <row r="232" spans="2:9" ht="15" customHeight="1">
      <c r="B232" s="29">
        <v>45789</v>
      </c>
      <c r="C232" s="514" t="s">
        <v>747</v>
      </c>
      <c r="D232" s="30" t="s">
        <v>564</v>
      </c>
      <c r="E232" s="31" t="s">
        <v>667</v>
      </c>
      <c r="F232" s="31" t="s">
        <v>704</v>
      </c>
      <c r="G232" s="31">
        <v>4</v>
      </c>
      <c r="H232" s="896" t="s">
        <v>705</v>
      </c>
      <c r="I232" s="894" t="s">
        <v>779</v>
      </c>
    </row>
    <row r="233" spans="2:9" ht="15" customHeight="1">
      <c r="B233" s="29">
        <v>45789</v>
      </c>
      <c r="C233" s="514" t="s">
        <v>747</v>
      </c>
      <c r="D233" s="30" t="s">
        <v>509</v>
      </c>
      <c r="E233" s="31" t="s">
        <v>691</v>
      </c>
      <c r="F233" s="31" t="s">
        <v>704</v>
      </c>
      <c r="G233" s="31">
        <v>4</v>
      </c>
      <c r="H233" s="896" t="s">
        <v>705</v>
      </c>
      <c r="I233" s="894" t="s">
        <v>779</v>
      </c>
    </row>
    <row r="234" spans="2:9" ht="15" customHeight="1">
      <c r="B234" s="29">
        <v>45789</v>
      </c>
      <c r="C234" s="514" t="s">
        <v>747</v>
      </c>
      <c r="D234" s="30" t="s">
        <v>497</v>
      </c>
      <c r="E234" s="31" t="s">
        <v>692</v>
      </c>
      <c r="F234" s="31" t="s">
        <v>704</v>
      </c>
      <c r="G234" s="31">
        <v>5</v>
      </c>
      <c r="H234" s="896" t="s">
        <v>705</v>
      </c>
      <c r="I234" s="894" t="s">
        <v>779</v>
      </c>
    </row>
    <row r="235" spans="2:9" ht="15" customHeight="1">
      <c r="B235" s="29">
        <v>45789</v>
      </c>
      <c r="C235" s="514" t="s">
        <v>747</v>
      </c>
      <c r="D235" s="30" t="s">
        <v>504</v>
      </c>
      <c r="E235" s="31" t="s">
        <v>672</v>
      </c>
      <c r="F235" s="31" t="s">
        <v>704</v>
      </c>
      <c r="G235" s="31">
        <v>4</v>
      </c>
      <c r="H235" s="896" t="s">
        <v>705</v>
      </c>
      <c r="I235" s="894" t="s">
        <v>779</v>
      </c>
    </row>
    <row r="236" spans="2:9" ht="15" customHeight="1">
      <c r="B236" s="29">
        <v>45789</v>
      </c>
      <c r="C236" s="514" t="s">
        <v>747</v>
      </c>
      <c r="D236" s="30" t="s">
        <v>432</v>
      </c>
      <c r="E236" s="31" t="s">
        <v>693</v>
      </c>
      <c r="F236" s="31" t="s">
        <v>704</v>
      </c>
      <c r="G236" s="31">
        <v>3</v>
      </c>
      <c r="H236" s="896" t="s">
        <v>705</v>
      </c>
      <c r="I236" s="894" t="s">
        <v>779</v>
      </c>
    </row>
    <row r="237" spans="2:9" ht="15" customHeight="1">
      <c r="B237" s="29">
        <v>45789</v>
      </c>
      <c r="C237" s="514" t="s">
        <v>747</v>
      </c>
      <c r="D237" s="30" t="s">
        <v>470</v>
      </c>
      <c r="E237" s="31" t="s">
        <v>590</v>
      </c>
      <c r="F237" s="31" t="s">
        <v>772</v>
      </c>
      <c r="G237" s="31">
        <v>1</v>
      </c>
      <c r="H237" s="54" t="s">
        <v>685</v>
      </c>
      <c r="I237" s="894" t="s">
        <v>737</v>
      </c>
    </row>
    <row r="238" spans="2:9" ht="15" customHeight="1">
      <c r="B238" s="29">
        <v>45789</v>
      </c>
      <c r="C238" s="514" t="s">
        <v>747</v>
      </c>
      <c r="D238" s="30" t="s">
        <v>544</v>
      </c>
      <c r="E238" s="31" t="s">
        <v>781</v>
      </c>
      <c r="F238" s="31" t="s">
        <v>782</v>
      </c>
      <c r="G238" s="31">
        <v>20</v>
      </c>
      <c r="H238" s="896" t="s">
        <v>689</v>
      </c>
      <c r="I238" s="898" t="s">
        <v>783</v>
      </c>
    </row>
    <row r="239" spans="2:9" ht="15" customHeight="1">
      <c r="B239" s="29">
        <v>45792</v>
      </c>
      <c r="C239" s="514" t="s">
        <v>747</v>
      </c>
      <c r="D239" s="30" t="s">
        <v>497</v>
      </c>
      <c r="E239" s="31" t="s">
        <v>692</v>
      </c>
      <c r="F239" s="31" t="s">
        <v>580</v>
      </c>
      <c r="G239" s="31">
        <v>8</v>
      </c>
      <c r="H239" s="900" t="s">
        <v>685</v>
      </c>
      <c r="I239" s="43" t="s">
        <v>686</v>
      </c>
    </row>
    <row r="240" spans="2:9" ht="15" customHeight="1">
      <c r="B240" s="29">
        <v>45793</v>
      </c>
      <c r="C240" s="514" t="s">
        <v>747</v>
      </c>
      <c r="D240" s="30" t="s">
        <v>494</v>
      </c>
      <c r="E240" s="31" t="s">
        <v>587</v>
      </c>
      <c r="F240" s="31" t="s">
        <v>446</v>
      </c>
      <c r="G240" s="31">
        <v>1</v>
      </c>
      <c r="H240" s="896" t="s">
        <v>689</v>
      </c>
      <c r="I240" s="898" t="s">
        <v>784</v>
      </c>
    </row>
    <row r="241" spans="2:9" ht="15" customHeight="1">
      <c r="B241" s="29">
        <v>45793</v>
      </c>
      <c r="C241" s="514" t="s">
        <v>747</v>
      </c>
      <c r="D241" s="896" t="s">
        <v>547</v>
      </c>
      <c r="E241" s="43" t="s">
        <v>727</v>
      </c>
      <c r="F241" s="43" t="s">
        <v>785</v>
      </c>
      <c r="G241" s="43">
        <v>2</v>
      </c>
      <c r="H241" s="896" t="s">
        <v>689</v>
      </c>
      <c r="I241" s="898" t="s">
        <v>786</v>
      </c>
    </row>
    <row r="242" spans="2:9" ht="15" customHeight="1">
      <c r="B242" s="29">
        <v>45793</v>
      </c>
      <c r="C242" s="514" t="s">
        <v>747</v>
      </c>
      <c r="D242" s="896" t="s">
        <v>509</v>
      </c>
      <c r="E242" s="43" t="s">
        <v>691</v>
      </c>
      <c r="F242" s="43" t="s">
        <v>785</v>
      </c>
      <c r="G242" s="43">
        <v>3</v>
      </c>
      <c r="H242" s="896" t="s">
        <v>689</v>
      </c>
      <c r="I242" s="898" t="s">
        <v>786</v>
      </c>
    </row>
    <row r="243" spans="2:9" ht="15" customHeight="1">
      <c r="B243" s="29">
        <v>45793</v>
      </c>
      <c r="C243" s="514" t="s">
        <v>747</v>
      </c>
      <c r="D243" s="896" t="s">
        <v>432</v>
      </c>
      <c r="E243" s="43" t="s">
        <v>693</v>
      </c>
      <c r="F243" s="43" t="s">
        <v>785</v>
      </c>
      <c r="G243" s="43">
        <v>1</v>
      </c>
      <c r="H243" s="896" t="s">
        <v>689</v>
      </c>
      <c r="I243" s="898" t="s">
        <v>786</v>
      </c>
    </row>
    <row r="244" spans="2:9" ht="15" customHeight="1">
      <c r="B244" s="29">
        <v>45793</v>
      </c>
      <c r="C244" s="514" t="s">
        <v>747</v>
      </c>
      <c r="D244" s="896" t="s">
        <v>501</v>
      </c>
      <c r="E244" s="43" t="s">
        <v>696</v>
      </c>
      <c r="F244" s="43" t="s">
        <v>785</v>
      </c>
      <c r="G244" s="43">
        <v>1</v>
      </c>
      <c r="H244" s="896" t="s">
        <v>689</v>
      </c>
      <c r="I244" s="898" t="s">
        <v>786</v>
      </c>
    </row>
    <row r="245" spans="2:9" ht="15" customHeight="1">
      <c r="B245" s="29">
        <v>45793</v>
      </c>
      <c r="C245" s="514" t="s">
        <v>747</v>
      </c>
      <c r="D245" s="896" t="s">
        <v>467</v>
      </c>
      <c r="E245" s="43" t="s">
        <v>702</v>
      </c>
      <c r="F245" s="43" t="s">
        <v>785</v>
      </c>
      <c r="G245" s="43">
        <v>2</v>
      </c>
      <c r="H245" s="896" t="s">
        <v>689</v>
      </c>
      <c r="I245" s="898" t="s">
        <v>786</v>
      </c>
    </row>
    <row r="246" spans="2:9" ht="15" customHeight="1">
      <c r="B246" s="29">
        <v>45793</v>
      </c>
      <c r="C246" s="514" t="s">
        <v>747</v>
      </c>
      <c r="D246" s="896" t="s">
        <v>476</v>
      </c>
      <c r="E246" s="43" t="s">
        <v>681</v>
      </c>
      <c r="F246" s="43" t="s">
        <v>785</v>
      </c>
      <c r="G246" s="43">
        <v>1</v>
      </c>
      <c r="H246" s="896" t="s">
        <v>689</v>
      </c>
      <c r="I246" s="898" t="s">
        <v>786</v>
      </c>
    </row>
    <row r="247" spans="2:9" ht="15" customHeight="1">
      <c r="B247" s="29">
        <v>45793</v>
      </c>
      <c r="C247" s="514" t="s">
        <v>747</v>
      </c>
      <c r="D247" s="896" t="s">
        <v>564</v>
      </c>
      <c r="E247" s="43" t="s">
        <v>667</v>
      </c>
      <c r="F247" s="43" t="s">
        <v>785</v>
      </c>
      <c r="G247" s="43">
        <v>2</v>
      </c>
      <c r="H247" s="896" t="s">
        <v>689</v>
      </c>
      <c r="I247" s="898" t="s">
        <v>786</v>
      </c>
    </row>
    <row r="248" spans="2:9" ht="15" customHeight="1">
      <c r="B248" s="29">
        <v>45793</v>
      </c>
      <c r="C248" s="514" t="s">
        <v>747</v>
      </c>
      <c r="D248" s="896" t="s">
        <v>494</v>
      </c>
      <c r="E248" s="43" t="s">
        <v>587</v>
      </c>
      <c r="F248" s="43" t="s">
        <v>785</v>
      </c>
      <c r="G248" s="43">
        <v>2</v>
      </c>
      <c r="H248" s="896" t="s">
        <v>689</v>
      </c>
      <c r="I248" s="898" t="s">
        <v>786</v>
      </c>
    </row>
    <row r="249" spans="2:9" ht="15" customHeight="1">
      <c r="B249" s="29">
        <v>45793</v>
      </c>
      <c r="C249" s="514" t="s">
        <v>747</v>
      </c>
      <c r="D249" s="896" t="s">
        <v>509</v>
      </c>
      <c r="E249" s="43" t="s">
        <v>691</v>
      </c>
      <c r="F249" s="43" t="s">
        <v>520</v>
      </c>
      <c r="G249" s="43">
        <v>4</v>
      </c>
      <c r="H249" s="54" t="s">
        <v>344</v>
      </c>
      <c r="I249" s="898" t="s">
        <v>787</v>
      </c>
    </row>
    <row r="250" spans="2:9" ht="15" customHeight="1">
      <c r="B250" s="29">
        <v>45793</v>
      </c>
      <c r="C250" s="514" t="s">
        <v>747</v>
      </c>
      <c r="D250" s="896" t="s">
        <v>415</v>
      </c>
      <c r="E250" s="43" t="s">
        <v>659</v>
      </c>
      <c r="F250" s="43" t="s">
        <v>520</v>
      </c>
      <c r="G250" s="43">
        <v>4</v>
      </c>
      <c r="H250" s="54" t="s">
        <v>344</v>
      </c>
      <c r="I250" s="898" t="s">
        <v>787</v>
      </c>
    </row>
    <row r="251" spans="2:9" ht="15" customHeight="1">
      <c r="B251" s="29">
        <v>45793</v>
      </c>
      <c r="C251" s="514" t="s">
        <v>747</v>
      </c>
      <c r="D251" s="896" t="s">
        <v>497</v>
      </c>
      <c r="E251" s="43" t="s">
        <v>692</v>
      </c>
      <c r="F251" s="43" t="s">
        <v>520</v>
      </c>
      <c r="G251" s="43">
        <v>4</v>
      </c>
      <c r="H251" s="54" t="s">
        <v>344</v>
      </c>
      <c r="I251" s="898" t="s">
        <v>787</v>
      </c>
    </row>
    <row r="252" spans="2:9" ht="15" customHeight="1">
      <c r="B252" s="29">
        <v>45793</v>
      </c>
      <c r="C252" s="514" t="s">
        <v>747</v>
      </c>
      <c r="D252" s="896" t="s">
        <v>432</v>
      </c>
      <c r="E252" s="43" t="s">
        <v>693</v>
      </c>
      <c r="F252" s="43" t="s">
        <v>520</v>
      </c>
      <c r="G252" s="43">
        <v>1</v>
      </c>
      <c r="H252" s="54" t="s">
        <v>344</v>
      </c>
      <c r="I252" s="898" t="s">
        <v>787</v>
      </c>
    </row>
    <row r="253" spans="2:9" ht="15" customHeight="1">
      <c r="B253" s="29">
        <v>45793</v>
      </c>
      <c r="C253" s="514" t="s">
        <v>747</v>
      </c>
      <c r="D253" s="896" t="s">
        <v>478</v>
      </c>
      <c r="E253" s="43" t="s">
        <v>700</v>
      </c>
      <c r="F253" s="43" t="s">
        <v>520</v>
      </c>
      <c r="G253" s="43">
        <v>1</v>
      </c>
      <c r="H253" s="54" t="s">
        <v>344</v>
      </c>
      <c r="I253" s="898" t="s">
        <v>787</v>
      </c>
    </row>
    <row r="254" spans="2:9" ht="15" customHeight="1">
      <c r="B254" s="29">
        <v>45793</v>
      </c>
      <c r="C254" s="514" t="s">
        <v>747</v>
      </c>
      <c r="D254" s="30" t="s">
        <v>501</v>
      </c>
      <c r="E254" s="31" t="s">
        <v>696</v>
      </c>
      <c r="F254" s="43" t="s">
        <v>520</v>
      </c>
      <c r="G254" s="31">
        <v>1</v>
      </c>
      <c r="H254" s="54" t="s">
        <v>344</v>
      </c>
      <c r="I254" s="898" t="s">
        <v>787</v>
      </c>
    </row>
    <row r="255" spans="2:9" ht="15" customHeight="1">
      <c r="B255" s="29">
        <v>45793</v>
      </c>
      <c r="C255" s="514" t="s">
        <v>747</v>
      </c>
      <c r="D255" s="30" t="s">
        <v>396</v>
      </c>
      <c r="E255" s="31" t="s">
        <v>703</v>
      </c>
      <c r="F255" s="43" t="s">
        <v>520</v>
      </c>
      <c r="G255" s="31">
        <v>1</v>
      </c>
      <c r="H255" s="54" t="s">
        <v>344</v>
      </c>
      <c r="I255" s="898" t="s">
        <v>787</v>
      </c>
    </row>
    <row r="256" spans="2:9" ht="15" customHeight="1">
      <c r="B256" s="29">
        <v>45793</v>
      </c>
      <c r="C256" s="514" t="s">
        <v>747</v>
      </c>
      <c r="D256" s="30" t="s">
        <v>470</v>
      </c>
      <c r="E256" s="31" t="s">
        <v>590</v>
      </c>
      <c r="F256" s="43" t="s">
        <v>520</v>
      </c>
      <c r="G256" s="31">
        <v>2</v>
      </c>
      <c r="H256" s="54" t="s">
        <v>344</v>
      </c>
      <c r="I256" s="898" t="s">
        <v>787</v>
      </c>
    </row>
    <row r="257" spans="2:9" ht="15" customHeight="1">
      <c r="B257" s="29">
        <v>45793</v>
      </c>
      <c r="C257" s="514" t="s">
        <v>747</v>
      </c>
      <c r="D257" s="30" t="s">
        <v>564</v>
      </c>
      <c r="E257" s="31" t="s">
        <v>667</v>
      </c>
      <c r="F257" s="43" t="s">
        <v>520</v>
      </c>
      <c r="G257" s="31">
        <v>1</v>
      </c>
      <c r="H257" s="54" t="s">
        <v>344</v>
      </c>
      <c r="I257" s="898" t="s">
        <v>787</v>
      </c>
    </row>
    <row r="258" spans="2:9" ht="15" customHeight="1">
      <c r="B258" s="29">
        <v>45793</v>
      </c>
      <c r="C258" s="514" t="s">
        <v>747</v>
      </c>
      <c r="D258" s="30" t="s">
        <v>417</v>
      </c>
      <c r="E258" s="31" t="s">
        <v>418</v>
      </c>
      <c r="F258" s="43" t="s">
        <v>520</v>
      </c>
      <c r="G258" s="31">
        <v>1</v>
      </c>
      <c r="H258" s="54" t="s">
        <v>344</v>
      </c>
      <c r="I258" s="898" t="s">
        <v>787</v>
      </c>
    </row>
    <row r="259" spans="2:9" ht="15" customHeight="1">
      <c r="B259" s="29">
        <v>45793</v>
      </c>
      <c r="C259" s="514" t="s">
        <v>747</v>
      </c>
      <c r="D259" s="30" t="s">
        <v>411</v>
      </c>
      <c r="E259" s="31" t="s">
        <v>733</v>
      </c>
      <c r="F259" s="43" t="s">
        <v>520</v>
      </c>
      <c r="G259" s="31">
        <v>1</v>
      </c>
      <c r="H259" s="54" t="s">
        <v>344</v>
      </c>
      <c r="I259" s="898" t="s">
        <v>787</v>
      </c>
    </row>
    <row r="260" spans="2:9" ht="15" customHeight="1">
      <c r="B260" s="29">
        <v>45793</v>
      </c>
      <c r="C260" s="514" t="s">
        <v>747</v>
      </c>
      <c r="D260" s="30" t="s">
        <v>476</v>
      </c>
      <c r="E260" s="31" t="s">
        <v>681</v>
      </c>
      <c r="F260" s="31" t="s">
        <v>620</v>
      </c>
      <c r="G260" s="31">
        <v>3</v>
      </c>
      <c r="H260" s="54" t="s">
        <v>685</v>
      </c>
      <c r="I260" s="884" t="s">
        <v>759</v>
      </c>
    </row>
    <row r="261" spans="2:9">
      <c r="B261" s="29">
        <v>45794</v>
      </c>
      <c r="C261" s="514" t="s">
        <v>747</v>
      </c>
      <c r="D261" s="30" t="s">
        <v>506</v>
      </c>
      <c r="E261" s="31" t="s">
        <v>687</v>
      </c>
      <c r="F261" s="31" t="s">
        <v>639</v>
      </c>
      <c r="G261" s="31">
        <v>3</v>
      </c>
      <c r="H261" s="896" t="s">
        <v>689</v>
      </c>
      <c r="I261" s="898" t="s">
        <v>744</v>
      </c>
    </row>
    <row r="262" spans="2:9">
      <c r="B262" s="29">
        <v>45794</v>
      </c>
      <c r="C262" s="514" t="s">
        <v>747</v>
      </c>
      <c r="D262" s="30" t="s">
        <v>468</v>
      </c>
      <c r="E262" s="31" t="s">
        <v>734</v>
      </c>
      <c r="F262" s="31" t="s">
        <v>639</v>
      </c>
      <c r="G262" s="31">
        <v>11</v>
      </c>
      <c r="H262" s="896" t="s">
        <v>689</v>
      </c>
      <c r="I262" s="898" t="s">
        <v>744</v>
      </c>
    </row>
    <row r="263" spans="2:9">
      <c r="B263" s="29">
        <v>45794</v>
      </c>
      <c r="C263" s="514" t="s">
        <v>747</v>
      </c>
      <c r="D263" s="30" t="s">
        <v>509</v>
      </c>
      <c r="E263" s="31" t="s">
        <v>691</v>
      </c>
      <c r="F263" s="31" t="s">
        <v>639</v>
      </c>
      <c r="G263" s="31">
        <v>7</v>
      </c>
      <c r="H263" s="896" t="s">
        <v>689</v>
      </c>
      <c r="I263" s="898" t="s">
        <v>744</v>
      </c>
    </row>
    <row r="264" spans="2:9">
      <c r="B264" s="29">
        <v>45794</v>
      </c>
      <c r="C264" s="514" t="s">
        <v>747</v>
      </c>
      <c r="D264" s="30" t="s">
        <v>497</v>
      </c>
      <c r="E264" s="31" t="s">
        <v>692</v>
      </c>
      <c r="F264" s="31" t="s">
        <v>639</v>
      </c>
      <c r="G264" s="31">
        <v>13</v>
      </c>
      <c r="H264" s="896" t="s">
        <v>689</v>
      </c>
      <c r="I264" s="898" t="s">
        <v>744</v>
      </c>
    </row>
    <row r="265" spans="2:9">
      <c r="B265" s="29">
        <v>45794</v>
      </c>
      <c r="C265" s="514" t="s">
        <v>747</v>
      </c>
      <c r="D265" s="30" t="s">
        <v>504</v>
      </c>
      <c r="E265" s="31" t="s">
        <v>672</v>
      </c>
      <c r="F265" s="31" t="s">
        <v>639</v>
      </c>
      <c r="G265" s="31">
        <v>5</v>
      </c>
      <c r="H265" s="896" t="s">
        <v>689</v>
      </c>
      <c r="I265" s="898" t="s">
        <v>744</v>
      </c>
    </row>
    <row r="266" spans="2:9">
      <c r="B266" s="29">
        <v>45794</v>
      </c>
      <c r="C266" s="514" t="s">
        <v>747</v>
      </c>
      <c r="D266" s="30" t="s">
        <v>432</v>
      </c>
      <c r="E266" s="31" t="s">
        <v>693</v>
      </c>
      <c r="F266" s="31" t="s">
        <v>639</v>
      </c>
      <c r="G266" s="31">
        <v>9</v>
      </c>
      <c r="H266" s="896" t="s">
        <v>689</v>
      </c>
      <c r="I266" s="898" t="s">
        <v>744</v>
      </c>
    </row>
    <row r="267" spans="2:9">
      <c r="B267" s="29">
        <v>45794</v>
      </c>
      <c r="C267" s="514" t="s">
        <v>747</v>
      </c>
      <c r="D267" s="30" t="s">
        <v>478</v>
      </c>
      <c r="E267" s="31" t="s">
        <v>700</v>
      </c>
      <c r="F267" s="31" t="s">
        <v>639</v>
      </c>
      <c r="G267" s="31">
        <v>2</v>
      </c>
      <c r="H267" s="896" t="s">
        <v>689</v>
      </c>
      <c r="I267" s="898" t="s">
        <v>744</v>
      </c>
    </row>
    <row r="268" spans="2:9">
      <c r="B268" s="29">
        <v>45794</v>
      </c>
      <c r="C268" s="514" t="s">
        <v>747</v>
      </c>
      <c r="D268" s="30" t="s">
        <v>479</v>
      </c>
      <c r="E268" s="31" t="s">
        <v>745</v>
      </c>
      <c r="F268" s="31" t="s">
        <v>639</v>
      </c>
      <c r="G268" s="31">
        <v>1</v>
      </c>
      <c r="H268" s="896" t="s">
        <v>689</v>
      </c>
      <c r="I268" s="898" t="s">
        <v>744</v>
      </c>
    </row>
    <row r="269" spans="2:9">
      <c r="B269" s="29">
        <v>45794</v>
      </c>
      <c r="C269" s="514" t="s">
        <v>747</v>
      </c>
      <c r="D269" s="30" t="s">
        <v>408</v>
      </c>
      <c r="E269" s="31" t="s">
        <v>788</v>
      </c>
      <c r="F269" s="31" t="s">
        <v>639</v>
      </c>
      <c r="G269" s="31">
        <v>1</v>
      </c>
      <c r="H269" s="896" t="s">
        <v>689</v>
      </c>
      <c r="I269" s="898" t="s">
        <v>744</v>
      </c>
    </row>
    <row r="270" spans="2:9">
      <c r="B270" s="29">
        <v>45794</v>
      </c>
      <c r="C270" s="514" t="s">
        <v>747</v>
      </c>
      <c r="D270" s="30" t="s">
        <v>501</v>
      </c>
      <c r="E270" s="31" t="s">
        <v>696</v>
      </c>
      <c r="F270" s="31" t="s">
        <v>639</v>
      </c>
      <c r="G270" s="31">
        <v>34</v>
      </c>
      <c r="H270" s="896" t="s">
        <v>689</v>
      </c>
      <c r="I270" s="898" t="s">
        <v>744</v>
      </c>
    </row>
    <row r="271" spans="2:9">
      <c r="B271" s="29">
        <v>45794</v>
      </c>
      <c r="C271" s="514" t="s">
        <v>747</v>
      </c>
      <c r="D271" s="30" t="s">
        <v>396</v>
      </c>
      <c r="E271" s="31" t="s">
        <v>703</v>
      </c>
      <c r="F271" s="31" t="s">
        <v>639</v>
      </c>
      <c r="G271" s="31">
        <v>2</v>
      </c>
      <c r="H271" s="896" t="s">
        <v>689</v>
      </c>
      <c r="I271" s="898" t="s">
        <v>744</v>
      </c>
    </row>
    <row r="272" spans="2:9">
      <c r="B272" s="29">
        <v>45794</v>
      </c>
      <c r="C272" s="514" t="s">
        <v>747</v>
      </c>
      <c r="D272" s="30" t="s">
        <v>544</v>
      </c>
      <c r="E272" s="31" t="s">
        <v>781</v>
      </c>
      <c r="F272" s="31" t="s">
        <v>474</v>
      </c>
      <c r="G272" s="31">
        <v>5</v>
      </c>
      <c r="H272" s="54" t="s">
        <v>685</v>
      </c>
      <c r="I272" s="898" t="s">
        <v>789</v>
      </c>
    </row>
    <row r="273" spans="2:9">
      <c r="B273" s="29">
        <v>45794</v>
      </c>
      <c r="C273" s="514" t="s">
        <v>747</v>
      </c>
      <c r="D273" s="30" t="s">
        <v>525</v>
      </c>
      <c r="E273" s="31" t="s">
        <v>790</v>
      </c>
      <c r="F273" s="31" t="s">
        <v>474</v>
      </c>
      <c r="G273" s="31">
        <v>10</v>
      </c>
      <c r="H273" s="54" t="s">
        <v>685</v>
      </c>
      <c r="I273" s="898" t="s">
        <v>789</v>
      </c>
    </row>
    <row r="274" spans="2:9">
      <c r="B274" s="29">
        <v>45794</v>
      </c>
      <c r="C274" s="514" t="s">
        <v>747</v>
      </c>
      <c r="D274" s="30" t="s">
        <v>470</v>
      </c>
      <c r="E274" s="31" t="s">
        <v>590</v>
      </c>
      <c r="F274" s="31" t="s">
        <v>639</v>
      </c>
      <c r="G274" s="31">
        <v>1</v>
      </c>
      <c r="H274" s="896" t="s">
        <v>689</v>
      </c>
      <c r="I274" s="898" t="s">
        <v>744</v>
      </c>
    </row>
    <row r="275" spans="2:9">
      <c r="B275" s="29">
        <v>45794</v>
      </c>
      <c r="C275" s="514" t="s">
        <v>747</v>
      </c>
      <c r="D275" s="30" t="s">
        <v>564</v>
      </c>
      <c r="E275" s="31" t="s">
        <v>667</v>
      </c>
      <c r="F275" s="31" t="s">
        <v>639</v>
      </c>
      <c r="G275" s="31">
        <v>1</v>
      </c>
      <c r="H275" s="896" t="s">
        <v>689</v>
      </c>
      <c r="I275" s="898" t="s">
        <v>744</v>
      </c>
    </row>
    <row r="276" spans="2:9">
      <c r="B276" s="29">
        <v>45796</v>
      </c>
      <c r="C276" s="514" t="s">
        <v>747</v>
      </c>
      <c r="D276" s="30" t="s">
        <v>473</v>
      </c>
      <c r="E276" s="31" t="s">
        <v>741</v>
      </c>
      <c r="F276" s="31" t="s">
        <v>791</v>
      </c>
      <c r="G276" s="31">
        <v>1</v>
      </c>
      <c r="H276" s="896" t="s">
        <v>689</v>
      </c>
      <c r="I276" s="898" t="s">
        <v>792</v>
      </c>
    </row>
    <row r="277" spans="2:9">
      <c r="B277" s="29">
        <v>45796</v>
      </c>
      <c r="C277" s="514" t="s">
        <v>747</v>
      </c>
      <c r="D277" s="30" t="s">
        <v>564</v>
      </c>
      <c r="E277" s="31" t="s">
        <v>667</v>
      </c>
      <c r="F277" s="31" t="s">
        <v>791</v>
      </c>
      <c r="G277" s="31">
        <v>1</v>
      </c>
      <c r="H277" s="896" t="s">
        <v>689</v>
      </c>
      <c r="I277" s="898" t="s">
        <v>792</v>
      </c>
    </row>
    <row r="278" spans="2:9">
      <c r="B278" s="29">
        <v>45796</v>
      </c>
      <c r="C278" s="514" t="s">
        <v>747</v>
      </c>
      <c r="D278" s="30" t="s">
        <v>509</v>
      </c>
      <c r="E278" s="31" t="s">
        <v>691</v>
      </c>
      <c r="F278" s="31" t="s">
        <v>510</v>
      </c>
      <c r="G278" s="31">
        <v>1</v>
      </c>
      <c r="H278" s="54" t="s">
        <v>685</v>
      </c>
      <c r="I278" s="898" t="s">
        <v>793</v>
      </c>
    </row>
    <row r="279" spans="2:9">
      <c r="B279" s="29">
        <v>45796</v>
      </c>
      <c r="C279" s="514" t="s">
        <v>747</v>
      </c>
      <c r="D279" s="30" t="s">
        <v>497</v>
      </c>
      <c r="E279" s="31" t="s">
        <v>692</v>
      </c>
      <c r="F279" s="31" t="s">
        <v>516</v>
      </c>
      <c r="G279" s="31">
        <v>3</v>
      </c>
      <c r="H279" s="54" t="s">
        <v>685</v>
      </c>
      <c r="I279" s="898" t="s">
        <v>794</v>
      </c>
    </row>
    <row r="280" spans="2:9">
      <c r="B280" s="29">
        <v>45796</v>
      </c>
      <c r="C280" s="514" t="s">
        <v>747</v>
      </c>
      <c r="D280" s="30" t="s">
        <v>417</v>
      </c>
      <c r="E280" s="31" t="s">
        <v>795</v>
      </c>
      <c r="F280" s="31" t="s">
        <v>516</v>
      </c>
      <c r="G280" s="31">
        <v>1</v>
      </c>
      <c r="H280" s="54" t="s">
        <v>685</v>
      </c>
      <c r="I280" s="898" t="s">
        <v>794</v>
      </c>
    </row>
    <row r="281" spans="2:9">
      <c r="B281" s="29">
        <v>45796</v>
      </c>
      <c r="C281" s="514" t="s">
        <v>747</v>
      </c>
      <c r="D281" s="30" t="s">
        <v>432</v>
      </c>
      <c r="E281" s="31" t="s">
        <v>693</v>
      </c>
      <c r="F281" s="31" t="s">
        <v>516</v>
      </c>
      <c r="G281" s="31">
        <v>1</v>
      </c>
      <c r="H281" s="54" t="s">
        <v>685</v>
      </c>
      <c r="I281" s="898" t="s">
        <v>794</v>
      </c>
    </row>
    <row r="282" spans="2:9">
      <c r="B282" s="29">
        <v>45796</v>
      </c>
      <c r="C282" s="514" t="s">
        <v>747</v>
      </c>
      <c r="D282" s="30" t="s">
        <v>447</v>
      </c>
      <c r="E282" s="31" t="s">
        <v>796</v>
      </c>
      <c r="F282" s="31" t="s">
        <v>437</v>
      </c>
      <c r="G282" s="31">
        <v>50</v>
      </c>
      <c r="H282" s="896" t="s">
        <v>689</v>
      </c>
      <c r="I282" s="901" t="s">
        <v>797</v>
      </c>
    </row>
    <row r="283" spans="2:9">
      <c r="B283" s="29">
        <v>45796</v>
      </c>
      <c r="C283" s="514" t="s">
        <v>747</v>
      </c>
      <c r="D283" s="30" t="s">
        <v>615</v>
      </c>
      <c r="E283" s="31" t="s">
        <v>798</v>
      </c>
      <c r="F283" s="31" t="s">
        <v>538</v>
      </c>
      <c r="G283" s="31">
        <v>1</v>
      </c>
      <c r="H283" s="54" t="s">
        <v>718</v>
      </c>
      <c r="I283" s="901" t="s">
        <v>799</v>
      </c>
    </row>
    <row r="284" spans="2:9">
      <c r="B284" s="29">
        <v>45796</v>
      </c>
      <c r="C284" s="514" t="s">
        <v>747</v>
      </c>
      <c r="D284" s="30" t="s">
        <v>434</v>
      </c>
      <c r="E284" s="31" t="s">
        <v>764</v>
      </c>
      <c r="F284" s="31" t="s">
        <v>398</v>
      </c>
      <c r="G284" s="31">
        <v>14</v>
      </c>
      <c r="H284" s="54" t="s">
        <v>683</v>
      </c>
      <c r="I284" s="901" t="s">
        <v>800</v>
      </c>
    </row>
    <row r="285" spans="2:9">
      <c r="B285" s="29">
        <v>45796</v>
      </c>
      <c r="C285" s="514" t="s">
        <v>747</v>
      </c>
      <c r="D285" s="30" t="s">
        <v>564</v>
      </c>
      <c r="E285" s="31" t="s">
        <v>667</v>
      </c>
      <c r="F285" s="31" t="s">
        <v>632</v>
      </c>
      <c r="G285" s="43">
        <v>1</v>
      </c>
      <c r="H285" s="54" t="s">
        <v>685</v>
      </c>
      <c r="I285" s="901" t="s">
        <v>686</v>
      </c>
    </row>
    <row r="286" spans="2:9">
      <c r="B286" s="29">
        <v>45797</v>
      </c>
      <c r="C286" s="514" t="s">
        <v>747</v>
      </c>
      <c r="D286" s="30" t="s">
        <v>504</v>
      </c>
      <c r="E286" s="31" t="s">
        <v>672</v>
      </c>
      <c r="F286" s="31" t="s">
        <v>520</v>
      </c>
      <c r="G286" s="43">
        <v>1</v>
      </c>
      <c r="H286" s="54" t="s">
        <v>685</v>
      </c>
      <c r="I286" s="901" t="s">
        <v>801</v>
      </c>
    </row>
    <row r="287" spans="2:9">
      <c r="B287" s="29">
        <v>45797</v>
      </c>
      <c r="C287" s="514" t="s">
        <v>747</v>
      </c>
      <c r="D287" s="30" t="s">
        <v>470</v>
      </c>
      <c r="E287" s="31" t="s">
        <v>590</v>
      </c>
      <c r="F287" s="31" t="s">
        <v>648</v>
      </c>
      <c r="G287" s="43">
        <v>1</v>
      </c>
      <c r="H287" s="54" t="s">
        <v>685</v>
      </c>
      <c r="I287" s="884" t="s">
        <v>759</v>
      </c>
    </row>
    <row r="288" spans="2:9">
      <c r="B288" s="29">
        <v>45797</v>
      </c>
      <c r="C288" s="514" t="s">
        <v>747</v>
      </c>
      <c r="D288" s="30" t="s">
        <v>479</v>
      </c>
      <c r="E288" s="31" t="s">
        <v>745</v>
      </c>
      <c r="F288" s="31" t="s">
        <v>648</v>
      </c>
      <c r="G288" s="43">
        <v>1</v>
      </c>
      <c r="H288" s="54" t="s">
        <v>685</v>
      </c>
      <c r="I288" s="884" t="s">
        <v>759</v>
      </c>
    </row>
    <row r="289" spans="2:9">
      <c r="B289" s="29">
        <v>45797</v>
      </c>
      <c r="C289" s="514" t="s">
        <v>747</v>
      </c>
      <c r="D289" s="30" t="s">
        <v>547</v>
      </c>
      <c r="E289" s="31" t="s">
        <v>727</v>
      </c>
      <c r="F289" s="31" t="s">
        <v>518</v>
      </c>
      <c r="G289" s="43">
        <v>1</v>
      </c>
      <c r="H289" s="54" t="s">
        <v>685</v>
      </c>
      <c r="I289" s="884" t="s">
        <v>759</v>
      </c>
    </row>
    <row r="290" spans="2:9">
      <c r="B290" s="29">
        <v>45797</v>
      </c>
      <c r="C290" s="514" t="s">
        <v>747</v>
      </c>
      <c r="D290" s="30" t="s">
        <v>415</v>
      </c>
      <c r="E290" s="31" t="s">
        <v>659</v>
      </c>
      <c r="F290" s="31" t="s">
        <v>518</v>
      </c>
      <c r="G290" s="43">
        <v>1</v>
      </c>
      <c r="H290" s="54" t="s">
        <v>685</v>
      </c>
      <c r="I290" s="884" t="s">
        <v>759</v>
      </c>
    </row>
    <row r="291" spans="2:9">
      <c r="B291" s="29">
        <v>45798</v>
      </c>
      <c r="C291" s="514" t="s">
        <v>747</v>
      </c>
      <c r="D291" s="30" t="s">
        <v>564</v>
      </c>
      <c r="E291" s="31" t="s">
        <v>667</v>
      </c>
      <c r="F291" s="31" t="s">
        <v>802</v>
      </c>
      <c r="G291" s="31">
        <v>3</v>
      </c>
      <c r="H291" s="896" t="s">
        <v>689</v>
      </c>
      <c r="I291" s="898" t="s">
        <v>803</v>
      </c>
    </row>
    <row r="292" spans="2:9">
      <c r="B292" s="29">
        <v>45798</v>
      </c>
      <c r="C292" s="514" t="s">
        <v>747</v>
      </c>
      <c r="D292" s="30" t="s">
        <v>494</v>
      </c>
      <c r="E292" s="31" t="s">
        <v>587</v>
      </c>
      <c r="F292" s="31" t="s">
        <v>802</v>
      </c>
      <c r="G292" s="31">
        <v>5</v>
      </c>
      <c r="H292" s="896" t="s">
        <v>689</v>
      </c>
      <c r="I292" s="898" t="s">
        <v>803</v>
      </c>
    </row>
    <row r="293" spans="2:9">
      <c r="B293" s="29">
        <v>45798</v>
      </c>
      <c r="C293" s="514" t="s">
        <v>747</v>
      </c>
      <c r="D293" s="30" t="s">
        <v>509</v>
      </c>
      <c r="E293" s="31" t="s">
        <v>691</v>
      </c>
      <c r="F293" s="31" t="s">
        <v>802</v>
      </c>
      <c r="G293" s="31">
        <v>5</v>
      </c>
      <c r="H293" s="896" t="s">
        <v>689</v>
      </c>
      <c r="I293" s="898" t="s">
        <v>803</v>
      </c>
    </row>
    <row r="294" spans="2:9">
      <c r="B294" s="29">
        <v>45798</v>
      </c>
      <c r="C294" s="514" t="s">
        <v>747</v>
      </c>
      <c r="D294" s="30" t="s">
        <v>497</v>
      </c>
      <c r="E294" s="31" t="s">
        <v>692</v>
      </c>
      <c r="F294" s="31" t="s">
        <v>802</v>
      </c>
      <c r="G294" s="31">
        <v>5</v>
      </c>
      <c r="H294" s="896" t="s">
        <v>689</v>
      </c>
      <c r="I294" s="898" t="s">
        <v>803</v>
      </c>
    </row>
    <row r="295" spans="2:9">
      <c r="B295" s="29">
        <v>45798</v>
      </c>
      <c r="C295" s="514" t="s">
        <v>747</v>
      </c>
      <c r="D295" s="30" t="s">
        <v>504</v>
      </c>
      <c r="E295" s="31" t="s">
        <v>672</v>
      </c>
      <c r="F295" s="31" t="s">
        <v>802</v>
      </c>
      <c r="G295" s="31">
        <v>5</v>
      </c>
      <c r="H295" s="896" t="s">
        <v>689</v>
      </c>
      <c r="I295" s="898" t="s">
        <v>803</v>
      </c>
    </row>
    <row r="296" spans="2:9">
      <c r="B296" s="29">
        <v>45798</v>
      </c>
      <c r="C296" s="514" t="s">
        <v>747</v>
      </c>
      <c r="D296" s="30" t="s">
        <v>492</v>
      </c>
      <c r="E296" s="31" t="s">
        <v>773</v>
      </c>
      <c r="F296" s="31" t="s">
        <v>802</v>
      </c>
      <c r="G296" s="31">
        <v>3</v>
      </c>
      <c r="H296" s="896" t="s">
        <v>689</v>
      </c>
      <c r="I296" s="898" t="s">
        <v>803</v>
      </c>
    </row>
    <row r="297" spans="2:9">
      <c r="B297" s="29">
        <v>45798</v>
      </c>
      <c r="C297" s="514" t="s">
        <v>747</v>
      </c>
      <c r="D297" s="30" t="s">
        <v>432</v>
      </c>
      <c r="E297" s="31" t="s">
        <v>693</v>
      </c>
      <c r="F297" s="31" t="s">
        <v>802</v>
      </c>
      <c r="G297" s="31">
        <v>5</v>
      </c>
      <c r="H297" s="896" t="s">
        <v>689</v>
      </c>
      <c r="I297" s="898" t="s">
        <v>803</v>
      </c>
    </row>
    <row r="298" spans="2:9">
      <c r="B298" s="29">
        <v>45798</v>
      </c>
      <c r="C298" s="514" t="s">
        <v>747</v>
      </c>
      <c r="D298" s="30" t="s">
        <v>408</v>
      </c>
      <c r="E298" s="31" t="s">
        <v>788</v>
      </c>
      <c r="F298" s="31" t="s">
        <v>802</v>
      </c>
      <c r="G298" s="31">
        <v>4</v>
      </c>
      <c r="H298" s="896" t="s">
        <v>689</v>
      </c>
      <c r="I298" s="898" t="s">
        <v>803</v>
      </c>
    </row>
    <row r="299" spans="2:9">
      <c r="B299" s="29">
        <v>45798</v>
      </c>
      <c r="C299" s="514" t="s">
        <v>747</v>
      </c>
      <c r="D299" s="30" t="s">
        <v>501</v>
      </c>
      <c r="E299" s="31" t="s">
        <v>696</v>
      </c>
      <c r="F299" s="31" t="s">
        <v>802</v>
      </c>
      <c r="G299" s="31">
        <v>5</v>
      </c>
      <c r="H299" s="896" t="s">
        <v>689</v>
      </c>
      <c r="I299" s="898" t="s">
        <v>803</v>
      </c>
    </row>
    <row r="300" spans="2:9">
      <c r="B300" s="29">
        <v>45798</v>
      </c>
      <c r="C300" s="514" t="s">
        <v>747</v>
      </c>
      <c r="D300" s="30" t="s">
        <v>476</v>
      </c>
      <c r="E300" s="31" t="s">
        <v>681</v>
      </c>
      <c r="F300" s="31" t="s">
        <v>802</v>
      </c>
      <c r="G300" s="31">
        <v>3</v>
      </c>
      <c r="H300" s="896" t="s">
        <v>689</v>
      </c>
      <c r="I300" s="898" t="s">
        <v>803</v>
      </c>
    </row>
    <row r="301" spans="2:9">
      <c r="B301" s="29">
        <v>45798</v>
      </c>
      <c r="C301" s="514" t="s">
        <v>747</v>
      </c>
      <c r="D301" s="30" t="s">
        <v>564</v>
      </c>
      <c r="E301" s="31" t="s">
        <v>667</v>
      </c>
      <c r="F301" s="31" t="s">
        <v>767</v>
      </c>
      <c r="G301" s="31">
        <v>3</v>
      </c>
      <c r="H301" s="54" t="s">
        <v>685</v>
      </c>
      <c r="I301" s="901" t="s">
        <v>804</v>
      </c>
    </row>
    <row r="302" spans="2:9">
      <c r="B302" s="29">
        <v>45799</v>
      </c>
      <c r="C302" s="514" t="s">
        <v>747</v>
      </c>
      <c r="D302" s="30" t="s">
        <v>506</v>
      </c>
      <c r="E302" s="31" t="s">
        <v>687</v>
      </c>
      <c r="F302" s="31" t="s">
        <v>425</v>
      </c>
      <c r="G302" s="31">
        <v>2</v>
      </c>
      <c r="H302" s="54" t="s">
        <v>683</v>
      </c>
      <c r="I302" s="901" t="s">
        <v>805</v>
      </c>
    </row>
    <row r="303" spans="2:9">
      <c r="B303" s="29">
        <v>45799</v>
      </c>
      <c r="C303" s="514" t="s">
        <v>747</v>
      </c>
      <c r="D303" s="30" t="s">
        <v>468</v>
      </c>
      <c r="E303" s="31" t="s">
        <v>734</v>
      </c>
      <c r="F303" s="31" t="s">
        <v>425</v>
      </c>
      <c r="G303" s="31">
        <v>2</v>
      </c>
      <c r="H303" s="54" t="s">
        <v>683</v>
      </c>
      <c r="I303" s="901" t="s">
        <v>805</v>
      </c>
    </row>
    <row r="304" spans="2:9">
      <c r="B304" s="29">
        <v>45799</v>
      </c>
      <c r="C304" s="514" t="s">
        <v>747</v>
      </c>
      <c r="D304" s="30" t="s">
        <v>439</v>
      </c>
      <c r="E304" s="31" t="s">
        <v>742</v>
      </c>
      <c r="F304" s="31" t="s">
        <v>425</v>
      </c>
      <c r="G304" s="31">
        <v>2</v>
      </c>
      <c r="H304" s="54" t="s">
        <v>683</v>
      </c>
      <c r="I304" s="901" t="s">
        <v>805</v>
      </c>
    </row>
    <row r="305" spans="2:9">
      <c r="B305" s="29">
        <v>45799</v>
      </c>
      <c r="C305" s="514" t="s">
        <v>747</v>
      </c>
      <c r="D305" s="30" t="s">
        <v>564</v>
      </c>
      <c r="E305" s="31" t="s">
        <v>667</v>
      </c>
      <c r="F305" s="31" t="s">
        <v>425</v>
      </c>
      <c r="G305" s="31">
        <v>2</v>
      </c>
      <c r="H305" s="54" t="s">
        <v>683</v>
      </c>
      <c r="I305" s="901" t="s">
        <v>805</v>
      </c>
    </row>
    <row r="306" spans="2:9">
      <c r="B306" s="29">
        <v>45799</v>
      </c>
      <c r="C306" s="514" t="s">
        <v>747</v>
      </c>
      <c r="D306" s="30" t="s">
        <v>494</v>
      </c>
      <c r="E306" s="31" t="s">
        <v>587</v>
      </c>
      <c r="F306" s="31" t="s">
        <v>425</v>
      </c>
      <c r="G306" s="31">
        <v>1</v>
      </c>
      <c r="H306" s="54" t="s">
        <v>683</v>
      </c>
      <c r="I306" s="901" t="s">
        <v>805</v>
      </c>
    </row>
    <row r="307" spans="2:9">
      <c r="B307" s="29">
        <v>45799</v>
      </c>
      <c r="C307" s="514" t="s">
        <v>747</v>
      </c>
      <c r="D307" s="30" t="s">
        <v>509</v>
      </c>
      <c r="E307" s="31" t="s">
        <v>691</v>
      </c>
      <c r="F307" s="31" t="s">
        <v>425</v>
      </c>
      <c r="G307" s="31">
        <v>2</v>
      </c>
      <c r="H307" s="54" t="s">
        <v>683</v>
      </c>
      <c r="I307" s="901" t="s">
        <v>805</v>
      </c>
    </row>
    <row r="308" spans="2:9">
      <c r="B308" s="29">
        <v>45799</v>
      </c>
      <c r="C308" s="514" t="s">
        <v>747</v>
      </c>
      <c r="D308" s="30" t="s">
        <v>415</v>
      </c>
      <c r="E308" s="31" t="s">
        <v>659</v>
      </c>
      <c r="F308" s="31" t="s">
        <v>425</v>
      </c>
      <c r="G308" s="31">
        <v>2</v>
      </c>
      <c r="H308" s="54" t="s">
        <v>683</v>
      </c>
      <c r="I308" s="901" t="s">
        <v>805</v>
      </c>
    </row>
    <row r="309" spans="2:9">
      <c r="B309" s="29">
        <v>45799</v>
      </c>
      <c r="C309" s="514" t="s">
        <v>747</v>
      </c>
      <c r="D309" s="30" t="s">
        <v>504</v>
      </c>
      <c r="E309" s="31" t="s">
        <v>672</v>
      </c>
      <c r="F309" s="31" t="s">
        <v>425</v>
      </c>
      <c r="G309" s="31">
        <v>2</v>
      </c>
      <c r="H309" s="54" t="s">
        <v>683</v>
      </c>
      <c r="I309" s="901" t="s">
        <v>805</v>
      </c>
    </row>
    <row r="310" spans="2:9">
      <c r="B310" s="29">
        <v>45799</v>
      </c>
      <c r="C310" s="514" t="s">
        <v>747</v>
      </c>
      <c r="D310" s="30" t="s">
        <v>432</v>
      </c>
      <c r="E310" s="31" t="s">
        <v>693</v>
      </c>
      <c r="F310" s="31" t="s">
        <v>425</v>
      </c>
      <c r="G310" s="31">
        <v>2</v>
      </c>
      <c r="H310" s="54" t="s">
        <v>683</v>
      </c>
      <c r="I310" s="901" t="s">
        <v>805</v>
      </c>
    </row>
    <row r="311" spans="2:9">
      <c r="B311" s="29">
        <v>45799</v>
      </c>
      <c r="C311" s="514" t="s">
        <v>747</v>
      </c>
      <c r="D311" s="30" t="s">
        <v>419</v>
      </c>
      <c r="E311" s="31" t="s">
        <v>701</v>
      </c>
      <c r="F311" s="31" t="s">
        <v>425</v>
      </c>
      <c r="G311" s="31">
        <v>1</v>
      </c>
      <c r="H311" s="54" t="s">
        <v>683</v>
      </c>
      <c r="I311" s="901" t="s">
        <v>805</v>
      </c>
    </row>
    <row r="312" spans="2:9">
      <c r="B312" s="29">
        <v>45799</v>
      </c>
      <c r="C312" s="514" t="s">
        <v>747</v>
      </c>
      <c r="D312" s="30" t="s">
        <v>479</v>
      </c>
      <c r="E312" s="31" t="s">
        <v>745</v>
      </c>
      <c r="F312" s="31" t="s">
        <v>425</v>
      </c>
      <c r="G312" s="31">
        <v>1</v>
      </c>
      <c r="H312" s="54" t="s">
        <v>683</v>
      </c>
      <c r="I312" s="901" t="s">
        <v>805</v>
      </c>
    </row>
    <row r="313" spans="2:9">
      <c r="B313" s="29">
        <v>45799</v>
      </c>
      <c r="C313" s="514" t="s">
        <v>747</v>
      </c>
      <c r="D313" s="30" t="s">
        <v>597</v>
      </c>
      <c r="E313" s="31" t="s">
        <v>724</v>
      </c>
      <c r="F313" s="31" t="s">
        <v>425</v>
      </c>
      <c r="G313" s="31">
        <v>1</v>
      </c>
      <c r="H313" s="54" t="s">
        <v>683</v>
      </c>
      <c r="I313" s="901" t="s">
        <v>805</v>
      </c>
    </row>
    <row r="314" spans="2:9">
      <c r="B314" s="29">
        <v>45799</v>
      </c>
      <c r="C314" s="514" t="s">
        <v>747</v>
      </c>
      <c r="D314" s="30" t="s">
        <v>501</v>
      </c>
      <c r="E314" s="31" t="s">
        <v>696</v>
      </c>
      <c r="F314" s="31" t="s">
        <v>425</v>
      </c>
      <c r="G314" s="31">
        <v>2</v>
      </c>
      <c r="H314" s="54" t="s">
        <v>683</v>
      </c>
      <c r="I314" s="901" t="s">
        <v>805</v>
      </c>
    </row>
    <row r="315" spans="2:9">
      <c r="B315" s="29">
        <v>45799</v>
      </c>
      <c r="C315" s="514" t="s">
        <v>747</v>
      </c>
      <c r="D315" s="30" t="s">
        <v>467</v>
      </c>
      <c r="E315" s="31" t="s">
        <v>702</v>
      </c>
      <c r="F315" s="31" t="s">
        <v>425</v>
      </c>
      <c r="G315" s="31">
        <v>2</v>
      </c>
      <c r="H315" s="54" t="s">
        <v>683</v>
      </c>
      <c r="I315" s="901" t="s">
        <v>805</v>
      </c>
    </row>
    <row r="316" spans="2:9">
      <c r="B316" s="29">
        <v>45799</v>
      </c>
      <c r="C316" s="514" t="s">
        <v>747</v>
      </c>
      <c r="D316" s="30" t="s">
        <v>476</v>
      </c>
      <c r="E316" s="31" t="s">
        <v>681</v>
      </c>
      <c r="F316" s="31" t="s">
        <v>425</v>
      </c>
      <c r="G316" s="31">
        <v>2</v>
      </c>
      <c r="H316" s="54" t="s">
        <v>683</v>
      </c>
      <c r="I316" s="901" t="s">
        <v>805</v>
      </c>
    </row>
    <row r="317" spans="2:9">
      <c r="B317" s="29">
        <v>45799</v>
      </c>
      <c r="C317" s="514" t="s">
        <v>747</v>
      </c>
      <c r="D317" s="30" t="s">
        <v>396</v>
      </c>
      <c r="E317" s="31" t="s">
        <v>703</v>
      </c>
      <c r="F317" s="31" t="s">
        <v>425</v>
      </c>
      <c r="G317" s="31">
        <v>2</v>
      </c>
      <c r="H317" s="54" t="s">
        <v>683</v>
      </c>
      <c r="I317" s="901" t="s">
        <v>805</v>
      </c>
    </row>
    <row r="318" spans="2:9">
      <c r="B318" s="29">
        <v>45799</v>
      </c>
      <c r="C318" s="514" t="s">
        <v>747</v>
      </c>
      <c r="D318" s="30" t="s">
        <v>397</v>
      </c>
      <c r="E318" s="31" t="s">
        <v>733</v>
      </c>
      <c r="F318" s="31" t="s">
        <v>425</v>
      </c>
      <c r="G318" s="31">
        <v>2</v>
      </c>
      <c r="H318" s="54" t="s">
        <v>683</v>
      </c>
      <c r="I318" s="901" t="s">
        <v>805</v>
      </c>
    </row>
    <row r="319" spans="2:9">
      <c r="B319" s="29">
        <v>45799</v>
      </c>
      <c r="C319" s="514" t="s">
        <v>747</v>
      </c>
      <c r="D319" s="30" t="s">
        <v>494</v>
      </c>
      <c r="E319" s="31" t="s">
        <v>587</v>
      </c>
      <c r="F319" s="31" t="s">
        <v>806</v>
      </c>
      <c r="G319" s="31">
        <v>1</v>
      </c>
      <c r="H319" s="54" t="s">
        <v>683</v>
      </c>
      <c r="I319" s="901" t="s">
        <v>807</v>
      </c>
    </row>
    <row r="320" spans="2:9">
      <c r="B320" s="29">
        <v>45799</v>
      </c>
      <c r="C320" s="514" t="s">
        <v>747</v>
      </c>
      <c r="D320" s="30" t="s">
        <v>509</v>
      </c>
      <c r="E320" s="31" t="s">
        <v>691</v>
      </c>
      <c r="F320" s="31" t="s">
        <v>806</v>
      </c>
      <c r="G320" s="31">
        <v>1</v>
      </c>
      <c r="H320" s="54" t="s">
        <v>683</v>
      </c>
      <c r="I320" s="901" t="s">
        <v>807</v>
      </c>
    </row>
    <row r="321" spans="2:9">
      <c r="B321" s="29">
        <v>45799</v>
      </c>
      <c r="C321" s="514" t="s">
        <v>747</v>
      </c>
      <c r="D321" s="30" t="s">
        <v>497</v>
      </c>
      <c r="E321" s="31" t="s">
        <v>692</v>
      </c>
      <c r="F321" s="31" t="s">
        <v>806</v>
      </c>
      <c r="G321" s="31">
        <v>1</v>
      </c>
      <c r="H321" s="54" t="s">
        <v>683</v>
      </c>
      <c r="I321" s="901" t="s">
        <v>807</v>
      </c>
    </row>
    <row r="322" spans="2:9">
      <c r="B322" s="29">
        <v>45799</v>
      </c>
      <c r="C322" s="514" t="s">
        <v>747</v>
      </c>
      <c r="D322" s="30" t="s">
        <v>504</v>
      </c>
      <c r="E322" s="31" t="s">
        <v>672</v>
      </c>
      <c r="F322" s="31" t="s">
        <v>806</v>
      </c>
      <c r="G322" s="31">
        <v>1</v>
      </c>
      <c r="H322" s="54" t="s">
        <v>683</v>
      </c>
      <c r="I322" s="901" t="s">
        <v>807</v>
      </c>
    </row>
    <row r="323" spans="2:9">
      <c r="B323" s="29">
        <v>45799</v>
      </c>
      <c r="C323" s="514" t="s">
        <v>747</v>
      </c>
      <c r="D323" s="30" t="s">
        <v>547</v>
      </c>
      <c r="E323" s="31" t="s">
        <v>727</v>
      </c>
      <c r="F323" s="31" t="s">
        <v>808</v>
      </c>
      <c r="G323" s="31">
        <v>2</v>
      </c>
      <c r="H323" s="54" t="s">
        <v>683</v>
      </c>
      <c r="I323" s="901" t="s">
        <v>807</v>
      </c>
    </row>
    <row r="324" spans="2:9">
      <c r="B324" s="29">
        <v>45799</v>
      </c>
      <c r="C324" s="514" t="s">
        <v>747</v>
      </c>
      <c r="D324" s="30" t="s">
        <v>506</v>
      </c>
      <c r="E324" s="31" t="s">
        <v>687</v>
      </c>
      <c r="F324" s="31" t="s">
        <v>808</v>
      </c>
      <c r="G324" s="31">
        <v>1</v>
      </c>
      <c r="H324" s="54" t="s">
        <v>683</v>
      </c>
      <c r="I324" s="901" t="s">
        <v>807</v>
      </c>
    </row>
    <row r="325" spans="2:9">
      <c r="B325" s="29">
        <v>45799</v>
      </c>
      <c r="C325" s="514" t="s">
        <v>747</v>
      </c>
      <c r="D325" s="30" t="s">
        <v>509</v>
      </c>
      <c r="E325" s="31" t="s">
        <v>691</v>
      </c>
      <c r="F325" s="31" t="s">
        <v>808</v>
      </c>
      <c r="G325" s="31">
        <v>1</v>
      </c>
      <c r="H325" s="54" t="s">
        <v>683</v>
      </c>
      <c r="I325" s="901" t="s">
        <v>807</v>
      </c>
    </row>
    <row r="326" spans="2:9">
      <c r="B326" s="29">
        <v>45799</v>
      </c>
      <c r="C326" s="514" t="s">
        <v>747</v>
      </c>
      <c r="D326" s="30" t="s">
        <v>415</v>
      </c>
      <c r="E326" s="31" t="s">
        <v>659</v>
      </c>
      <c r="F326" s="31" t="s">
        <v>808</v>
      </c>
      <c r="G326" s="31">
        <v>1</v>
      </c>
      <c r="H326" s="54" t="s">
        <v>683</v>
      </c>
      <c r="I326" s="901" t="s">
        <v>807</v>
      </c>
    </row>
    <row r="327" spans="2:9">
      <c r="B327" s="29">
        <v>45799</v>
      </c>
      <c r="C327" s="514" t="s">
        <v>747</v>
      </c>
      <c r="D327" s="30" t="s">
        <v>497</v>
      </c>
      <c r="E327" s="31" t="s">
        <v>692</v>
      </c>
      <c r="F327" s="31" t="s">
        <v>808</v>
      </c>
      <c r="G327" s="31">
        <v>1</v>
      </c>
      <c r="H327" s="54" t="s">
        <v>683</v>
      </c>
      <c r="I327" s="901" t="s">
        <v>807</v>
      </c>
    </row>
    <row r="328" spans="2:9">
      <c r="B328" s="29">
        <v>45799</v>
      </c>
      <c r="C328" s="514" t="s">
        <v>747</v>
      </c>
      <c r="D328" s="30" t="s">
        <v>417</v>
      </c>
      <c r="E328" s="31" t="s">
        <v>795</v>
      </c>
      <c r="F328" s="31" t="s">
        <v>808</v>
      </c>
      <c r="G328" s="31">
        <v>1</v>
      </c>
      <c r="H328" s="54" t="s">
        <v>683</v>
      </c>
      <c r="I328" s="901" t="s">
        <v>807</v>
      </c>
    </row>
    <row r="329" spans="2:9">
      <c r="B329" s="29">
        <v>45799</v>
      </c>
      <c r="C329" s="514" t="s">
        <v>747</v>
      </c>
      <c r="D329" s="30" t="s">
        <v>504</v>
      </c>
      <c r="E329" s="31" t="s">
        <v>672</v>
      </c>
      <c r="F329" s="31" t="s">
        <v>808</v>
      </c>
      <c r="G329" s="31">
        <v>1</v>
      </c>
      <c r="H329" s="54" t="s">
        <v>683</v>
      </c>
      <c r="I329" s="901" t="s">
        <v>807</v>
      </c>
    </row>
    <row r="330" spans="2:9">
      <c r="B330" s="29">
        <v>45799</v>
      </c>
      <c r="C330" s="514" t="s">
        <v>747</v>
      </c>
      <c r="D330" s="30" t="s">
        <v>432</v>
      </c>
      <c r="E330" s="31" t="s">
        <v>693</v>
      </c>
      <c r="F330" s="31" t="s">
        <v>808</v>
      </c>
      <c r="G330" s="31">
        <v>1</v>
      </c>
      <c r="H330" s="54" t="s">
        <v>683</v>
      </c>
      <c r="I330" s="901" t="s">
        <v>807</v>
      </c>
    </row>
    <row r="331" spans="2:9">
      <c r="B331" s="29">
        <v>45799</v>
      </c>
      <c r="C331" s="514" t="s">
        <v>747</v>
      </c>
      <c r="D331" s="30" t="s">
        <v>534</v>
      </c>
      <c r="E331" s="31" t="s">
        <v>809</v>
      </c>
      <c r="F331" s="31" t="s">
        <v>535</v>
      </c>
      <c r="G331" s="31">
        <v>1</v>
      </c>
      <c r="H331" s="54" t="s">
        <v>685</v>
      </c>
      <c r="I331" s="901" t="s">
        <v>686</v>
      </c>
    </row>
    <row r="332" spans="2:9">
      <c r="B332" s="29">
        <v>45800</v>
      </c>
      <c r="C332" s="514" t="s">
        <v>747</v>
      </c>
      <c r="D332" s="30" t="s">
        <v>417</v>
      </c>
      <c r="E332" s="31" t="s">
        <v>795</v>
      </c>
      <c r="F332" s="31" t="s">
        <v>810</v>
      </c>
      <c r="G332" s="31">
        <v>1</v>
      </c>
      <c r="H332" s="54" t="s">
        <v>685</v>
      </c>
      <c r="I332" s="901" t="s">
        <v>811</v>
      </c>
    </row>
    <row r="333" spans="2:9">
      <c r="B333" s="29">
        <v>45800</v>
      </c>
      <c r="C333" s="514" t="s">
        <v>747</v>
      </c>
      <c r="D333" s="30" t="s">
        <v>501</v>
      </c>
      <c r="E333" s="31" t="s">
        <v>696</v>
      </c>
      <c r="F333" s="31" t="s">
        <v>471</v>
      </c>
      <c r="G333" s="31">
        <v>44</v>
      </c>
      <c r="H333" s="54" t="s">
        <v>685</v>
      </c>
      <c r="I333" s="901" t="s">
        <v>812</v>
      </c>
    </row>
    <row r="334" spans="2:9">
      <c r="B334" s="29">
        <v>45800</v>
      </c>
      <c r="C334" s="514" t="s">
        <v>747</v>
      </c>
      <c r="D334" s="30" t="s">
        <v>467</v>
      </c>
      <c r="E334" s="31" t="s">
        <v>702</v>
      </c>
      <c r="F334" s="31" t="s">
        <v>471</v>
      </c>
      <c r="G334" s="31">
        <v>5</v>
      </c>
      <c r="H334" s="54" t="s">
        <v>685</v>
      </c>
      <c r="I334" s="901" t="s">
        <v>812</v>
      </c>
    </row>
    <row r="335" spans="2:9">
      <c r="B335" s="29">
        <v>45800</v>
      </c>
      <c r="C335" s="514" t="s">
        <v>747</v>
      </c>
      <c r="D335" s="30" t="s">
        <v>476</v>
      </c>
      <c r="E335" s="31" t="s">
        <v>681</v>
      </c>
      <c r="F335" s="31" t="s">
        <v>471</v>
      </c>
      <c r="G335" s="31">
        <v>32</v>
      </c>
      <c r="H335" s="54" t="s">
        <v>685</v>
      </c>
      <c r="I335" s="901" t="s">
        <v>812</v>
      </c>
    </row>
    <row r="336" spans="2:9">
      <c r="B336" s="29">
        <v>45800</v>
      </c>
      <c r="C336" s="514" t="s">
        <v>747</v>
      </c>
      <c r="D336" s="30" t="s">
        <v>396</v>
      </c>
      <c r="E336" s="31" t="s">
        <v>703</v>
      </c>
      <c r="F336" s="31" t="s">
        <v>471</v>
      </c>
      <c r="G336" s="31">
        <v>4</v>
      </c>
      <c r="H336" s="54" t="s">
        <v>685</v>
      </c>
      <c r="I336" s="901" t="s">
        <v>812</v>
      </c>
    </row>
    <row r="337" spans="2:9">
      <c r="B337" s="29">
        <v>45800</v>
      </c>
      <c r="C337" s="514" t="s">
        <v>747</v>
      </c>
      <c r="D337" s="30" t="s">
        <v>411</v>
      </c>
      <c r="E337" s="31" t="s">
        <v>733</v>
      </c>
      <c r="F337" s="31" t="s">
        <v>471</v>
      </c>
      <c r="G337" s="31">
        <v>1</v>
      </c>
      <c r="H337" s="54" t="s">
        <v>685</v>
      </c>
      <c r="I337" s="901" t="s">
        <v>812</v>
      </c>
    </row>
    <row r="338" spans="2:9">
      <c r="B338" s="29">
        <v>45800</v>
      </c>
      <c r="C338" s="514" t="s">
        <v>747</v>
      </c>
      <c r="D338" s="30" t="s">
        <v>467</v>
      </c>
      <c r="E338" s="31" t="s">
        <v>702</v>
      </c>
      <c r="F338" s="31" t="s">
        <v>813</v>
      </c>
      <c r="G338" s="31">
        <v>50</v>
      </c>
      <c r="H338" s="54" t="s">
        <v>685</v>
      </c>
      <c r="I338" s="901" t="s">
        <v>814</v>
      </c>
    </row>
    <row r="339" spans="2:9">
      <c r="B339" s="29">
        <v>45800</v>
      </c>
      <c r="C339" s="514" t="s">
        <v>747</v>
      </c>
      <c r="D339" s="30" t="s">
        <v>497</v>
      </c>
      <c r="E339" s="31" t="s">
        <v>692</v>
      </c>
      <c r="F339" s="31" t="s">
        <v>570</v>
      </c>
      <c r="G339" s="31">
        <v>1</v>
      </c>
      <c r="H339" s="54" t="s">
        <v>718</v>
      </c>
      <c r="I339" s="901" t="s">
        <v>815</v>
      </c>
    </row>
    <row r="340" spans="2:9">
      <c r="B340" s="29">
        <v>45800</v>
      </c>
      <c r="C340" s="514" t="s">
        <v>747</v>
      </c>
      <c r="D340" s="30" t="s">
        <v>543</v>
      </c>
      <c r="E340" s="31" t="s">
        <v>816</v>
      </c>
      <c r="F340" s="31" t="s">
        <v>517</v>
      </c>
      <c r="G340" s="31">
        <v>3</v>
      </c>
      <c r="H340" s="54" t="s">
        <v>685</v>
      </c>
      <c r="I340" s="901" t="s">
        <v>686</v>
      </c>
    </row>
    <row r="341" spans="2:9">
      <c r="B341" s="29">
        <v>45800</v>
      </c>
      <c r="C341" s="514" t="s">
        <v>747</v>
      </c>
      <c r="D341" s="30" t="s">
        <v>467</v>
      </c>
      <c r="E341" s="31" t="s">
        <v>702</v>
      </c>
      <c r="F341" s="31" t="s">
        <v>420</v>
      </c>
      <c r="G341" s="31">
        <v>7</v>
      </c>
      <c r="H341" s="54" t="s">
        <v>685</v>
      </c>
      <c r="I341" s="901" t="s">
        <v>686</v>
      </c>
    </row>
    <row r="342" spans="2:9">
      <c r="B342" s="29">
        <v>45804</v>
      </c>
      <c r="C342" s="514" t="s">
        <v>747</v>
      </c>
      <c r="D342" s="30" t="s">
        <v>411</v>
      </c>
      <c r="E342" s="31" t="s">
        <v>733</v>
      </c>
      <c r="F342" s="31" t="s">
        <v>519</v>
      </c>
      <c r="G342" s="31">
        <v>2</v>
      </c>
      <c r="H342" s="54" t="s">
        <v>685</v>
      </c>
      <c r="I342" s="901" t="s">
        <v>817</v>
      </c>
    </row>
    <row r="343" spans="2:9">
      <c r="B343" s="29">
        <v>45804</v>
      </c>
      <c r="C343" s="514" t="s">
        <v>747</v>
      </c>
      <c r="D343" s="30" t="s">
        <v>547</v>
      </c>
      <c r="E343" s="31" t="s">
        <v>727</v>
      </c>
      <c r="F343" s="31" t="s">
        <v>818</v>
      </c>
      <c r="G343" s="31">
        <v>1</v>
      </c>
      <c r="H343" s="54" t="s">
        <v>685</v>
      </c>
      <c r="I343" s="901" t="s">
        <v>817</v>
      </c>
    </row>
    <row r="344" spans="2:9">
      <c r="B344" s="29">
        <v>45804</v>
      </c>
      <c r="C344" s="514" t="s">
        <v>747</v>
      </c>
      <c r="D344" s="30" t="s">
        <v>506</v>
      </c>
      <c r="E344" s="31" t="s">
        <v>687</v>
      </c>
      <c r="F344" s="31" t="s">
        <v>818</v>
      </c>
      <c r="G344" s="31">
        <v>1</v>
      </c>
      <c r="H344" s="54" t="s">
        <v>685</v>
      </c>
      <c r="I344" s="901" t="s">
        <v>817</v>
      </c>
    </row>
    <row r="345" spans="2:9">
      <c r="B345" s="29">
        <v>45804</v>
      </c>
      <c r="C345" s="514" t="s">
        <v>747</v>
      </c>
      <c r="D345" s="30" t="s">
        <v>494</v>
      </c>
      <c r="E345" s="31" t="s">
        <v>587</v>
      </c>
      <c r="F345" s="31" t="s">
        <v>818</v>
      </c>
      <c r="G345" s="31">
        <v>1</v>
      </c>
      <c r="H345" s="54" t="s">
        <v>685</v>
      </c>
      <c r="I345" s="901" t="s">
        <v>817</v>
      </c>
    </row>
    <row r="346" spans="2:9">
      <c r="B346" s="29">
        <v>45804</v>
      </c>
      <c r="C346" s="514" t="s">
        <v>747</v>
      </c>
      <c r="D346" s="30" t="s">
        <v>509</v>
      </c>
      <c r="E346" s="31" t="s">
        <v>691</v>
      </c>
      <c r="F346" s="31" t="s">
        <v>818</v>
      </c>
      <c r="G346" s="31">
        <v>1</v>
      </c>
      <c r="H346" s="54" t="s">
        <v>685</v>
      </c>
      <c r="I346" s="901" t="s">
        <v>817</v>
      </c>
    </row>
    <row r="347" spans="2:9">
      <c r="B347" s="29">
        <v>45804</v>
      </c>
      <c r="C347" s="514" t="s">
        <v>747</v>
      </c>
      <c r="D347" s="30" t="s">
        <v>497</v>
      </c>
      <c r="E347" s="31" t="s">
        <v>692</v>
      </c>
      <c r="F347" s="31" t="s">
        <v>818</v>
      </c>
      <c r="G347" s="31">
        <v>1</v>
      </c>
      <c r="H347" s="54" t="s">
        <v>685</v>
      </c>
      <c r="I347" s="901" t="s">
        <v>817</v>
      </c>
    </row>
    <row r="348" spans="2:9">
      <c r="B348" s="29">
        <v>45804</v>
      </c>
      <c r="C348" s="514" t="s">
        <v>747</v>
      </c>
      <c r="D348" s="30" t="s">
        <v>504</v>
      </c>
      <c r="E348" s="31" t="s">
        <v>672</v>
      </c>
      <c r="F348" s="31" t="s">
        <v>818</v>
      </c>
      <c r="G348" s="31">
        <v>1</v>
      </c>
      <c r="H348" s="54" t="s">
        <v>685</v>
      </c>
      <c r="I348" s="901" t="s">
        <v>817</v>
      </c>
    </row>
    <row r="349" spans="2:9">
      <c r="B349" s="29">
        <v>45804</v>
      </c>
      <c r="C349" s="514" t="s">
        <v>747</v>
      </c>
      <c r="D349" s="30" t="s">
        <v>388</v>
      </c>
      <c r="E349" s="31" t="s">
        <v>819</v>
      </c>
      <c r="F349" s="31" t="s">
        <v>629</v>
      </c>
      <c r="G349" s="31">
        <v>20</v>
      </c>
      <c r="H349" s="54" t="s">
        <v>683</v>
      </c>
      <c r="I349" s="898" t="s">
        <v>820</v>
      </c>
    </row>
    <row r="350" spans="2:9">
      <c r="B350" s="29">
        <v>45804</v>
      </c>
      <c r="C350" s="514" t="s">
        <v>747</v>
      </c>
      <c r="D350" s="30" t="s">
        <v>615</v>
      </c>
      <c r="E350" s="31" t="s">
        <v>798</v>
      </c>
      <c r="F350" s="31" t="s">
        <v>629</v>
      </c>
      <c r="G350" s="31">
        <v>20</v>
      </c>
      <c r="H350" s="54" t="s">
        <v>683</v>
      </c>
      <c r="I350" s="898" t="s">
        <v>820</v>
      </c>
    </row>
    <row r="351" spans="2:9">
      <c r="B351" s="29">
        <v>45804</v>
      </c>
      <c r="C351" s="514" t="s">
        <v>747</v>
      </c>
      <c r="D351" s="30" t="s">
        <v>503</v>
      </c>
      <c r="E351" s="31" t="s">
        <v>821</v>
      </c>
      <c r="F351" s="31" t="s">
        <v>629</v>
      </c>
      <c r="G351" s="31">
        <v>10</v>
      </c>
      <c r="H351" s="54" t="s">
        <v>683</v>
      </c>
      <c r="I351" s="898" t="s">
        <v>820</v>
      </c>
    </row>
    <row r="352" spans="2:9">
      <c r="B352" s="29">
        <v>45804</v>
      </c>
      <c r="C352" s="514" t="s">
        <v>747</v>
      </c>
      <c r="D352" s="30" t="s">
        <v>822</v>
      </c>
      <c r="E352" s="31" t="s">
        <v>823</v>
      </c>
      <c r="F352" s="31" t="s">
        <v>629</v>
      </c>
      <c r="G352" s="31">
        <v>40</v>
      </c>
      <c r="H352" s="54" t="s">
        <v>683</v>
      </c>
      <c r="I352" s="898" t="s">
        <v>820</v>
      </c>
    </row>
    <row r="353" spans="2:9">
      <c r="B353" s="29">
        <v>45805</v>
      </c>
      <c r="C353" s="514" t="s">
        <v>747</v>
      </c>
      <c r="D353" s="30" t="s">
        <v>506</v>
      </c>
      <c r="E353" s="31" t="s">
        <v>687</v>
      </c>
      <c r="F353" s="31" t="s">
        <v>519</v>
      </c>
      <c r="G353" s="31">
        <v>1</v>
      </c>
      <c r="H353" s="896" t="s">
        <v>689</v>
      </c>
      <c r="I353" s="901" t="s">
        <v>824</v>
      </c>
    </row>
    <row r="354" spans="2:9">
      <c r="B354" s="29">
        <v>45805</v>
      </c>
      <c r="C354" s="514" t="s">
        <v>747</v>
      </c>
      <c r="D354" s="30" t="s">
        <v>509</v>
      </c>
      <c r="E354" s="31" t="s">
        <v>691</v>
      </c>
      <c r="F354" s="31" t="s">
        <v>519</v>
      </c>
      <c r="G354" s="31">
        <v>2</v>
      </c>
      <c r="H354" s="896" t="s">
        <v>689</v>
      </c>
      <c r="I354" s="901" t="s">
        <v>824</v>
      </c>
    </row>
    <row r="355" spans="2:9">
      <c r="B355" s="29">
        <v>45805</v>
      </c>
      <c r="C355" s="514" t="s">
        <v>747</v>
      </c>
      <c r="D355" s="30" t="s">
        <v>432</v>
      </c>
      <c r="E355" s="31" t="s">
        <v>693</v>
      </c>
      <c r="F355" s="31" t="s">
        <v>519</v>
      </c>
      <c r="G355" s="31">
        <v>2</v>
      </c>
      <c r="H355" s="896" t="s">
        <v>689</v>
      </c>
      <c r="I355" s="901" t="s">
        <v>824</v>
      </c>
    </row>
    <row r="356" spans="2:9">
      <c r="B356" s="29">
        <v>45805</v>
      </c>
      <c r="C356" s="514" t="s">
        <v>747</v>
      </c>
      <c r="D356" s="30" t="s">
        <v>470</v>
      </c>
      <c r="E356" s="31" t="s">
        <v>590</v>
      </c>
      <c r="F356" s="31" t="s">
        <v>400</v>
      </c>
      <c r="G356" s="31">
        <v>30</v>
      </c>
      <c r="H356" s="54" t="s">
        <v>344</v>
      </c>
      <c r="I356" s="901" t="s">
        <v>825</v>
      </c>
    </row>
    <row r="357" spans="2:9">
      <c r="B357" s="29">
        <v>45806</v>
      </c>
      <c r="C357" s="514" t="s">
        <v>747</v>
      </c>
      <c r="D357" s="30" t="s">
        <v>509</v>
      </c>
      <c r="E357" s="31" t="s">
        <v>691</v>
      </c>
      <c r="F357" s="31" t="s">
        <v>505</v>
      </c>
      <c r="G357" s="31">
        <v>2</v>
      </c>
      <c r="H357" s="54" t="s">
        <v>685</v>
      </c>
      <c r="I357" s="901" t="s">
        <v>817</v>
      </c>
    </row>
    <row r="358" spans="2:9">
      <c r="B358" s="29">
        <v>45806</v>
      </c>
      <c r="C358" s="514" t="s">
        <v>747</v>
      </c>
      <c r="D358" s="30" t="s">
        <v>415</v>
      </c>
      <c r="E358" s="31" t="s">
        <v>659</v>
      </c>
      <c r="F358" s="31" t="s">
        <v>505</v>
      </c>
      <c r="G358" s="31">
        <v>2</v>
      </c>
      <c r="H358" s="54" t="s">
        <v>685</v>
      </c>
      <c r="I358" s="901" t="s">
        <v>817</v>
      </c>
    </row>
    <row r="359" spans="2:9">
      <c r="B359" s="29">
        <v>45806</v>
      </c>
      <c r="C359" s="514" t="s">
        <v>747</v>
      </c>
      <c r="D359" s="30" t="s">
        <v>497</v>
      </c>
      <c r="E359" s="31" t="s">
        <v>692</v>
      </c>
      <c r="F359" s="31" t="s">
        <v>505</v>
      </c>
      <c r="G359" s="31">
        <v>3</v>
      </c>
      <c r="H359" s="54" t="s">
        <v>685</v>
      </c>
      <c r="I359" s="901" t="s">
        <v>817</v>
      </c>
    </row>
    <row r="360" spans="2:9">
      <c r="B360" s="29">
        <v>45806</v>
      </c>
      <c r="C360" s="514" t="s">
        <v>747</v>
      </c>
      <c r="D360" s="30" t="s">
        <v>504</v>
      </c>
      <c r="E360" s="31" t="s">
        <v>672</v>
      </c>
      <c r="F360" s="31" t="s">
        <v>505</v>
      </c>
      <c r="G360" s="31">
        <v>2</v>
      </c>
      <c r="H360" s="54" t="s">
        <v>685</v>
      </c>
      <c r="I360" s="901" t="s">
        <v>817</v>
      </c>
    </row>
    <row r="361" spans="2:9">
      <c r="B361" s="29">
        <v>45806</v>
      </c>
      <c r="C361" s="514" t="s">
        <v>747</v>
      </c>
      <c r="D361" s="30" t="s">
        <v>430</v>
      </c>
      <c r="E361" s="31" t="s">
        <v>723</v>
      </c>
      <c r="F361" s="31" t="s">
        <v>505</v>
      </c>
      <c r="G361" s="31">
        <v>2</v>
      </c>
      <c r="H361" s="54" t="s">
        <v>685</v>
      </c>
      <c r="I361" s="901" t="s">
        <v>817</v>
      </c>
    </row>
    <row r="362" spans="2:9">
      <c r="B362" s="29">
        <v>45806</v>
      </c>
      <c r="C362" s="514" t="s">
        <v>747</v>
      </c>
      <c r="D362" s="30" t="s">
        <v>432</v>
      </c>
      <c r="E362" s="31" t="s">
        <v>693</v>
      </c>
      <c r="F362" s="31" t="s">
        <v>505</v>
      </c>
      <c r="G362" s="31">
        <v>2</v>
      </c>
      <c r="H362" s="54" t="s">
        <v>685</v>
      </c>
      <c r="I362" s="901" t="s">
        <v>817</v>
      </c>
    </row>
    <row r="363" spans="2:9">
      <c r="B363" s="29">
        <v>45806</v>
      </c>
      <c r="C363" s="514" t="s">
        <v>747</v>
      </c>
      <c r="D363" s="30" t="s">
        <v>436</v>
      </c>
      <c r="E363" s="31" t="s">
        <v>766</v>
      </c>
      <c r="F363" s="31" t="s">
        <v>617</v>
      </c>
      <c r="G363" s="31">
        <v>50</v>
      </c>
      <c r="H363" s="896" t="s">
        <v>689</v>
      </c>
      <c r="I363" s="901" t="s">
        <v>826</v>
      </c>
    </row>
    <row r="364" spans="2:9">
      <c r="B364" s="29">
        <v>45806</v>
      </c>
      <c r="C364" s="514" t="s">
        <v>747</v>
      </c>
      <c r="D364" s="30" t="s">
        <v>408</v>
      </c>
      <c r="E364" s="31" t="s">
        <v>788</v>
      </c>
      <c r="F364" s="31" t="s">
        <v>617</v>
      </c>
      <c r="G364" s="31">
        <v>10</v>
      </c>
      <c r="H364" s="896" t="s">
        <v>689</v>
      </c>
      <c r="I364" s="901" t="s">
        <v>826</v>
      </c>
    </row>
    <row r="365" spans="2:9">
      <c r="B365" s="29">
        <v>45806</v>
      </c>
      <c r="C365" s="514" t="s">
        <v>747</v>
      </c>
      <c r="D365" s="30" t="s">
        <v>544</v>
      </c>
      <c r="E365" s="31" t="s">
        <v>781</v>
      </c>
      <c r="F365" s="31" t="s">
        <v>827</v>
      </c>
      <c r="G365" s="902">
        <v>30</v>
      </c>
      <c r="H365" s="896" t="s">
        <v>689</v>
      </c>
      <c r="I365" s="901" t="s">
        <v>828</v>
      </c>
    </row>
    <row r="366" spans="2:9">
      <c r="B366" s="29">
        <v>45806</v>
      </c>
      <c r="C366" s="514" t="s">
        <v>747</v>
      </c>
      <c r="D366" s="30" t="s">
        <v>508</v>
      </c>
      <c r="E366" s="31" t="s">
        <v>829</v>
      </c>
      <c r="F366" s="31" t="s">
        <v>827</v>
      </c>
      <c r="G366" s="902">
        <v>12</v>
      </c>
      <c r="H366" s="896" t="s">
        <v>689</v>
      </c>
      <c r="I366" s="901" t="s">
        <v>828</v>
      </c>
    </row>
    <row r="367" spans="2:9">
      <c r="B367" s="29">
        <v>45806</v>
      </c>
      <c r="C367" s="514" t="s">
        <v>747</v>
      </c>
      <c r="D367" s="30" t="s">
        <v>470</v>
      </c>
      <c r="E367" s="31" t="s">
        <v>590</v>
      </c>
      <c r="F367" s="31" t="s">
        <v>830</v>
      </c>
      <c r="G367" s="31">
        <v>10</v>
      </c>
      <c r="H367" s="896" t="s">
        <v>689</v>
      </c>
      <c r="I367" s="901" t="s">
        <v>828</v>
      </c>
    </row>
    <row r="368" spans="2:9">
      <c r="B368" s="29">
        <v>45806</v>
      </c>
      <c r="C368" s="514" t="s">
        <v>747</v>
      </c>
      <c r="D368" s="30" t="s">
        <v>564</v>
      </c>
      <c r="E368" s="31" t="s">
        <v>667</v>
      </c>
      <c r="F368" s="31" t="s">
        <v>831</v>
      </c>
      <c r="G368" s="31">
        <v>5</v>
      </c>
      <c r="H368" s="896" t="s">
        <v>689</v>
      </c>
      <c r="I368" s="901" t="s">
        <v>828</v>
      </c>
    </row>
    <row r="369" spans="2:9">
      <c r="B369" s="29">
        <v>45806</v>
      </c>
      <c r="C369" s="514" t="s">
        <v>747</v>
      </c>
      <c r="D369" s="30" t="s">
        <v>540</v>
      </c>
      <c r="E369" s="31" t="s">
        <v>832</v>
      </c>
      <c r="F369" s="31" t="s">
        <v>831</v>
      </c>
      <c r="G369" s="31">
        <v>63</v>
      </c>
      <c r="H369" s="896" t="s">
        <v>689</v>
      </c>
      <c r="I369" s="901" t="s">
        <v>828</v>
      </c>
    </row>
    <row r="370" spans="2:9">
      <c r="B370" s="29">
        <v>45806</v>
      </c>
      <c r="C370" s="514" t="s">
        <v>747</v>
      </c>
      <c r="D370" s="30" t="s">
        <v>494</v>
      </c>
      <c r="E370" s="31" t="s">
        <v>587</v>
      </c>
      <c r="F370" s="31" t="s">
        <v>831</v>
      </c>
      <c r="G370" s="31">
        <v>156</v>
      </c>
      <c r="H370" s="896" t="s">
        <v>689</v>
      </c>
      <c r="I370" s="901" t="s">
        <v>828</v>
      </c>
    </row>
    <row r="371" spans="2:9">
      <c r="B371" s="29">
        <v>45806</v>
      </c>
      <c r="C371" s="514" t="s">
        <v>747</v>
      </c>
      <c r="D371" s="30" t="s">
        <v>494</v>
      </c>
      <c r="E371" s="31" t="s">
        <v>587</v>
      </c>
      <c r="F371" s="31" t="s">
        <v>827</v>
      </c>
      <c r="G371" s="902">
        <v>10</v>
      </c>
      <c r="H371" s="896" t="s">
        <v>689</v>
      </c>
      <c r="I371" s="901" t="s">
        <v>828</v>
      </c>
    </row>
    <row r="372" spans="2:9">
      <c r="B372" s="29">
        <v>45806</v>
      </c>
      <c r="C372" s="514" t="s">
        <v>747</v>
      </c>
      <c r="D372" s="30" t="s">
        <v>509</v>
      </c>
      <c r="E372" s="31" t="s">
        <v>691</v>
      </c>
      <c r="F372" s="31" t="s">
        <v>827</v>
      </c>
      <c r="G372" s="902">
        <v>1</v>
      </c>
      <c r="H372" s="896" t="s">
        <v>689</v>
      </c>
      <c r="I372" s="901" t="s">
        <v>828</v>
      </c>
    </row>
    <row r="373" spans="2:9">
      <c r="B373" s="29">
        <v>45806</v>
      </c>
      <c r="C373" s="514" t="s">
        <v>747</v>
      </c>
      <c r="D373" s="30" t="s">
        <v>415</v>
      </c>
      <c r="E373" s="31" t="s">
        <v>659</v>
      </c>
      <c r="F373" s="31" t="s">
        <v>830</v>
      </c>
      <c r="G373" s="31">
        <v>40</v>
      </c>
      <c r="H373" s="896" t="s">
        <v>689</v>
      </c>
      <c r="I373" s="901" t="s">
        <v>828</v>
      </c>
    </row>
    <row r="374" spans="2:9">
      <c r="B374" s="29">
        <v>45806</v>
      </c>
      <c r="C374" s="514" t="s">
        <v>747</v>
      </c>
      <c r="D374" s="30" t="s">
        <v>415</v>
      </c>
      <c r="E374" s="31" t="s">
        <v>659</v>
      </c>
      <c r="F374" s="31" t="s">
        <v>827</v>
      </c>
      <c r="G374" s="902">
        <v>8</v>
      </c>
      <c r="H374" s="896" t="s">
        <v>689</v>
      </c>
      <c r="I374" s="901" t="s">
        <v>828</v>
      </c>
    </row>
    <row r="375" spans="2:9">
      <c r="B375" s="29">
        <v>45806</v>
      </c>
      <c r="C375" s="514" t="s">
        <v>747</v>
      </c>
      <c r="D375" s="30" t="s">
        <v>497</v>
      </c>
      <c r="E375" s="31" t="s">
        <v>692</v>
      </c>
      <c r="F375" s="31" t="s">
        <v>827</v>
      </c>
      <c r="G375" s="902">
        <v>12</v>
      </c>
      <c r="H375" s="896" t="s">
        <v>689</v>
      </c>
      <c r="I375" s="901" t="s">
        <v>828</v>
      </c>
    </row>
    <row r="376" spans="2:9">
      <c r="B376" s="29">
        <v>45806</v>
      </c>
      <c r="C376" s="514" t="s">
        <v>747</v>
      </c>
      <c r="D376" s="30" t="s">
        <v>504</v>
      </c>
      <c r="E376" s="31" t="s">
        <v>672</v>
      </c>
      <c r="F376" s="31" t="s">
        <v>831</v>
      </c>
      <c r="G376" s="31">
        <v>40</v>
      </c>
      <c r="H376" s="896" t="s">
        <v>689</v>
      </c>
      <c r="I376" s="901" t="s">
        <v>828</v>
      </c>
    </row>
    <row r="377" spans="2:9">
      <c r="B377" s="29">
        <v>45806</v>
      </c>
      <c r="C377" s="514" t="s">
        <v>747</v>
      </c>
      <c r="D377" s="30" t="s">
        <v>432</v>
      </c>
      <c r="E377" s="31" t="s">
        <v>693</v>
      </c>
      <c r="F377" s="31" t="s">
        <v>830</v>
      </c>
      <c r="G377" s="31">
        <v>10</v>
      </c>
      <c r="H377" s="896" t="s">
        <v>689</v>
      </c>
      <c r="I377" s="901" t="s">
        <v>828</v>
      </c>
    </row>
    <row r="378" spans="2:9">
      <c r="B378" s="29">
        <v>45806</v>
      </c>
      <c r="C378" s="514" t="s">
        <v>747</v>
      </c>
      <c r="D378" s="30" t="s">
        <v>432</v>
      </c>
      <c r="E378" s="31" t="s">
        <v>693</v>
      </c>
      <c r="F378" s="31" t="s">
        <v>827</v>
      </c>
      <c r="G378" s="902">
        <v>1</v>
      </c>
      <c r="H378" s="896" t="s">
        <v>689</v>
      </c>
      <c r="I378" s="901" t="s">
        <v>828</v>
      </c>
    </row>
    <row r="379" spans="2:9">
      <c r="B379" s="29">
        <v>45806</v>
      </c>
      <c r="C379" s="514" t="s">
        <v>747</v>
      </c>
      <c r="D379" s="30" t="s">
        <v>597</v>
      </c>
      <c r="E379" s="31" t="s">
        <v>724</v>
      </c>
      <c r="F379" s="31" t="s">
        <v>830</v>
      </c>
      <c r="G379" s="31">
        <v>10</v>
      </c>
      <c r="H379" s="896" t="s">
        <v>689</v>
      </c>
      <c r="I379" s="901" t="s">
        <v>828</v>
      </c>
    </row>
    <row r="380" spans="2:9">
      <c r="B380" s="29">
        <v>45806</v>
      </c>
      <c r="C380" s="514" t="s">
        <v>747</v>
      </c>
      <c r="D380" s="30" t="s">
        <v>501</v>
      </c>
      <c r="E380" s="31" t="s">
        <v>696</v>
      </c>
      <c r="F380" s="31" t="s">
        <v>831</v>
      </c>
      <c r="G380" s="31">
        <v>189</v>
      </c>
      <c r="H380" s="896" t="s">
        <v>689</v>
      </c>
      <c r="I380" s="901" t="s">
        <v>828</v>
      </c>
    </row>
    <row r="381" spans="2:9">
      <c r="B381" s="29">
        <v>45806</v>
      </c>
      <c r="C381" s="514" t="s">
        <v>747</v>
      </c>
      <c r="D381" s="30" t="s">
        <v>501</v>
      </c>
      <c r="E381" s="31" t="s">
        <v>696</v>
      </c>
      <c r="F381" s="31" t="s">
        <v>830</v>
      </c>
      <c r="G381" s="31">
        <v>15</v>
      </c>
      <c r="H381" s="896" t="s">
        <v>689</v>
      </c>
      <c r="I381" s="901" t="s">
        <v>828</v>
      </c>
    </row>
    <row r="382" spans="2:9">
      <c r="B382" s="29">
        <v>45806</v>
      </c>
      <c r="C382" s="514" t="s">
        <v>747</v>
      </c>
      <c r="D382" s="30" t="s">
        <v>501</v>
      </c>
      <c r="E382" s="31" t="s">
        <v>696</v>
      </c>
      <c r="F382" s="31" t="s">
        <v>827</v>
      </c>
      <c r="G382" s="902">
        <v>10</v>
      </c>
      <c r="H382" s="896" t="s">
        <v>689</v>
      </c>
      <c r="I382" s="901" t="s">
        <v>828</v>
      </c>
    </row>
    <row r="383" spans="2:9">
      <c r="B383" s="29">
        <v>45806</v>
      </c>
      <c r="C383" s="514" t="s">
        <v>747</v>
      </c>
      <c r="D383" s="30" t="s">
        <v>467</v>
      </c>
      <c r="E383" s="31" t="s">
        <v>702</v>
      </c>
      <c r="F383" s="31" t="s">
        <v>827</v>
      </c>
      <c r="G383" s="902">
        <v>1</v>
      </c>
      <c r="H383" s="896" t="s">
        <v>689</v>
      </c>
      <c r="I383" s="901" t="s">
        <v>828</v>
      </c>
    </row>
    <row r="384" spans="2:9">
      <c r="B384" s="29">
        <v>45806</v>
      </c>
      <c r="C384" s="514" t="s">
        <v>747</v>
      </c>
      <c r="D384" s="30" t="s">
        <v>476</v>
      </c>
      <c r="E384" s="31" t="s">
        <v>681</v>
      </c>
      <c r="F384" s="31" t="s">
        <v>831</v>
      </c>
      <c r="G384" s="31">
        <v>42</v>
      </c>
      <c r="H384" s="896" t="s">
        <v>689</v>
      </c>
      <c r="I384" s="901" t="s">
        <v>828</v>
      </c>
    </row>
    <row r="385" spans="2:9">
      <c r="B385" s="29">
        <v>45806</v>
      </c>
      <c r="C385" s="514" t="s">
        <v>747</v>
      </c>
      <c r="D385" s="30" t="s">
        <v>397</v>
      </c>
      <c r="E385" s="31" t="s">
        <v>733</v>
      </c>
      <c r="F385" s="31" t="s">
        <v>827</v>
      </c>
      <c r="G385" s="902">
        <v>1</v>
      </c>
      <c r="H385" s="896" t="s">
        <v>689</v>
      </c>
      <c r="I385" s="901" t="s">
        <v>828</v>
      </c>
    </row>
    <row r="386" spans="2:9">
      <c r="B386" s="29">
        <v>45806</v>
      </c>
      <c r="C386" s="514" t="s">
        <v>747</v>
      </c>
      <c r="D386" s="30" t="s">
        <v>504</v>
      </c>
      <c r="E386" s="31" t="s">
        <v>672</v>
      </c>
      <c r="F386" s="31" t="s">
        <v>827</v>
      </c>
      <c r="G386" s="902">
        <v>1</v>
      </c>
      <c r="H386" s="896" t="s">
        <v>689</v>
      </c>
      <c r="I386" s="901" t="s">
        <v>828</v>
      </c>
    </row>
    <row r="387" spans="2:9">
      <c r="B387" s="29">
        <v>45806</v>
      </c>
      <c r="C387" s="514" t="s">
        <v>747</v>
      </c>
      <c r="D387" s="30" t="s">
        <v>476</v>
      </c>
      <c r="E387" s="31" t="s">
        <v>681</v>
      </c>
      <c r="F387" s="31" t="s">
        <v>830</v>
      </c>
      <c r="G387" s="31">
        <v>30</v>
      </c>
      <c r="H387" s="896" t="s">
        <v>689</v>
      </c>
      <c r="I387" s="901" t="s">
        <v>828</v>
      </c>
    </row>
    <row r="388" spans="2:9">
      <c r="B388" s="29">
        <v>45806</v>
      </c>
      <c r="C388" s="514" t="s">
        <v>747</v>
      </c>
      <c r="D388" s="30" t="s">
        <v>476</v>
      </c>
      <c r="E388" s="31" t="s">
        <v>681</v>
      </c>
      <c r="F388" s="31" t="s">
        <v>827</v>
      </c>
      <c r="G388" s="902">
        <v>10</v>
      </c>
      <c r="H388" s="896" t="s">
        <v>689</v>
      </c>
      <c r="I388" s="901" t="s">
        <v>828</v>
      </c>
    </row>
    <row r="389" spans="2:9">
      <c r="B389" s="29">
        <v>45807</v>
      </c>
      <c r="C389" s="514" t="s">
        <v>747</v>
      </c>
      <c r="D389" s="30" t="s">
        <v>501</v>
      </c>
      <c r="E389" s="31" t="s">
        <v>696</v>
      </c>
      <c r="F389" s="31" t="s">
        <v>471</v>
      </c>
      <c r="G389" s="31">
        <v>44</v>
      </c>
      <c r="H389" s="54" t="s">
        <v>685</v>
      </c>
      <c r="I389" s="901" t="s">
        <v>833</v>
      </c>
    </row>
    <row r="390" spans="2:9">
      <c r="B390" s="29">
        <v>45807</v>
      </c>
      <c r="C390" s="514" t="s">
        <v>747</v>
      </c>
      <c r="D390" s="30" t="s">
        <v>467</v>
      </c>
      <c r="E390" s="31" t="s">
        <v>702</v>
      </c>
      <c r="F390" s="31" t="s">
        <v>471</v>
      </c>
      <c r="G390" s="31">
        <v>5</v>
      </c>
      <c r="H390" s="54" t="s">
        <v>685</v>
      </c>
      <c r="I390" s="901" t="s">
        <v>833</v>
      </c>
    </row>
    <row r="391" spans="2:9">
      <c r="B391" s="29">
        <v>45807</v>
      </c>
      <c r="C391" s="514" t="s">
        <v>747</v>
      </c>
      <c r="D391" s="30" t="s">
        <v>476</v>
      </c>
      <c r="E391" s="31" t="s">
        <v>681</v>
      </c>
      <c r="F391" s="31" t="s">
        <v>471</v>
      </c>
      <c r="G391" s="31">
        <v>32</v>
      </c>
      <c r="H391" s="54" t="s">
        <v>685</v>
      </c>
      <c r="I391" s="901" t="s">
        <v>833</v>
      </c>
    </row>
    <row r="392" spans="2:9">
      <c r="B392" s="29">
        <v>45807</v>
      </c>
      <c r="C392" s="514" t="s">
        <v>747</v>
      </c>
      <c r="D392" s="30" t="s">
        <v>396</v>
      </c>
      <c r="E392" s="31" t="s">
        <v>703</v>
      </c>
      <c r="F392" s="31" t="s">
        <v>471</v>
      </c>
      <c r="G392" s="31">
        <v>4</v>
      </c>
      <c r="H392" s="54" t="s">
        <v>685</v>
      </c>
      <c r="I392" s="901" t="s">
        <v>833</v>
      </c>
    </row>
    <row r="393" spans="2:9">
      <c r="B393" s="29">
        <v>45807</v>
      </c>
      <c r="C393" s="514" t="s">
        <v>747</v>
      </c>
      <c r="D393" s="30" t="s">
        <v>411</v>
      </c>
      <c r="E393" s="31" t="s">
        <v>733</v>
      </c>
      <c r="F393" s="31" t="s">
        <v>471</v>
      </c>
      <c r="G393" s="31">
        <v>1</v>
      </c>
      <c r="H393" s="54" t="s">
        <v>685</v>
      </c>
      <c r="I393" s="901" t="s">
        <v>833</v>
      </c>
    </row>
    <row r="394" spans="2:9">
      <c r="B394" s="29">
        <v>45807</v>
      </c>
      <c r="C394" s="514" t="s">
        <v>747</v>
      </c>
      <c r="D394" s="30" t="s">
        <v>470</v>
      </c>
      <c r="E394" s="31" t="s">
        <v>590</v>
      </c>
      <c r="F394" s="31" t="s">
        <v>475</v>
      </c>
      <c r="G394" s="31">
        <v>3</v>
      </c>
      <c r="H394" s="896" t="s">
        <v>689</v>
      </c>
      <c r="I394" s="901" t="s">
        <v>744</v>
      </c>
    </row>
    <row r="395" spans="2:9">
      <c r="B395" s="29">
        <v>45807</v>
      </c>
      <c r="C395" s="514" t="s">
        <v>747</v>
      </c>
      <c r="D395" s="30" t="s">
        <v>509</v>
      </c>
      <c r="E395" s="31" t="s">
        <v>691</v>
      </c>
      <c r="F395" s="31" t="s">
        <v>475</v>
      </c>
      <c r="G395" s="31">
        <v>10</v>
      </c>
      <c r="H395" s="896" t="s">
        <v>689</v>
      </c>
      <c r="I395" s="901" t="s">
        <v>744</v>
      </c>
    </row>
    <row r="396" spans="2:9">
      <c r="B396" s="29">
        <v>45807</v>
      </c>
      <c r="C396" s="514" t="s">
        <v>747</v>
      </c>
      <c r="D396" s="30" t="s">
        <v>415</v>
      </c>
      <c r="E396" s="31" t="s">
        <v>659</v>
      </c>
      <c r="F396" s="31" t="s">
        <v>475</v>
      </c>
      <c r="G396" s="31">
        <v>7</v>
      </c>
      <c r="H396" s="896" t="s">
        <v>689</v>
      </c>
      <c r="I396" s="901" t="s">
        <v>744</v>
      </c>
    </row>
    <row r="397" spans="2:9">
      <c r="B397" s="29">
        <v>45807</v>
      </c>
      <c r="C397" s="514" t="s">
        <v>747</v>
      </c>
      <c r="D397" s="30" t="s">
        <v>417</v>
      </c>
      <c r="E397" s="31" t="s">
        <v>795</v>
      </c>
      <c r="F397" s="31" t="s">
        <v>475</v>
      </c>
      <c r="G397" s="31">
        <v>1</v>
      </c>
      <c r="H397" s="896" t="s">
        <v>689</v>
      </c>
      <c r="I397" s="901" t="s">
        <v>744</v>
      </c>
    </row>
    <row r="398" spans="2:9">
      <c r="B398" s="29">
        <v>45807</v>
      </c>
      <c r="C398" s="514" t="s">
        <v>747</v>
      </c>
      <c r="D398" s="30" t="s">
        <v>432</v>
      </c>
      <c r="E398" s="31" t="s">
        <v>693</v>
      </c>
      <c r="F398" s="31" t="s">
        <v>475</v>
      </c>
      <c r="G398" s="31">
        <v>2</v>
      </c>
      <c r="H398" s="896" t="s">
        <v>689</v>
      </c>
      <c r="I398" s="901" t="s">
        <v>744</v>
      </c>
    </row>
    <row r="399" spans="2:9">
      <c r="B399" s="29">
        <v>45807</v>
      </c>
      <c r="C399" s="514" t="s">
        <v>747</v>
      </c>
      <c r="D399" s="30" t="s">
        <v>411</v>
      </c>
      <c r="E399" s="31" t="s">
        <v>733</v>
      </c>
      <c r="F399" s="31" t="s">
        <v>475</v>
      </c>
      <c r="G399" s="31">
        <v>1</v>
      </c>
      <c r="H399" s="54" t="s">
        <v>683</v>
      </c>
      <c r="I399" s="901" t="s">
        <v>834</v>
      </c>
    </row>
    <row r="400" spans="2:9">
      <c r="B400" s="29">
        <v>45807</v>
      </c>
      <c r="C400" s="514" t="s">
        <v>747</v>
      </c>
      <c r="D400" s="30" t="s">
        <v>506</v>
      </c>
      <c r="E400" s="31" t="s">
        <v>687</v>
      </c>
      <c r="F400" s="31" t="s">
        <v>458</v>
      </c>
      <c r="G400" s="31">
        <v>2</v>
      </c>
      <c r="H400" s="54" t="s">
        <v>683</v>
      </c>
      <c r="I400" s="901" t="s">
        <v>834</v>
      </c>
    </row>
    <row r="401" spans="2:9">
      <c r="B401" s="29">
        <v>45807</v>
      </c>
      <c r="C401" s="514" t="s">
        <v>747</v>
      </c>
      <c r="D401" s="30" t="s">
        <v>564</v>
      </c>
      <c r="E401" s="31" t="s">
        <v>667</v>
      </c>
      <c r="F401" s="31" t="s">
        <v>458</v>
      </c>
      <c r="G401" s="31">
        <v>2</v>
      </c>
      <c r="H401" s="54" t="s">
        <v>683</v>
      </c>
      <c r="I401" s="901" t="s">
        <v>834</v>
      </c>
    </row>
    <row r="402" spans="2:9">
      <c r="B402" s="29">
        <v>45807</v>
      </c>
      <c r="C402" s="514" t="s">
        <v>747</v>
      </c>
      <c r="D402" s="30" t="s">
        <v>494</v>
      </c>
      <c r="E402" s="31" t="s">
        <v>587</v>
      </c>
      <c r="F402" s="31" t="s">
        <v>458</v>
      </c>
      <c r="G402" s="31">
        <v>1</v>
      </c>
      <c r="H402" s="54" t="s">
        <v>683</v>
      </c>
      <c r="I402" s="901" t="s">
        <v>834</v>
      </c>
    </row>
    <row r="403" spans="2:9">
      <c r="B403" s="29">
        <v>45807</v>
      </c>
      <c r="C403" s="514" t="s">
        <v>747</v>
      </c>
      <c r="D403" s="30" t="s">
        <v>509</v>
      </c>
      <c r="E403" s="31" t="s">
        <v>691</v>
      </c>
      <c r="F403" s="31" t="s">
        <v>458</v>
      </c>
      <c r="G403" s="31">
        <v>2</v>
      </c>
      <c r="H403" s="54" t="s">
        <v>683</v>
      </c>
      <c r="I403" s="901" t="s">
        <v>834</v>
      </c>
    </row>
    <row r="404" spans="2:9">
      <c r="B404" s="29">
        <v>45807</v>
      </c>
      <c r="C404" s="514" t="s">
        <v>747</v>
      </c>
      <c r="D404" s="30" t="s">
        <v>415</v>
      </c>
      <c r="E404" s="31" t="s">
        <v>659</v>
      </c>
      <c r="F404" s="31" t="s">
        <v>458</v>
      </c>
      <c r="G404" s="31">
        <v>2</v>
      </c>
      <c r="H404" s="54" t="s">
        <v>683</v>
      </c>
      <c r="I404" s="901" t="s">
        <v>834</v>
      </c>
    </row>
    <row r="405" spans="2:9">
      <c r="B405" s="29">
        <v>45807</v>
      </c>
      <c r="C405" s="514" t="s">
        <v>747</v>
      </c>
      <c r="D405" s="30" t="s">
        <v>504</v>
      </c>
      <c r="E405" s="31" t="s">
        <v>672</v>
      </c>
      <c r="F405" s="31" t="s">
        <v>458</v>
      </c>
      <c r="G405" s="31">
        <v>1</v>
      </c>
      <c r="H405" s="54" t="s">
        <v>683</v>
      </c>
      <c r="I405" s="901" t="s">
        <v>834</v>
      </c>
    </row>
    <row r="406" spans="2:9">
      <c r="B406" s="29">
        <v>45807</v>
      </c>
      <c r="C406" s="514" t="s">
        <v>747</v>
      </c>
      <c r="D406" s="30" t="s">
        <v>432</v>
      </c>
      <c r="E406" s="31" t="s">
        <v>693</v>
      </c>
      <c r="F406" s="31" t="s">
        <v>458</v>
      </c>
      <c r="G406" s="31">
        <v>1</v>
      </c>
      <c r="H406" s="54" t="s">
        <v>683</v>
      </c>
      <c r="I406" s="901" t="s">
        <v>834</v>
      </c>
    </row>
    <row r="407" spans="2:9">
      <c r="B407" s="29">
        <v>45807</v>
      </c>
      <c r="C407" s="514" t="s">
        <v>747</v>
      </c>
      <c r="D407" s="30" t="s">
        <v>597</v>
      </c>
      <c r="E407" s="31" t="s">
        <v>724</v>
      </c>
      <c r="F407" s="31" t="s">
        <v>458</v>
      </c>
      <c r="G407" s="31">
        <v>1</v>
      </c>
      <c r="H407" s="54" t="s">
        <v>683</v>
      </c>
      <c r="I407" s="901" t="s">
        <v>834</v>
      </c>
    </row>
    <row r="408" spans="2:9">
      <c r="B408" s="29">
        <v>45807</v>
      </c>
      <c r="C408" s="514" t="s">
        <v>747</v>
      </c>
      <c r="D408" s="30" t="s">
        <v>408</v>
      </c>
      <c r="E408" s="31" t="s">
        <v>788</v>
      </c>
      <c r="F408" s="31" t="s">
        <v>458</v>
      </c>
      <c r="G408" s="31">
        <v>1</v>
      </c>
      <c r="H408" s="54" t="s">
        <v>683</v>
      </c>
      <c r="I408" s="901" t="s">
        <v>834</v>
      </c>
    </row>
    <row r="409" spans="2:9">
      <c r="B409" s="29">
        <v>45808</v>
      </c>
      <c r="C409" s="514" t="s">
        <v>747</v>
      </c>
      <c r="D409" s="30" t="s">
        <v>397</v>
      </c>
      <c r="E409" s="31" t="s">
        <v>733</v>
      </c>
      <c r="F409" s="31" t="s">
        <v>835</v>
      </c>
      <c r="G409" s="31">
        <v>1</v>
      </c>
      <c r="H409" s="896" t="s">
        <v>689</v>
      </c>
      <c r="I409" s="898" t="s">
        <v>836</v>
      </c>
    </row>
    <row r="410" spans="2:9">
      <c r="B410" s="29">
        <v>45808</v>
      </c>
      <c r="C410" s="514" t="s">
        <v>747</v>
      </c>
      <c r="D410" s="30" t="s">
        <v>397</v>
      </c>
      <c r="E410" s="31" t="s">
        <v>733</v>
      </c>
      <c r="F410" s="31" t="s">
        <v>835</v>
      </c>
      <c r="G410" s="31">
        <v>1</v>
      </c>
      <c r="H410" s="896" t="s">
        <v>689</v>
      </c>
      <c r="I410" s="898" t="s">
        <v>836</v>
      </c>
    </row>
    <row r="411" spans="2:9">
      <c r="B411" s="29">
        <v>45808</v>
      </c>
      <c r="C411" s="514" t="s">
        <v>747</v>
      </c>
      <c r="D411" s="30" t="s">
        <v>397</v>
      </c>
      <c r="E411" s="31" t="s">
        <v>733</v>
      </c>
      <c r="F411" s="31" t="s">
        <v>835</v>
      </c>
      <c r="G411" s="31">
        <v>1</v>
      </c>
      <c r="H411" s="896" t="s">
        <v>689</v>
      </c>
      <c r="I411" s="898" t="s">
        <v>836</v>
      </c>
    </row>
    <row r="412" spans="2:9">
      <c r="B412" s="29">
        <v>45808</v>
      </c>
      <c r="C412" s="514" t="s">
        <v>747</v>
      </c>
      <c r="D412" s="30" t="s">
        <v>397</v>
      </c>
      <c r="E412" s="31" t="s">
        <v>733</v>
      </c>
      <c r="F412" s="31" t="s">
        <v>835</v>
      </c>
      <c r="G412" s="31">
        <v>1</v>
      </c>
      <c r="H412" s="896" t="s">
        <v>689</v>
      </c>
      <c r="I412" s="898" t="s">
        <v>836</v>
      </c>
    </row>
    <row r="413" spans="2:9">
      <c r="B413" s="29">
        <v>45808</v>
      </c>
      <c r="C413" s="514" t="s">
        <v>747</v>
      </c>
      <c r="D413" s="30" t="s">
        <v>468</v>
      </c>
      <c r="E413" s="31" t="s">
        <v>734</v>
      </c>
      <c r="F413" s="31" t="s">
        <v>472</v>
      </c>
      <c r="G413" s="31">
        <v>14</v>
      </c>
      <c r="H413" s="896" t="s">
        <v>689</v>
      </c>
      <c r="I413" s="898" t="s">
        <v>836</v>
      </c>
    </row>
    <row r="414" spans="2:9">
      <c r="B414" s="29">
        <v>45808</v>
      </c>
      <c r="C414" s="514" t="s">
        <v>747</v>
      </c>
      <c r="D414" s="30" t="s">
        <v>523</v>
      </c>
      <c r="E414" s="31" t="s">
        <v>837</v>
      </c>
      <c r="F414" s="31" t="s">
        <v>472</v>
      </c>
      <c r="G414" s="31">
        <v>10</v>
      </c>
      <c r="H414" s="896" t="s">
        <v>689</v>
      </c>
      <c r="I414" s="898" t="s">
        <v>836</v>
      </c>
    </row>
    <row r="415" spans="2:9">
      <c r="B415" s="29">
        <v>45808</v>
      </c>
      <c r="C415" s="514" t="s">
        <v>747</v>
      </c>
      <c r="D415" s="30" t="s">
        <v>544</v>
      </c>
      <c r="E415" s="31" t="s">
        <v>781</v>
      </c>
      <c r="F415" s="31" t="s">
        <v>472</v>
      </c>
      <c r="G415" s="31">
        <v>40</v>
      </c>
      <c r="H415" s="896" t="s">
        <v>689</v>
      </c>
      <c r="I415" s="898" t="s">
        <v>836</v>
      </c>
    </row>
    <row r="416" spans="2:9">
      <c r="B416" s="29">
        <v>45808</v>
      </c>
      <c r="C416" s="514" t="s">
        <v>747</v>
      </c>
      <c r="D416" s="30" t="s">
        <v>501</v>
      </c>
      <c r="E416" s="31" t="s">
        <v>696</v>
      </c>
      <c r="F416" s="31" t="s">
        <v>472</v>
      </c>
      <c r="G416" s="31">
        <v>55</v>
      </c>
      <c r="H416" s="896" t="s">
        <v>689</v>
      </c>
      <c r="I416" s="898" t="s">
        <v>836</v>
      </c>
    </row>
    <row r="417" spans="2:9">
      <c r="B417" s="29">
        <v>45808</v>
      </c>
      <c r="C417" s="514" t="s">
        <v>747</v>
      </c>
      <c r="D417" s="30" t="s">
        <v>467</v>
      </c>
      <c r="E417" s="31" t="s">
        <v>702</v>
      </c>
      <c r="F417" s="31" t="s">
        <v>472</v>
      </c>
      <c r="G417" s="31">
        <v>3</v>
      </c>
      <c r="H417" s="896" t="s">
        <v>689</v>
      </c>
      <c r="I417" s="898" t="s">
        <v>836</v>
      </c>
    </row>
    <row r="418" spans="2:9">
      <c r="B418" s="29">
        <v>45808</v>
      </c>
      <c r="C418" s="514" t="s">
        <v>747</v>
      </c>
      <c r="D418" s="30" t="s">
        <v>476</v>
      </c>
      <c r="E418" s="31" t="s">
        <v>681</v>
      </c>
      <c r="F418" s="31" t="s">
        <v>472</v>
      </c>
      <c r="G418" s="31">
        <v>11</v>
      </c>
      <c r="H418" s="896" t="s">
        <v>689</v>
      </c>
      <c r="I418" s="898" t="s">
        <v>836</v>
      </c>
    </row>
    <row r="419" spans="2:9">
      <c r="B419" s="29">
        <v>45808</v>
      </c>
      <c r="C419" s="514" t="s">
        <v>747</v>
      </c>
      <c r="D419" s="30" t="s">
        <v>396</v>
      </c>
      <c r="E419" s="31" t="s">
        <v>703</v>
      </c>
      <c r="F419" s="31" t="s">
        <v>472</v>
      </c>
      <c r="G419" s="31">
        <v>3</v>
      </c>
      <c r="H419" s="896" t="s">
        <v>689</v>
      </c>
      <c r="I419" s="898" t="s">
        <v>836</v>
      </c>
    </row>
    <row r="420" spans="2:9">
      <c r="B420" s="29">
        <v>45808</v>
      </c>
      <c r="C420" s="514" t="s">
        <v>747</v>
      </c>
      <c r="D420" s="30" t="s">
        <v>547</v>
      </c>
      <c r="E420" s="31" t="s">
        <v>727</v>
      </c>
      <c r="F420" s="31" t="s">
        <v>399</v>
      </c>
      <c r="G420" s="31">
        <v>5</v>
      </c>
      <c r="H420" s="896" t="s">
        <v>689</v>
      </c>
      <c r="I420" s="898" t="s">
        <v>836</v>
      </c>
    </row>
    <row r="421" spans="2:9">
      <c r="B421" s="29">
        <v>45808</v>
      </c>
      <c r="C421" s="514" t="s">
        <v>747</v>
      </c>
      <c r="D421" s="30" t="s">
        <v>534</v>
      </c>
      <c r="E421" s="31" t="s">
        <v>809</v>
      </c>
      <c r="F421" s="31" t="s">
        <v>399</v>
      </c>
      <c r="G421" s="31">
        <v>5</v>
      </c>
      <c r="H421" s="896" t="s">
        <v>689</v>
      </c>
      <c r="I421" s="898" t="s">
        <v>836</v>
      </c>
    </row>
    <row r="422" spans="2:9">
      <c r="B422" s="29">
        <v>45808</v>
      </c>
      <c r="C422" s="514" t="s">
        <v>747</v>
      </c>
      <c r="D422" s="30" t="s">
        <v>439</v>
      </c>
      <c r="E422" s="31" t="s">
        <v>742</v>
      </c>
      <c r="F422" s="31" t="s">
        <v>399</v>
      </c>
      <c r="G422" s="31">
        <v>1</v>
      </c>
      <c r="H422" s="896" t="s">
        <v>689</v>
      </c>
      <c r="I422" s="898" t="s">
        <v>836</v>
      </c>
    </row>
    <row r="423" spans="2:9">
      <c r="B423" s="29">
        <v>45808</v>
      </c>
      <c r="C423" s="514" t="s">
        <v>747</v>
      </c>
      <c r="D423" s="30" t="s">
        <v>508</v>
      </c>
      <c r="E423" s="31" t="s">
        <v>829</v>
      </c>
      <c r="F423" s="31" t="s">
        <v>399</v>
      </c>
      <c r="G423" s="31">
        <v>5</v>
      </c>
      <c r="H423" s="896" t="s">
        <v>689</v>
      </c>
      <c r="I423" s="898" t="s">
        <v>836</v>
      </c>
    </row>
    <row r="424" spans="2:9">
      <c r="B424" s="29">
        <v>45808</v>
      </c>
      <c r="C424" s="514" t="s">
        <v>747</v>
      </c>
      <c r="D424" s="30" t="s">
        <v>525</v>
      </c>
      <c r="E424" s="31" t="s">
        <v>838</v>
      </c>
      <c r="F424" s="31" t="s">
        <v>399</v>
      </c>
      <c r="G424" s="31">
        <v>10</v>
      </c>
      <c r="H424" s="896" t="s">
        <v>689</v>
      </c>
      <c r="I424" s="898" t="s">
        <v>836</v>
      </c>
    </row>
    <row r="425" spans="2:9">
      <c r="B425" s="29">
        <v>45808</v>
      </c>
      <c r="C425" s="514" t="s">
        <v>747</v>
      </c>
      <c r="D425" s="30" t="s">
        <v>441</v>
      </c>
      <c r="E425" s="31" t="s">
        <v>839</v>
      </c>
      <c r="F425" s="31" t="s">
        <v>399</v>
      </c>
      <c r="G425" s="31">
        <v>1</v>
      </c>
      <c r="H425" s="896" t="s">
        <v>689</v>
      </c>
      <c r="I425" s="898" t="s">
        <v>836</v>
      </c>
    </row>
    <row r="426" spans="2:9">
      <c r="B426" s="29">
        <v>45808</v>
      </c>
      <c r="C426" s="514" t="s">
        <v>747</v>
      </c>
      <c r="D426" s="30" t="s">
        <v>470</v>
      </c>
      <c r="E426" s="31" t="s">
        <v>590</v>
      </c>
      <c r="F426" s="31" t="s">
        <v>399</v>
      </c>
      <c r="G426" s="31">
        <v>6</v>
      </c>
      <c r="H426" s="896" t="s">
        <v>689</v>
      </c>
      <c r="I426" s="898" t="s">
        <v>836</v>
      </c>
    </row>
    <row r="427" spans="2:9">
      <c r="B427" s="29">
        <v>45808</v>
      </c>
      <c r="C427" s="514" t="s">
        <v>747</v>
      </c>
      <c r="D427" s="30" t="s">
        <v>494</v>
      </c>
      <c r="E427" s="31" t="s">
        <v>587</v>
      </c>
      <c r="F427" s="31" t="s">
        <v>399</v>
      </c>
      <c r="G427" s="31">
        <v>31</v>
      </c>
      <c r="H427" s="896" t="s">
        <v>689</v>
      </c>
      <c r="I427" s="898" t="s">
        <v>836</v>
      </c>
    </row>
    <row r="428" spans="2:9">
      <c r="B428" s="29">
        <v>45808</v>
      </c>
      <c r="C428" s="514" t="s">
        <v>747</v>
      </c>
      <c r="D428" s="30" t="s">
        <v>509</v>
      </c>
      <c r="E428" s="31" t="s">
        <v>691</v>
      </c>
      <c r="F428" s="31" t="s">
        <v>399</v>
      </c>
      <c r="G428" s="31">
        <v>4</v>
      </c>
      <c r="H428" s="896" t="s">
        <v>689</v>
      </c>
      <c r="I428" s="898" t="s">
        <v>836</v>
      </c>
    </row>
    <row r="429" spans="2:9">
      <c r="B429" s="29">
        <v>45808</v>
      </c>
      <c r="C429" s="514" t="s">
        <v>747</v>
      </c>
      <c r="D429" s="30" t="s">
        <v>415</v>
      </c>
      <c r="E429" s="31" t="s">
        <v>659</v>
      </c>
      <c r="F429" s="31" t="s">
        <v>399</v>
      </c>
      <c r="G429" s="31">
        <v>11</v>
      </c>
      <c r="H429" s="896" t="s">
        <v>689</v>
      </c>
      <c r="I429" s="898" t="s">
        <v>836</v>
      </c>
    </row>
    <row r="430" spans="2:9">
      <c r="B430" s="29">
        <v>45808</v>
      </c>
      <c r="C430" s="514" t="s">
        <v>747</v>
      </c>
      <c r="D430" s="30" t="s">
        <v>497</v>
      </c>
      <c r="E430" s="31" t="s">
        <v>692</v>
      </c>
      <c r="F430" s="31" t="s">
        <v>399</v>
      </c>
      <c r="G430" s="31">
        <v>10</v>
      </c>
      <c r="H430" s="896" t="s">
        <v>689</v>
      </c>
      <c r="I430" s="898" t="s">
        <v>836</v>
      </c>
    </row>
    <row r="431" spans="2:9">
      <c r="B431" s="29">
        <v>45808</v>
      </c>
      <c r="C431" s="514" t="s">
        <v>747</v>
      </c>
      <c r="D431" s="30" t="s">
        <v>504</v>
      </c>
      <c r="E431" s="31" t="s">
        <v>672</v>
      </c>
      <c r="F431" s="31" t="s">
        <v>399</v>
      </c>
      <c r="G431" s="31">
        <v>1</v>
      </c>
      <c r="H431" s="896" t="s">
        <v>689</v>
      </c>
      <c r="I431" s="898" t="s">
        <v>836</v>
      </c>
    </row>
    <row r="432" spans="2:9">
      <c r="B432" s="29">
        <v>45808</v>
      </c>
      <c r="C432" s="514" t="s">
        <v>747</v>
      </c>
      <c r="D432" s="30" t="s">
        <v>430</v>
      </c>
      <c r="E432" s="31" t="s">
        <v>723</v>
      </c>
      <c r="F432" s="31" t="s">
        <v>399</v>
      </c>
      <c r="G432" s="31">
        <v>1</v>
      </c>
      <c r="H432" s="896" t="s">
        <v>689</v>
      </c>
      <c r="I432" s="898" t="s">
        <v>836</v>
      </c>
    </row>
    <row r="433" spans="2:9">
      <c r="B433" s="29">
        <v>45808</v>
      </c>
      <c r="C433" s="514" t="s">
        <v>747</v>
      </c>
      <c r="D433" s="30" t="s">
        <v>597</v>
      </c>
      <c r="E433" s="31" t="s">
        <v>724</v>
      </c>
      <c r="F433" s="31" t="s">
        <v>399</v>
      </c>
      <c r="G433" s="31">
        <v>1</v>
      </c>
      <c r="H433" s="896" t="s">
        <v>689</v>
      </c>
      <c r="I433" s="898" t="s">
        <v>836</v>
      </c>
    </row>
    <row r="434" spans="2:9">
      <c r="B434" s="29">
        <v>45810</v>
      </c>
      <c r="C434" s="514" t="s">
        <v>840</v>
      </c>
      <c r="D434" s="30" t="s">
        <v>501</v>
      </c>
      <c r="E434" s="31" t="s">
        <v>696</v>
      </c>
      <c r="F434" s="31" t="s">
        <v>841</v>
      </c>
      <c r="G434" s="31">
        <v>3</v>
      </c>
      <c r="H434" s="54" t="s">
        <v>685</v>
      </c>
      <c r="I434" s="901" t="s">
        <v>817</v>
      </c>
    </row>
    <row r="435" spans="2:9">
      <c r="B435" s="29">
        <v>45810</v>
      </c>
      <c r="C435" s="514" t="s">
        <v>840</v>
      </c>
      <c r="D435" s="30" t="s">
        <v>476</v>
      </c>
      <c r="E435" s="31" t="s">
        <v>681</v>
      </c>
      <c r="F435" s="31" t="s">
        <v>841</v>
      </c>
      <c r="G435" s="31">
        <v>7</v>
      </c>
      <c r="H435" s="54" t="s">
        <v>685</v>
      </c>
      <c r="I435" s="901" t="s">
        <v>817</v>
      </c>
    </row>
    <row r="436" spans="2:9">
      <c r="B436" s="29">
        <v>45811</v>
      </c>
      <c r="C436" s="514" t="s">
        <v>840</v>
      </c>
      <c r="D436" s="30" t="s">
        <v>470</v>
      </c>
      <c r="E436" s="31" t="s">
        <v>590</v>
      </c>
      <c r="F436" s="31" t="s">
        <v>842</v>
      </c>
      <c r="G436" s="31">
        <v>1</v>
      </c>
      <c r="H436" s="896" t="s">
        <v>689</v>
      </c>
      <c r="I436" s="901" t="s">
        <v>744</v>
      </c>
    </row>
    <row r="437" spans="2:9">
      <c r="B437" s="29">
        <v>45811</v>
      </c>
      <c r="C437" s="514" t="s">
        <v>840</v>
      </c>
      <c r="D437" s="30" t="s">
        <v>494</v>
      </c>
      <c r="E437" s="31" t="s">
        <v>587</v>
      </c>
      <c r="F437" s="31" t="s">
        <v>842</v>
      </c>
      <c r="G437" s="31">
        <v>2</v>
      </c>
      <c r="H437" s="896" t="s">
        <v>689</v>
      </c>
      <c r="I437" s="901" t="s">
        <v>744</v>
      </c>
    </row>
    <row r="438" spans="2:9">
      <c r="B438" s="29">
        <v>45811</v>
      </c>
      <c r="C438" s="514" t="s">
        <v>840</v>
      </c>
      <c r="D438" s="30" t="s">
        <v>497</v>
      </c>
      <c r="E438" s="31" t="s">
        <v>692</v>
      </c>
      <c r="F438" s="31" t="s">
        <v>842</v>
      </c>
      <c r="G438" s="31">
        <v>1</v>
      </c>
      <c r="H438" s="896" t="s">
        <v>689</v>
      </c>
      <c r="I438" s="901" t="s">
        <v>744</v>
      </c>
    </row>
    <row r="439" spans="2:9">
      <c r="B439" s="29">
        <v>45811</v>
      </c>
      <c r="C439" s="514" t="s">
        <v>840</v>
      </c>
      <c r="D439" s="30" t="s">
        <v>504</v>
      </c>
      <c r="E439" s="31" t="s">
        <v>672</v>
      </c>
      <c r="F439" s="31" t="s">
        <v>842</v>
      </c>
      <c r="G439" s="31">
        <v>1</v>
      </c>
      <c r="H439" s="896" t="s">
        <v>689</v>
      </c>
      <c r="I439" s="901" t="s">
        <v>744</v>
      </c>
    </row>
    <row r="440" spans="2:9">
      <c r="B440" s="29">
        <v>45811</v>
      </c>
      <c r="C440" s="514" t="s">
        <v>840</v>
      </c>
      <c r="D440" s="30" t="s">
        <v>432</v>
      </c>
      <c r="E440" s="31" t="s">
        <v>693</v>
      </c>
      <c r="F440" s="31" t="s">
        <v>842</v>
      </c>
      <c r="G440" s="31">
        <v>1</v>
      </c>
      <c r="H440" s="896" t="s">
        <v>689</v>
      </c>
      <c r="I440" s="901" t="s">
        <v>744</v>
      </c>
    </row>
    <row r="441" spans="2:9">
      <c r="B441" s="29">
        <v>45811</v>
      </c>
      <c r="C441" s="514" t="s">
        <v>840</v>
      </c>
      <c r="D441" s="30" t="s">
        <v>501</v>
      </c>
      <c r="E441" s="31" t="s">
        <v>696</v>
      </c>
      <c r="F441" s="31" t="s">
        <v>842</v>
      </c>
      <c r="G441" s="31">
        <v>3</v>
      </c>
      <c r="H441" s="896" t="s">
        <v>689</v>
      </c>
      <c r="I441" s="901" t="s">
        <v>744</v>
      </c>
    </row>
    <row r="442" spans="2:9">
      <c r="B442" s="29">
        <v>45811</v>
      </c>
      <c r="C442" s="514" t="s">
        <v>840</v>
      </c>
      <c r="D442" s="30" t="s">
        <v>467</v>
      </c>
      <c r="E442" s="31" t="s">
        <v>702</v>
      </c>
      <c r="F442" s="31" t="s">
        <v>842</v>
      </c>
      <c r="G442" s="31">
        <v>2</v>
      </c>
      <c r="H442" s="896" t="s">
        <v>689</v>
      </c>
      <c r="I442" s="901" t="s">
        <v>744</v>
      </c>
    </row>
    <row r="443" spans="2:9">
      <c r="B443" s="29">
        <v>45811</v>
      </c>
      <c r="C443" s="514" t="s">
        <v>840</v>
      </c>
      <c r="D443" s="30" t="s">
        <v>476</v>
      </c>
      <c r="E443" s="31" t="s">
        <v>681</v>
      </c>
      <c r="F443" s="31" t="s">
        <v>842</v>
      </c>
      <c r="G443" s="31">
        <v>7</v>
      </c>
      <c r="H443" s="896" t="s">
        <v>689</v>
      </c>
      <c r="I443" s="901" t="s">
        <v>744</v>
      </c>
    </row>
    <row r="444" spans="2:9">
      <c r="B444" s="29">
        <v>45811</v>
      </c>
      <c r="C444" s="514" t="s">
        <v>840</v>
      </c>
      <c r="D444" s="30" t="s">
        <v>525</v>
      </c>
      <c r="E444" s="31" t="s">
        <v>838</v>
      </c>
      <c r="F444" s="31" t="s">
        <v>428</v>
      </c>
      <c r="G444" s="31">
        <v>1</v>
      </c>
      <c r="H444" s="54" t="s">
        <v>718</v>
      </c>
      <c r="I444" s="901" t="s">
        <v>843</v>
      </c>
    </row>
    <row r="445" spans="2:9">
      <c r="B445" s="29">
        <v>45812</v>
      </c>
      <c r="C445" s="514" t="s">
        <v>840</v>
      </c>
      <c r="D445" s="30" t="s">
        <v>467</v>
      </c>
      <c r="E445" s="31" t="s">
        <v>702</v>
      </c>
      <c r="F445" s="31" t="s">
        <v>461</v>
      </c>
      <c r="G445" s="31">
        <v>6</v>
      </c>
      <c r="H445" s="54" t="s">
        <v>685</v>
      </c>
      <c r="I445" s="898" t="s">
        <v>844</v>
      </c>
    </row>
    <row r="446" spans="2:9">
      <c r="B446" s="29">
        <v>45814</v>
      </c>
      <c r="C446" s="514" t="s">
        <v>840</v>
      </c>
      <c r="D446" s="30" t="s">
        <v>494</v>
      </c>
      <c r="E446" s="31" t="s">
        <v>587</v>
      </c>
      <c r="F446" s="31" t="s">
        <v>477</v>
      </c>
      <c r="G446" s="31">
        <v>1</v>
      </c>
      <c r="H446" s="54" t="s">
        <v>685</v>
      </c>
      <c r="I446" s="901" t="s">
        <v>817</v>
      </c>
    </row>
    <row r="447" spans="2:9">
      <c r="B447" s="29">
        <v>45814</v>
      </c>
      <c r="C447" s="514" t="s">
        <v>840</v>
      </c>
      <c r="D447" s="30" t="s">
        <v>509</v>
      </c>
      <c r="E447" s="31" t="s">
        <v>691</v>
      </c>
      <c r="F447" s="31" t="s">
        <v>477</v>
      </c>
      <c r="G447" s="31">
        <v>1</v>
      </c>
      <c r="H447" s="54" t="s">
        <v>685</v>
      </c>
      <c r="I447" s="901" t="s">
        <v>817</v>
      </c>
    </row>
    <row r="448" spans="2:9">
      <c r="B448" s="29">
        <v>45814</v>
      </c>
      <c r="C448" s="514" t="s">
        <v>840</v>
      </c>
      <c r="D448" s="30" t="s">
        <v>504</v>
      </c>
      <c r="E448" s="31" t="s">
        <v>672</v>
      </c>
      <c r="F448" s="31" t="s">
        <v>477</v>
      </c>
      <c r="G448" s="31">
        <v>1</v>
      </c>
      <c r="H448" s="54" t="s">
        <v>685</v>
      </c>
      <c r="I448" s="901" t="s">
        <v>817</v>
      </c>
    </row>
    <row r="449" spans="2:9">
      <c r="B449" s="29">
        <v>45814</v>
      </c>
      <c r="C449" s="514" t="s">
        <v>840</v>
      </c>
      <c r="D449" s="30" t="s">
        <v>415</v>
      </c>
      <c r="E449" s="31" t="s">
        <v>659</v>
      </c>
      <c r="F449" s="31" t="s">
        <v>450</v>
      </c>
      <c r="G449" s="31">
        <v>1</v>
      </c>
      <c r="H449" s="54" t="s">
        <v>685</v>
      </c>
      <c r="I449" s="901" t="s">
        <v>817</v>
      </c>
    </row>
    <row r="450" spans="2:9">
      <c r="B450" s="29">
        <v>45814</v>
      </c>
      <c r="C450" s="514" t="s">
        <v>840</v>
      </c>
      <c r="D450" s="30" t="s">
        <v>417</v>
      </c>
      <c r="E450" s="31" t="s">
        <v>795</v>
      </c>
      <c r="F450" s="31" t="s">
        <v>450</v>
      </c>
      <c r="G450" s="31">
        <v>1</v>
      </c>
      <c r="H450" s="54" t="s">
        <v>685</v>
      </c>
      <c r="I450" s="901" t="s">
        <v>817</v>
      </c>
    </row>
    <row r="451" spans="2:9">
      <c r="B451" s="29">
        <v>45814</v>
      </c>
      <c r="C451" s="514" t="s">
        <v>840</v>
      </c>
      <c r="D451" s="30" t="s">
        <v>506</v>
      </c>
      <c r="E451" s="31" t="s">
        <v>687</v>
      </c>
      <c r="F451" s="31" t="s">
        <v>568</v>
      </c>
      <c r="G451" s="31">
        <v>1</v>
      </c>
      <c r="H451" s="54" t="s">
        <v>685</v>
      </c>
      <c r="I451" s="901" t="s">
        <v>817</v>
      </c>
    </row>
    <row r="452" spans="2:9">
      <c r="B452" s="29">
        <v>45814</v>
      </c>
      <c r="C452" s="514" t="s">
        <v>840</v>
      </c>
      <c r="D452" s="30" t="s">
        <v>470</v>
      </c>
      <c r="E452" s="31" t="s">
        <v>590</v>
      </c>
      <c r="F452" s="31" t="s">
        <v>568</v>
      </c>
      <c r="G452" s="31">
        <v>3</v>
      </c>
      <c r="H452" s="54" t="s">
        <v>685</v>
      </c>
      <c r="I452" s="901" t="s">
        <v>817</v>
      </c>
    </row>
    <row r="453" spans="2:9">
      <c r="B453" s="29">
        <v>45814</v>
      </c>
      <c r="C453" s="514" t="s">
        <v>840</v>
      </c>
      <c r="D453" s="30" t="s">
        <v>564</v>
      </c>
      <c r="E453" s="31" t="s">
        <v>667</v>
      </c>
      <c r="F453" s="31" t="s">
        <v>568</v>
      </c>
      <c r="G453" s="31">
        <v>1</v>
      </c>
      <c r="H453" s="54" t="s">
        <v>685</v>
      </c>
      <c r="I453" s="901" t="s">
        <v>817</v>
      </c>
    </row>
    <row r="454" spans="2:9">
      <c r="B454" s="29">
        <v>45814</v>
      </c>
      <c r="C454" s="514" t="s">
        <v>840</v>
      </c>
      <c r="D454" s="30" t="s">
        <v>509</v>
      </c>
      <c r="E454" s="31" t="s">
        <v>691</v>
      </c>
      <c r="F454" s="31" t="s">
        <v>568</v>
      </c>
      <c r="G454" s="31">
        <v>2</v>
      </c>
      <c r="H454" s="54" t="s">
        <v>685</v>
      </c>
      <c r="I454" s="901" t="s">
        <v>817</v>
      </c>
    </row>
    <row r="455" spans="2:9">
      <c r="B455" s="29">
        <v>45814</v>
      </c>
      <c r="C455" s="514" t="s">
        <v>840</v>
      </c>
      <c r="D455" s="30" t="s">
        <v>415</v>
      </c>
      <c r="E455" s="31" t="s">
        <v>659</v>
      </c>
      <c r="F455" s="31" t="s">
        <v>568</v>
      </c>
      <c r="G455" s="31">
        <v>2</v>
      </c>
      <c r="H455" s="54" t="s">
        <v>685</v>
      </c>
      <c r="I455" s="901" t="s">
        <v>817</v>
      </c>
    </row>
    <row r="456" spans="2:9">
      <c r="B456" s="29">
        <v>45814</v>
      </c>
      <c r="C456" s="514" t="s">
        <v>840</v>
      </c>
      <c r="D456" s="30" t="s">
        <v>497</v>
      </c>
      <c r="E456" s="31" t="s">
        <v>692</v>
      </c>
      <c r="F456" s="31" t="s">
        <v>568</v>
      </c>
      <c r="G456" s="31">
        <v>1</v>
      </c>
      <c r="H456" s="54" t="s">
        <v>685</v>
      </c>
      <c r="I456" s="901" t="s">
        <v>817</v>
      </c>
    </row>
    <row r="457" spans="2:9">
      <c r="B457" s="29">
        <v>45814</v>
      </c>
      <c r="C457" s="514" t="s">
        <v>840</v>
      </c>
      <c r="D457" s="30" t="s">
        <v>504</v>
      </c>
      <c r="E457" s="31" t="s">
        <v>672</v>
      </c>
      <c r="F457" s="31" t="s">
        <v>568</v>
      </c>
      <c r="G457" s="31">
        <v>1</v>
      </c>
      <c r="H457" s="54" t="s">
        <v>685</v>
      </c>
      <c r="I457" s="901" t="s">
        <v>817</v>
      </c>
    </row>
    <row r="458" spans="2:9">
      <c r="B458" s="29">
        <v>45814</v>
      </c>
      <c r="C458" s="514" t="s">
        <v>840</v>
      </c>
      <c r="D458" s="30" t="s">
        <v>432</v>
      </c>
      <c r="E458" s="31" t="s">
        <v>693</v>
      </c>
      <c r="F458" s="31" t="s">
        <v>568</v>
      </c>
      <c r="G458" s="31">
        <v>1</v>
      </c>
      <c r="H458" s="54" t="s">
        <v>685</v>
      </c>
      <c r="I458" s="901" t="s">
        <v>817</v>
      </c>
    </row>
    <row r="459" spans="2:9">
      <c r="B459" s="29">
        <v>45814</v>
      </c>
      <c r="C459" s="514" t="s">
        <v>840</v>
      </c>
      <c r="D459" s="30" t="s">
        <v>419</v>
      </c>
      <c r="E459" s="31" t="s">
        <v>701</v>
      </c>
      <c r="F459" s="31" t="s">
        <v>568</v>
      </c>
      <c r="G459" s="31">
        <v>1</v>
      </c>
      <c r="H459" s="54" t="s">
        <v>685</v>
      </c>
      <c r="I459" s="901" t="s">
        <v>817</v>
      </c>
    </row>
    <row r="460" spans="2:9">
      <c r="B460" s="29">
        <v>45814</v>
      </c>
      <c r="C460" s="514" t="s">
        <v>840</v>
      </c>
      <c r="D460" s="30" t="s">
        <v>436</v>
      </c>
      <c r="E460" s="31" t="s">
        <v>766</v>
      </c>
      <c r="F460" s="31" t="s">
        <v>568</v>
      </c>
      <c r="G460" s="31">
        <v>1</v>
      </c>
      <c r="H460" s="54" t="s">
        <v>685</v>
      </c>
      <c r="I460" s="901" t="s">
        <v>817</v>
      </c>
    </row>
    <row r="461" spans="2:9">
      <c r="B461" s="29">
        <v>45815</v>
      </c>
      <c r="C461" s="514" t="s">
        <v>840</v>
      </c>
      <c r="D461" s="30" t="s">
        <v>497</v>
      </c>
      <c r="E461" s="31" t="s">
        <v>692</v>
      </c>
      <c r="F461" s="31" t="s">
        <v>620</v>
      </c>
      <c r="G461" s="31">
        <v>1</v>
      </c>
      <c r="H461" s="54" t="s">
        <v>685</v>
      </c>
      <c r="I461" s="894" t="s">
        <v>737</v>
      </c>
    </row>
    <row r="462" spans="2:9">
      <c r="B462" s="29">
        <v>45818</v>
      </c>
      <c r="C462" s="514" t="s">
        <v>840</v>
      </c>
      <c r="D462" s="30" t="s">
        <v>501</v>
      </c>
      <c r="E462" s="31" t="s">
        <v>696</v>
      </c>
      <c r="F462" s="31" t="s">
        <v>539</v>
      </c>
      <c r="G462" s="31">
        <v>26</v>
      </c>
      <c r="H462" s="54" t="s">
        <v>683</v>
      </c>
      <c r="I462" s="901" t="s">
        <v>845</v>
      </c>
    </row>
    <row r="463" spans="2:9">
      <c r="B463" s="29">
        <v>45819</v>
      </c>
      <c r="C463" s="514" t="s">
        <v>840</v>
      </c>
      <c r="D463" s="30" t="s">
        <v>501</v>
      </c>
      <c r="E463" s="31" t="s">
        <v>696</v>
      </c>
      <c r="F463" s="31" t="s">
        <v>846</v>
      </c>
      <c r="G463" s="31">
        <v>1</v>
      </c>
      <c r="H463" s="54" t="s">
        <v>685</v>
      </c>
      <c r="I463" s="901" t="s">
        <v>759</v>
      </c>
    </row>
    <row r="464" spans="2:9">
      <c r="B464" s="29">
        <v>45819</v>
      </c>
      <c r="C464" s="514" t="s">
        <v>840</v>
      </c>
      <c r="D464" s="30" t="s">
        <v>547</v>
      </c>
      <c r="E464" s="31" t="s">
        <v>727</v>
      </c>
      <c r="F464" s="31" t="s">
        <v>847</v>
      </c>
      <c r="G464" s="31">
        <v>1</v>
      </c>
      <c r="H464" s="54" t="s">
        <v>685</v>
      </c>
      <c r="I464" s="901" t="s">
        <v>759</v>
      </c>
    </row>
    <row r="465" spans="2:9">
      <c r="B465" s="29">
        <v>45819</v>
      </c>
      <c r="C465" s="514" t="s">
        <v>840</v>
      </c>
      <c r="D465" s="30" t="s">
        <v>506</v>
      </c>
      <c r="E465" s="31" t="s">
        <v>687</v>
      </c>
      <c r="F465" s="31" t="s">
        <v>847</v>
      </c>
      <c r="G465" s="31">
        <v>2</v>
      </c>
      <c r="H465" s="54" t="s">
        <v>685</v>
      </c>
      <c r="I465" s="901" t="s">
        <v>759</v>
      </c>
    </row>
    <row r="466" spans="2:9">
      <c r="B466" s="29">
        <v>45819</v>
      </c>
      <c r="C466" s="514" t="s">
        <v>840</v>
      </c>
      <c r="D466" s="30" t="s">
        <v>494</v>
      </c>
      <c r="E466" s="31" t="s">
        <v>587</v>
      </c>
      <c r="F466" s="31" t="s">
        <v>847</v>
      </c>
      <c r="G466" s="31">
        <v>1</v>
      </c>
      <c r="H466" s="54" t="s">
        <v>685</v>
      </c>
      <c r="I466" s="901" t="s">
        <v>759</v>
      </c>
    </row>
    <row r="467" spans="2:9">
      <c r="B467" s="29">
        <v>45819</v>
      </c>
      <c r="C467" s="514" t="s">
        <v>840</v>
      </c>
      <c r="D467" s="30" t="s">
        <v>509</v>
      </c>
      <c r="E467" s="31" t="s">
        <v>691</v>
      </c>
      <c r="F467" s="31" t="s">
        <v>847</v>
      </c>
      <c r="G467" s="31">
        <v>2</v>
      </c>
      <c r="H467" s="54" t="s">
        <v>685</v>
      </c>
      <c r="I467" s="901" t="s">
        <v>759</v>
      </c>
    </row>
    <row r="468" spans="2:9">
      <c r="B468" s="29">
        <v>45819</v>
      </c>
      <c r="C468" s="514" t="s">
        <v>840</v>
      </c>
      <c r="D468" s="30" t="s">
        <v>415</v>
      </c>
      <c r="E468" s="31" t="s">
        <v>659</v>
      </c>
      <c r="F468" s="31" t="s">
        <v>847</v>
      </c>
      <c r="G468" s="31">
        <v>2</v>
      </c>
      <c r="H468" s="54" t="s">
        <v>685</v>
      </c>
      <c r="I468" s="901" t="s">
        <v>759</v>
      </c>
    </row>
    <row r="469" spans="2:9">
      <c r="B469" s="29">
        <v>45819</v>
      </c>
      <c r="C469" s="514" t="s">
        <v>840</v>
      </c>
      <c r="D469" s="30" t="s">
        <v>497</v>
      </c>
      <c r="E469" s="31" t="s">
        <v>692</v>
      </c>
      <c r="F469" s="31" t="s">
        <v>847</v>
      </c>
      <c r="G469" s="31">
        <v>1</v>
      </c>
      <c r="H469" s="54" t="s">
        <v>685</v>
      </c>
      <c r="I469" s="901" t="s">
        <v>759</v>
      </c>
    </row>
    <row r="470" spans="2:9">
      <c r="B470" s="29">
        <v>45819</v>
      </c>
      <c r="C470" s="514" t="s">
        <v>840</v>
      </c>
      <c r="D470" s="30" t="s">
        <v>417</v>
      </c>
      <c r="E470" s="31" t="s">
        <v>795</v>
      </c>
      <c r="F470" s="31" t="s">
        <v>847</v>
      </c>
      <c r="G470" s="31">
        <v>1</v>
      </c>
      <c r="H470" s="54" t="s">
        <v>685</v>
      </c>
      <c r="I470" s="901" t="s">
        <v>759</v>
      </c>
    </row>
    <row r="471" spans="2:9">
      <c r="B471" s="29">
        <v>45819</v>
      </c>
      <c r="C471" s="514" t="s">
        <v>840</v>
      </c>
      <c r="D471" s="30" t="s">
        <v>504</v>
      </c>
      <c r="E471" s="31" t="s">
        <v>672</v>
      </c>
      <c r="F471" s="31" t="s">
        <v>847</v>
      </c>
      <c r="G471" s="31">
        <v>2</v>
      </c>
      <c r="H471" s="54" t="s">
        <v>685</v>
      </c>
      <c r="I471" s="901" t="s">
        <v>759</v>
      </c>
    </row>
    <row r="472" spans="2:9">
      <c r="B472" s="29">
        <v>45819</v>
      </c>
      <c r="C472" s="514" t="s">
        <v>840</v>
      </c>
      <c r="D472" s="30" t="s">
        <v>564</v>
      </c>
      <c r="E472" s="31" t="s">
        <v>667</v>
      </c>
      <c r="F472" s="31" t="s">
        <v>462</v>
      </c>
      <c r="G472" s="31">
        <v>1</v>
      </c>
      <c r="H472" s="54" t="s">
        <v>344</v>
      </c>
      <c r="I472" s="901" t="s">
        <v>848</v>
      </c>
    </row>
    <row r="473" spans="2:9">
      <c r="B473" s="29">
        <v>45819</v>
      </c>
      <c r="C473" s="514" t="s">
        <v>840</v>
      </c>
      <c r="D473" s="30" t="s">
        <v>501</v>
      </c>
      <c r="E473" s="31" t="s">
        <v>696</v>
      </c>
      <c r="F473" s="31" t="s">
        <v>438</v>
      </c>
      <c r="G473" s="31">
        <v>5</v>
      </c>
      <c r="H473" s="54" t="s">
        <v>689</v>
      </c>
      <c r="I473" s="901" t="s">
        <v>849</v>
      </c>
    </row>
    <row r="474" spans="2:9">
      <c r="B474" s="29">
        <v>45820</v>
      </c>
      <c r="C474" s="514" t="s">
        <v>840</v>
      </c>
      <c r="D474" s="30" t="s">
        <v>468</v>
      </c>
      <c r="E474" s="31" t="s">
        <v>734</v>
      </c>
      <c r="F474" s="31" t="s">
        <v>423</v>
      </c>
      <c r="G474" s="31">
        <v>1</v>
      </c>
      <c r="H474" s="54" t="s">
        <v>689</v>
      </c>
      <c r="I474" s="901" t="s">
        <v>744</v>
      </c>
    </row>
    <row r="475" spans="2:9">
      <c r="B475" s="29">
        <v>45820</v>
      </c>
      <c r="C475" s="514" t="s">
        <v>840</v>
      </c>
      <c r="D475" s="30" t="s">
        <v>470</v>
      </c>
      <c r="E475" s="31" t="s">
        <v>590</v>
      </c>
      <c r="F475" s="31" t="s">
        <v>423</v>
      </c>
      <c r="G475" s="31">
        <v>5</v>
      </c>
      <c r="H475" s="54" t="s">
        <v>689</v>
      </c>
      <c r="I475" s="901" t="s">
        <v>744</v>
      </c>
    </row>
    <row r="476" spans="2:9">
      <c r="B476" s="29">
        <v>45820</v>
      </c>
      <c r="C476" s="514" t="s">
        <v>840</v>
      </c>
      <c r="D476" s="30" t="s">
        <v>564</v>
      </c>
      <c r="E476" s="31" t="s">
        <v>667</v>
      </c>
      <c r="F476" s="31" t="s">
        <v>423</v>
      </c>
      <c r="G476" s="31">
        <v>3</v>
      </c>
      <c r="H476" s="54" t="s">
        <v>689</v>
      </c>
      <c r="I476" s="901" t="s">
        <v>744</v>
      </c>
    </row>
    <row r="477" spans="2:9">
      <c r="B477" s="29">
        <v>45820</v>
      </c>
      <c r="C477" s="514" t="s">
        <v>840</v>
      </c>
      <c r="D477" s="30" t="s">
        <v>509</v>
      </c>
      <c r="E477" s="31" t="s">
        <v>691</v>
      </c>
      <c r="F477" s="31" t="s">
        <v>423</v>
      </c>
      <c r="G477" s="31">
        <v>3</v>
      </c>
      <c r="H477" s="54" t="s">
        <v>689</v>
      </c>
      <c r="I477" s="901" t="s">
        <v>744</v>
      </c>
    </row>
    <row r="478" spans="2:9">
      <c r="B478" s="29">
        <v>45820</v>
      </c>
      <c r="C478" s="514" t="s">
        <v>840</v>
      </c>
      <c r="D478" s="30" t="s">
        <v>504</v>
      </c>
      <c r="E478" s="31" t="s">
        <v>672</v>
      </c>
      <c r="F478" s="31" t="s">
        <v>423</v>
      </c>
      <c r="G478" s="31">
        <v>2</v>
      </c>
      <c r="H478" s="54" t="s">
        <v>689</v>
      </c>
      <c r="I478" s="901" t="s">
        <v>744</v>
      </c>
    </row>
    <row r="479" spans="2:9">
      <c r="B479" s="29">
        <v>45820</v>
      </c>
      <c r="C479" s="514" t="s">
        <v>840</v>
      </c>
      <c r="D479" s="30" t="s">
        <v>432</v>
      </c>
      <c r="E479" s="31" t="s">
        <v>693</v>
      </c>
      <c r="F479" s="31" t="s">
        <v>423</v>
      </c>
      <c r="G479" s="31">
        <v>2</v>
      </c>
      <c r="H479" s="54" t="s">
        <v>689</v>
      </c>
      <c r="I479" s="901" t="s">
        <v>744</v>
      </c>
    </row>
    <row r="480" spans="2:9">
      <c r="B480" s="29">
        <v>45820</v>
      </c>
      <c r="C480" s="514" t="s">
        <v>840</v>
      </c>
      <c r="D480" s="30" t="s">
        <v>408</v>
      </c>
      <c r="E480" s="31" t="s">
        <v>788</v>
      </c>
      <c r="F480" s="31" t="s">
        <v>423</v>
      </c>
      <c r="G480" s="31">
        <v>5</v>
      </c>
      <c r="H480" s="54" t="s">
        <v>689</v>
      </c>
      <c r="I480" s="901" t="s">
        <v>744</v>
      </c>
    </row>
    <row r="481" spans="2:9">
      <c r="B481" s="29">
        <v>45820</v>
      </c>
      <c r="C481" s="514" t="s">
        <v>840</v>
      </c>
      <c r="D481" s="30" t="s">
        <v>470</v>
      </c>
      <c r="E481" s="31" t="s">
        <v>590</v>
      </c>
      <c r="F481" s="31" t="s">
        <v>511</v>
      </c>
      <c r="G481" s="903">
        <v>2</v>
      </c>
      <c r="H481" s="54" t="s">
        <v>689</v>
      </c>
      <c r="I481" s="901" t="s">
        <v>744</v>
      </c>
    </row>
    <row r="482" spans="2:9">
      <c r="B482" s="29">
        <v>45820</v>
      </c>
      <c r="C482" s="514" t="s">
        <v>840</v>
      </c>
      <c r="D482" s="30" t="s">
        <v>494</v>
      </c>
      <c r="E482" s="31" t="s">
        <v>587</v>
      </c>
      <c r="F482" s="31" t="s">
        <v>511</v>
      </c>
      <c r="G482" s="903">
        <v>2</v>
      </c>
      <c r="H482" s="54" t="s">
        <v>689</v>
      </c>
      <c r="I482" s="901" t="s">
        <v>744</v>
      </c>
    </row>
    <row r="483" spans="2:9">
      <c r="B483" s="29">
        <v>45820</v>
      </c>
      <c r="C483" s="514" t="s">
        <v>840</v>
      </c>
      <c r="D483" s="30" t="s">
        <v>509</v>
      </c>
      <c r="E483" s="31" t="s">
        <v>691</v>
      </c>
      <c r="F483" s="31" t="s">
        <v>511</v>
      </c>
      <c r="G483" s="903">
        <v>21</v>
      </c>
      <c r="H483" s="54" t="s">
        <v>689</v>
      </c>
      <c r="I483" s="901" t="s">
        <v>744</v>
      </c>
    </row>
    <row r="484" spans="2:9">
      <c r="B484" s="29">
        <v>45820</v>
      </c>
      <c r="C484" s="514" t="s">
        <v>840</v>
      </c>
      <c r="D484" s="30" t="s">
        <v>415</v>
      </c>
      <c r="E484" s="31" t="s">
        <v>659</v>
      </c>
      <c r="F484" s="31" t="s">
        <v>511</v>
      </c>
      <c r="G484" s="903">
        <v>5</v>
      </c>
      <c r="H484" s="54" t="s">
        <v>689</v>
      </c>
      <c r="I484" s="901" t="s">
        <v>744</v>
      </c>
    </row>
    <row r="485" spans="2:9">
      <c r="B485" s="29">
        <v>45820</v>
      </c>
      <c r="C485" s="514" t="s">
        <v>840</v>
      </c>
      <c r="D485" s="30" t="s">
        <v>497</v>
      </c>
      <c r="E485" s="31" t="s">
        <v>692</v>
      </c>
      <c r="F485" s="31" t="s">
        <v>511</v>
      </c>
      <c r="G485" s="903">
        <v>10</v>
      </c>
      <c r="H485" s="54" t="s">
        <v>689</v>
      </c>
      <c r="I485" s="901" t="s">
        <v>744</v>
      </c>
    </row>
    <row r="486" spans="2:9">
      <c r="B486" s="29">
        <v>45820</v>
      </c>
      <c r="C486" s="514" t="s">
        <v>840</v>
      </c>
      <c r="D486" s="30" t="s">
        <v>417</v>
      </c>
      <c r="E486" s="31" t="s">
        <v>795</v>
      </c>
      <c r="F486" s="31" t="s">
        <v>511</v>
      </c>
      <c r="G486" s="903">
        <v>2</v>
      </c>
      <c r="H486" s="54" t="s">
        <v>689</v>
      </c>
      <c r="I486" s="901" t="s">
        <v>744</v>
      </c>
    </row>
    <row r="487" spans="2:9">
      <c r="B487" s="29">
        <v>45820</v>
      </c>
      <c r="C487" s="514" t="s">
        <v>840</v>
      </c>
      <c r="D487" s="30" t="s">
        <v>432</v>
      </c>
      <c r="E487" s="31" t="s">
        <v>693</v>
      </c>
      <c r="F487" s="31" t="s">
        <v>511</v>
      </c>
      <c r="G487" s="903">
        <v>2</v>
      </c>
      <c r="H487" s="54" t="s">
        <v>689</v>
      </c>
      <c r="I487" s="901" t="s">
        <v>744</v>
      </c>
    </row>
    <row r="488" spans="2:9">
      <c r="B488" s="29">
        <v>45820</v>
      </c>
      <c r="C488" s="514" t="s">
        <v>840</v>
      </c>
      <c r="D488" s="30" t="s">
        <v>478</v>
      </c>
      <c r="E488" s="31" t="s">
        <v>700</v>
      </c>
      <c r="F488" s="31" t="s">
        <v>511</v>
      </c>
      <c r="G488" s="903">
        <v>1</v>
      </c>
      <c r="H488" s="54" t="s">
        <v>689</v>
      </c>
      <c r="I488" s="901" t="s">
        <v>744</v>
      </c>
    </row>
    <row r="489" spans="2:9">
      <c r="B489" s="29">
        <v>45820</v>
      </c>
      <c r="C489" s="514" t="s">
        <v>840</v>
      </c>
      <c r="D489" s="30" t="s">
        <v>479</v>
      </c>
      <c r="E489" s="31" t="s">
        <v>745</v>
      </c>
      <c r="F489" s="31" t="s">
        <v>511</v>
      </c>
      <c r="G489" s="903">
        <v>1</v>
      </c>
      <c r="H489" s="54" t="s">
        <v>689</v>
      </c>
      <c r="I489" s="901" t="s">
        <v>744</v>
      </c>
    </row>
    <row r="490" spans="2:9">
      <c r="B490" s="29">
        <v>45820</v>
      </c>
      <c r="C490" s="514" t="s">
        <v>840</v>
      </c>
      <c r="D490" s="30" t="s">
        <v>436</v>
      </c>
      <c r="E490" s="31" t="s">
        <v>766</v>
      </c>
      <c r="F490" s="31" t="s">
        <v>511</v>
      </c>
      <c r="G490" s="903">
        <v>1</v>
      </c>
      <c r="H490" s="54" t="s">
        <v>689</v>
      </c>
      <c r="I490" s="901" t="s">
        <v>744</v>
      </c>
    </row>
    <row r="491" spans="2:9">
      <c r="B491" s="29">
        <v>45820</v>
      </c>
      <c r="C491" s="514" t="s">
        <v>840</v>
      </c>
      <c r="D491" s="30" t="s">
        <v>501</v>
      </c>
      <c r="E491" s="31" t="s">
        <v>696</v>
      </c>
      <c r="F491" s="31" t="s">
        <v>511</v>
      </c>
      <c r="G491" s="903">
        <v>34</v>
      </c>
      <c r="H491" s="54" t="s">
        <v>689</v>
      </c>
      <c r="I491" s="901" t="s">
        <v>744</v>
      </c>
    </row>
    <row r="492" spans="2:9">
      <c r="B492" s="29">
        <v>45820</v>
      </c>
      <c r="C492" s="514" t="s">
        <v>840</v>
      </c>
      <c r="D492" s="30" t="s">
        <v>467</v>
      </c>
      <c r="E492" s="31" t="s">
        <v>702</v>
      </c>
      <c r="F492" s="31" t="s">
        <v>511</v>
      </c>
      <c r="G492" s="903">
        <v>3</v>
      </c>
      <c r="H492" s="54" t="s">
        <v>689</v>
      </c>
      <c r="I492" s="901" t="s">
        <v>744</v>
      </c>
    </row>
    <row r="493" spans="2:9">
      <c r="B493" s="29">
        <v>45820</v>
      </c>
      <c r="C493" s="514" t="s">
        <v>840</v>
      </c>
      <c r="D493" s="30" t="s">
        <v>476</v>
      </c>
      <c r="E493" s="31" t="s">
        <v>681</v>
      </c>
      <c r="F493" s="31" t="s">
        <v>511</v>
      </c>
      <c r="G493" s="903">
        <v>24</v>
      </c>
      <c r="H493" s="54" t="s">
        <v>689</v>
      </c>
      <c r="I493" s="901" t="s">
        <v>744</v>
      </c>
    </row>
    <row r="494" spans="2:9">
      <c r="B494" s="29">
        <v>45820</v>
      </c>
      <c r="C494" s="514" t="s">
        <v>840</v>
      </c>
      <c r="D494" s="30" t="s">
        <v>396</v>
      </c>
      <c r="E494" s="31" t="s">
        <v>703</v>
      </c>
      <c r="F494" s="31" t="s">
        <v>511</v>
      </c>
      <c r="G494" s="903">
        <v>1</v>
      </c>
      <c r="H494" s="54" t="s">
        <v>689</v>
      </c>
      <c r="I494" s="901" t="s">
        <v>744</v>
      </c>
    </row>
    <row r="495" spans="2:9">
      <c r="B495" s="29">
        <v>45820</v>
      </c>
      <c r="C495" s="514" t="s">
        <v>840</v>
      </c>
      <c r="D495" s="30" t="s">
        <v>497</v>
      </c>
      <c r="E495" s="31" t="s">
        <v>692</v>
      </c>
      <c r="F495" s="182" t="s">
        <v>435</v>
      </c>
      <c r="G495" s="85">
        <v>1</v>
      </c>
      <c r="H495" s="54" t="s">
        <v>718</v>
      </c>
      <c r="I495" s="901" t="s">
        <v>843</v>
      </c>
    </row>
    <row r="496" spans="2:9">
      <c r="B496" s="29">
        <v>45820</v>
      </c>
      <c r="C496" s="514" t="s">
        <v>840</v>
      </c>
      <c r="D496" s="30" t="s">
        <v>468</v>
      </c>
      <c r="E496" s="31" t="s">
        <v>734</v>
      </c>
      <c r="F496" s="31" t="s">
        <v>850</v>
      </c>
      <c r="G496" s="31">
        <v>2</v>
      </c>
      <c r="H496" s="54" t="s">
        <v>689</v>
      </c>
      <c r="I496" s="901" t="s">
        <v>744</v>
      </c>
    </row>
    <row r="497" spans="2:9">
      <c r="B497" s="29">
        <v>45820</v>
      </c>
      <c r="C497" s="514" t="s">
        <v>840</v>
      </c>
      <c r="D497" s="30" t="s">
        <v>470</v>
      </c>
      <c r="E497" s="31" t="s">
        <v>590</v>
      </c>
      <c r="F497" s="31" t="s">
        <v>850</v>
      </c>
      <c r="G497" s="31">
        <v>1</v>
      </c>
      <c r="H497" s="54" t="s">
        <v>689</v>
      </c>
      <c r="I497" s="901" t="s">
        <v>744</v>
      </c>
    </row>
    <row r="498" spans="2:9">
      <c r="B498" s="29">
        <v>45820</v>
      </c>
      <c r="C498" s="514" t="s">
        <v>840</v>
      </c>
      <c r="D498" s="30" t="s">
        <v>494</v>
      </c>
      <c r="E498" s="31" t="s">
        <v>587</v>
      </c>
      <c r="F498" s="31" t="s">
        <v>850</v>
      </c>
      <c r="G498" s="31">
        <v>3</v>
      </c>
      <c r="H498" s="54" t="s">
        <v>689</v>
      </c>
      <c r="I498" s="901" t="s">
        <v>744</v>
      </c>
    </row>
    <row r="499" spans="2:9">
      <c r="B499" s="29">
        <v>45820</v>
      </c>
      <c r="C499" s="514" t="s">
        <v>840</v>
      </c>
      <c r="D499" s="30" t="s">
        <v>509</v>
      </c>
      <c r="E499" s="31" t="s">
        <v>691</v>
      </c>
      <c r="F499" s="31" t="s">
        <v>850</v>
      </c>
      <c r="G499" s="31">
        <v>1</v>
      </c>
      <c r="H499" s="54" t="s">
        <v>689</v>
      </c>
      <c r="I499" s="901" t="s">
        <v>744</v>
      </c>
    </row>
    <row r="500" spans="2:9">
      <c r="B500" s="29">
        <v>45820</v>
      </c>
      <c r="C500" s="514" t="s">
        <v>840</v>
      </c>
      <c r="D500" s="30" t="s">
        <v>497</v>
      </c>
      <c r="E500" s="31" t="s">
        <v>692</v>
      </c>
      <c r="F500" s="31" t="s">
        <v>850</v>
      </c>
      <c r="G500" s="31">
        <v>12</v>
      </c>
      <c r="H500" s="54" t="s">
        <v>689</v>
      </c>
      <c r="I500" s="901" t="s">
        <v>744</v>
      </c>
    </row>
    <row r="501" spans="2:9">
      <c r="B501" s="29">
        <v>45820</v>
      </c>
      <c r="C501" s="514" t="s">
        <v>840</v>
      </c>
      <c r="D501" s="30" t="s">
        <v>501</v>
      </c>
      <c r="E501" s="31" t="s">
        <v>696</v>
      </c>
      <c r="F501" s="31" t="s">
        <v>850</v>
      </c>
      <c r="G501" s="31">
        <v>6</v>
      </c>
      <c r="H501" s="54" t="s">
        <v>689</v>
      </c>
      <c r="I501" s="901" t="s">
        <v>744</v>
      </c>
    </row>
    <row r="502" spans="2:9">
      <c r="B502" s="29">
        <v>45820</v>
      </c>
      <c r="C502" s="514" t="s">
        <v>840</v>
      </c>
      <c r="D502" s="30" t="s">
        <v>476</v>
      </c>
      <c r="E502" s="31" t="s">
        <v>681</v>
      </c>
      <c r="F502" s="31" t="s">
        <v>850</v>
      </c>
      <c r="G502" s="31">
        <v>3</v>
      </c>
      <c r="H502" s="54" t="s">
        <v>689</v>
      </c>
      <c r="I502" s="901" t="s">
        <v>744</v>
      </c>
    </row>
    <row r="503" spans="2:9">
      <c r="B503" s="29">
        <v>45820</v>
      </c>
      <c r="C503" s="514" t="s">
        <v>840</v>
      </c>
      <c r="D503" s="30" t="s">
        <v>396</v>
      </c>
      <c r="E503" s="31" t="s">
        <v>703</v>
      </c>
      <c r="F503" s="31" t="s">
        <v>850</v>
      </c>
      <c r="G503" s="31">
        <v>1</v>
      </c>
      <c r="H503" s="54" t="s">
        <v>689</v>
      </c>
      <c r="I503" s="901" t="s">
        <v>744</v>
      </c>
    </row>
    <row r="504" spans="2:9">
      <c r="B504" s="29">
        <v>45820</v>
      </c>
      <c r="C504" s="514" t="s">
        <v>840</v>
      </c>
      <c r="D504" s="30" t="s">
        <v>397</v>
      </c>
      <c r="E504" s="31" t="s">
        <v>733</v>
      </c>
      <c r="F504" s="31" t="s">
        <v>850</v>
      </c>
      <c r="G504" s="31">
        <v>2</v>
      </c>
      <c r="H504" s="54" t="s">
        <v>689</v>
      </c>
      <c r="I504" s="901" t="s">
        <v>744</v>
      </c>
    </row>
    <row r="505" spans="2:9">
      <c r="B505" s="29">
        <v>45820</v>
      </c>
      <c r="C505" s="514" t="s">
        <v>840</v>
      </c>
      <c r="D505" s="30" t="s">
        <v>497</v>
      </c>
      <c r="E505" s="31" t="s">
        <v>692</v>
      </c>
      <c r="F505" s="31" t="s">
        <v>412</v>
      </c>
      <c r="G505" s="31">
        <v>10</v>
      </c>
      <c r="H505" s="54" t="s">
        <v>689</v>
      </c>
      <c r="I505" s="901" t="s">
        <v>744</v>
      </c>
    </row>
    <row r="506" spans="2:9">
      <c r="B506" s="29">
        <v>45820</v>
      </c>
      <c r="C506" s="514" t="s">
        <v>840</v>
      </c>
      <c r="D506" s="30" t="s">
        <v>504</v>
      </c>
      <c r="E506" s="31" t="s">
        <v>672</v>
      </c>
      <c r="F506" s="31" t="s">
        <v>412</v>
      </c>
      <c r="G506" s="31">
        <v>2</v>
      </c>
      <c r="H506" s="54" t="s">
        <v>689</v>
      </c>
      <c r="I506" s="901" t="s">
        <v>744</v>
      </c>
    </row>
    <row r="507" spans="2:9">
      <c r="B507" s="29">
        <v>45820</v>
      </c>
      <c r="C507" s="514" t="s">
        <v>840</v>
      </c>
      <c r="D507" s="30" t="s">
        <v>509</v>
      </c>
      <c r="E507" s="31" t="s">
        <v>691</v>
      </c>
      <c r="F507" s="31" t="s">
        <v>412</v>
      </c>
      <c r="G507" s="31">
        <v>14</v>
      </c>
      <c r="H507" s="54" t="s">
        <v>689</v>
      </c>
      <c r="I507" s="901" t="s">
        <v>744</v>
      </c>
    </row>
    <row r="508" spans="2:9">
      <c r="B508" s="29">
        <v>45820</v>
      </c>
      <c r="C508" s="514" t="s">
        <v>840</v>
      </c>
      <c r="D508" s="30" t="s">
        <v>415</v>
      </c>
      <c r="E508" s="31" t="s">
        <v>659</v>
      </c>
      <c r="F508" s="31" t="s">
        <v>412</v>
      </c>
      <c r="G508" s="31">
        <v>1</v>
      </c>
      <c r="H508" s="54" t="s">
        <v>689</v>
      </c>
      <c r="I508" s="901" t="s">
        <v>744</v>
      </c>
    </row>
    <row r="509" spans="2:9">
      <c r="B509" s="29">
        <v>45820</v>
      </c>
      <c r="C509" s="514" t="s">
        <v>840</v>
      </c>
      <c r="D509" s="30" t="s">
        <v>417</v>
      </c>
      <c r="E509" s="31" t="s">
        <v>795</v>
      </c>
      <c r="F509" s="31" t="s">
        <v>412</v>
      </c>
      <c r="G509" s="31">
        <v>4</v>
      </c>
      <c r="H509" s="54" t="s">
        <v>689</v>
      </c>
      <c r="I509" s="901" t="s">
        <v>744</v>
      </c>
    </row>
    <row r="510" spans="2:9">
      <c r="B510" s="29">
        <v>45820</v>
      </c>
      <c r="C510" s="514" t="s">
        <v>840</v>
      </c>
      <c r="D510" s="30" t="s">
        <v>432</v>
      </c>
      <c r="E510" s="31" t="s">
        <v>693</v>
      </c>
      <c r="F510" s="31" t="s">
        <v>412</v>
      </c>
      <c r="G510" s="31">
        <v>3</v>
      </c>
      <c r="H510" s="54" t="s">
        <v>689</v>
      </c>
      <c r="I510" s="901" t="s">
        <v>744</v>
      </c>
    </row>
    <row r="511" spans="2:9">
      <c r="B511" s="29">
        <v>45820</v>
      </c>
      <c r="C511" s="514" t="s">
        <v>840</v>
      </c>
      <c r="D511" s="30" t="s">
        <v>476</v>
      </c>
      <c r="E511" s="31" t="s">
        <v>681</v>
      </c>
      <c r="F511" s="31" t="s">
        <v>412</v>
      </c>
      <c r="G511" s="31">
        <v>27</v>
      </c>
      <c r="H511" s="54" t="s">
        <v>689</v>
      </c>
      <c r="I511" s="901" t="s">
        <v>744</v>
      </c>
    </row>
    <row r="512" spans="2:9">
      <c r="B512" s="29">
        <v>45820</v>
      </c>
      <c r="C512" s="514" t="s">
        <v>840</v>
      </c>
      <c r="D512" s="30" t="s">
        <v>501</v>
      </c>
      <c r="E512" s="31" t="s">
        <v>696</v>
      </c>
      <c r="F512" s="31" t="s">
        <v>412</v>
      </c>
      <c r="G512" s="31">
        <f>31+10</f>
        <v>41</v>
      </c>
      <c r="H512" s="54" t="s">
        <v>689</v>
      </c>
      <c r="I512" s="901" t="s">
        <v>744</v>
      </c>
    </row>
    <row r="513" spans="2:9">
      <c r="B513" s="29">
        <v>45820</v>
      </c>
      <c r="C513" s="514" t="s">
        <v>840</v>
      </c>
      <c r="D513" s="30" t="s">
        <v>467</v>
      </c>
      <c r="E513" s="31" t="s">
        <v>702</v>
      </c>
      <c r="F513" s="31" t="s">
        <v>412</v>
      </c>
      <c r="G513" s="31">
        <v>3</v>
      </c>
      <c r="H513" s="54" t="s">
        <v>689</v>
      </c>
      <c r="I513" s="901" t="s">
        <v>744</v>
      </c>
    </row>
    <row r="514" spans="2:9">
      <c r="B514" s="29">
        <v>45820</v>
      </c>
      <c r="C514" s="514" t="s">
        <v>840</v>
      </c>
      <c r="D514" s="30" t="s">
        <v>396</v>
      </c>
      <c r="E514" s="31" t="s">
        <v>703</v>
      </c>
      <c r="F514" s="31" t="s">
        <v>412</v>
      </c>
      <c r="G514" s="31">
        <v>1</v>
      </c>
      <c r="H514" s="54" t="s">
        <v>689</v>
      </c>
      <c r="I514" s="901" t="s">
        <v>744</v>
      </c>
    </row>
    <row r="515" spans="2:9">
      <c r="B515" s="29">
        <v>45820</v>
      </c>
      <c r="C515" s="514" t="s">
        <v>840</v>
      </c>
      <c r="D515" s="30" t="s">
        <v>470</v>
      </c>
      <c r="E515" s="31" t="s">
        <v>590</v>
      </c>
      <c r="F515" s="31" t="s">
        <v>412</v>
      </c>
      <c r="G515" s="31">
        <v>2</v>
      </c>
      <c r="H515" s="54" t="s">
        <v>689</v>
      </c>
      <c r="I515" s="901" t="s">
        <v>744</v>
      </c>
    </row>
    <row r="516" spans="2:9">
      <c r="B516" s="29">
        <v>45820</v>
      </c>
      <c r="C516" s="514" t="s">
        <v>840</v>
      </c>
      <c r="D516" s="30" t="s">
        <v>478</v>
      </c>
      <c r="E516" s="31" t="s">
        <v>700</v>
      </c>
      <c r="F516" s="31" t="s">
        <v>412</v>
      </c>
      <c r="G516" s="31">
        <v>1</v>
      </c>
      <c r="H516" s="54" t="s">
        <v>689</v>
      </c>
      <c r="I516" s="901" t="s">
        <v>744</v>
      </c>
    </row>
    <row r="517" spans="2:9">
      <c r="B517" s="29">
        <v>45820</v>
      </c>
      <c r="C517" s="514" t="s">
        <v>840</v>
      </c>
      <c r="D517" s="30" t="s">
        <v>479</v>
      </c>
      <c r="E517" s="31" t="s">
        <v>745</v>
      </c>
      <c r="F517" s="31" t="s">
        <v>412</v>
      </c>
      <c r="G517" s="31">
        <v>2</v>
      </c>
      <c r="H517" s="54" t="s">
        <v>689</v>
      </c>
      <c r="I517" s="901" t="s">
        <v>744</v>
      </c>
    </row>
    <row r="518" spans="2:9">
      <c r="B518" s="29">
        <v>45821</v>
      </c>
      <c r="C518" s="514" t="s">
        <v>840</v>
      </c>
      <c r="D518" s="30" t="s">
        <v>547</v>
      </c>
      <c r="E518" s="31" t="s">
        <v>727</v>
      </c>
      <c r="F518" s="31" t="s">
        <v>568</v>
      </c>
      <c r="G518" s="31">
        <v>1</v>
      </c>
      <c r="H518" s="54" t="s">
        <v>685</v>
      </c>
      <c r="I518" s="901" t="s">
        <v>817</v>
      </c>
    </row>
    <row r="519" spans="2:9">
      <c r="B519" s="29">
        <v>45821</v>
      </c>
      <c r="C519" s="514" t="s">
        <v>840</v>
      </c>
      <c r="D519" s="30" t="s">
        <v>509</v>
      </c>
      <c r="E519" s="31" t="s">
        <v>691</v>
      </c>
      <c r="F519" s="31" t="s">
        <v>568</v>
      </c>
      <c r="G519" s="31">
        <v>3</v>
      </c>
      <c r="H519" s="54" t="s">
        <v>685</v>
      </c>
      <c r="I519" s="901" t="s">
        <v>817</v>
      </c>
    </row>
    <row r="520" spans="2:9">
      <c r="B520" s="29">
        <v>45821</v>
      </c>
      <c r="C520" s="514" t="s">
        <v>840</v>
      </c>
      <c r="D520" s="30" t="s">
        <v>415</v>
      </c>
      <c r="E520" s="31" t="s">
        <v>659</v>
      </c>
      <c r="F520" s="31" t="s">
        <v>568</v>
      </c>
      <c r="G520" s="31">
        <v>1</v>
      </c>
      <c r="H520" s="54" t="s">
        <v>685</v>
      </c>
      <c r="I520" s="901" t="s">
        <v>817</v>
      </c>
    </row>
    <row r="521" spans="2:9">
      <c r="B521" s="29">
        <v>45821</v>
      </c>
      <c r="C521" s="514" t="s">
        <v>840</v>
      </c>
      <c r="D521" s="30" t="s">
        <v>497</v>
      </c>
      <c r="E521" s="31" t="s">
        <v>692</v>
      </c>
      <c r="F521" s="31" t="s">
        <v>568</v>
      </c>
      <c r="G521" s="31">
        <v>2</v>
      </c>
      <c r="H521" s="54" t="s">
        <v>685</v>
      </c>
      <c r="I521" s="901" t="s">
        <v>817</v>
      </c>
    </row>
    <row r="522" spans="2:9">
      <c r="B522" s="29">
        <v>45821</v>
      </c>
      <c r="C522" s="514" t="s">
        <v>840</v>
      </c>
      <c r="D522" s="30" t="s">
        <v>504</v>
      </c>
      <c r="E522" s="31" t="s">
        <v>672</v>
      </c>
      <c r="F522" s="31" t="s">
        <v>568</v>
      </c>
      <c r="G522" s="31">
        <v>2</v>
      </c>
      <c r="H522" s="54" t="s">
        <v>685</v>
      </c>
      <c r="I522" s="901" t="s">
        <v>817</v>
      </c>
    </row>
    <row r="523" spans="2:9">
      <c r="B523" s="29">
        <v>45821</v>
      </c>
      <c r="C523" s="514" t="s">
        <v>840</v>
      </c>
      <c r="D523" s="30" t="s">
        <v>432</v>
      </c>
      <c r="E523" s="31" t="s">
        <v>693</v>
      </c>
      <c r="F523" s="31" t="s">
        <v>568</v>
      </c>
      <c r="G523" s="31">
        <v>1</v>
      </c>
      <c r="H523" s="54" t="s">
        <v>685</v>
      </c>
      <c r="I523" s="901" t="s">
        <v>817</v>
      </c>
    </row>
    <row r="524" spans="2:9">
      <c r="B524" s="29">
        <v>45821</v>
      </c>
      <c r="C524" s="514" t="s">
        <v>840</v>
      </c>
      <c r="D524" s="30" t="s">
        <v>478</v>
      </c>
      <c r="E524" s="31" t="s">
        <v>700</v>
      </c>
      <c r="F524" s="31" t="s">
        <v>568</v>
      </c>
      <c r="G524" s="31">
        <v>1</v>
      </c>
      <c r="H524" s="54" t="s">
        <v>685</v>
      </c>
      <c r="I524" s="901" t="s">
        <v>817</v>
      </c>
    </row>
    <row r="525" spans="2:9">
      <c r="B525" s="29">
        <v>45821</v>
      </c>
      <c r="C525" s="514" t="s">
        <v>840</v>
      </c>
      <c r="D525" s="30" t="s">
        <v>479</v>
      </c>
      <c r="E525" s="31" t="s">
        <v>745</v>
      </c>
      <c r="F525" s="31" t="s">
        <v>568</v>
      </c>
      <c r="G525" s="31">
        <v>1</v>
      </c>
      <c r="H525" s="54" t="s">
        <v>685</v>
      </c>
      <c r="I525" s="901" t="s">
        <v>817</v>
      </c>
    </row>
    <row r="526" spans="2:9">
      <c r="B526" s="29">
        <v>45821</v>
      </c>
      <c r="C526" s="514" t="s">
        <v>840</v>
      </c>
      <c r="D526" s="30" t="s">
        <v>436</v>
      </c>
      <c r="E526" s="31" t="s">
        <v>766</v>
      </c>
      <c r="F526" s="31" t="s">
        <v>568</v>
      </c>
      <c r="G526" s="31">
        <v>1</v>
      </c>
      <c r="H526" s="54" t="s">
        <v>685</v>
      </c>
      <c r="I526" s="901" t="s">
        <v>817</v>
      </c>
    </row>
    <row r="527" spans="2:9">
      <c r="B527" s="29">
        <v>45821</v>
      </c>
      <c r="C527" s="514" t="s">
        <v>840</v>
      </c>
      <c r="D527" s="30" t="s">
        <v>509</v>
      </c>
      <c r="E527" s="31" t="s">
        <v>691</v>
      </c>
      <c r="F527" s="31" t="s">
        <v>429</v>
      </c>
      <c r="G527" s="31">
        <v>2</v>
      </c>
      <c r="H527" s="54" t="s">
        <v>683</v>
      </c>
      <c r="I527" s="901" t="s">
        <v>845</v>
      </c>
    </row>
    <row r="528" spans="2:9">
      <c r="B528" s="29">
        <v>45821</v>
      </c>
      <c r="C528" s="514" t="s">
        <v>840</v>
      </c>
      <c r="D528" s="30" t="s">
        <v>501</v>
      </c>
      <c r="E528" s="31" t="s">
        <v>696</v>
      </c>
      <c r="F528" s="31" t="s">
        <v>429</v>
      </c>
      <c r="G528" s="31">
        <v>3</v>
      </c>
      <c r="H528" s="54" t="s">
        <v>683</v>
      </c>
      <c r="I528" s="901" t="s">
        <v>845</v>
      </c>
    </row>
    <row r="529" spans="2:9">
      <c r="B529" s="29">
        <v>45821</v>
      </c>
      <c r="C529" s="514" t="s">
        <v>840</v>
      </c>
      <c r="D529" s="30" t="s">
        <v>470</v>
      </c>
      <c r="E529" s="31" t="s">
        <v>590</v>
      </c>
      <c r="F529" s="31" t="s">
        <v>429</v>
      </c>
      <c r="G529" s="31">
        <v>2</v>
      </c>
      <c r="H529" s="54" t="s">
        <v>683</v>
      </c>
      <c r="I529" s="901" t="s">
        <v>845</v>
      </c>
    </row>
    <row r="530" spans="2:9">
      <c r="B530" s="29">
        <v>45821</v>
      </c>
      <c r="C530" s="514" t="s">
        <v>840</v>
      </c>
      <c r="D530" s="30" t="s">
        <v>564</v>
      </c>
      <c r="E530" s="31" t="s">
        <v>667</v>
      </c>
      <c r="F530" s="31" t="s">
        <v>429</v>
      </c>
      <c r="G530" s="31">
        <v>3</v>
      </c>
      <c r="H530" s="54" t="s">
        <v>683</v>
      </c>
      <c r="I530" s="901" t="s">
        <v>845</v>
      </c>
    </row>
    <row r="531" spans="2:9">
      <c r="B531" s="29">
        <v>45821</v>
      </c>
      <c r="C531" s="514" t="s">
        <v>840</v>
      </c>
      <c r="D531" s="30" t="s">
        <v>509</v>
      </c>
      <c r="E531" s="31" t="s">
        <v>691</v>
      </c>
      <c r="F531" s="31" t="s">
        <v>429</v>
      </c>
      <c r="G531" s="31">
        <v>25</v>
      </c>
      <c r="H531" s="54" t="s">
        <v>683</v>
      </c>
      <c r="I531" s="901" t="s">
        <v>845</v>
      </c>
    </row>
    <row r="532" spans="2:9">
      <c r="B532" s="29">
        <v>45821</v>
      </c>
      <c r="C532" s="514" t="s">
        <v>840</v>
      </c>
      <c r="D532" s="30" t="s">
        <v>415</v>
      </c>
      <c r="E532" s="31" t="s">
        <v>659</v>
      </c>
      <c r="F532" s="31" t="s">
        <v>429</v>
      </c>
      <c r="G532" s="31">
        <v>13</v>
      </c>
      <c r="H532" s="54" t="s">
        <v>683</v>
      </c>
      <c r="I532" s="901" t="s">
        <v>845</v>
      </c>
    </row>
    <row r="533" spans="2:9">
      <c r="B533" s="29">
        <v>45821</v>
      </c>
      <c r="C533" s="514" t="s">
        <v>840</v>
      </c>
      <c r="D533" s="30" t="s">
        <v>497</v>
      </c>
      <c r="E533" s="31" t="s">
        <v>692</v>
      </c>
      <c r="F533" s="31" t="s">
        <v>429</v>
      </c>
      <c r="G533" s="31">
        <v>17</v>
      </c>
      <c r="H533" s="54" t="s">
        <v>683</v>
      </c>
      <c r="I533" s="901" t="s">
        <v>845</v>
      </c>
    </row>
    <row r="534" spans="2:9">
      <c r="B534" s="29">
        <v>45821</v>
      </c>
      <c r="C534" s="514" t="s">
        <v>840</v>
      </c>
      <c r="D534" s="30" t="s">
        <v>417</v>
      </c>
      <c r="E534" s="31" t="s">
        <v>795</v>
      </c>
      <c r="F534" s="31" t="s">
        <v>429</v>
      </c>
      <c r="G534" s="31">
        <v>1</v>
      </c>
      <c r="H534" s="54" t="s">
        <v>683</v>
      </c>
      <c r="I534" s="901" t="s">
        <v>845</v>
      </c>
    </row>
    <row r="535" spans="2:9">
      <c r="B535" s="29">
        <v>45821</v>
      </c>
      <c r="C535" s="514" t="s">
        <v>840</v>
      </c>
      <c r="D535" s="30" t="s">
        <v>504</v>
      </c>
      <c r="E535" s="31" t="s">
        <v>672</v>
      </c>
      <c r="F535" s="31" t="s">
        <v>429</v>
      </c>
      <c r="G535" s="31">
        <v>15</v>
      </c>
      <c r="H535" s="54" t="s">
        <v>683</v>
      </c>
      <c r="I535" s="901" t="s">
        <v>845</v>
      </c>
    </row>
    <row r="536" spans="2:9">
      <c r="B536" s="29">
        <v>45821</v>
      </c>
      <c r="C536" s="514" t="s">
        <v>840</v>
      </c>
      <c r="D536" s="30" t="s">
        <v>432</v>
      </c>
      <c r="E536" s="31" t="s">
        <v>693</v>
      </c>
      <c r="F536" s="31" t="s">
        <v>429</v>
      </c>
      <c r="G536" s="31">
        <v>4</v>
      </c>
      <c r="H536" s="54" t="s">
        <v>683</v>
      </c>
      <c r="I536" s="901" t="s">
        <v>845</v>
      </c>
    </row>
    <row r="537" spans="2:9">
      <c r="B537" s="29">
        <v>45821</v>
      </c>
      <c r="C537" s="514" t="s">
        <v>840</v>
      </c>
      <c r="D537" s="30" t="s">
        <v>501</v>
      </c>
      <c r="E537" s="31" t="s">
        <v>696</v>
      </c>
      <c r="F537" s="31" t="s">
        <v>429</v>
      </c>
      <c r="G537" s="31">
        <v>22</v>
      </c>
      <c r="H537" s="54" t="s">
        <v>683</v>
      </c>
      <c r="I537" s="901" t="s">
        <v>845</v>
      </c>
    </row>
    <row r="538" spans="2:9">
      <c r="B538" s="29">
        <v>45821</v>
      </c>
      <c r="C538" s="514" t="s">
        <v>840</v>
      </c>
      <c r="D538" s="30" t="s">
        <v>467</v>
      </c>
      <c r="E538" s="31" t="s">
        <v>702</v>
      </c>
      <c r="F538" s="31" t="s">
        <v>429</v>
      </c>
      <c r="G538" s="31">
        <v>8</v>
      </c>
      <c r="H538" s="54" t="s">
        <v>683</v>
      </c>
      <c r="I538" s="901" t="s">
        <v>845</v>
      </c>
    </row>
    <row r="539" spans="2:9">
      <c r="B539" s="29">
        <v>45821</v>
      </c>
      <c r="C539" s="514" t="s">
        <v>840</v>
      </c>
      <c r="D539" s="30" t="s">
        <v>476</v>
      </c>
      <c r="E539" s="31" t="s">
        <v>681</v>
      </c>
      <c r="F539" s="31" t="s">
        <v>429</v>
      </c>
      <c r="G539" s="31">
        <v>23</v>
      </c>
      <c r="H539" s="54" t="s">
        <v>683</v>
      </c>
      <c r="I539" s="901" t="s">
        <v>845</v>
      </c>
    </row>
    <row r="540" spans="2:9">
      <c r="B540" s="29">
        <v>45821</v>
      </c>
      <c r="C540" s="514" t="s">
        <v>840</v>
      </c>
      <c r="D540" s="30" t="s">
        <v>396</v>
      </c>
      <c r="E540" s="31" t="s">
        <v>703</v>
      </c>
      <c r="F540" s="31" t="s">
        <v>429</v>
      </c>
      <c r="G540" s="31">
        <v>5</v>
      </c>
      <c r="H540" s="54" t="s">
        <v>683</v>
      </c>
      <c r="I540" s="901" t="s">
        <v>845</v>
      </c>
    </row>
    <row r="541" spans="2:9">
      <c r="B541" s="29">
        <v>45821</v>
      </c>
      <c r="C541" s="514" t="s">
        <v>840</v>
      </c>
      <c r="D541" s="30" t="s">
        <v>411</v>
      </c>
      <c r="E541" s="31" t="s">
        <v>733</v>
      </c>
      <c r="F541" s="31" t="s">
        <v>429</v>
      </c>
      <c r="G541" s="31">
        <v>1</v>
      </c>
      <c r="H541" s="54" t="s">
        <v>683</v>
      </c>
      <c r="I541" s="901" t="s">
        <v>845</v>
      </c>
    </row>
    <row r="542" spans="2:9">
      <c r="B542" s="29">
        <v>45821</v>
      </c>
      <c r="C542" s="514" t="s">
        <v>840</v>
      </c>
      <c r="D542" s="30" t="s">
        <v>470</v>
      </c>
      <c r="E542" s="31" t="s">
        <v>590</v>
      </c>
      <c r="F542" s="31" t="s">
        <v>850</v>
      </c>
      <c r="G542" s="31">
        <v>1</v>
      </c>
      <c r="H542" s="54" t="s">
        <v>685</v>
      </c>
      <c r="I542" s="901" t="s">
        <v>851</v>
      </c>
    </row>
    <row r="543" spans="2:9">
      <c r="B543" s="29">
        <v>45821</v>
      </c>
      <c r="C543" s="514" t="s">
        <v>840</v>
      </c>
      <c r="D543" s="30" t="s">
        <v>468</v>
      </c>
      <c r="E543" s="31" t="s">
        <v>734</v>
      </c>
      <c r="F543" s="31" t="s">
        <v>850</v>
      </c>
      <c r="G543" s="31">
        <v>2</v>
      </c>
      <c r="H543" s="54" t="s">
        <v>685</v>
      </c>
      <c r="I543" s="901" t="s">
        <v>851</v>
      </c>
    </row>
    <row r="544" spans="2:9">
      <c r="B544" s="29">
        <v>45821</v>
      </c>
      <c r="C544" s="514" t="s">
        <v>840</v>
      </c>
      <c r="D544" s="30" t="s">
        <v>494</v>
      </c>
      <c r="E544" s="31" t="s">
        <v>587</v>
      </c>
      <c r="F544" s="31" t="s">
        <v>850</v>
      </c>
      <c r="G544" s="31">
        <v>3</v>
      </c>
      <c r="H544" s="54" t="s">
        <v>685</v>
      </c>
      <c r="I544" s="901" t="s">
        <v>851</v>
      </c>
    </row>
    <row r="545" spans="2:9">
      <c r="B545" s="29">
        <v>45821</v>
      </c>
      <c r="C545" s="514" t="s">
        <v>840</v>
      </c>
      <c r="D545" s="30" t="s">
        <v>509</v>
      </c>
      <c r="E545" s="31" t="s">
        <v>691</v>
      </c>
      <c r="F545" s="31" t="s">
        <v>850</v>
      </c>
      <c r="G545" s="31">
        <v>1</v>
      </c>
      <c r="H545" s="54" t="s">
        <v>685</v>
      </c>
      <c r="I545" s="901" t="s">
        <v>851</v>
      </c>
    </row>
    <row r="546" spans="2:9">
      <c r="B546" s="29">
        <v>45821</v>
      </c>
      <c r="C546" s="514" t="s">
        <v>840</v>
      </c>
      <c r="D546" s="30" t="s">
        <v>497</v>
      </c>
      <c r="E546" s="31" t="s">
        <v>692</v>
      </c>
      <c r="F546" s="31" t="s">
        <v>850</v>
      </c>
      <c r="G546" s="31">
        <v>12</v>
      </c>
      <c r="H546" s="54" t="s">
        <v>685</v>
      </c>
      <c r="I546" s="901" t="s">
        <v>851</v>
      </c>
    </row>
    <row r="547" spans="2:9">
      <c r="B547" s="29">
        <v>45821</v>
      </c>
      <c r="C547" s="514" t="s">
        <v>840</v>
      </c>
      <c r="D547" s="30" t="s">
        <v>501</v>
      </c>
      <c r="E547" s="31" t="s">
        <v>696</v>
      </c>
      <c r="F547" s="31" t="s">
        <v>850</v>
      </c>
      <c r="G547" s="31">
        <v>6</v>
      </c>
      <c r="H547" s="54" t="s">
        <v>685</v>
      </c>
      <c r="I547" s="901" t="s">
        <v>851</v>
      </c>
    </row>
    <row r="548" spans="2:9">
      <c r="B548" s="29">
        <v>45821</v>
      </c>
      <c r="C548" s="514" t="s">
        <v>840</v>
      </c>
      <c r="D548" s="30" t="s">
        <v>476</v>
      </c>
      <c r="E548" s="31" t="s">
        <v>681</v>
      </c>
      <c r="F548" s="31" t="s">
        <v>850</v>
      </c>
      <c r="G548" s="31">
        <v>3</v>
      </c>
      <c r="H548" s="54" t="s">
        <v>685</v>
      </c>
      <c r="I548" s="901" t="s">
        <v>851</v>
      </c>
    </row>
    <row r="549" spans="2:9">
      <c r="B549" s="29">
        <v>45821</v>
      </c>
      <c r="C549" s="514" t="s">
        <v>840</v>
      </c>
      <c r="D549" s="30" t="s">
        <v>396</v>
      </c>
      <c r="E549" s="31" t="s">
        <v>703</v>
      </c>
      <c r="F549" s="31" t="s">
        <v>850</v>
      </c>
      <c r="G549" s="31">
        <v>1</v>
      </c>
      <c r="H549" s="54" t="s">
        <v>685</v>
      </c>
      <c r="I549" s="901" t="s">
        <v>851</v>
      </c>
    </row>
    <row r="550" spans="2:9">
      <c r="B550" s="29">
        <v>45821</v>
      </c>
      <c r="C550" s="514" t="s">
        <v>840</v>
      </c>
      <c r="D550" s="30" t="s">
        <v>397</v>
      </c>
      <c r="E550" s="31" t="s">
        <v>733</v>
      </c>
      <c r="F550" s="31" t="s">
        <v>850</v>
      </c>
      <c r="G550" s="31">
        <v>2</v>
      </c>
      <c r="H550" s="54" t="s">
        <v>685</v>
      </c>
      <c r="I550" s="901" t="s">
        <v>851</v>
      </c>
    </row>
    <row r="551" spans="2:9">
      <c r="B551" s="29">
        <v>45821</v>
      </c>
      <c r="C551" s="514" t="s">
        <v>840</v>
      </c>
      <c r="D551" s="30" t="s">
        <v>494</v>
      </c>
      <c r="E551" s="31" t="s">
        <v>587</v>
      </c>
      <c r="F551" s="31" t="s">
        <v>438</v>
      </c>
      <c r="G551" s="31">
        <v>1</v>
      </c>
      <c r="H551" s="54" t="s">
        <v>689</v>
      </c>
      <c r="I551" s="901" t="s">
        <v>605</v>
      </c>
    </row>
    <row r="552" spans="2:9">
      <c r="B552" s="29">
        <v>45822</v>
      </c>
      <c r="C552" s="514" t="s">
        <v>840</v>
      </c>
      <c r="D552" s="30" t="s">
        <v>542</v>
      </c>
      <c r="E552" s="31" t="s">
        <v>852</v>
      </c>
      <c r="F552" s="31" t="s">
        <v>410</v>
      </c>
      <c r="G552" s="31">
        <v>55</v>
      </c>
      <c r="H552" s="54" t="s">
        <v>685</v>
      </c>
      <c r="I552" s="901" t="s">
        <v>686</v>
      </c>
    </row>
    <row r="553" spans="2:9">
      <c r="B553" s="29">
        <v>45825</v>
      </c>
      <c r="C553" s="514" t="s">
        <v>840</v>
      </c>
      <c r="D553" s="30" t="s">
        <v>494</v>
      </c>
      <c r="E553" s="31" t="s">
        <v>587</v>
      </c>
      <c r="F553" s="31" t="s">
        <v>842</v>
      </c>
      <c r="G553" s="31">
        <v>1</v>
      </c>
      <c r="H553" s="54" t="s">
        <v>685</v>
      </c>
      <c r="I553" s="901" t="s">
        <v>817</v>
      </c>
    </row>
    <row r="554" spans="2:9">
      <c r="B554" s="29">
        <v>45825</v>
      </c>
      <c r="C554" s="514" t="s">
        <v>840</v>
      </c>
      <c r="D554" s="30" t="s">
        <v>432</v>
      </c>
      <c r="E554" s="31" t="s">
        <v>693</v>
      </c>
      <c r="F554" s="31" t="s">
        <v>842</v>
      </c>
      <c r="G554" s="31">
        <v>1</v>
      </c>
      <c r="H554" s="54" t="s">
        <v>685</v>
      </c>
      <c r="I554" s="901" t="s">
        <v>817</v>
      </c>
    </row>
    <row r="555" spans="2:9">
      <c r="B555" s="29">
        <v>45825</v>
      </c>
      <c r="C555" s="514" t="s">
        <v>840</v>
      </c>
      <c r="D555" s="30" t="s">
        <v>522</v>
      </c>
      <c r="E555" s="31" t="s">
        <v>774</v>
      </c>
      <c r="F555" s="31" t="s">
        <v>559</v>
      </c>
      <c r="G555" s="31">
        <v>104</v>
      </c>
      <c r="H555" s="54" t="s">
        <v>683</v>
      </c>
      <c r="I555" s="901" t="s">
        <v>853</v>
      </c>
    </row>
    <row r="556" spans="2:9">
      <c r="B556" s="29">
        <v>45825</v>
      </c>
      <c r="C556" s="514" t="s">
        <v>840</v>
      </c>
      <c r="D556" s="30" t="s">
        <v>470</v>
      </c>
      <c r="E556" s="31" t="s">
        <v>590</v>
      </c>
      <c r="F556" s="31" t="s">
        <v>420</v>
      </c>
      <c r="G556" s="31">
        <v>1</v>
      </c>
      <c r="H556" s="54" t="s">
        <v>344</v>
      </c>
      <c r="I556" s="901" t="s">
        <v>854</v>
      </c>
    </row>
    <row r="557" spans="2:9">
      <c r="B557" s="29">
        <v>45825</v>
      </c>
      <c r="C557" s="514" t="s">
        <v>840</v>
      </c>
      <c r="D557" s="30" t="s">
        <v>468</v>
      </c>
      <c r="E557" s="31" t="s">
        <v>734</v>
      </c>
      <c r="F557" s="1447" t="s">
        <v>855</v>
      </c>
      <c r="G557" s="31">
        <v>13</v>
      </c>
      <c r="H557" s="54" t="s">
        <v>685</v>
      </c>
      <c r="I557" s="1447" t="s">
        <v>856</v>
      </c>
    </row>
    <row r="558" spans="2:9">
      <c r="B558" s="29">
        <v>45825</v>
      </c>
      <c r="C558" s="514" t="s">
        <v>840</v>
      </c>
      <c r="D558" s="30" t="s">
        <v>544</v>
      </c>
      <c r="E558" s="31" t="s">
        <v>781</v>
      </c>
      <c r="F558" s="1448"/>
      <c r="G558" s="31">
        <v>20</v>
      </c>
      <c r="H558" s="54" t="s">
        <v>685</v>
      </c>
      <c r="I558" s="1448"/>
    </row>
    <row r="559" spans="2:9">
      <c r="B559" s="29">
        <v>45825</v>
      </c>
      <c r="C559" s="514" t="s">
        <v>840</v>
      </c>
      <c r="D559" s="30" t="s">
        <v>508</v>
      </c>
      <c r="E559" s="31" t="s">
        <v>829</v>
      </c>
      <c r="F559" s="1448"/>
      <c r="G559" s="31">
        <v>5</v>
      </c>
      <c r="H559" s="54" t="s">
        <v>685</v>
      </c>
      <c r="I559" s="1448"/>
    </row>
    <row r="560" spans="2:9">
      <c r="B560" s="29">
        <v>45825</v>
      </c>
      <c r="C560" s="514" t="s">
        <v>840</v>
      </c>
      <c r="D560" s="30" t="s">
        <v>525</v>
      </c>
      <c r="E560" s="31" t="s">
        <v>838</v>
      </c>
      <c r="F560" s="1448"/>
      <c r="G560" s="31">
        <v>25</v>
      </c>
      <c r="H560" s="54" t="s">
        <v>685</v>
      </c>
      <c r="I560" s="1448"/>
    </row>
    <row r="561" spans="2:9">
      <c r="B561" s="29">
        <v>45825</v>
      </c>
      <c r="C561" s="514" t="s">
        <v>840</v>
      </c>
      <c r="D561" s="30" t="s">
        <v>441</v>
      </c>
      <c r="E561" s="31" t="s">
        <v>839</v>
      </c>
      <c r="F561" s="1448"/>
      <c r="G561" s="31">
        <v>3</v>
      </c>
      <c r="H561" s="54" t="s">
        <v>685</v>
      </c>
      <c r="I561" s="1448"/>
    </row>
    <row r="562" spans="2:9">
      <c r="B562" s="29">
        <v>45825</v>
      </c>
      <c r="C562" s="514" t="s">
        <v>840</v>
      </c>
      <c r="D562" s="30" t="s">
        <v>470</v>
      </c>
      <c r="E562" s="31" t="s">
        <v>590</v>
      </c>
      <c r="F562" s="1448"/>
      <c r="G562" s="31">
        <v>7</v>
      </c>
      <c r="H562" s="54" t="s">
        <v>685</v>
      </c>
      <c r="I562" s="1448"/>
    </row>
    <row r="563" spans="2:9">
      <c r="B563" s="29">
        <v>45825</v>
      </c>
      <c r="C563" s="514" t="s">
        <v>840</v>
      </c>
      <c r="D563" s="30" t="s">
        <v>494</v>
      </c>
      <c r="E563" s="31" t="s">
        <v>587</v>
      </c>
      <c r="F563" s="1448"/>
      <c r="G563" s="31">
        <v>4</v>
      </c>
      <c r="H563" s="54" t="s">
        <v>685</v>
      </c>
      <c r="I563" s="1448"/>
    </row>
    <row r="564" spans="2:9">
      <c r="B564" s="29">
        <v>45825</v>
      </c>
      <c r="C564" s="514" t="s">
        <v>840</v>
      </c>
      <c r="D564" s="30" t="s">
        <v>415</v>
      </c>
      <c r="E564" s="31" t="s">
        <v>659</v>
      </c>
      <c r="F564" s="1448"/>
      <c r="G564" s="31">
        <v>5</v>
      </c>
      <c r="H564" s="54" t="s">
        <v>685</v>
      </c>
      <c r="I564" s="1448"/>
    </row>
    <row r="565" spans="2:9">
      <c r="B565" s="29">
        <v>45825</v>
      </c>
      <c r="C565" s="514" t="s">
        <v>840</v>
      </c>
      <c r="D565" s="30" t="s">
        <v>497</v>
      </c>
      <c r="E565" s="31" t="s">
        <v>692</v>
      </c>
      <c r="F565" s="1448"/>
      <c r="G565" s="31">
        <v>6</v>
      </c>
      <c r="H565" s="54" t="s">
        <v>685</v>
      </c>
      <c r="I565" s="1448"/>
    </row>
    <row r="566" spans="2:9">
      <c r="B566" s="29">
        <v>45825</v>
      </c>
      <c r="C566" s="514" t="s">
        <v>840</v>
      </c>
      <c r="D566" s="30" t="s">
        <v>430</v>
      </c>
      <c r="E566" s="31" t="s">
        <v>723</v>
      </c>
      <c r="F566" s="1448"/>
      <c r="G566" s="31">
        <v>1</v>
      </c>
      <c r="H566" s="54" t="s">
        <v>685</v>
      </c>
      <c r="I566" s="1448"/>
    </row>
    <row r="567" spans="2:9">
      <c r="B567" s="29">
        <v>45825</v>
      </c>
      <c r="C567" s="514" t="s">
        <v>840</v>
      </c>
      <c r="D567" s="30" t="s">
        <v>501</v>
      </c>
      <c r="E567" s="31" t="s">
        <v>696</v>
      </c>
      <c r="F567" s="1448"/>
      <c r="G567" s="31">
        <v>11</v>
      </c>
      <c r="H567" s="54" t="s">
        <v>685</v>
      </c>
      <c r="I567" s="1448"/>
    </row>
    <row r="568" spans="2:9">
      <c r="B568" s="29">
        <v>45825</v>
      </c>
      <c r="C568" s="514" t="s">
        <v>840</v>
      </c>
      <c r="D568" s="30" t="s">
        <v>467</v>
      </c>
      <c r="E568" s="31" t="s">
        <v>702</v>
      </c>
      <c r="F568" s="1448"/>
      <c r="G568" s="31">
        <v>4</v>
      </c>
      <c r="H568" s="54" t="s">
        <v>685</v>
      </c>
      <c r="I568" s="1448"/>
    </row>
    <row r="569" spans="2:9">
      <c r="B569" s="29">
        <v>45825</v>
      </c>
      <c r="C569" s="514" t="s">
        <v>840</v>
      </c>
      <c r="D569" s="30" t="s">
        <v>476</v>
      </c>
      <c r="E569" s="31" t="s">
        <v>681</v>
      </c>
      <c r="F569" s="1448"/>
      <c r="G569" s="31">
        <v>8</v>
      </c>
      <c r="H569" s="54" t="s">
        <v>685</v>
      </c>
      <c r="I569" s="1448"/>
    </row>
    <row r="570" spans="2:9">
      <c r="B570" s="29">
        <v>45825</v>
      </c>
      <c r="C570" s="514" t="s">
        <v>840</v>
      </c>
      <c r="D570" s="30" t="s">
        <v>396</v>
      </c>
      <c r="E570" s="31" t="s">
        <v>703</v>
      </c>
      <c r="F570" s="1448"/>
      <c r="G570" s="31">
        <v>3</v>
      </c>
      <c r="H570" s="54" t="s">
        <v>685</v>
      </c>
      <c r="I570" s="1448"/>
    </row>
    <row r="571" spans="2:9">
      <c r="B571" s="29">
        <v>45825</v>
      </c>
      <c r="C571" s="514" t="s">
        <v>840</v>
      </c>
      <c r="D571" s="30" t="s">
        <v>397</v>
      </c>
      <c r="E571" s="31" t="s">
        <v>733</v>
      </c>
      <c r="F571" s="1449"/>
      <c r="G571" s="31">
        <v>4</v>
      </c>
      <c r="H571" s="54" t="s">
        <v>685</v>
      </c>
      <c r="I571" s="1449"/>
    </row>
    <row r="572" spans="2:9">
      <c r="B572" s="29">
        <v>45826</v>
      </c>
      <c r="C572" s="514" t="s">
        <v>840</v>
      </c>
      <c r="D572" s="30" t="s">
        <v>468</v>
      </c>
      <c r="E572" s="31" t="s">
        <v>734</v>
      </c>
      <c r="F572" s="31" t="s">
        <v>769</v>
      </c>
      <c r="G572" s="31">
        <v>2</v>
      </c>
      <c r="H572" s="54" t="s">
        <v>705</v>
      </c>
      <c r="I572" s="901" t="s">
        <v>857</v>
      </c>
    </row>
    <row r="573" spans="2:9">
      <c r="B573" s="29">
        <v>45826</v>
      </c>
      <c r="C573" s="514" t="s">
        <v>840</v>
      </c>
      <c r="D573" s="30" t="s">
        <v>415</v>
      </c>
      <c r="E573" s="31" t="s">
        <v>659</v>
      </c>
      <c r="F573" s="31" t="s">
        <v>769</v>
      </c>
      <c r="G573" s="31">
        <v>1</v>
      </c>
      <c r="H573" s="54" t="s">
        <v>705</v>
      </c>
      <c r="I573" s="901" t="s">
        <v>857</v>
      </c>
    </row>
    <row r="574" spans="2:9">
      <c r="B574" s="29">
        <v>45826</v>
      </c>
      <c r="C574" s="514" t="s">
        <v>840</v>
      </c>
      <c r="D574" s="30" t="s">
        <v>497</v>
      </c>
      <c r="E574" s="31" t="s">
        <v>692</v>
      </c>
      <c r="F574" s="31" t="s">
        <v>769</v>
      </c>
      <c r="G574" s="31">
        <v>2</v>
      </c>
      <c r="H574" s="54" t="s">
        <v>705</v>
      </c>
      <c r="I574" s="901" t="s">
        <v>857</v>
      </c>
    </row>
    <row r="575" spans="2:9">
      <c r="B575" s="29">
        <v>45826</v>
      </c>
      <c r="C575" s="514" t="s">
        <v>840</v>
      </c>
      <c r="D575" s="30" t="s">
        <v>504</v>
      </c>
      <c r="E575" s="31" t="s">
        <v>672</v>
      </c>
      <c r="F575" s="31" t="s">
        <v>769</v>
      </c>
      <c r="G575" s="31">
        <v>2</v>
      </c>
      <c r="H575" s="54" t="s">
        <v>705</v>
      </c>
      <c r="I575" s="901" t="s">
        <v>857</v>
      </c>
    </row>
    <row r="576" spans="2:9">
      <c r="B576" s="29">
        <v>45826</v>
      </c>
      <c r="C576" s="514" t="s">
        <v>840</v>
      </c>
      <c r="D576" s="30" t="s">
        <v>432</v>
      </c>
      <c r="E576" s="31" t="s">
        <v>693</v>
      </c>
      <c r="F576" s="31" t="s">
        <v>769</v>
      </c>
      <c r="G576" s="31">
        <v>1</v>
      </c>
      <c r="H576" s="54" t="s">
        <v>705</v>
      </c>
      <c r="I576" s="901" t="s">
        <v>857</v>
      </c>
    </row>
    <row r="577" spans="2:9">
      <c r="B577" s="29">
        <v>45826</v>
      </c>
      <c r="C577" s="514" t="s">
        <v>840</v>
      </c>
      <c r="D577" s="30" t="s">
        <v>501</v>
      </c>
      <c r="E577" s="31" t="s">
        <v>696</v>
      </c>
      <c r="F577" s="31" t="s">
        <v>769</v>
      </c>
      <c r="G577" s="31">
        <v>3</v>
      </c>
      <c r="H577" s="54" t="s">
        <v>705</v>
      </c>
      <c r="I577" s="901" t="s">
        <v>857</v>
      </c>
    </row>
    <row r="578" spans="2:9">
      <c r="B578" s="29">
        <v>45826</v>
      </c>
      <c r="C578" s="514" t="s">
        <v>840</v>
      </c>
      <c r="D578" s="30" t="s">
        <v>467</v>
      </c>
      <c r="E578" s="31" t="s">
        <v>702</v>
      </c>
      <c r="F578" s="31" t="s">
        <v>769</v>
      </c>
      <c r="G578" s="31">
        <v>2</v>
      </c>
      <c r="H578" s="54" t="s">
        <v>705</v>
      </c>
      <c r="I578" s="901" t="s">
        <v>857</v>
      </c>
    </row>
    <row r="579" spans="2:9">
      <c r="B579" s="29">
        <v>45826</v>
      </c>
      <c r="C579" s="514" t="s">
        <v>840</v>
      </c>
      <c r="D579" s="30" t="s">
        <v>476</v>
      </c>
      <c r="E579" s="31" t="s">
        <v>681</v>
      </c>
      <c r="F579" s="31" t="s">
        <v>769</v>
      </c>
      <c r="G579" s="31">
        <v>3</v>
      </c>
      <c r="H579" s="54" t="s">
        <v>705</v>
      </c>
      <c r="I579" s="901" t="s">
        <v>857</v>
      </c>
    </row>
    <row r="580" spans="2:9">
      <c r="B580" s="29">
        <v>45826</v>
      </c>
      <c r="C580" s="514" t="s">
        <v>840</v>
      </c>
      <c r="D580" s="30" t="s">
        <v>396</v>
      </c>
      <c r="E580" s="31" t="s">
        <v>703</v>
      </c>
      <c r="F580" s="31" t="s">
        <v>769</v>
      </c>
      <c r="G580" s="31">
        <v>2</v>
      </c>
      <c r="H580" s="54" t="s">
        <v>705</v>
      </c>
      <c r="I580" s="901" t="s">
        <v>857</v>
      </c>
    </row>
    <row r="581" spans="2:9">
      <c r="B581" s="29">
        <v>45826</v>
      </c>
      <c r="C581" s="514" t="s">
        <v>840</v>
      </c>
      <c r="D581" s="30" t="s">
        <v>564</v>
      </c>
      <c r="E581" s="31" t="s">
        <v>667</v>
      </c>
      <c r="F581" s="31" t="s">
        <v>769</v>
      </c>
      <c r="G581" s="31">
        <v>1</v>
      </c>
      <c r="H581" s="54" t="s">
        <v>705</v>
      </c>
      <c r="I581" s="901" t="s">
        <v>857</v>
      </c>
    </row>
    <row r="582" spans="2:9">
      <c r="B582" s="29">
        <v>45827</v>
      </c>
      <c r="C582" s="514" t="s">
        <v>840</v>
      </c>
      <c r="D582" s="30" t="s">
        <v>494</v>
      </c>
      <c r="E582" s="31" t="s">
        <v>587</v>
      </c>
      <c r="F582" s="31" t="s">
        <v>579</v>
      </c>
      <c r="G582" s="31">
        <v>1</v>
      </c>
      <c r="H582" s="54" t="s">
        <v>689</v>
      </c>
      <c r="I582" s="901" t="s">
        <v>858</v>
      </c>
    </row>
    <row r="583" spans="2:9">
      <c r="B583" s="29">
        <v>45827</v>
      </c>
      <c r="C583" s="514" t="s">
        <v>840</v>
      </c>
      <c r="D583" s="30" t="s">
        <v>509</v>
      </c>
      <c r="E583" s="31" t="s">
        <v>691</v>
      </c>
      <c r="F583" s="31" t="s">
        <v>579</v>
      </c>
      <c r="G583" s="31">
        <v>2</v>
      </c>
      <c r="H583" s="54" t="s">
        <v>689</v>
      </c>
      <c r="I583" s="901" t="s">
        <v>858</v>
      </c>
    </row>
    <row r="584" spans="2:9">
      <c r="B584" s="29">
        <v>45827</v>
      </c>
      <c r="C584" s="514" t="s">
        <v>840</v>
      </c>
      <c r="D584" s="30" t="s">
        <v>415</v>
      </c>
      <c r="E584" s="31" t="s">
        <v>659</v>
      </c>
      <c r="F584" s="31" t="s">
        <v>579</v>
      </c>
      <c r="G584" s="31">
        <v>3</v>
      </c>
      <c r="H584" s="54" t="s">
        <v>689</v>
      </c>
      <c r="I584" s="901" t="s">
        <v>858</v>
      </c>
    </row>
    <row r="585" spans="2:9">
      <c r="B585" s="29">
        <v>45827</v>
      </c>
      <c r="C585" s="514" t="s">
        <v>840</v>
      </c>
      <c r="D585" s="30" t="s">
        <v>497</v>
      </c>
      <c r="E585" s="31" t="s">
        <v>859</v>
      </c>
      <c r="F585" s="31" t="s">
        <v>579</v>
      </c>
      <c r="G585" s="31">
        <v>2</v>
      </c>
      <c r="H585" s="54" t="s">
        <v>689</v>
      </c>
      <c r="I585" s="901" t="s">
        <v>858</v>
      </c>
    </row>
    <row r="586" spans="2:9">
      <c r="B586" s="29">
        <v>45827</v>
      </c>
      <c r="C586" s="514" t="s">
        <v>840</v>
      </c>
      <c r="D586" s="30" t="s">
        <v>504</v>
      </c>
      <c r="E586" s="31" t="s">
        <v>672</v>
      </c>
      <c r="F586" s="31" t="s">
        <v>579</v>
      </c>
      <c r="G586" s="31">
        <v>2</v>
      </c>
      <c r="H586" s="54" t="s">
        <v>689</v>
      </c>
      <c r="I586" s="901" t="s">
        <v>858</v>
      </c>
    </row>
    <row r="587" spans="2:9">
      <c r="B587" s="29">
        <v>45827</v>
      </c>
      <c r="C587" s="514" t="s">
        <v>840</v>
      </c>
      <c r="D587" s="30" t="s">
        <v>430</v>
      </c>
      <c r="E587" s="31" t="s">
        <v>671</v>
      </c>
      <c r="F587" s="31" t="s">
        <v>579</v>
      </c>
      <c r="G587" s="31">
        <v>2</v>
      </c>
      <c r="H587" s="54" t="s">
        <v>689</v>
      </c>
      <c r="I587" s="901" t="s">
        <v>858</v>
      </c>
    </row>
    <row r="588" spans="2:9">
      <c r="B588" s="29">
        <v>45827</v>
      </c>
      <c r="C588" s="514" t="s">
        <v>840</v>
      </c>
      <c r="D588" s="30" t="s">
        <v>432</v>
      </c>
      <c r="E588" s="31" t="s">
        <v>669</v>
      </c>
      <c r="F588" s="31" t="s">
        <v>579</v>
      </c>
      <c r="G588" s="31">
        <v>1</v>
      </c>
      <c r="H588" s="54" t="s">
        <v>689</v>
      </c>
      <c r="I588" s="901" t="s">
        <v>858</v>
      </c>
    </row>
    <row r="589" spans="2:9">
      <c r="B589" s="29">
        <v>45827</v>
      </c>
      <c r="C589" s="514" t="s">
        <v>840</v>
      </c>
      <c r="D589" s="30" t="s">
        <v>415</v>
      </c>
      <c r="E589" s="31" t="s">
        <v>659</v>
      </c>
      <c r="F589" s="31" t="s">
        <v>579</v>
      </c>
      <c r="G589" s="31">
        <v>1</v>
      </c>
      <c r="H589" s="54" t="s">
        <v>689</v>
      </c>
      <c r="I589" s="901" t="s">
        <v>858</v>
      </c>
    </row>
    <row r="590" spans="2:9">
      <c r="B590" s="29">
        <v>45827</v>
      </c>
      <c r="C590" s="514" t="s">
        <v>840</v>
      </c>
      <c r="D590" s="30" t="s">
        <v>497</v>
      </c>
      <c r="E590" s="31" t="s">
        <v>859</v>
      </c>
      <c r="F590" s="31" t="s">
        <v>579</v>
      </c>
      <c r="G590" s="31">
        <v>1</v>
      </c>
      <c r="H590" s="54" t="s">
        <v>689</v>
      </c>
      <c r="I590" s="901" t="s">
        <v>858</v>
      </c>
    </row>
    <row r="591" spans="2:9">
      <c r="B591" s="29">
        <v>45827</v>
      </c>
      <c r="C591" s="514" t="s">
        <v>840</v>
      </c>
      <c r="D591" s="30" t="s">
        <v>468</v>
      </c>
      <c r="E591" s="31" t="s">
        <v>675</v>
      </c>
      <c r="F591" s="31" t="s">
        <v>579</v>
      </c>
      <c r="G591" s="31">
        <v>2</v>
      </c>
      <c r="H591" s="54" t="s">
        <v>689</v>
      </c>
      <c r="I591" s="901" t="s">
        <v>858</v>
      </c>
    </row>
    <row r="592" spans="2:9">
      <c r="B592" s="29">
        <v>45827</v>
      </c>
      <c r="C592" s="514" t="s">
        <v>840</v>
      </c>
      <c r="D592" s="30" t="s">
        <v>501</v>
      </c>
      <c r="E592" s="31" t="s">
        <v>674</v>
      </c>
      <c r="F592" s="31" t="s">
        <v>579</v>
      </c>
      <c r="G592" s="31">
        <v>6</v>
      </c>
      <c r="H592" s="54" t="s">
        <v>689</v>
      </c>
      <c r="I592" s="901" t="s">
        <v>858</v>
      </c>
    </row>
    <row r="593" spans="2:9">
      <c r="B593" s="29">
        <v>45827</v>
      </c>
      <c r="C593" s="514" t="s">
        <v>840</v>
      </c>
      <c r="D593" s="30" t="s">
        <v>467</v>
      </c>
      <c r="E593" s="31" t="s">
        <v>582</v>
      </c>
      <c r="F593" s="31" t="s">
        <v>579</v>
      </c>
      <c r="G593" s="31">
        <v>6</v>
      </c>
      <c r="H593" s="54" t="s">
        <v>689</v>
      </c>
      <c r="I593" s="901" t="s">
        <v>858</v>
      </c>
    </row>
    <row r="594" spans="2:9">
      <c r="B594" s="29">
        <v>45827</v>
      </c>
      <c r="C594" s="514" t="s">
        <v>840</v>
      </c>
      <c r="D594" s="30" t="s">
        <v>476</v>
      </c>
      <c r="E594" s="31" t="s">
        <v>577</v>
      </c>
      <c r="F594" s="31" t="s">
        <v>579</v>
      </c>
      <c r="G594" s="31">
        <v>6</v>
      </c>
      <c r="H594" s="54" t="s">
        <v>689</v>
      </c>
      <c r="I594" s="901" t="s">
        <v>858</v>
      </c>
    </row>
    <row r="595" spans="2:9">
      <c r="B595" s="29">
        <v>45827</v>
      </c>
      <c r="C595" s="514" t="s">
        <v>840</v>
      </c>
      <c r="D595" s="30" t="s">
        <v>470</v>
      </c>
      <c r="E595" s="31" t="s">
        <v>590</v>
      </c>
      <c r="F595" s="31" t="s">
        <v>579</v>
      </c>
      <c r="G595" s="31">
        <v>2</v>
      </c>
      <c r="H595" s="54" t="s">
        <v>689</v>
      </c>
      <c r="I595" s="901" t="s">
        <v>858</v>
      </c>
    </row>
    <row r="596" spans="2:9">
      <c r="B596" s="29">
        <v>45827</v>
      </c>
      <c r="C596" s="514" t="s">
        <v>840</v>
      </c>
      <c r="D596" s="30" t="s">
        <v>564</v>
      </c>
      <c r="E596" s="31" t="s">
        <v>667</v>
      </c>
      <c r="F596" s="31" t="s">
        <v>579</v>
      </c>
      <c r="G596" s="31">
        <v>1</v>
      </c>
      <c r="H596" s="54" t="s">
        <v>689</v>
      </c>
      <c r="I596" s="901" t="s">
        <v>858</v>
      </c>
    </row>
    <row r="597" spans="2:9">
      <c r="B597" s="29">
        <v>45827</v>
      </c>
      <c r="C597" s="514" t="s">
        <v>840</v>
      </c>
      <c r="D597" s="30" t="s">
        <v>422</v>
      </c>
      <c r="E597" s="31" t="s">
        <v>860</v>
      </c>
      <c r="F597" s="31" t="s">
        <v>579</v>
      </c>
      <c r="G597" s="31">
        <v>20</v>
      </c>
      <c r="H597" s="54" t="s">
        <v>689</v>
      </c>
      <c r="I597" s="901" t="s">
        <v>858</v>
      </c>
    </row>
    <row r="598" spans="2:9">
      <c r="B598" s="29">
        <v>45827</v>
      </c>
      <c r="C598" s="514" t="s">
        <v>840</v>
      </c>
      <c r="D598" s="30" t="s">
        <v>501</v>
      </c>
      <c r="E598" s="31" t="s">
        <v>674</v>
      </c>
      <c r="F598" s="31" t="s">
        <v>546</v>
      </c>
      <c r="G598" s="31">
        <v>10</v>
      </c>
      <c r="H598" s="54" t="s">
        <v>689</v>
      </c>
      <c r="I598" s="901" t="s">
        <v>858</v>
      </c>
    </row>
    <row r="599" spans="2:9">
      <c r="B599" s="29">
        <v>45827</v>
      </c>
      <c r="C599" s="514" t="s">
        <v>840</v>
      </c>
      <c r="D599" s="30" t="s">
        <v>467</v>
      </c>
      <c r="E599" s="31" t="s">
        <v>582</v>
      </c>
      <c r="F599" s="31" t="s">
        <v>546</v>
      </c>
      <c r="G599" s="31">
        <v>3</v>
      </c>
      <c r="H599" s="54" t="s">
        <v>689</v>
      </c>
      <c r="I599" s="901" t="s">
        <v>858</v>
      </c>
    </row>
    <row r="600" spans="2:9">
      <c r="B600" s="29">
        <v>45827</v>
      </c>
      <c r="C600" s="514" t="s">
        <v>840</v>
      </c>
      <c r="D600" s="30" t="s">
        <v>476</v>
      </c>
      <c r="E600" s="31" t="s">
        <v>577</v>
      </c>
      <c r="F600" s="31" t="s">
        <v>546</v>
      </c>
      <c r="G600" s="31">
        <v>9</v>
      </c>
      <c r="H600" s="54" t="s">
        <v>689</v>
      </c>
      <c r="I600" s="901" t="s">
        <v>858</v>
      </c>
    </row>
    <row r="601" spans="2:9">
      <c r="B601" s="29">
        <v>45827</v>
      </c>
      <c r="C601" s="514" t="s">
        <v>840</v>
      </c>
      <c r="D601" s="30" t="s">
        <v>411</v>
      </c>
      <c r="E601" s="31" t="s">
        <v>642</v>
      </c>
      <c r="F601" s="31" t="s">
        <v>546</v>
      </c>
      <c r="G601" s="31">
        <v>2</v>
      </c>
      <c r="H601" s="54" t="s">
        <v>689</v>
      </c>
      <c r="I601" s="901" t="s">
        <v>858</v>
      </c>
    </row>
    <row r="602" spans="2:9">
      <c r="B602" s="29">
        <v>45827</v>
      </c>
      <c r="C602" s="514" t="s">
        <v>840</v>
      </c>
      <c r="D602" s="30" t="s">
        <v>501</v>
      </c>
      <c r="E602" s="31" t="s">
        <v>674</v>
      </c>
      <c r="F602" s="31" t="s">
        <v>546</v>
      </c>
      <c r="G602" s="31">
        <v>17</v>
      </c>
      <c r="H602" s="54" t="s">
        <v>689</v>
      </c>
      <c r="I602" s="901" t="s">
        <v>858</v>
      </c>
    </row>
    <row r="603" spans="2:9">
      <c r="B603" s="29">
        <v>45827</v>
      </c>
      <c r="C603" s="514" t="s">
        <v>840</v>
      </c>
      <c r="D603" s="30" t="s">
        <v>467</v>
      </c>
      <c r="E603" s="31" t="s">
        <v>582</v>
      </c>
      <c r="F603" s="31" t="s">
        <v>546</v>
      </c>
      <c r="G603" s="31">
        <v>1</v>
      </c>
      <c r="H603" s="54" t="s">
        <v>689</v>
      </c>
      <c r="I603" s="901" t="s">
        <v>858</v>
      </c>
    </row>
    <row r="604" spans="2:9">
      <c r="B604" s="29">
        <v>45827</v>
      </c>
      <c r="C604" s="514" t="s">
        <v>840</v>
      </c>
      <c r="D604" s="30" t="s">
        <v>476</v>
      </c>
      <c r="E604" s="31" t="s">
        <v>577</v>
      </c>
      <c r="F604" s="31" t="s">
        <v>546</v>
      </c>
      <c r="G604" s="31">
        <v>4</v>
      </c>
      <c r="H604" s="54" t="s">
        <v>689</v>
      </c>
      <c r="I604" s="901" t="s">
        <v>858</v>
      </c>
    </row>
    <row r="605" spans="2:9">
      <c r="B605" s="29">
        <v>45827</v>
      </c>
      <c r="C605" s="514" t="s">
        <v>840</v>
      </c>
      <c r="D605" s="30" t="s">
        <v>411</v>
      </c>
      <c r="E605" s="31" t="s">
        <v>642</v>
      </c>
      <c r="F605" s="31" t="s">
        <v>546</v>
      </c>
      <c r="G605" s="31">
        <v>1</v>
      </c>
      <c r="H605" s="54" t="s">
        <v>689</v>
      </c>
      <c r="I605" s="901" t="s">
        <v>858</v>
      </c>
    </row>
    <row r="606" spans="2:9">
      <c r="B606" s="29">
        <v>45827</v>
      </c>
      <c r="C606" s="514" t="s">
        <v>840</v>
      </c>
      <c r="D606" s="30" t="s">
        <v>478</v>
      </c>
      <c r="E606" s="31" t="s">
        <v>861</v>
      </c>
      <c r="F606" s="31" t="s">
        <v>546</v>
      </c>
      <c r="G606" s="31">
        <v>1</v>
      </c>
      <c r="H606" s="54" t="s">
        <v>689</v>
      </c>
      <c r="I606" s="901" t="s">
        <v>858</v>
      </c>
    </row>
    <row r="607" spans="2:9">
      <c r="B607" s="29">
        <v>45827</v>
      </c>
      <c r="C607" s="514" t="s">
        <v>840</v>
      </c>
      <c r="D607" s="30" t="s">
        <v>470</v>
      </c>
      <c r="E607" s="31" t="s">
        <v>590</v>
      </c>
      <c r="F607" s="31" t="s">
        <v>546</v>
      </c>
      <c r="G607" s="31">
        <v>2</v>
      </c>
      <c r="H607" s="54" t="s">
        <v>689</v>
      </c>
      <c r="I607" s="901" t="s">
        <v>858</v>
      </c>
    </row>
    <row r="608" spans="2:9">
      <c r="B608" s="29">
        <v>45827</v>
      </c>
      <c r="C608" s="514" t="s">
        <v>840</v>
      </c>
      <c r="D608" s="30" t="s">
        <v>509</v>
      </c>
      <c r="E608" s="31" t="s">
        <v>691</v>
      </c>
      <c r="F608" s="31" t="s">
        <v>546</v>
      </c>
      <c r="G608" s="31">
        <v>15</v>
      </c>
      <c r="H608" s="54" t="s">
        <v>689</v>
      </c>
      <c r="I608" s="901" t="s">
        <v>858</v>
      </c>
    </row>
    <row r="609" spans="2:9">
      <c r="B609" s="29">
        <v>45827</v>
      </c>
      <c r="C609" s="514" t="s">
        <v>840</v>
      </c>
      <c r="D609" s="30" t="s">
        <v>415</v>
      </c>
      <c r="E609" s="31" t="s">
        <v>659</v>
      </c>
      <c r="F609" s="31" t="s">
        <v>546</v>
      </c>
      <c r="G609" s="31">
        <v>2</v>
      </c>
      <c r="H609" s="54" t="s">
        <v>689</v>
      </c>
      <c r="I609" s="901" t="s">
        <v>858</v>
      </c>
    </row>
    <row r="610" spans="2:9">
      <c r="B610" s="29">
        <v>45827</v>
      </c>
      <c r="C610" s="514" t="s">
        <v>840</v>
      </c>
      <c r="D610" s="30" t="s">
        <v>417</v>
      </c>
      <c r="E610" s="31" t="s">
        <v>795</v>
      </c>
      <c r="F610" s="31" t="s">
        <v>546</v>
      </c>
      <c r="G610" s="31">
        <v>1</v>
      </c>
      <c r="H610" s="54" t="s">
        <v>689</v>
      </c>
      <c r="I610" s="901" t="s">
        <v>858</v>
      </c>
    </row>
    <row r="611" spans="2:9">
      <c r="B611" s="29">
        <v>45827</v>
      </c>
      <c r="C611" s="514" t="s">
        <v>840</v>
      </c>
      <c r="D611" s="30" t="s">
        <v>432</v>
      </c>
      <c r="E611" s="31" t="s">
        <v>669</v>
      </c>
      <c r="F611" s="31" t="s">
        <v>546</v>
      </c>
      <c r="G611" s="31">
        <v>2</v>
      </c>
      <c r="H611" s="54" t="s">
        <v>689</v>
      </c>
      <c r="I611" s="901" t="s">
        <v>858</v>
      </c>
    </row>
    <row r="612" spans="2:9">
      <c r="B612" s="29">
        <v>45827</v>
      </c>
      <c r="C612" s="514" t="s">
        <v>840</v>
      </c>
      <c r="D612" s="30" t="s">
        <v>467</v>
      </c>
      <c r="E612" s="31" t="s">
        <v>582</v>
      </c>
      <c r="F612" s="31" t="s">
        <v>546</v>
      </c>
      <c r="G612" s="31">
        <v>2</v>
      </c>
      <c r="H612" s="54" t="s">
        <v>689</v>
      </c>
      <c r="I612" s="901" t="s">
        <v>858</v>
      </c>
    </row>
    <row r="613" spans="2:9">
      <c r="B613" s="29">
        <v>45827</v>
      </c>
      <c r="C613" s="514" t="s">
        <v>840</v>
      </c>
      <c r="D613" s="30" t="s">
        <v>411</v>
      </c>
      <c r="E613" s="31" t="s">
        <v>642</v>
      </c>
      <c r="F613" s="31" t="s">
        <v>546</v>
      </c>
      <c r="G613" s="31">
        <v>1</v>
      </c>
      <c r="H613" s="54" t="s">
        <v>689</v>
      </c>
      <c r="I613" s="901" t="s">
        <v>858</v>
      </c>
    </row>
    <row r="614" spans="2:9">
      <c r="B614" s="29">
        <v>45827</v>
      </c>
      <c r="C614" s="514" t="s">
        <v>840</v>
      </c>
      <c r="D614" s="30" t="s">
        <v>508</v>
      </c>
      <c r="E614" s="31" t="s">
        <v>862</v>
      </c>
      <c r="F614" s="31" t="s">
        <v>459</v>
      </c>
      <c r="G614" s="31">
        <v>4</v>
      </c>
      <c r="H614" s="54" t="s">
        <v>689</v>
      </c>
      <c r="I614" s="901" t="s">
        <v>858</v>
      </c>
    </row>
    <row r="615" spans="2:9">
      <c r="B615" s="29">
        <v>45827</v>
      </c>
      <c r="C615" s="514" t="s">
        <v>840</v>
      </c>
      <c r="D615" s="30" t="s">
        <v>494</v>
      </c>
      <c r="E615" s="31" t="s">
        <v>587</v>
      </c>
      <c r="F615" s="31" t="s">
        <v>459</v>
      </c>
      <c r="G615" s="31">
        <v>3</v>
      </c>
      <c r="H615" s="54" t="s">
        <v>689</v>
      </c>
      <c r="I615" s="901" t="s">
        <v>858</v>
      </c>
    </row>
    <row r="616" spans="2:9">
      <c r="B616" s="29">
        <v>45827</v>
      </c>
      <c r="C616" s="514" t="s">
        <v>840</v>
      </c>
      <c r="D616" s="30" t="s">
        <v>509</v>
      </c>
      <c r="E616" s="31" t="s">
        <v>691</v>
      </c>
      <c r="F616" s="31" t="s">
        <v>459</v>
      </c>
      <c r="G616" s="31">
        <v>1</v>
      </c>
      <c r="H616" s="54" t="s">
        <v>689</v>
      </c>
      <c r="I616" s="901" t="s">
        <v>858</v>
      </c>
    </row>
    <row r="617" spans="2:9">
      <c r="B617" s="29">
        <v>45827</v>
      </c>
      <c r="C617" s="514" t="s">
        <v>840</v>
      </c>
      <c r="D617" s="30" t="s">
        <v>415</v>
      </c>
      <c r="E617" s="31" t="s">
        <v>659</v>
      </c>
      <c r="F617" s="31" t="s">
        <v>459</v>
      </c>
      <c r="G617" s="31">
        <v>4</v>
      </c>
      <c r="H617" s="54" t="s">
        <v>689</v>
      </c>
      <c r="I617" s="901" t="s">
        <v>858</v>
      </c>
    </row>
    <row r="618" spans="2:9">
      <c r="B618" s="29">
        <v>45827</v>
      </c>
      <c r="C618" s="514" t="s">
        <v>840</v>
      </c>
      <c r="D618" s="30" t="s">
        <v>430</v>
      </c>
      <c r="E618" s="31" t="s">
        <v>671</v>
      </c>
      <c r="F618" s="31" t="s">
        <v>459</v>
      </c>
      <c r="G618" s="31">
        <v>1</v>
      </c>
      <c r="H618" s="54" t="s">
        <v>689</v>
      </c>
      <c r="I618" s="901" t="s">
        <v>858</v>
      </c>
    </row>
    <row r="619" spans="2:9">
      <c r="B619" s="29">
        <v>45827</v>
      </c>
      <c r="C619" s="514" t="s">
        <v>840</v>
      </c>
      <c r="D619" s="30" t="s">
        <v>467</v>
      </c>
      <c r="E619" s="31" t="s">
        <v>582</v>
      </c>
      <c r="F619" s="31" t="s">
        <v>459</v>
      </c>
      <c r="G619" s="31">
        <v>1</v>
      </c>
      <c r="H619" s="54" t="s">
        <v>689</v>
      </c>
      <c r="I619" s="901" t="s">
        <v>858</v>
      </c>
    </row>
    <row r="620" spans="2:9">
      <c r="B620" s="29">
        <v>45827</v>
      </c>
      <c r="C620" s="514" t="s">
        <v>840</v>
      </c>
      <c r="D620" s="30" t="s">
        <v>501</v>
      </c>
      <c r="E620" s="31" t="s">
        <v>674</v>
      </c>
      <c r="F620" s="31" t="s">
        <v>573</v>
      </c>
      <c r="G620" s="31">
        <v>3</v>
      </c>
      <c r="H620" s="54" t="s">
        <v>689</v>
      </c>
      <c r="I620" s="901" t="s">
        <v>858</v>
      </c>
    </row>
    <row r="621" spans="2:9">
      <c r="B621" s="29">
        <v>45827</v>
      </c>
      <c r="C621" s="514" t="s">
        <v>840</v>
      </c>
      <c r="D621" s="30" t="s">
        <v>476</v>
      </c>
      <c r="E621" s="31" t="s">
        <v>577</v>
      </c>
      <c r="F621" s="31" t="s">
        <v>573</v>
      </c>
      <c r="G621" s="31">
        <v>3</v>
      </c>
      <c r="H621" s="54" t="s">
        <v>689</v>
      </c>
      <c r="I621" s="901" t="s">
        <v>858</v>
      </c>
    </row>
    <row r="622" spans="2:9">
      <c r="B622" s="29">
        <v>45827</v>
      </c>
      <c r="C622" s="514" t="s">
        <v>840</v>
      </c>
      <c r="D622" s="30" t="s">
        <v>598</v>
      </c>
      <c r="E622" s="31" t="s">
        <v>863</v>
      </c>
      <c r="F622" s="31" t="s">
        <v>573</v>
      </c>
      <c r="G622" s="31">
        <v>10</v>
      </c>
      <c r="H622" s="54" t="s">
        <v>689</v>
      </c>
      <c r="I622" s="901" t="s">
        <v>858</v>
      </c>
    </row>
    <row r="623" spans="2:9">
      <c r="B623" s="29">
        <v>45827</v>
      </c>
      <c r="C623" s="514" t="s">
        <v>840</v>
      </c>
      <c r="D623" s="30" t="s">
        <v>524</v>
      </c>
      <c r="E623" s="31" t="s">
        <v>729</v>
      </c>
      <c r="F623" s="31" t="s">
        <v>573</v>
      </c>
      <c r="G623" s="31">
        <v>10</v>
      </c>
      <c r="H623" s="54" t="s">
        <v>689</v>
      </c>
      <c r="I623" s="901" t="s">
        <v>858</v>
      </c>
    </row>
    <row r="624" spans="2:9">
      <c r="B624" s="29">
        <v>45827</v>
      </c>
      <c r="C624" s="514" t="s">
        <v>840</v>
      </c>
      <c r="D624" s="30" t="s">
        <v>549</v>
      </c>
      <c r="E624" s="31" t="s">
        <v>614</v>
      </c>
      <c r="F624" s="31" t="s">
        <v>573</v>
      </c>
      <c r="G624" s="31">
        <v>5</v>
      </c>
      <c r="H624" s="54" t="s">
        <v>689</v>
      </c>
      <c r="I624" s="901" t="s">
        <v>858</v>
      </c>
    </row>
    <row r="625" spans="2:9">
      <c r="B625" s="29">
        <v>45827</v>
      </c>
      <c r="C625" s="514" t="s">
        <v>840</v>
      </c>
      <c r="D625" s="30" t="s">
        <v>494</v>
      </c>
      <c r="E625" s="31" t="s">
        <v>587</v>
      </c>
      <c r="F625" s="31" t="s">
        <v>573</v>
      </c>
      <c r="G625" s="31">
        <v>2</v>
      </c>
      <c r="H625" s="54" t="s">
        <v>689</v>
      </c>
      <c r="I625" s="901" t="s">
        <v>858</v>
      </c>
    </row>
    <row r="626" spans="2:9">
      <c r="B626" s="29">
        <v>45827</v>
      </c>
      <c r="C626" s="514" t="s">
        <v>840</v>
      </c>
      <c r="D626" s="30" t="s">
        <v>497</v>
      </c>
      <c r="E626" s="31" t="s">
        <v>859</v>
      </c>
      <c r="F626" s="31" t="s">
        <v>573</v>
      </c>
      <c r="G626" s="31">
        <v>3</v>
      </c>
      <c r="H626" s="54" t="s">
        <v>689</v>
      </c>
      <c r="I626" s="901" t="s">
        <v>858</v>
      </c>
    </row>
    <row r="627" spans="2:9">
      <c r="B627" s="29">
        <v>45827</v>
      </c>
      <c r="C627" s="514" t="s">
        <v>840</v>
      </c>
      <c r="D627" s="30" t="s">
        <v>432</v>
      </c>
      <c r="E627" s="31" t="s">
        <v>669</v>
      </c>
      <c r="F627" s="31" t="s">
        <v>573</v>
      </c>
      <c r="G627" s="31">
        <v>1</v>
      </c>
      <c r="H627" s="54" t="s">
        <v>689</v>
      </c>
      <c r="I627" s="901" t="s">
        <v>858</v>
      </c>
    </row>
    <row r="628" spans="2:9">
      <c r="B628" s="29">
        <v>45827</v>
      </c>
      <c r="C628" s="514" t="s">
        <v>840</v>
      </c>
      <c r="D628" s="30" t="s">
        <v>427</v>
      </c>
      <c r="E628" s="31" t="s">
        <v>864</v>
      </c>
      <c r="F628" s="31" t="s">
        <v>628</v>
      </c>
      <c r="G628" s="31">
        <v>10</v>
      </c>
      <c r="H628" s="54" t="s">
        <v>689</v>
      </c>
      <c r="I628" s="901" t="s">
        <v>858</v>
      </c>
    </row>
    <row r="629" spans="2:9">
      <c r="B629" s="29">
        <v>45827</v>
      </c>
      <c r="C629" s="514" t="s">
        <v>840</v>
      </c>
      <c r="D629" s="30" t="s">
        <v>430</v>
      </c>
      <c r="E629" s="31" t="s">
        <v>671</v>
      </c>
      <c r="F629" s="31" t="s">
        <v>628</v>
      </c>
      <c r="G629" s="31">
        <v>10</v>
      </c>
      <c r="H629" s="54" t="s">
        <v>689</v>
      </c>
      <c r="I629" s="901" t="s">
        <v>858</v>
      </c>
    </row>
    <row r="630" spans="2:9">
      <c r="B630" s="29">
        <v>45827</v>
      </c>
      <c r="C630" s="514" t="s">
        <v>840</v>
      </c>
      <c r="D630" s="30" t="s">
        <v>492</v>
      </c>
      <c r="E630" s="31" t="s">
        <v>670</v>
      </c>
      <c r="F630" s="31" t="s">
        <v>628</v>
      </c>
      <c r="G630" s="31">
        <v>5</v>
      </c>
      <c r="H630" s="54" t="s">
        <v>689</v>
      </c>
      <c r="I630" s="901" t="s">
        <v>858</v>
      </c>
    </row>
    <row r="631" spans="2:9">
      <c r="B631" s="29">
        <v>45827</v>
      </c>
      <c r="C631" s="514" t="s">
        <v>840</v>
      </c>
      <c r="D631" s="30" t="s">
        <v>467</v>
      </c>
      <c r="E631" s="31" t="s">
        <v>582</v>
      </c>
      <c r="F631" s="31" t="s">
        <v>628</v>
      </c>
      <c r="G631" s="31">
        <v>2</v>
      </c>
      <c r="H631" s="54" t="s">
        <v>689</v>
      </c>
      <c r="I631" s="901" t="s">
        <v>858</v>
      </c>
    </row>
    <row r="632" spans="2:9">
      <c r="B632" s="29">
        <v>45827</v>
      </c>
      <c r="C632" s="514" t="s">
        <v>840</v>
      </c>
      <c r="D632" s="30" t="s">
        <v>506</v>
      </c>
      <c r="E632" s="31" t="s">
        <v>687</v>
      </c>
      <c r="F632" s="31" t="s">
        <v>594</v>
      </c>
      <c r="G632" s="31">
        <v>1</v>
      </c>
      <c r="H632" s="54" t="s">
        <v>689</v>
      </c>
      <c r="I632" s="901" t="s">
        <v>744</v>
      </c>
    </row>
    <row r="633" spans="2:9">
      <c r="B633" s="29">
        <v>45827</v>
      </c>
      <c r="C633" s="514" t="s">
        <v>840</v>
      </c>
      <c r="D633" s="30" t="s">
        <v>468</v>
      </c>
      <c r="E633" s="31" t="s">
        <v>734</v>
      </c>
      <c r="F633" s="31" t="s">
        <v>594</v>
      </c>
      <c r="G633" s="31">
        <v>2</v>
      </c>
      <c r="H633" s="54" t="s">
        <v>689</v>
      </c>
      <c r="I633" s="901" t="s">
        <v>744</v>
      </c>
    </row>
    <row r="634" spans="2:9">
      <c r="B634" s="29">
        <v>45827</v>
      </c>
      <c r="C634" s="514" t="s">
        <v>840</v>
      </c>
      <c r="D634" s="30" t="s">
        <v>470</v>
      </c>
      <c r="E634" s="31" t="s">
        <v>590</v>
      </c>
      <c r="F634" s="31" t="s">
        <v>594</v>
      </c>
      <c r="G634" s="31">
        <v>4</v>
      </c>
      <c r="H634" s="54" t="s">
        <v>689</v>
      </c>
      <c r="I634" s="901" t="s">
        <v>744</v>
      </c>
    </row>
    <row r="635" spans="2:9">
      <c r="B635" s="29">
        <v>45827</v>
      </c>
      <c r="C635" s="514" t="s">
        <v>840</v>
      </c>
      <c r="D635" s="30" t="s">
        <v>494</v>
      </c>
      <c r="E635" s="31" t="s">
        <v>587</v>
      </c>
      <c r="F635" s="31" t="s">
        <v>594</v>
      </c>
      <c r="G635" s="31">
        <v>2</v>
      </c>
      <c r="H635" s="54" t="s">
        <v>689</v>
      </c>
      <c r="I635" s="901" t="s">
        <v>744</v>
      </c>
    </row>
    <row r="636" spans="2:9">
      <c r="B636" s="29">
        <v>45827</v>
      </c>
      <c r="C636" s="514" t="s">
        <v>840</v>
      </c>
      <c r="D636" s="30" t="s">
        <v>509</v>
      </c>
      <c r="E636" s="31" t="s">
        <v>691</v>
      </c>
      <c r="F636" s="31" t="s">
        <v>594</v>
      </c>
      <c r="G636" s="31">
        <v>4</v>
      </c>
      <c r="H636" s="54" t="s">
        <v>689</v>
      </c>
      <c r="I636" s="901" t="s">
        <v>744</v>
      </c>
    </row>
    <row r="637" spans="2:9">
      <c r="B637" s="29">
        <v>45827</v>
      </c>
      <c r="C637" s="514" t="s">
        <v>840</v>
      </c>
      <c r="D637" s="30" t="s">
        <v>415</v>
      </c>
      <c r="E637" s="31" t="s">
        <v>659</v>
      </c>
      <c r="F637" s="31" t="s">
        <v>594</v>
      </c>
      <c r="G637" s="31">
        <v>2</v>
      </c>
      <c r="H637" s="54" t="s">
        <v>689</v>
      </c>
      <c r="I637" s="901" t="s">
        <v>744</v>
      </c>
    </row>
    <row r="638" spans="2:9">
      <c r="B638" s="29">
        <v>45827</v>
      </c>
      <c r="C638" s="514" t="s">
        <v>840</v>
      </c>
      <c r="D638" s="30" t="s">
        <v>504</v>
      </c>
      <c r="E638" s="31" t="s">
        <v>672</v>
      </c>
      <c r="F638" s="31" t="s">
        <v>594</v>
      </c>
      <c r="G638" s="31">
        <v>3</v>
      </c>
      <c r="H638" s="54" t="s">
        <v>689</v>
      </c>
      <c r="I638" s="901" t="s">
        <v>744</v>
      </c>
    </row>
    <row r="639" spans="2:9">
      <c r="B639" s="29">
        <v>45827</v>
      </c>
      <c r="C639" s="514" t="s">
        <v>840</v>
      </c>
      <c r="D639" s="30" t="s">
        <v>430</v>
      </c>
      <c r="E639" s="31" t="s">
        <v>723</v>
      </c>
      <c r="F639" s="31" t="s">
        <v>594</v>
      </c>
      <c r="G639" s="31">
        <v>2</v>
      </c>
      <c r="H639" s="54" t="s">
        <v>689</v>
      </c>
      <c r="I639" s="901" t="s">
        <v>744</v>
      </c>
    </row>
    <row r="640" spans="2:9">
      <c r="B640" s="29">
        <v>45827</v>
      </c>
      <c r="C640" s="514" t="s">
        <v>840</v>
      </c>
      <c r="D640" s="30" t="s">
        <v>492</v>
      </c>
      <c r="E640" s="31" t="s">
        <v>773</v>
      </c>
      <c r="F640" s="31" t="s">
        <v>594</v>
      </c>
      <c r="G640" s="31">
        <v>2</v>
      </c>
      <c r="H640" s="54" t="s">
        <v>689</v>
      </c>
      <c r="I640" s="901" t="s">
        <v>744</v>
      </c>
    </row>
    <row r="641" spans="2:9">
      <c r="B641" s="29">
        <v>45827</v>
      </c>
      <c r="C641" s="514" t="s">
        <v>840</v>
      </c>
      <c r="D641" s="30" t="s">
        <v>432</v>
      </c>
      <c r="E641" s="31" t="s">
        <v>693</v>
      </c>
      <c r="F641" s="31" t="s">
        <v>594</v>
      </c>
      <c r="G641" s="31">
        <v>2</v>
      </c>
      <c r="H641" s="54" t="s">
        <v>689</v>
      </c>
      <c r="I641" s="901" t="s">
        <v>744</v>
      </c>
    </row>
    <row r="642" spans="2:9">
      <c r="B642" s="29">
        <v>45827</v>
      </c>
      <c r="C642" s="514" t="s">
        <v>840</v>
      </c>
      <c r="D642" s="30" t="s">
        <v>501</v>
      </c>
      <c r="E642" s="31" t="s">
        <v>696</v>
      </c>
      <c r="F642" s="31" t="s">
        <v>594</v>
      </c>
      <c r="G642" s="31">
        <v>4</v>
      </c>
      <c r="H642" s="54" t="s">
        <v>689</v>
      </c>
      <c r="I642" s="901" t="s">
        <v>744</v>
      </c>
    </row>
    <row r="643" spans="2:9">
      <c r="B643" s="29">
        <v>45827</v>
      </c>
      <c r="C643" s="514" t="s">
        <v>840</v>
      </c>
      <c r="D643" s="30" t="s">
        <v>467</v>
      </c>
      <c r="E643" s="31" t="s">
        <v>702</v>
      </c>
      <c r="F643" s="31" t="s">
        <v>594</v>
      </c>
      <c r="G643" s="31">
        <v>2</v>
      </c>
      <c r="H643" s="54" t="s">
        <v>689</v>
      </c>
      <c r="I643" s="901" t="s">
        <v>744</v>
      </c>
    </row>
    <row r="644" spans="2:9">
      <c r="B644" s="29">
        <v>45827</v>
      </c>
      <c r="C644" s="514" t="s">
        <v>840</v>
      </c>
      <c r="D644" s="30" t="s">
        <v>476</v>
      </c>
      <c r="E644" s="59" t="s">
        <v>681</v>
      </c>
      <c r="F644" s="31" t="s">
        <v>594</v>
      </c>
      <c r="G644" s="31">
        <v>4</v>
      </c>
      <c r="H644" s="54" t="s">
        <v>689</v>
      </c>
      <c r="I644" s="901" t="s">
        <v>744</v>
      </c>
    </row>
    <row r="645" spans="2:9">
      <c r="B645" s="29">
        <v>45827</v>
      </c>
      <c r="C645" s="514" t="s">
        <v>840</v>
      </c>
      <c r="D645" s="30" t="s">
        <v>564</v>
      </c>
      <c r="E645" s="31" t="s">
        <v>667</v>
      </c>
      <c r="F645" s="31" t="s">
        <v>489</v>
      </c>
      <c r="G645" s="31">
        <v>1</v>
      </c>
      <c r="H645" s="54" t="s">
        <v>689</v>
      </c>
      <c r="I645" s="901" t="s">
        <v>865</v>
      </c>
    </row>
    <row r="646" spans="2:9">
      <c r="B646" s="29">
        <v>45827</v>
      </c>
      <c r="C646" s="514" t="s">
        <v>840</v>
      </c>
      <c r="D646" s="30" t="s">
        <v>564</v>
      </c>
      <c r="E646" s="31" t="s">
        <v>667</v>
      </c>
      <c r="F646" s="31" t="s">
        <v>489</v>
      </c>
      <c r="G646" s="31">
        <v>1</v>
      </c>
      <c r="H646" s="54" t="s">
        <v>689</v>
      </c>
      <c r="I646" s="901" t="s">
        <v>865</v>
      </c>
    </row>
    <row r="647" spans="2:9">
      <c r="B647" s="29">
        <v>45827</v>
      </c>
      <c r="C647" s="514" t="s">
        <v>840</v>
      </c>
      <c r="D647" s="30" t="s">
        <v>564</v>
      </c>
      <c r="E647" s="31" t="s">
        <v>667</v>
      </c>
      <c r="F647" s="31" t="s">
        <v>489</v>
      </c>
      <c r="G647" s="31">
        <v>1</v>
      </c>
      <c r="H647" s="54" t="s">
        <v>689</v>
      </c>
      <c r="I647" s="901" t="s">
        <v>865</v>
      </c>
    </row>
    <row r="648" spans="2:9">
      <c r="B648" s="29">
        <v>45827</v>
      </c>
      <c r="C648" s="514" t="s">
        <v>840</v>
      </c>
      <c r="D648" s="30" t="s">
        <v>534</v>
      </c>
      <c r="E648" s="31" t="s">
        <v>809</v>
      </c>
      <c r="F648" s="31" t="s">
        <v>443</v>
      </c>
      <c r="G648" s="31">
        <v>1</v>
      </c>
      <c r="H648" s="54" t="s">
        <v>718</v>
      </c>
      <c r="I648" s="901" t="s">
        <v>843</v>
      </c>
    </row>
    <row r="649" spans="2:9">
      <c r="B649" s="29">
        <v>45827</v>
      </c>
      <c r="C649" s="514" t="s">
        <v>840</v>
      </c>
      <c r="D649" s="30" t="s">
        <v>408</v>
      </c>
      <c r="E649" s="31" t="s">
        <v>409</v>
      </c>
      <c r="F649" s="31" t="s">
        <v>493</v>
      </c>
      <c r="G649" s="31">
        <v>1</v>
      </c>
      <c r="H649" s="54" t="s">
        <v>683</v>
      </c>
      <c r="I649" s="901" t="s">
        <v>866</v>
      </c>
    </row>
    <row r="650" spans="2:9">
      <c r="B650" s="29">
        <v>45831</v>
      </c>
      <c r="C650" s="514" t="s">
        <v>840</v>
      </c>
      <c r="D650" s="30" t="s">
        <v>547</v>
      </c>
      <c r="E650" s="31" t="s">
        <v>727</v>
      </c>
      <c r="F650" s="31" t="s">
        <v>867</v>
      </c>
      <c r="G650" s="31">
        <v>1</v>
      </c>
      <c r="H650" s="54" t="s">
        <v>685</v>
      </c>
      <c r="I650" s="901" t="s">
        <v>868</v>
      </c>
    </row>
    <row r="651" spans="2:9">
      <c r="B651" s="29">
        <v>45831</v>
      </c>
      <c r="C651" s="514" t="s">
        <v>840</v>
      </c>
      <c r="D651" s="30" t="s">
        <v>506</v>
      </c>
      <c r="E651" s="31" t="s">
        <v>687</v>
      </c>
      <c r="F651" s="31" t="s">
        <v>516</v>
      </c>
      <c r="G651" s="31">
        <v>1</v>
      </c>
      <c r="H651" s="54" t="s">
        <v>685</v>
      </c>
      <c r="I651" s="901" t="s">
        <v>868</v>
      </c>
    </row>
    <row r="652" spans="2:9">
      <c r="B652" s="29">
        <v>45831</v>
      </c>
      <c r="C652" s="514" t="s">
        <v>840</v>
      </c>
      <c r="D652" s="30" t="s">
        <v>509</v>
      </c>
      <c r="E652" s="31" t="s">
        <v>691</v>
      </c>
      <c r="F652" s="31" t="s">
        <v>516</v>
      </c>
      <c r="G652" s="31">
        <v>8</v>
      </c>
      <c r="H652" s="54" t="s">
        <v>685</v>
      </c>
      <c r="I652" s="901" t="s">
        <v>868</v>
      </c>
    </row>
    <row r="653" spans="2:9">
      <c r="B653" s="29">
        <v>45831</v>
      </c>
      <c r="C653" s="514" t="s">
        <v>840</v>
      </c>
      <c r="D653" s="30" t="s">
        <v>415</v>
      </c>
      <c r="E653" s="31" t="s">
        <v>659</v>
      </c>
      <c r="F653" s="31" t="s">
        <v>516</v>
      </c>
      <c r="G653" s="31">
        <v>9</v>
      </c>
      <c r="H653" s="54" t="s">
        <v>685</v>
      </c>
      <c r="I653" s="901" t="s">
        <v>868</v>
      </c>
    </row>
    <row r="654" spans="2:9">
      <c r="B654" s="29">
        <v>45831</v>
      </c>
      <c r="C654" s="514" t="s">
        <v>840</v>
      </c>
      <c r="D654" s="30" t="s">
        <v>497</v>
      </c>
      <c r="E654" s="31" t="s">
        <v>692</v>
      </c>
      <c r="F654" s="31" t="s">
        <v>516</v>
      </c>
      <c r="G654" s="31">
        <v>2</v>
      </c>
      <c r="H654" s="54" t="s">
        <v>685</v>
      </c>
      <c r="I654" s="901" t="s">
        <v>868</v>
      </c>
    </row>
    <row r="655" spans="2:9">
      <c r="B655" s="29">
        <v>45831</v>
      </c>
      <c r="C655" s="514" t="s">
        <v>840</v>
      </c>
      <c r="D655" s="30" t="s">
        <v>497</v>
      </c>
      <c r="E655" s="31" t="s">
        <v>692</v>
      </c>
      <c r="F655" s="31" t="s">
        <v>867</v>
      </c>
      <c r="G655" s="31">
        <v>2</v>
      </c>
      <c r="H655" s="54" t="s">
        <v>685</v>
      </c>
      <c r="I655" s="901" t="s">
        <v>868</v>
      </c>
    </row>
    <row r="656" spans="2:9">
      <c r="B656" s="29">
        <v>45831</v>
      </c>
      <c r="C656" s="514" t="s">
        <v>840</v>
      </c>
      <c r="D656" s="30" t="s">
        <v>417</v>
      </c>
      <c r="E656" s="31" t="s">
        <v>795</v>
      </c>
      <c r="F656" s="31" t="s">
        <v>867</v>
      </c>
      <c r="G656" s="31">
        <v>1</v>
      </c>
      <c r="H656" s="54" t="s">
        <v>685</v>
      </c>
      <c r="I656" s="901" t="s">
        <v>868</v>
      </c>
    </row>
    <row r="657" spans="2:9">
      <c r="B657" s="29">
        <v>45831</v>
      </c>
      <c r="C657" s="514" t="s">
        <v>840</v>
      </c>
      <c r="D657" s="30" t="s">
        <v>417</v>
      </c>
      <c r="E657" s="31" t="s">
        <v>795</v>
      </c>
      <c r="F657" s="31" t="s">
        <v>516</v>
      </c>
      <c r="G657" s="31">
        <v>1</v>
      </c>
      <c r="H657" s="54" t="s">
        <v>685</v>
      </c>
      <c r="I657" s="901" t="s">
        <v>868</v>
      </c>
    </row>
    <row r="658" spans="2:9">
      <c r="B658" s="29">
        <v>45831</v>
      </c>
      <c r="C658" s="514" t="s">
        <v>840</v>
      </c>
      <c r="D658" s="30" t="s">
        <v>504</v>
      </c>
      <c r="E658" s="31" t="s">
        <v>672</v>
      </c>
      <c r="F658" s="31" t="s">
        <v>516</v>
      </c>
      <c r="G658" s="31">
        <v>2</v>
      </c>
      <c r="H658" s="54" t="s">
        <v>685</v>
      </c>
      <c r="I658" s="901" t="s">
        <v>868</v>
      </c>
    </row>
    <row r="659" spans="2:9">
      <c r="B659" s="29">
        <v>45831</v>
      </c>
      <c r="C659" s="514" t="s">
        <v>840</v>
      </c>
      <c r="D659" s="30" t="s">
        <v>432</v>
      </c>
      <c r="E659" s="31" t="s">
        <v>693</v>
      </c>
      <c r="F659" s="31" t="s">
        <v>516</v>
      </c>
      <c r="G659" s="31">
        <v>2</v>
      </c>
      <c r="H659" s="54" t="s">
        <v>685</v>
      </c>
      <c r="I659" s="901" t="s">
        <v>868</v>
      </c>
    </row>
    <row r="660" spans="2:9">
      <c r="B660" s="29">
        <v>45831</v>
      </c>
      <c r="C660" s="514" t="s">
        <v>840</v>
      </c>
      <c r="D660" s="30" t="s">
        <v>478</v>
      </c>
      <c r="E660" s="31" t="s">
        <v>700</v>
      </c>
      <c r="F660" s="31" t="s">
        <v>516</v>
      </c>
      <c r="G660" s="31">
        <v>1</v>
      </c>
      <c r="H660" s="54" t="s">
        <v>685</v>
      </c>
      <c r="I660" s="901" t="s">
        <v>868</v>
      </c>
    </row>
    <row r="661" spans="2:9">
      <c r="B661" s="29">
        <v>45831</v>
      </c>
      <c r="C661" s="514" t="s">
        <v>840</v>
      </c>
      <c r="D661" s="30" t="s">
        <v>479</v>
      </c>
      <c r="E661" s="31" t="s">
        <v>745</v>
      </c>
      <c r="F661" s="31" t="s">
        <v>516</v>
      </c>
      <c r="G661" s="31">
        <v>1</v>
      </c>
      <c r="H661" s="54" t="s">
        <v>685</v>
      </c>
      <c r="I661" s="901" t="s">
        <v>868</v>
      </c>
    </row>
    <row r="662" spans="2:9">
      <c r="B662" s="29">
        <v>45831</v>
      </c>
      <c r="C662" s="514" t="s">
        <v>840</v>
      </c>
      <c r="D662" s="30" t="s">
        <v>436</v>
      </c>
      <c r="E662" s="31" t="s">
        <v>766</v>
      </c>
      <c r="F662" s="31" t="s">
        <v>516</v>
      </c>
      <c r="G662" s="31">
        <v>1</v>
      </c>
      <c r="H662" s="54" t="s">
        <v>685</v>
      </c>
      <c r="I662" s="901" t="s">
        <v>868</v>
      </c>
    </row>
    <row r="663" spans="2:9">
      <c r="B663" s="29">
        <v>45832</v>
      </c>
      <c r="C663" s="514" t="s">
        <v>840</v>
      </c>
      <c r="D663" s="30" t="s">
        <v>468</v>
      </c>
      <c r="E663" s="31" t="s">
        <v>734</v>
      </c>
      <c r="F663" s="31" t="s">
        <v>456</v>
      </c>
      <c r="G663" s="31">
        <v>8</v>
      </c>
      <c r="H663" s="54" t="s">
        <v>685</v>
      </c>
      <c r="I663" s="901" t="s">
        <v>868</v>
      </c>
    </row>
    <row r="664" spans="2:9">
      <c r="B664" s="29">
        <v>45832</v>
      </c>
      <c r="C664" s="514" t="s">
        <v>840</v>
      </c>
      <c r="D664" s="30" t="s">
        <v>441</v>
      </c>
      <c r="E664" s="31" t="s">
        <v>839</v>
      </c>
      <c r="F664" s="31" t="s">
        <v>456</v>
      </c>
      <c r="G664" s="31">
        <v>1</v>
      </c>
      <c r="H664" s="54" t="s">
        <v>685</v>
      </c>
      <c r="I664" s="901" t="s">
        <v>868</v>
      </c>
    </row>
    <row r="665" spans="2:9">
      <c r="B665" s="29">
        <v>45832</v>
      </c>
      <c r="C665" s="514" t="s">
        <v>840</v>
      </c>
      <c r="D665" s="30" t="s">
        <v>415</v>
      </c>
      <c r="E665" s="31" t="s">
        <v>659</v>
      </c>
      <c r="F665" s="31" t="s">
        <v>456</v>
      </c>
      <c r="G665" s="31">
        <v>2</v>
      </c>
      <c r="H665" s="54" t="s">
        <v>685</v>
      </c>
      <c r="I665" s="901" t="s">
        <v>868</v>
      </c>
    </row>
    <row r="666" spans="2:9">
      <c r="B666" s="29">
        <v>45832</v>
      </c>
      <c r="C666" s="514" t="s">
        <v>840</v>
      </c>
      <c r="D666" s="30" t="s">
        <v>501</v>
      </c>
      <c r="E666" s="31" t="s">
        <v>696</v>
      </c>
      <c r="F666" s="31" t="s">
        <v>456</v>
      </c>
      <c r="G666" s="31">
        <v>7</v>
      </c>
      <c r="H666" s="54" t="s">
        <v>685</v>
      </c>
      <c r="I666" s="901" t="s">
        <v>868</v>
      </c>
    </row>
    <row r="667" spans="2:9">
      <c r="B667" s="29">
        <v>45832</v>
      </c>
      <c r="C667" s="514" t="s">
        <v>840</v>
      </c>
      <c r="D667" s="30" t="s">
        <v>476</v>
      </c>
      <c r="E667" s="31" t="s">
        <v>681</v>
      </c>
      <c r="F667" s="31" t="s">
        <v>456</v>
      </c>
      <c r="G667" s="31">
        <v>3</v>
      </c>
      <c r="H667" s="54" t="s">
        <v>685</v>
      </c>
      <c r="I667" s="901" t="s">
        <v>868</v>
      </c>
    </row>
    <row r="668" spans="2:9">
      <c r="B668" s="29">
        <v>45832</v>
      </c>
      <c r="C668" s="514" t="s">
        <v>840</v>
      </c>
      <c r="D668" s="30" t="s">
        <v>396</v>
      </c>
      <c r="E668" s="31" t="s">
        <v>703</v>
      </c>
      <c r="F668" s="31" t="s">
        <v>456</v>
      </c>
      <c r="G668" s="31">
        <v>1</v>
      </c>
      <c r="H668" s="54" t="s">
        <v>685</v>
      </c>
      <c r="I668" s="901" t="s">
        <v>868</v>
      </c>
    </row>
    <row r="669" spans="2:9">
      <c r="B669" s="29">
        <v>45832</v>
      </c>
      <c r="C669" s="514" t="s">
        <v>840</v>
      </c>
      <c r="D669" s="30" t="s">
        <v>397</v>
      </c>
      <c r="E669" s="31" t="s">
        <v>733</v>
      </c>
      <c r="F669" s="31" t="s">
        <v>456</v>
      </c>
      <c r="G669" s="31">
        <v>1</v>
      </c>
      <c r="H669" s="54" t="s">
        <v>685</v>
      </c>
      <c r="I669" s="901" t="s">
        <v>868</v>
      </c>
    </row>
    <row r="670" spans="2:9">
      <c r="B670" s="29">
        <v>45832</v>
      </c>
      <c r="C670" s="514" t="s">
        <v>840</v>
      </c>
      <c r="D670" s="30" t="s">
        <v>427</v>
      </c>
      <c r="E670" s="31" t="s">
        <v>864</v>
      </c>
      <c r="F670" s="31" t="s">
        <v>869</v>
      </c>
      <c r="G670" s="31">
        <v>1</v>
      </c>
      <c r="H670" s="54" t="s">
        <v>685</v>
      </c>
      <c r="I670" s="901" t="s">
        <v>870</v>
      </c>
    </row>
    <row r="671" spans="2:9">
      <c r="B671" s="29">
        <v>45832</v>
      </c>
      <c r="C671" s="514" t="s">
        <v>840</v>
      </c>
      <c r="D671" s="30" t="s">
        <v>494</v>
      </c>
      <c r="E671" s="31" t="s">
        <v>587</v>
      </c>
      <c r="F671" s="31" t="s">
        <v>869</v>
      </c>
      <c r="G671" s="31">
        <v>39</v>
      </c>
      <c r="H671" s="54" t="s">
        <v>685</v>
      </c>
      <c r="I671" s="901" t="s">
        <v>870</v>
      </c>
    </row>
    <row r="672" spans="2:9">
      <c r="B672" s="29">
        <v>45832</v>
      </c>
      <c r="C672" s="514" t="s">
        <v>840</v>
      </c>
      <c r="D672" s="30" t="s">
        <v>501</v>
      </c>
      <c r="E672" s="31" t="s">
        <v>696</v>
      </c>
      <c r="F672" s="31" t="s">
        <v>571</v>
      </c>
      <c r="G672" s="31">
        <v>1</v>
      </c>
      <c r="H672" s="54" t="s">
        <v>718</v>
      </c>
      <c r="I672" s="901" t="s">
        <v>871</v>
      </c>
    </row>
    <row r="673" spans="2:9">
      <c r="B673" s="29">
        <v>45832</v>
      </c>
      <c r="C673" s="514" t="s">
        <v>840</v>
      </c>
      <c r="D673" s="30" t="s">
        <v>396</v>
      </c>
      <c r="E673" s="31" t="s">
        <v>703</v>
      </c>
      <c r="F673" s="31" t="s">
        <v>571</v>
      </c>
      <c r="G673" s="31">
        <v>1</v>
      </c>
      <c r="H673" s="54" t="s">
        <v>718</v>
      </c>
      <c r="I673" s="901" t="s">
        <v>871</v>
      </c>
    </row>
    <row r="674" spans="2:9">
      <c r="B674" s="29">
        <v>45832</v>
      </c>
      <c r="C674" s="514" t="s">
        <v>840</v>
      </c>
      <c r="D674" s="30" t="s">
        <v>501</v>
      </c>
      <c r="E674" s="31" t="s">
        <v>696</v>
      </c>
      <c r="F674" s="31" t="s">
        <v>872</v>
      </c>
      <c r="G674" s="31">
        <v>1</v>
      </c>
      <c r="H674" s="54" t="s">
        <v>705</v>
      </c>
      <c r="I674" s="901" t="s">
        <v>873</v>
      </c>
    </row>
    <row r="675" spans="2:9">
      <c r="B675" s="29">
        <v>45832</v>
      </c>
      <c r="C675" s="514" t="s">
        <v>840</v>
      </c>
      <c r="D675" s="30" t="s">
        <v>501</v>
      </c>
      <c r="E675" s="31" t="s">
        <v>696</v>
      </c>
      <c r="F675" s="31" t="s">
        <v>416</v>
      </c>
      <c r="G675" s="31">
        <v>1</v>
      </c>
      <c r="H675" s="54" t="s">
        <v>689</v>
      </c>
      <c r="I675" s="901" t="s">
        <v>874</v>
      </c>
    </row>
    <row r="676" spans="2:9">
      <c r="B676" s="29">
        <v>45832</v>
      </c>
      <c r="C676" s="514" t="s">
        <v>840</v>
      </c>
      <c r="D676" s="30" t="s">
        <v>470</v>
      </c>
      <c r="E676" s="31" t="s">
        <v>590</v>
      </c>
      <c r="F676" s="31" t="s">
        <v>850</v>
      </c>
      <c r="G676" s="31">
        <v>1</v>
      </c>
      <c r="H676" s="54" t="s">
        <v>689</v>
      </c>
      <c r="I676" s="901" t="s">
        <v>744</v>
      </c>
    </row>
    <row r="677" spans="2:9">
      <c r="B677" s="29">
        <v>45832</v>
      </c>
      <c r="C677" s="514" t="s">
        <v>840</v>
      </c>
      <c r="D677" s="30" t="s">
        <v>494</v>
      </c>
      <c r="E677" s="31" t="s">
        <v>587</v>
      </c>
      <c r="F677" s="31" t="s">
        <v>850</v>
      </c>
      <c r="G677" s="31">
        <v>3</v>
      </c>
      <c r="H677" s="54" t="s">
        <v>689</v>
      </c>
      <c r="I677" s="901" t="s">
        <v>744</v>
      </c>
    </row>
    <row r="678" spans="2:9">
      <c r="B678" s="29">
        <v>45832</v>
      </c>
      <c r="C678" s="514" t="s">
        <v>840</v>
      </c>
      <c r="D678" s="30" t="s">
        <v>509</v>
      </c>
      <c r="E678" s="31" t="s">
        <v>691</v>
      </c>
      <c r="F678" s="31" t="s">
        <v>850</v>
      </c>
      <c r="G678" s="31">
        <v>1</v>
      </c>
      <c r="H678" s="54" t="s">
        <v>689</v>
      </c>
      <c r="I678" s="901" t="s">
        <v>744</v>
      </c>
    </row>
    <row r="679" spans="2:9">
      <c r="B679" s="29">
        <v>45832</v>
      </c>
      <c r="C679" s="514" t="s">
        <v>840</v>
      </c>
      <c r="D679" s="30" t="s">
        <v>415</v>
      </c>
      <c r="E679" s="31" t="s">
        <v>659</v>
      </c>
      <c r="F679" s="31" t="s">
        <v>850</v>
      </c>
      <c r="G679" s="31">
        <v>1</v>
      </c>
      <c r="H679" s="54" t="s">
        <v>689</v>
      </c>
      <c r="I679" s="901" t="s">
        <v>744</v>
      </c>
    </row>
    <row r="680" spans="2:9">
      <c r="B680" s="29">
        <v>45832</v>
      </c>
      <c r="C680" s="514" t="s">
        <v>840</v>
      </c>
      <c r="D680" s="30" t="s">
        <v>497</v>
      </c>
      <c r="E680" s="31" t="s">
        <v>692</v>
      </c>
      <c r="F680" s="31" t="s">
        <v>850</v>
      </c>
      <c r="G680" s="31">
        <v>8</v>
      </c>
      <c r="H680" s="54" t="s">
        <v>689</v>
      </c>
      <c r="I680" s="901" t="s">
        <v>744</v>
      </c>
    </row>
    <row r="681" spans="2:9">
      <c r="B681" s="29">
        <v>45832</v>
      </c>
      <c r="C681" s="514" t="s">
        <v>840</v>
      </c>
      <c r="D681" s="30" t="s">
        <v>504</v>
      </c>
      <c r="E681" s="31" t="s">
        <v>672</v>
      </c>
      <c r="F681" s="31" t="s">
        <v>850</v>
      </c>
      <c r="G681" s="31">
        <v>1</v>
      </c>
      <c r="H681" s="54" t="s">
        <v>689</v>
      </c>
      <c r="I681" s="901" t="s">
        <v>744</v>
      </c>
    </row>
    <row r="682" spans="2:9">
      <c r="B682" s="29">
        <v>45832</v>
      </c>
      <c r="C682" s="514" t="s">
        <v>840</v>
      </c>
      <c r="D682" s="30" t="s">
        <v>492</v>
      </c>
      <c r="E682" s="31" t="s">
        <v>773</v>
      </c>
      <c r="F682" s="31" t="s">
        <v>850</v>
      </c>
      <c r="G682" s="31">
        <v>1</v>
      </c>
      <c r="H682" s="54" t="s">
        <v>689</v>
      </c>
      <c r="I682" s="901" t="s">
        <v>744</v>
      </c>
    </row>
    <row r="683" spans="2:9">
      <c r="B683" s="29">
        <v>45832</v>
      </c>
      <c r="C683" s="514" t="s">
        <v>840</v>
      </c>
      <c r="D683" s="30" t="s">
        <v>478</v>
      </c>
      <c r="E683" s="31" t="s">
        <v>700</v>
      </c>
      <c r="F683" s="31" t="s">
        <v>850</v>
      </c>
      <c r="G683" s="31">
        <v>1</v>
      </c>
      <c r="H683" s="54" t="s">
        <v>689</v>
      </c>
      <c r="I683" s="901" t="s">
        <v>744</v>
      </c>
    </row>
    <row r="684" spans="2:9">
      <c r="B684" s="29">
        <v>45832</v>
      </c>
      <c r="C684" s="514" t="s">
        <v>840</v>
      </c>
      <c r="D684" s="30" t="s">
        <v>501</v>
      </c>
      <c r="E684" s="31" t="s">
        <v>696</v>
      </c>
      <c r="F684" s="31" t="s">
        <v>850</v>
      </c>
      <c r="G684" s="31">
        <v>10</v>
      </c>
      <c r="H684" s="54" t="s">
        <v>689</v>
      </c>
      <c r="I684" s="901" t="s">
        <v>744</v>
      </c>
    </row>
    <row r="685" spans="2:9">
      <c r="B685" s="29">
        <v>45832</v>
      </c>
      <c r="C685" s="514" t="s">
        <v>840</v>
      </c>
      <c r="D685" s="30" t="s">
        <v>467</v>
      </c>
      <c r="E685" s="31" t="s">
        <v>702</v>
      </c>
      <c r="F685" s="31" t="s">
        <v>850</v>
      </c>
      <c r="G685" s="31">
        <v>2</v>
      </c>
      <c r="H685" s="54" t="s">
        <v>689</v>
      </c>
      <c r="I685" s="901" t="s">
        <v>744</v>
      </c>
    </row>
    <row r="686" spans="2:9">
      <c r="B686" s="29">
        <v>45832</v>
      </c>
      <c r="C686" s="514" t="s">
        <v>840</v>
      </c>
      <c r="D686" s="30" t="s">
        <v>476</v>
      </c>
      <c r="E686" s="31" t="s">
        <v>681</v>
      </c>
      <c r="F686" s="31" t="s">
        <v>850</v>
      </c>
      <c r="G686" s="31">
        <v>5</v>
      </c>
      <c r="H686" s="54" t="s">
        <v>689</v>
      </c>
      <c r="I686" s="901" t="s">
        <v>744</v>
      </c>
    </row>
    <row r="687" spans="2:9">
      <c r="B687" s="29">
        <v>45832</v>
      </c>
      <c r="C687" s="514" t="s">
        <v>840</v>
      </c>
      <c r="D687" s="30" t="s">
        <v>468</v>
      </c>
      <c r="E687" s="31" t="s">
        <v>734</v>
      </c>
      <c r="F687" s="31" t="s">
        <v>482</v>
      </c>
      <c r="G687" s="31">
        <v>4</v>
      </c>
      <c r="H687" s="54" t="s">
        <v>685</v>
      </c>
      <c r="I687" s="901" t="s">
        <v>817</v>
      </c>
    </row>
    <row r="688" spans="2:9">
      <c r="B688" s="29">
        <v>45832</v>
      </c>
      <c r="C688" s="514" t="s">
        <v>840</v>
      </c>
      <c r="D688" s="30" t="s">
        <v>501</v>
      </c>
      <c r="E688" s="31" t="s">
        <v>696</v>
      </c>
      <c r="F688" s="31" t="s">
        <v>482</v>
      </c>
      <c r="G688" s="31">
        <v>3</v>
      </c>
      <c r="H688" s="54" t="s">
        <v>685</v>
      </c>
      <c r="I688" s="901" t="s">
        <v>817</v>
      </c>
    </row>
    <row r="689" spans="2:9">
      <c r="B689" s="29">
        <v>45832</v>
      </c>
      <c r="C689" s="514" t="s">
        <v>840</v>
      </c>
      <c r="D689" s="30" t="s">
        <v>467</v>
      </c>
      <c r="E689" s="31" t="s">
        <v>702</v>
      </c>
      <c r="F689" s="31" t="s">
        <v>482</v>
      </c>
      <c r="G689" s="31">
        <v>2</v>
      </c>
      <c r="H689" s="54" t="s">
        <v>685</v>
      </c>
      <c r="I689" s="901" t="s">
        <v>817</v>
      </c>
    </row>
    <row r="690" spans="2:9">
      <c r="B690" s="29">
        <v>45832</v>
      </c>
      <c r="C690" s="514" t="s">
        <v>840</v>
      </c>
      <c r="D690" s="30" t="s">
        <v>476</v>
      </c>
      <c r="E690" s="31" t="s">
        <v>681</v>
      </c>
      <c r="F690" s="31" t="s">
        <v>482</v>
      </c>
      <c r="G690" s="31">
        <v>3</v>
      </c>
      <c r="H690" s="54" t="s">
        <v>685</v>
      </c>
      <c r="I690" s="901" t="s">
        <v>817</v>
      </c>
    </row>
    <row r="691" spans="2:9">
      <c r="B691" s="29">
        <v>45832</v>
      </c>
      <c r="C691" s="514" t="s">
        <v>840</v>
      </c>
      <c r="D691" s="30" t="s">
        <v>396</v>
      </c>
      <c r="E691" s="31" t="s">
        <v>703</v>
      </c>
      <c r="F691" s="31" t="s">
        <v>482</v>
      </c>
      <c r="G691" s="31">
        <v>1</v>
      </c>
      <c r="H691" s="54" t="s">
        <v>685</v>
      </c>
      <c r="I691" s="901" t="s">
        <v>817</v>
      </c>
    </row>
    <row r="692" spans="2:9">
      <c r="B692" s="29"/>
      <c r="C692" s="514"/>
      <c r="D692" s="57"/>
      <c r="E692" s="57"/>
      <c r="F692" s="31"/>
      <c r="G692" s="31"/>
      <c r="H692" s="54"/>
      <c r="I692" s="901"/>
    </row>
    <row r="693" spans="2:9">
      <c r="B693" s="29"/>
      <c r="C693" s="514"/>
      <c r="D693" s="59"/>
      <c r="E693" s="59"/>
      <c r="F693" s="31"/>
      <c r="G693" s="31"/>
      <c r="H693" s="54"/>
      <c r="I693" s="901"/>
    </row>
    <row r="694" spans="2:9">
      <c r="B694" s="29"/>
      <c r="C694" s="514"/>
      <c r="D694" s="59"/>
      <c r="E694" s="59"/>
      <c r="F694" s="31"/>
      <c r="G694" s="31"/>
      <c r="H694" s="54"/>
      <c r="I694" s="901"/>
    </row>
    <row r="695" spans="2:9">
      <c r="B695" s="29"/>
      <c r="C695" s="514"/>
      <c r="D695" s="59"/>
      <c r="E695" s="59"/>
      <c r="F695" s="31"/>
      <c r="G695" s="31"/>
      <c r="H695" s="54"/>
      <c r="I695" s="901"/>
    </row>
    <row r="696" spans="2:9">
      <c r="B696" s="29"/>
      <c r="C696" s="514"/>
      <c r="D696" s="59"/>
      <c r="E696" s="59"/>
      <c r="F696" s="31"/>
      <c r="G696" s="31"/>
      <c r="H696" s="54"/>
      <c r="I696" s="901"/>
    </row>
    <row r="697" spans="2:9">
      <c r="B697" s="29"/>
      <c r="C697" s="514"/>
      <c r="D697" s="59"/>
      <c r="E697" s="59"/>
      <c r="F697" s="31"/>
      <c r="G697" s="31"/>
      <c r="H697" s="54"/>
      <c r="I697" s="86"/>
    </row>
    <row r="698" spans="2:9">
      <c r="B698" s="29"/>
      <c r="C698" s="514"/>
      <c r="D698" s="59"/>
      <c r="E698" s="59"/>
      <c r="F698" s="31"/>
      <c r="G698" s="31"/>
      <c r="H698" s="54"/>
      <c r="I698" s="901"/>
    </row>
    <row r="699" spans="2:9">
      <c r="B699" s="29"/>
      <c r="C699" s="514"/>
      <c r="D699" s="59"/>
      <c r="E699" s="59"/>
      <c r="F699" s="31"/>
      <c r="G699" s="31"/>
      <c r="H699" s="54"/>
      <c r="I699" s="901"/>
    </row>
    <row r="700" spans="2:9">
      <c r="B700" s="29"/>
      <c r="C700" s="514"/>
      <c r="D700" s="59"/>
      <c r="E700" s="59"/>
      <c r="F700" s="31"/>
      <c r="G700" s="31"/>
      <c r="H700" s="54"/>
      <c r="I700" s="901"/>
    </row>
    <row r="701" spans="2:9">
      <c r="B701" s="29"/>
      <c r="C701" s="514"/>
      <c r="D701" s="59"/>
      <c r="E701" s="59"/>
      <c r="F701" s="31"/>
      <c r="G701" s="31"/>
      <c r="H701" s="54"/>
      <c r="I701" s="901"/>
    </row>
    <row r="702" spans="2:9">
      <c r="B702" s="29"/>
      <c r="C702" s="514"/>
      <c r="D702" s="59"/>
      <c r="E702" s="59"/>
      <c r="F702" s="31"/>
      <c r="G702" s="31"/>
      <c r="H702" s="54"/>
      <c r="I702" s="901"/>
    </row>
    <row r="703" spans="2:9">
      <c r="B703" s="29"/>
      <c r="C703" s="514"/>
      <c r="D703" s="59"/>
      <c r="E703" s="59"/>
      <c r="F703" s="31"/>
      <c r="G703" s="31"/>
      <c r="H703" s="54"/>
      <c r="I703" s="901"/>
    </row>
    <row r="704" spans="2:9">
      <c r="B704" s="29"/>
      <c r="C704" s="514"/>
      <c r="D704" s="59"/>
      <c r="E704" s="59"/>
      <c r="F704" s="31"/>
      <c r="G704" s="31"/>
      <c r="H704" s="54"/>
      <c r="I704" s="901"/>
    </row>
    <row r="705" spans="2:9">
      <c r="B705" s="29"/>
      <c r="C705" s="514"/>
      <c r="D705" s="59"/>
      <c r="E705" s="59"/>
      <c r="F705" s="31"/>
      <c r="G705" s="31"/>
      <c r="H705" s="54"/>
      <c r="I705" s="901"/>
    </row>
    <row r="706" spans="2:9">
      <c r="B706" s="29"/>
      <c r="C706" s="514"/>
      <c r="D706" s="59"/>
      <c r="E706" s="59"/>
      <c r="F706" s="31"/>
      <c r="G706" s="31"/>
      <c r="H706" s="54"/>
      <c r="I706" s="901"/>
    </row>
    <row r="707" spans="2:9">
      <c r="B707" s="29"/>
      <c r="C707" s="514"/>
      <c r="D707" s="59"/>
      <c r="E707" s="59"/>
      <c r="F707" s="31"/>
      <c r="G707" s="31"/>
      <c r="H707" s="54"/>
      <c r="I707" s="901"/>
    </row>
    <row r="708" spans="2:9">
      <c r="B708" s="29"/>
      <c r="C708" s="514"/>
      <c r="D708" s="59"/>
      <c r="E708" s="59"/>
      <c r="F708" s="31"/>
      <c r="G708" s="31"/>
      <c r="H708" s="54"/>
      <c r="I708" s="901"/>
    </row>
    <row r="709" spans="2:9">
      <c r="B709" s="29"/>
      <c r="C709" s="514"/>
      <c r="D709" s="57"/>
      <c r="E709" s="57"/>
      <c r="F709" s="31"/>
      <c r="G709" s="31"/>
      <c r="H709" s="54"/>
      <c r="I709" s="901"/>
    </row>
    <row r="710" spans="2:9">
      <c r="B710" s="29"/>
      <c r="C710" s="514"/>
      <c r="D710" s="59"/>
      <c r="E710" s="59"/>
      <c r="F710" s="31"/>
      <c r="G710" s="31"/>
      <c r="H710" s="54"/>
      <c r="I710" s="901"/>
    </row>
    <row r="711" spans="2:9">
      <c r="B711" s="29"/>
      <c r="C711" s="514"/>
      <c r="D711" s="59"/>
      <c r="E711" s="59"/>
      <c r="F711" s="31"/>
      <c r="G711" s="31"/>
      <c r="H711" s="54"/>
      <c r="I711" s="901"/>
    </row>
    <row r="712" spans="2:9">
      <c r="B712" s="29"/>
      <c r="C712" s="514"/>
      <c r="D712" s="59"/>
      <c r="E712" s="59"/>
      <c r="F712" s="31"/>
      <c r="G712" s="31"/>
      <c r="H712" s="54"/>
      <c r="I712" s="901"/>
    </row>
    <row r="713" spans="2:9">
      <c r="B713" s="29"/>
      <c r="C713" s="514"/>
      <c r="D713" s="59"/>
      <c r="E713" s="59"/>
      <c r="F713" s="31"/>
      <c r="G713" s="31"/>
      <c r="H713" s="54"/>
      <c r="I713" s="901"/>
    </row>
    <row r="714" spans="2:9">
      <c r="B714" s="29"/>
      <c r="C714" s="514"/>
      <c r="D714" s="59"/>
      <c r="E714" s="59"/>
      <c r="F714" s="31"/>
      <c r="G714" s="31"/>
      <c r="H714" s="54"/>
      <c r="I714" s="86"/>
    </row>
    <row r="715" spans="2:9">
      <c r="B715" s="29"/>
      <c r="C715" s="514"/>
      <c r="D715" s="59"/>
      <c r="E715" s="59"/>
      <c r="F715" s="31"/>
      <c r="G715" s="31"/>
      <c r="H715" s="54"/>
      <c r="I715" s="901"/>
    </row>
    <row r="716" spans="2:9">
      <c r="B716" s="29"/>
      <c r="C716" s="514"/>
      <c r="D716" s="59"/>
      <c r="E716" s="59"/>
      <c r="F716" s="31"/>
      <c r="G716" s="31"/>
      <c r="H716" s="54"/>
      <c r="I716" s="901"/>
    </row>
    <row r="717" spans="2:9">
      <c r="B717" s="29"/>
      <c r="C717" s="514"/>
      <c r="D717" s="59"/>
      <c r="E717" s="59"/>
      <c r="F717" s="31"/>
      <c r="G717" s="31"/>
      <c r="H717" s="54"/>
      <c r="I717" s="901"/>
    </row>
    <row r="718" spans="2:9">
      <c r="B718" s="29"/>
      <c r="C718" s="514"/>
      <c r="D718" s="59"/>
      <c r="E718" s="59"/>
      <c r="F718" s="31"/>
      <c r="G718" s="31"/>
      <c r="H718" s="54"/>
      <c r="I718" s="901"/>
    </row>
    <row r="719" spans="2:9">
      <c r="B719" s="29"/>
      <c r="C719" s="514"/>
      <c r="D719" s="59"/>
      <c r="E719" s="59"/>
      <c r="F719" s="31"/>
      <c r="G719" s="31"/>
      <c r="H719" s="54"/>
      <c r="I719" s="901"/>
    </row>
    <row r="720" spans="2:9">
      <c r="B720" s="29"/>
      <c r="C720" s="514"/>
      <c r="D720" s="59"/>
      <c r="E720" s="59"/>
      <c r="F720" s="31"/>
      <c r="G720" s="31"/>
      <c r="H720" s="54"/>
      <c r="I720" s="901"/>
    </row>
    <row r="721" spans="2:9">
      <c r="B721" s="29"/>
      <c r="C721" s="514"/>
      <c r="D721" s="59"/>
      <c r="E721" s="59"/>
      <c r="F721" s="31"/>
      <c r="G721" s="31"/>
      <c r="H721" s="54"/>
      <c r="I721" s="901"/>
    </row>
    <row r="722" spans="2:9">
      <c r="B722" s="29"/>
      <c r="C722" s="514"/>
      <c r="D722" s="59"/>
      <c r="E722" s="59"/>
      <c r="F722" s="31"/>
      <c r="G722" s="31"/>
      <c r="H722" s="54"/>
      <c r="I722" s="901"/>
    </row>
    <row r="723" spans="2:9">
      <c r="B723" s="29"/>
      <c r="C723" s="514"/>
      <c r="D723" s="59"/>
      <c r="E723" s="59"/>
      <c r="F723" s="31"/>
      <c r="G723" s="31"/>
      <c r="H723" s="54"/>
      <c r="I723" s="901"/>
    </row>
    <row r="724" spans="2:9">
      <c r="B724" s="29"/>
      <c r="C724" s="514"/>
      <c r="D724" s="59"/>
      <c r="E724" s="59"/>
      <c r="F724" s="31"/>
      <c r="G724" s="31"/>
      <c r="H724" s="54"/>
      <c r="I724" s="901"/>
    </row>
    <row r="725" spans="2:9">
      <c r="B725" s="29"/>
      <c r="C725" s="514"/>
      <c r="D725" s="59"/>
      <c r="E725" s="59"/>
      <c r="F725" s="31"/>
      <c r="G725" s="31"/>
      <c r="H725" s="54"/>
      <c r="I725" s="901"/>
    </row>
    <row r="726" spans="2:9">
      <c r="B726" s="29"/>
      <c r="C726" s="514"/>
      <c r="D726" s="59"/>
      <c r="E726" s="59"/>
      <c r="F726" s="31"/>
      <c r="G726" s="31"/>
      <c r="H726" s="54"/>
      <c r="I726" s="901"/>
    </row>
    <row r="727" spans="2:9">
      <c r="B727" s="29"/>
      <c r="C727" s="514"/>
      <c r="D727" s="57"/>
      <c r="E727" s="57"/>
      <c r="F727" s="31"/>
      <c r="G727" s="31"/>
      <c r="H727" s="54"/>
      <c r="I727" s="901"/>
    </row>
    <row r="728" spans="2:9">
      <c r="B728" s="29"/>
      <c r="C728" s="514"/>
      <c r="D728" s="59"/>
      <c r="E728" s="59"/>
      <c r="F728" s="31"/>
      <c r="G728" s="31"/>
      <c r="H728" s="54"/>
      <c r="I728" s="901"/>
    </row>
    <row r="729" spans="2:9">
      <c r="B729" s="29"/>
      <c r="C729" s="514"/>
      <c r="D729" s="59"/>
      <c r="E729" s="59"/>
      <c r="F729" s="31"/>
      <c r="G729" s="31"/>
      <c r="H729" s="54"/>
      <c r="I729" s="901"/>
    </row>
    <row r="730" spans="2:9">
      <c r="B730" s="29"/>
      <c r="C730" s="514"/>
      <c r="D730" s="59"/>
      <c r="E730" s="59"/>
      <c r="F730" s="31"/>
      <c r="G730" s="31"/>
      <c r="H730" s="54"/>
      <c r="I730" s="901"/>
    </row>
    <row r="731" spans="2:9">
      <c r="B731" s="29"/>
      <c r="C731" s="514"/>
      <c r="D731" s="59"/>
      <c r="E731" s="59"/>
      <c r="F731" s="31"/>
      <c r="G731" s="31"/>
      <c r="H731" s="54"/>
      <c r="I731" s="901"/>
    </row>
    <row r="732" spans="2:9">
      <c r="B732" s="29"/>
      <c r="C732" s="514"/>
      <c r="D732" s="59"/>
      <c r="E732" s="59"/>
      <c r="F732" s="31"/>
      <c r="G732" s="31"/>
      <c r="H732" s="54"/>
      <c r="I732" s="86"/>
    </row>
    <row r="733" spans="2:9">
      <c r="B733" s="29"/>
      <c r="C733" s="514"/>
      <c r="D733" s="59"/>
      <c r="E733" s="59"/>
      <c r="F733" s="31"/>
      <c r="G733" s="31"/>
      <c r="H733" s="54"/>
      <c r="I733" s="901"/>
    </row>
    <row r="734" spans="2:9">
      <c r="B734" s="29"/>
      <c r="C734" s="514"/>
      <c r="D734" s="59"/>
      <c r="E734" s="59"/>
      <c r="F734" s="31"/>
      <c r="G734" s="31"/>
      <c r="H734" s="54"/>
      <c r="I734" s="901"/>
    </row>
    <row r="735" spans="2:9">
      <c r="B735" s="29"/>
      <c r="C735" s="514"/>
      <c r="D735" s="59"/>
      <c r="E735" s="59"/>
      <c r="F735" s="31"/>
      <c r="G735" s="31"/>
      <c r="H735" s="54"/>
      <c r="I735" s="901"/>
    </row>
    <row r="736" spans="2:9">
      <c r="B736" s="29"/>
      <c r="C736" s="514"/>
      <c r="D736" s="59"/>
      <c r="E736" s="59"/>
      <c r="F736" s="31"/>
      <c r="G736" s="31"/>
      <c r="H736" s="54"/>
      <c r="I736" s="901"/>
    </row>
    <row r="737" spans="2:9">
      <c r="B737" s="29"/>
      <c r="C737" s="514"/>
      <c r="D737" s="59"/>
      <c r="E737" s="59"/>
      <c r="F737" s="31"/>
      <c r="G737" s="31"/>
      <c r="H737" s="54"/>
      <c r="I737" s="901"/>
    </row>
    <row r="738" spans="2:9">
      <c r="B738" s="29"/>
      <c r="C738" s="514"/>
      <c r="D738" s="59"/>
      <c r="E738" s="59"/>
      <c r="F738" s="31"/>
      <c r="G738" s="31"/>
      <c r="H738" s="54"/>
      <c r="I738" s="901"/>
    </row>
    <row r="739" spans="2:9">
      <c r="B739" s="29"/>
      <c r="C739" s="514"/>
      <c r="D739" s="59"/>
      <c r="E739" s="59"/>
      <c r="F739" s="31"/>
      <c r="G739" s="31"/>
      <c r="H739" s="54"/>
      <c r="I739" s="901"/>
    </row>
    <row r="740" spans="2:9">
      <c r="B740" s="29"/>
      <c r="C740" s="514"/>
      <c r="D740" s="59"/>
      <c r="E740" s="59"/>
      <c r="F740" s="31"/>
      <c r="G740" s="31"/>
      <c r="H740" s="54"/>
      <c r="I740" s="901"/>
    </row>
    <row r="741" spans="2:9">
      <c r="B741" s="29"/>
      <c r="C741" s="514"/>
      <c r="D741" s="59"/>
      <c r="E741" s="59"/>
      <c r="F741" s="31"/>
      <c r="G741" s="31"/>
      <c r="H741" s="54"/>
      <c r="I741" s="901"/>
    </row>
    <row r="742" spans="2:9">
      <c r="B742" s="29"/>
      <c r="C742" s="514"/>
      <c r="D742" s="59"/>
      <c r="E742" s="59"/>
      <c r="F742" s="31"/>
      <c r="G742" s="31"/>
      <c r="H742" s="54"/>
      <c r="I742" s="901"/>
    </row>
    <row r="743" spans="2:9">
      <c r="B743" s="29"/>
      <c r="C743" s="514"/>
      <c r="D743" s="59"/>
      <c r="E743" s="59"/>
      <c r="F743" s="31"/>
      <c r="G743" s="31"/>
      <c r="H743" s="54"/>
      <c r="I743" s="901"/>
    </row>
    <row r="744" spans="2:9">
      <c r="B744" s="29"/>
      <c r="C744" s="514"/>
      <c r="D744" s="57"/>
      <c r="E744" s="57"/>
      <c r="F744" s="31"/>
      <c r="G744" s="31"/>
      <c r="H744" s="54"/>
      <c r="I744" s="901"/>
    </row>
    <row r="745" spans="2:9">
      <c r="B745" s="29"/>
      <c r="C745" s="514"/>
      <c r="D745" s="59"/>
      <c r="E745" s="59"/>
      <c r="F745" s="31"/>
      <c r="G745" s="31"/>
      <c r="H745" s="54"/>
      <c r="I745" s="901"/>
    </row>
    <row r="746" spans="2:9">
      <c r="B746" s="29"/>
      <c r="C746" s="514"/>
      <c r="D746" s="59"/>
      <c r="E746" s="59"/>
      <c r="F746" s="31"/>
      <c r="G746" s="31"/>
      <c r="H746" s="54"/>
      <c r="I746" s="901"/>
    </row>
    <row r="747" spans="2:9">
      <c r="B747" s="29"/>
      <c r="C747" s="514"/>
      <c r="D747" s="59"/>
      <c r="E747" s="59"/>
      <c r="F747" s="31"/>
      <c r="G747" s="31"/>
      <c r="H747" s="54"/>
      <c r="I747" s="901"/>
    </row>
    <row r="748" spans="2:9">
      <c r="B748" s="29"/>
      <c r="C748" s="514"/>
      <c r="D748" s="59"/>
      <c r="E748" s="59"/>
      <c r="F748" s="31"/>
      <c r="G748" s="31"/>
      <c r="H748" s="54"/>
      <c r="I748" s="901"/>
    </row>
    <row r="749" spans="2:9">
      <c r="B749" s="29"/>
      <c r="C749" s="514"/>
      <c r="D749" s="59"/>
      <c r="E749" s="59"/>
      <c r="F749" s="31"/>
      <c r="G749" s="31"/>
      <c r="H749" s="54"/>
      <c r="I749" s="86"/>
    </row>
    <row r="750" spans="2:9">
      <c r="B750" s="29"/>
      <c r="C750" s="514"/>
      <c r="D750" s="59"/>
      <c r="E750" s="59"/>
      <c r="F750" s="31"/>
      <c r="G750" s="31"/>
      <c r="H750" s="54"/>
      <c r="I750" s="901"/>
    </row>
    <row r="751" spans="2:9">
      <c r="B751" s="29"/>
      <c r="C751" s="514"/>
      <c r="D751" s="59"/>
      <c r="E751" s="59"/>
      <c r="F751" s="31"/>
      <c r="G751" s="31"/>
      <c r="H751" s="54"/>
      <c r="I751" s="901"/>
    </row>
    <row r="752" spans="2:9">
      <c r="B752" s="29"/>
      <c r="C752" s="514"/>
      <c r="D752" s="59"/>
      <c r="E752" s="59"/>
      <c r="F752" s="31"/>
      <c r="G752" s="31"/>
      <c r="H752" s="54"/>
      <c r="I752" s="901"/>
    </row>
    <row r="753" spans="2:9">
      <c r="B753" s="29"/>
      <c r="C753" s="514"/>
      <c r="D753" s="59"/>
      <c r="E753" s="59"/>
      <c r="F753" s="31"/>
      <c r="G753" s="31"/>
      <c r="H753" s="54"/>
      <c r="I753" s="901"/>
    </row>
    <row r="754" spans="2:9">
      <c r="B754" s="29"/>
      <c r="C754" s="514"/>
      <c r="D754" s="59"/>
      <c r="E754" s="59"/>
      <c r="F754" s="31"/>
      <c r="G754" s="31"/>
      <c r="H754" s="54"/>
      <c r="I754" s="901"/>
    </row>
    <row r="755" spans="2:9">
      <c r="B755" s="29"/>
      <c r="C755" s="514"/>
      <c r="D755" s="59"/>
      <c r="E755" s="59"/>
      <c r="F755" s="31"/>
      <c r="G755" s="31"/>
      <c r="H755" s="54"/>
      <c r="I755" s="901"/>
    </row>
    <row r="756" spans="2:9">
      <c r="B756" s="29"/>
      <c r="C756" s="514"/>
      <c r="D756" s="59"/>
      <c r="E756" s="59"/>
      <c r="F756" s="31"/>
      <c r="G756" s="31"/>
      <c r="H756" s="54"/>
      <c r="I756" s="901"/>
    </row>
    <row r="757" spans="2:9">
      <c r="B757" s="29"/>
      <c r="C757" s="514"/>
      <c r="D757" s="59"/>
      <c r="E757" s="59"/>
      <c r="F757" s="31"/>
      <c r="G757" s="31"/>
      <c r="H757" s="54"/>
      <c r="I757" s="901"/>
    </row>
    <row r="758" spans="2:9">
      <c r="B758" s="29"/>
      <c r="C758" s="514"/>
      <c r="D758" s="59"/>
      <c r="E758" s="59"/>
      <c r="F758" s="31"/>
      <c r="G758" s="31"/>
      <c r="H758" s="54"/>
      <c r="I758" s="901"/>
    </row>
    <row r="759" spans="2:9">
      <c r="B759" s="29"/>
      <c r="C759" s="514"/>
      <c r="D759" s="59"/>
      <c r="E759" s="59"/>
      <c r="F759" s="31"/>
      <c r="G759" s="31"/>
      <c r="H759" s="54"/>
      <c r="I759" s="901"/>
    </row>
    <row r="760" spans="2:9">
      <c r="B760" s="29"/>
      <c r="C760" s="514"/>
      <c r="D760" s="59"/>
      <c r="E760" s="59"/>
      <c r="F760" s="31"/>
      <c r="G760" s="31"/>
      <c r="H760" s="54"/>
      <c r="I760" s="901"/>
    </row>
    <row r="761" spans="2:9">
      <c r="B761" s="29"/>
      <c r="C761" s="514"/>
      <c r="D761" s="57"/>
      <c r="E761" s="57"/>
      <c r="F761" s="31"/>
      <c r="G761" s="31"/>
      <c r="H761" s="54"/>
      <c r="I761" s="901"/>
    </row>
    <row r="762" spans="2:9">
      <c r="B762" s="29"/>
      <c r="C762" s="514"/>
      <c r="D762" s="59"/>
      <c r="E762" s="59"/>
      <c r="F762" s="31"/>
      <c r="G762" s="31"/>
      <c r="H762" s="54"/>
      <c r="I762" s="901"/>
    </row>
    <row r="763" spans="2:9">
      <c r="B763" s="29"/>
      <c r="C763" s="514"/>
      <c r="D763" s="59"/>
      <c r="E763" s="59"/>
      <c r="F763" s="31"/>
      <c r="G763" s="31"/>
      <c r="H763" s="54"/>
      <c r="I763" s="901"/>
    </row>
    <row r="764" spans="2:9">
      <c r="B764" s="29"/>
      <c r="C764" s="514"/>
      <c r="D764" s="59"/>
      <c r="E764" s="59"/>
      <c r="F764" s="31"/>
      <c r="G764" s="31"/>
      <c r="H764" s="54"/>
      <c r="I764" s="901"/>
    </row>
    <row r="765" spans="2:9">
      <c r="B765" s="29"/>
      <c r="C765" s="514"/>
      <c r="D765" s="59"/>
      <c r="E765" s="59"/>
      <c r="F765" s="31"/>
      <c r="G765" s="31"/>
      <c r="H765" s="54"/>
      <c r="I765" s="901"/>
    </row>
    <row r="766" spans="2:9">
      <c r="B766" s="29"/>
      <c r="C766" s="514"/>
      <c r="D766" s="59"/>
      <c r="E766" s="59"/>
      <c r="F766" s="31"/>
      <c r="G766" s="31"/>
      <c r="H766" s="54"/>
      <c r="I766" s="86"/>
    </row>
    <row r="767" spans="2:9">
      <c r="B767" s="29"/>
      <c r="C767" s="514"/>
      <c r="D767" s="59"/>
      <c r="E767" s="59"/>
      <c r="F767" s="31"/>
      <c r="G767" s="31"/>
      <c r="H767" s="54"/>
      <c r="I767" s="901"/>
    </row>
    <row r="768" spans="2:9">
      <c r="B768" s="29"/>
      <c r="C768" s="514"/>
      <c r="D768" s="59"/>
      <c r="E768" s="59"/>
      <c r="F768" s="31"/>
      <c r="G768" s="31"/>
      <c r="H768" s="54"/>
      <c r="I768" s="901"/>
    </row>
    <row r="769" spans="2:9">
      <c r="B769" s="29"/>
      <c r="C769" s="514"/>
      <c r="D769" s="59"/>
      <c r="E769" s="59"/>
      <c r="F769" s="31"/>
      <c r="G769" s="31"/>
      <c r="H769" s="54"/>
      <c r="I769" s="901"/>
    </row>
    <row r="770" spans="2:9">
      <c r="B770" s="29"/>
      <c r="C770" s="514"/>
      <c r="D770" s="59"/>
      <c r="E770" s="59"/>
      <c r="F770" s="31"/>
      <c r="G770" s="31"/>
      <c r="H770" s="54"/>
      <c r="I770" s="901"/>
    </row>
    <row r="771" spans="2:9">
      <c r="B771" s="29"/>
      <c r="C771" s="514"/>
      <c r="D771" s="59"/>
      <c r="E771" s="59"/>
      <c r="F771" s="31"/>
      <c r="G771" s="31"/>
      <c r="H771" s="54"/>
      <c r="I771" s="901"/>
    </row>
    <row r="772" spans="2:9">
      <c r="B772" s="29"/>
      <c r="C772" s="514"/>
      <c r="D772" s="59"/>
      <c r="E772" s="59"/>
      <c r="F772" s="31"/>
      <c r="G772" s="31"/>
      <c r="H772" s="54"/>
      <c r="I772" s="901"/>
    </row>
    <row r="773" spans="2:9">
      <c r="B773" s="29"/>
      <c r="C773" s="514"/>
      <c r="D773" s="59"/>
      <c r="E773" s="59"/>
      <c r="F773" s="31"/>
      <c r="G773" s="31"/>
      <c r="H773" s="54"/>
      <c r="I773" s="901"/>
    </row>
    <row r="774" spans="2:9">
      <c r="B774" s="29"/>
      <c r="C774" s="514"/>
      <c r="D774" s="59"/>
      <c r="E774" s="59"/>
      <c r="F774" s="31"/>
      <c r="G774" s="31"/>
      <c r="H774" s="54"/>
      <c r="I774" s="901"/>
    </row>
    <row r="775" spans="2:9">
      <c r="B775" s="29"/>
      <c r="C775" s="514"/>
      <c r="D775" s="59"/>
      <c r="E775" s="59"/>
      <c r="F775" s="31"/>
      <c r="G775" s="31"/>
      <c r="H775" s="54"/>
      <c r="I775" s="901"/>
    </row>
    <row r="776" spans="2:9">
      <c r="B776" s="29"/>
      <c r="C776" s="514"/>
      <c r="D776" s="59"/>
      <c r="E776" s="59"/>
      <c r="F776" s="31"/>
      <c r="G776" s="31"/>
      <c r="H776" s="54"/>
      <c r="I776" s="901"/>
    </row>
    <row r="777" spans="2:9">
      <c r="B777" s="29"/>
      <c r="C777" s="514"/>
      <c r="D777" s="59"/>
      <c r="E777" s="59"/>
      <c r="F777" s="31"/>
      <c r="G777" s="31"/>
      <c r="H777" s="54"/>
      <c r="I777" s="901"/>
    </row>
    <row r="778" spans="2:9">
      <c r="B778" s="29"/>
      <c r="C778" s="514"/>
      <c r="D778" s="59"/>
      <c r="E778" s="59"/>
      <c r="F778" s="31"/>
      <c r="G778" s="31"/>
      <c r="H778" s="54"/>
      <c r="I778" s="901"/>
    </row>
    <row r="779" spans="2:9">
      <c r="B779" s="29"/>
      <c r="C779" s="514"/>
      <c r="D779" s="57"/>
      <c r="E779" s="57"/>
      <c r="F779" s="31"/>
      <c r="G779" s="31"/>
      <c r="H779" s="54"/>
      <c r="I779" s="901"/>
    </row>
    <row r="780" spans="2:9">
      <c r="B780" s="29"/>
      <c r="C780" s="514"/>
      <c r="D780" s="59"/>
      <c r="E780" s="59"/>
      <c r="F780" s="31"/>
      <c r="G780" s="31"/>
      <c r="H780" s="54"/>
      <c r="I780" s="901"/>
    </row>
    <row r="781" spans="2:9">
      <c r="B781" s="29"/>
      <c r="C781" s="514"/>
      <c r="D781" s="59"/>
      <c r="E781" s="59"/>
      <c r="F781" s="31"/>
      <c r="G781" s="31"/>
      <c r="H781" s="54"/>
      <c r="I781" s="901"/>
    </row>
    <row r="782" spans="2:9">
      <c r="B782" s="29"/>
      <c r="C782" s="514"/>
      <c r="D782" s="59"/>
      <c r="E782" s="59"/>
      <c r="F782" s="31"/>
      <c r="G782" s="31"/>
      <c r="H782" s="54"/>
      <c r="I782" s="901"/>
    </row>
    <row r="783" spans="2:9">
      <c r="B783" s="29"/>
      <c r="C783" s="514"/>
      <c r="D783" s="59"/>
      <c r="E783" s="59"/>
      <c r="F783" s="31"/>
      <c r="G783" s="31"/>
      <c r="H783" s="54"/>
      <c r="I783" s="901"/>
    </row>
    <row r="784" spans="2:9">
      <c r="B784" s="29"/>
      <c r="C784" s="514"/>
      <c r="D784" s="59"/>
      <c r="E784" s="59"/>
      <c r="F784" s="31"/>
      <c r="G784" s="31"/>
      <c r="H784" s="54"/>
      <c r="I784" s="86"/>
    </row>
    <row r="785" spans="2:9">
      <c r="B785" s="29"/>
      <c r="C785" s="514"/>
      <c r="D785" s="59"/>
      <c r="E785" s="59"/>
      <c r="F785" s="31"/>
      <c r="G785" s="31"/>
      <c r="H785" s="54"/>
      <c r="I785" s="901"/>
    </row>
    <row r="786" spans="2:9">
      <c r="B786" s="29"/>
      <c r="C786" s="514"/>
      <c r="D786" s="59"/>
      <c r="E786" s="59"/>
      <c r="F786" s="31"/>
      <c r="G786" s="31"/>
      <c r="H786" s="54"/>
      <c r="I786" s="901"/>
    </row>
    <row r="787" spans="2:9">
      <c r="B787" s="29"/>
      <c r="C787" s="514"/>
      <c r="D787" s="59"/>
      <c r="E787" s="59"/>
      <c r="F787" s="31"/>
      <c r="G787" s="31"/>
      <c r="H787" s="54"/>
      <c r="I787" s="901"/>
    </row>
    <row r="788" spans="2:9">
      <c r="B788" s="29"/>
      <c r="C788" s="514"/>
      <c r="D788" s="59"/>
      <c r="E788" s="59"/>
      <c r="F788" s="31"/>
      <c r="G788" s="31"/>
      <c r="H788" s="54"/>
      <c r="I788" s="901"/>
    </row>
    <row r="789" spans="2:9">
      <c r="B789" s="29"/>
      <c r="C789" s="514"/>
      <c r="D789" s="59"/>
      <c r="E789" s="59"/>
      <c r="F789" s="31"/>
      <c r="G789" s="31"/>
      <c r="H789" s="54"/>
      <c r="I789" s="901"/>
    </row>
    <row r="790" spans="2:9">
      <c r="B790" s="29"/>
      <c r="C790" s="514"/>
      <c r="D790" s="59"/>
      <c r="E790" s="59"/>
      <c r="F790" s="31"/>
      <c r="G790" s="31"/>
      <c r="H790" s="54"/>
      <c r="I790" s="901"/>
    </row>
    <row r="791" spans="2:9">
      <c r="B791" s="29"/>
      <c r="C791" s="514"/>
      <c r="D791" s="59"/>
      <c r="E791" s="59"/>
      <c r="F791" s="31"/>
      <c r="G791" s="31"/>
      <c r="H791" s="54"/>
      <c r="I791" s="901"/>
    </row>
    <row r="792" spans="2:9">
      <c r="B792" s="29"/>
      <c r="C792" s="514"/>
      <c r="D792" s="59"/>
      <c r="E792" s="59"/>
      <c r="F792" s="31"/>
      <c r="G792" s="31"/>
      <c r="H792" s="54"/>
      <c r="I792" s="901"/>
    </row>
    <row r="793" spans="2:9">
      <c r="B793" s="29"/>
      <c r="C793" s="514"/>
      <c r="D793" s="59"/>
      <c r="E793" s="59"/>
      <c r="F793" s="31"/>
      <c r="G793" s="31"/>
      <c r="H793" s="54"/>
      <c r="I793" s="901"/>
    </row>
    <row r="794" spans="2:9">
      <c r="B794" s="29"/>
      <c r="C794" s="514"/>
      <c r="D794" s="59"/>
      <c r="E794" s="59"/>
      <c r="F794" s="31"/>
      <c r="G794" s="31"/>
      <c r="H794" s="54"/>
      <c r="I794" s="901"/>
    </row>
    <row r="795" spans="2:9">
      <c r="B795" s="29"/>
      <c r="C795" s="514"/>
      <c r="D795" s="59"/>
      <c r="E795" s="59"/>
      <c r="F795" s="31"/>
      <c r="G795" s="31"/>
      <c r="H795" s="54"/>
      <c r="I795" s="901"/>
    </row>
    <row r="796" spans="2:9">
      <c r="B796" s="29"/>
      <c r="C796" s="514"/>
      <c r="D796" s="57"/>
      <c r="E796" s="57"/>
      <c r="F796" s="31"/>
      <c r="G796" s="31"/>
      <c r="H796" s="54"/>
      <c r="I796" s="901"/>
    </row>
    <row r="797" spans="2:9">
      <c r="B797" s="29"/>
      <c r="C797" s="514"/>
      <c r="D797" s="59"/>
      <c r="E797" s="59"/>
      <c r="F797" s="31"/>
      <c r="G797" s="31"/>
      <c r="H797" s="54"/>
      <c r="I797" s="901"/>
    </row>
    <row r="798" spans="2:9">
      <c r="B798" s="29"/>
      <c r="C798" s="514"/>
      <c r="D798" s="59"/>
      <c r="E798" s="59"/>
      <c r="F798" s="31"/>
      <c r="G798" s="31"/>
      <c r="H798" s="54"/>
      <c r="I798" s="901"/>
    </row>
    <row r="799" spans="2:9">
      <c r="B799" s="29"/>
      <c r="C799" s="514"/>
      <c r="D799" s="59"/>
      <c r="E799" s="59"/>
      <c r="F799" s="31"/>
      <c r="G799" s="31"/>
      <c r="H799" s="54"/>
      <c r="I799" s="901"/>
    </row>
    <row r="800" spans="2:9">
      <c r="B800" s="29"/>
      <c r="C800" s="514"/>
      <c r="D800" s="59"/>
      <c r="E800" s="59"/>
      <c r="F800" s="31"/>
      <c r="G800" s="31"/>
      <c r="H800" s="54"/>
      <c r="I800" s="901"/>
    </row>
    <row r="801" spans="2:9">
      <c r="B801" s="29"/>
      <c r="C801" s="514"/>
      <c r="D801" s="59"/>
      <c r="E801" s="59"/>
      <c r="F801" s="31"/>
      <c r="G801" s="31"/>
      <c r="H801" s="54"/>
      <c r="I801" s="86"/>
    </row>
    <row r="802" spans="2:9">
      <c r="B802" s="29"/>
      <c r="C802" s="514"/>
      <c r="D802" s="59"/>
      <c r="E802" s="59"/>
      <c r="F802" s="31"/>
      <c r="G802" s="31"/>
      <c r="H802" s="54"/>
      <c r="I802" s="901"/>
    </row>
    <row r="803" spans="2:9">
      <c r="B803" s="29"/>
      <c r="C803" s="514"/>
      <c r="D803" s="59"/>
      <c r="E803" s="59"/>
      <c r="F803" s="31"/>
      <c r="G803" s="31"/>
      <c r="H803" s="54"/>
      <c r="I803" s="901"/>
    </row>
    <row r="804" spans="2:9">
      <c r="B804" s="29"/>
      <c r="C804" s="514"/>
      <c r="D804" s="59"/>
      <c r="E804" s="59"/>
      <c r="F804" s="31"/>
      <c r="G804" s="31"/>
      <c r="H804" s="54"/>
      <c r="I804" s="901"/>
    </row>
    <row r="805" spans="2:9">
      <c r="B805" s="29"/>
      <c r="C805" s="514"/>
      <c r="D805" s="59"/>
      <c r="E805" s="59"/>
      <c r="F805" s="31"/>
      <c r="G805" s="31"/>
      <c r="H805" s="54"/>
      <c r="I805" s="901"/>
    </row>
    <row r="806" spans="2:9">
      <c r="B806" s="29"/>
      <c r="C806" s="514"/>
      <c r="D806" s="59"/>
      <c r="E806" s="59"/>
      <c r="F806" s="31"/>
      <c r="G806" s="31"/>
      <c r="H806" s="54"/>
      <c r="I806" s="901"/>
    </row>
    <row r="807" spans="2:9">
      <c r="B807" s="29"/>
      <c r="C807" s="514"/>
      <c r="D807" s="59"/>
      <c r="E807" s="59"/>
      <c r="F807" s="31"/>
      <c r="G807" s="31"/>
      <c r="H807" s="54"/>
      <c r="I807" s="901"/>
    </row>
    <row r="808" spans="2:9">
      <c r="B808" s="29"/>
      <c r="C808" s="514"/>
      <c r="D808" s="59"/>
      <c r="E808" s="59"/>
      <c r="F808" s="31"/>
      <c r="G808" s="31"/>
      <c r="H808" s="54"/>
      <c r="I808" s="901"/>
    </row>
    <row r="809" spans="2:9">
      <c r="B809" s="29"/>
      <c r="C809" s="514"/>
      <c r="D809" s="59"/>
      <c r="E809" s="59"/>
      <c r="F809" s="31"/>
      <c r="G809" s="31"/>
      <c r="H809" s="54"/>
      <c r="I809" s="901"/>
    </row>
    <row r="810" spans="2:9">
      <c r="B810" s="29"/>
      <c r="C810" s="514"/>
      <c r="D810" s="59"/>
      <c r="E810" s="59"/>
      <c r="F810" s="31"/>
      <c r="G810" s="31"/>
      <c r="H810" s="54"/>
      <c r="I810" s="901"/>
    </row>
    <row r="811" spans="2:9">
      <c r="B811" s="29"/>
      <c r="C811" s="514"/>
      <c r="D811" s="59"/>
      <c r="E811" s="59"/>
      <c r="F811" s="31"/>
      <c r="G811" s="31"/>
      <c r="H811" s="54"/>
      <c r="I811" s="901"/>
    </row>
    <row r="812" spans="2:9">
      <c r="B812" s="29"/>
      <c r="C812" s="514"/>
      <c r="D812" s="59"/>
      <c r="E812" s="59"/>
      <c r="F812" s="31"/>
      <c r="G812" s="31"/>
      <c r="H812" s="54"/>
      <c r="I812" s="901"/>
    </row>
    <row r="813" spans="2:9">
      <c r="B813" s="29"/>
      <c r="C813" s="514"/>
      <c r="D813" s="57"/>
      <c r="E813" s="57"/>
      <c r="F813" s="31"/>
      <c r="G813" s="31"/>
      <c r="H813" s="54"/>
      <c r="I813" s="901"/>
    </row>
    <row r="814" spans="2:9">
      <c r="B814" s="29"/>
      <c r="C814" s="514"/>
      <c r="D814" s="59"/>
      <c r="E814" s="59"/>
      <c r="F814" s="31"/>
      <c r="G814" s="31"/>
      <c r="H814" s="54"/>
      <c r="I814" s="901"/>
    </row>
    <row r="815" spans="2:9">
      <c r="B815" s="29"/>
      <c r="C815" s="514"/>
      <c r="D815" s="59"/>
      <c r="E815" s="59"/>
      <c r="F815" s="31"/>
      <c r="G815" s="31"/>
      <c r="H815" s="54"/>
      <c r="I815" s="901"/>
    </row>
    <row r="816" spans="2:9">
      <c r="B816" s="29"/>
      <c r="C816" s="514"/>
      <c r="D816" s="59"/>
      <c r="E816" s="59"/>
      <c r="F816" s="31"/>
      <c r="G816" s="31"/>
      <c r="H816" s="54"/>
      <c r="I816" s="901"/>
    </row>
    <row r="817" spans="2:9">
      <c r="B817" s="29"/>
      <c r="C817" s="514"/>
      <c r="D817" s="59"/>
      <c r="E817" s="59"/>
      <c r="F817" s="31"/>
      <c r="G817" s="31"/>
      <c r="H817" s="54"/>
      <c r="I817" s="901"/>
    </row>
    <row r="818" spans="2:9">
      <c r="B818" s="29"/>
      <c r="C818" s="514"/>
      <c r="D818" s="59"/>
      <c r="E818" s="59"/>
      <c r="F818" s="31"/>
      <c r="G818" s="31"/>
      <c r="H818" s="54"/>
      <c r="I818" s="86"/>
    </row>
    <row r="819" spans="2:9">
      <c r="B819" s="29"/>
      <c r="C819" s="514"/>
      <c r="D819" s="59"/>
      <c r="E819" s="59"/>
      <c r="F819" s="31"/>
      <c r="G819" s="31"/>
      <c r="H819" s="54"/>
      <c r="I819" s="901"/>
    </row>
    <row r="820" spans="2:9">
      <c r="B820" s="29"/>
      <c r="C820" s="514"/>
      <c r="D820" s="59"/>
      <c r="E820" s="59"/>
      <c r="F820" s="31"/>
      <c r="G820" s="31"/>
      <c r="H820" s="54"/>
      <c r="I820" s="901"/>
    </row>
    <row r="821" spans="2:9">
      <c r="B821" s="29"/>
      <c r="C821" s="514"/>
      <c r="D821" s="59"/>
      <c r="E821" s="59"/>
      <c r="F821" s="31"/>
      <c r="G821" s="31"/>
      <c r="H821" s="54"/>
      <c r="I821" s="901"/>
    </row>
    <row r="822" spans="2:9">
      <c r="B822" s="29"/>
      <c r="C822" s="514"/>
      <c r="D822" s="59"/>
      <c r="E822" s="59"/>
      <c r="F822" s="31"/>
      <c r="G822" s="31"/>
      <c r="H822" s="54"/>
      <c r="I822" s="901"/>
    </row>
    <row r="823" spans="2:9">
      <c r="B823" s="29"/>
      <c r="C823" s="514"/>
      <c r="D823" s="59"/>
      <c r="E823" s="59"/>
      <c r="F823" s="31"/>
      <c r="G823" s="31"/>
      <c r="H823" s="54"/>
      <c r="I823" s="901"/>
    </row>
    <row r="824" spans="2:9">
      <c r="B824" s="29"/>
      <c r="C824" s="514"/>
      <c r="D824" s="59"/>
      <c r="E824" s="59"/>
      <c r="F824" s="31"/>
      <c r="G824" s="31"/>
      <c r="H824" s="54"/>
      <c r="I824" s="901"/>
    </row>
    <row r="825" spans="2:9">
      <c r="B825" s="29"/>
      <c r="C825" s="514"/>
      <c r="D825" s="59"/>
      <c r="E825" s="59"/>
      <c r="F825" s="31"/>
      <c r="G825" s="31"/>
      <c r="H825" s="54"/>
      <c r="I825" s="901"/>
    </row>
    <row r="826" spans="2:9">
      <c r="B826" s="29"/>
      <c r="C826" s="514"/>
      <c r="D826" s="59"/>
      <c r="E826" s="59"/>
      <c r="F826" s="31"/>
      <c r="G826" s="31"/>
      <c r="H826" s="54"/>
      <c r="I826" s="901"/>
    </row>
    <row r="827" spans="2:9">
      <c r="B827" s="29"/>
      <c r="C827" s="514"/>
      <c r="D827" s="59"/>
      <c r="E827" s="59"/>
      <c r="F827" s="31"/>
      <c r="G827" s="31"/>
      <c r="H827" s="54"/>
      <c r="I827" s="901"/>
    </row>
    <row r="828" spans="2:9">
      <c r="B828" s="29"/>
      <c r="C828" s="514"/>
      <c r="D828" s="59"/>
      <c r="E828" s="59"/>
      <c r="F828" s="31"/>
      <c r="G828" s="31"/>
      <c r="H828" s="54"/>
      <c r="I828" s="901"/>
    </row>
    <row r="829" spans="2:9">
      <c r="B829" s="29"/>
      <c r="C829" s="514"/>
      <c r="D829" s="59"/>
      <c r="E829" s="59"/>
      <c r="F829" s="31"/>
      <c r="G829" s="31"/>
      <c r="H829" s="54"/>
      <c r="I829" s="901"/>
    </row>
    <row r="830" spans="2:9">
      <c r="B830" s="29"/>
      <c r="C830" s="514"/>
      <c r="D830" s="59"/>
      <c r="E830" s="59"/>
      <c r="F830" s="31"/>
      <c r="G830" s="31"/>
      <c r="H830" s="54"/>
      <c r="I830" s="901"/>
    </row>
    <row r="831" spans="2:9">
      <c r="B831" s="29"/>
      <c r="C831" s="514"/>
      <c r="D831" s="57"/>
      <c r="E831" s="57"/>
      <c r="F831" s="31"/>
      <c r="G831" s="31"/>
      <c r="H831" s="54"/>
      <c r="I831" s="901"/>
    </row>
    <row r="832" spans="2:9">
      <c r="B832" s="29"/>
      <c r="C832" s="514"/>
      <c r="D832" s="59"/>
      <c r="E832" s="59"/>
      <c r="F832" s="31"/>
      <c r="G832" s="31"/>
      <c r="H832" s="54"/>
      <c r="I832" s="901"/>
    </row>
    <row r="833" spans="2:9">
      <c r="B833" s="29"/>
      <c r="C833" s="514"/>
      <c r="D833" s="59"/>
      <c r="E833" s="59"/>
      <c r="F833" s="31"/>
      <c r="G833" s="31"/>
      <c r="H833" s="54"/>
      <c r="I833" s="901"/>
    </row>
    <row r="834" spans="2:9">
      <c r="B834" s="29"/>
      <c r="C834" s="514"/>
      <c r="D834" s="59"/>
      <c r="E834" s="59"/>
      <c r="F834" s="31"/>
      <c r="G834" s="31"/>
      <c r="H834" s="54"/>
      <c r="I834" s="901"/>
    </row>
    <row r="835" spans="2:9">
      <c r="B835" s="29"/>
      <c r="C835" s="514"/>
      <c r="D835" s="59"/>
      <c r="E835" s="59"/>
      <c r="F835" s="31"/>
      <c r="G835" s="31"/>
      <c r="H835" s="54"/>
      <c r="I835" s="901"/>
    </row>
    <row r="836" spans="2:9">
      <c r="B836" s="29"/>
      <c r="C836" s="514"/>
      <c r="D836" s="59"/>
      <c r="E836" s="59"/>
      <c r="F836" s="31"/>
      <c r="G836" s="31"/>
      <c r="H836" s="54"/>
      <c r="I836" s="86"/>
    </row>
    <row r="837" spans="2:9">
      <c r="B837" s="29"/>
      <c r="C837" s="514"/>
      <c r="D837" s="59"/>
      <c r="E837" s="59"/>
      <c r="F837" s="31"/>
      <c r="G837" s="31"/>
      <c r="H837" s="54"/>
      <c r="I837" s="901"/>
    </row>
    <row r="838" spans="2:9">
      <c r="B838" s="29"/>
      <c r="C838" s="514"/>
      <c r="D838" s="59"/>
      <c r="E838" s="59"/>
      <c r="F838" s="31"/>
      <c r="G838" s="31"/>
      <c r="H838" s="54"/>
      <c r="I838" s="901"/>
    </row>
    <row r="839" spans="2:9">
      <c r="B839" s="29"/>
      <c r="C839" s="514"/>
      <c r="D839" s="59"/>
      <c r="E839" s="59"/>
      <c r="F839" s="31"/>
      <c r="G839" s="31"/>
      <c r="H839" s="54"/>
      <c r="I839" s="901"/>
    </row>
    <row r="840" spans="2:9">
      <c r="B840" s="29"/>
      <c r="C840" s="514"/>
      <c r="D840" s="59"/>
      <c r="E840" s="59"/>
      <c r="F840" s="31"/>
      <c r="G840" s="31"/>
      <c r="H840" s="54"/>
      <c r="I840" s="901"/>
    </row>
    <row r="841" spans="2:9">
      <c r="B841" s="29"/>
      <c r="C841" s="514"/>
      <c r="D841" s="59"/>
      <c r="E841" s="59"/>
      <c r="F841" s="31"/>
      <c r="G841" s="31"/>
      <c r="H841" s="54"/>
      <c r="I841" s="901"/>
    </row>
    <row r="842" spans="2:9">
      <c r="B842" s="29"/>
      <c r="C842" s="514"/>
      <c r="D842" s="59"/>
      <c r="E842" s="59"/>
      <c r="F842" s="31"/>
      <c r="G842" s="31"/>
      <c r="H842" s="54"/>
      <c r="I842" s="901"/>
    </row>
    <row r="843" spans="2:9">
      <c r="B843" s="29"/>
      <c r="C843" s="514"/>
      <c r="D843" s="59"/>
      <c r="E843" s="59"/>
      <c r="F843" s="31"/>
      <c r="G843" s="31"/>
      <c r="H843" s="54"/>
      <c r="I843" s="901"/>
    </row>
    <row r="844" spans="2:9">
      <c r="B844" s="29"/>
      <c r="C844" s="514"/>
      <c r="D844" s="59"/>
      <c r="E844" s="59"/>
      <c r="F844" s="31"/>
      <c r="G844" s="31"/>
      <c r="H844" s="54"/>
      <c r="I844" s="901"/>
    </row>
    <row r="845" spans="2:9">
      <c r="B845" s="29"/>
      <c r="C845" s="514"/>
      <c r="D845" s="59"/>
      <c r="E845" s="59"/>
      <c r="F845" s="31"/>
      <c r="G845" s="31"/>
      <c r="H845" s="54"/>
      <c r="I845" s="901"/>
    </row>
    <row r="846" spans="2:9">
      <c r="B846" s="29"/>
      <c r="C846" s="514"/>
      <c r="D846" s="59"/>
      <c r="E846" s="59"/>
      <c r="F846" s="31"/>
      <c r="G846" s="31"/>
      <c r="H846" s="54"/>
      <c r="I846" s="901"/>
    </row>
    <row r="847" spans="2:9">
      <c r="B847" s="29"/>
      <c r="C847" s="514"/>
      <c r="D847" s="59"/>
      <c r="E847" s="59"/>
      <c r="F847" s="31"/>
      <c r="G847" s="31"/>
      <c r="H847" s="54"/>
      <c r="I847" s="901"/>
    </row>
    <row r="848" spans="2:9">
      <c r="B848" s="29"/>
      <c r="C848" s="514"/>
      <c r="D848" s="57"/>
      <c r="E848" s="57"/>
      <c r="F848" s="31"/>
      <c r="G848" s="31"/>
      <c r="H848" s="54"/>
      <c r="I848" s="901"/>
    </row>
    <row r="849" spans="2:9">
      <c r="B849" s="29"/>
      <c r="C849" s="514"/>
      <c r="D849" s="59"/>
      <c r="E849" s="59"/>
      <c r="F849" s="31"/>
      <c r="G849" s="31"/>
      <c r="H849" s="54"/>
      <c r="I849" s="901"/>
    </row>
    <row r="850" spans="2:9">
      <c r="B850" s="29"/>
      <c r="C850" s="514"/>
      <c r="D850" s="59"/>
      <c r="E850" s="59"/>
      <c r="F850" s="31"/>
      <c r="G850" s="31"/>
      <c r="H850" s="54"/>
      <c r="I850" s="901"/>
    </row>
    <row r="851" spans="2:9">
      <c r="B851" s="29"/>
      <c r="C851" s="514"/>
      <c r="D851" s="59"/>
      <c r="E851" s="59"/>
      <c r="F851" s="31"/>
      <c r="G851" s="31"/>
      <c r="H851" s="54"/>
      <c r="I851" s="901"/>
    </row>
    <row r="852" spans="2:9">
      <c r="B852" s="29"/>
      <c r="C852" s="514"/>
      <c r="D852" s="59"/>
      <c r="E852" s="59"/>
      <c r="F852" s="31"/>
      <c r="G852" s="31"/>
      <c r="H852" s="54"/>
      <c r="I852" s="901"/>
    </row>
    <row r="853" spans="2:9">
      <c r="B853" s="29"/>
      <c r="C853" s="514"/>
      <c r="D853" s="59"/>
      <c r="E853" s="59"/>
      <c r="F853" s="31"/>
      <c r="G853" s="31"/>
      <c r="H853" s="54"/>
      <c r="I853" s="86"/>
    </row>
    <row r="854" spans="2:9">
      <c r="B854" s="29"/>
      <c r="C854" s="514"/>
      <c r="D854" s="59"/>
      <c r="E854" s="59"/>
      <c r="F854" s="31"/>
      <c r="G854" s="31"/>
      <c r="H854" s="54"/>
      <c r="I854" s="901"/>
    </row>
    <row r="855" spans="2:9">
      <c r="B855" s="29"/>
      <c r="C855" s="514"/>
      <c r="D855" s="59"/>
      <c r="E855" s="59"/>
      <c r="F855" s="31"/>
      <c r="G855" s="31"/>
      <c r="H855" s="54"/>
      <c r="I855" s="901"/>
    </row>
    <row r="856" spans="2:9">
      <c r="B856" s="29"/>
      <c r="C856" s="514"/>
      <c r="D856" s="59"/>
      <c r="E856" s="59"/>
      <c r="F856" s="31"/>
      <c r="G856" s="31"/>
      <c r="H856" s="54"/>
      <c r="I856" s="901"/>
    </row>
    <row r="857" spans="2:9">
      <c r="B857" s="29"/>
      <c r="C857" s="514"/>
      <c r="D857" s="59"/>
      <c r="E857" s="59"/>
      <c r="F857" s="31"/>
      <c r="G857" s="31"/>
      <c r="H857" s="54"/>
      <c r="I857" s="901"/>
    </row>
    <row r="858" spans="2:9">
      <c r="B858" s="29"/>
      <c r="C858" s="514"/>
      <c r="D858" s="59"/>
      <c r="E858" s="59"/>
      <c r="F858" s="31"/>
      <c r="G858" s="31"/>
      <c r="H858" s="54"/>
      <c r="I858" s="901"/>
    </row>
    <row r="859" spans="2:9">
      <c r="B859" s="29"/>
      <c r="C859" s="514"/>
      <c r="D859" s="59"/>
      <c r="E859" s="59"/>
      <c r="F859" s="31"/>
      <c r="G859" s="31"/>
      <c r="H859" s="54"/>
      <c r="I859" s="901"/>
    </row>
    <row r="860" spans="2:9">
      <c r="B860" s="29"/>
      <c r="C860" s="514"/>
      <c r="D860" s="59"/>
      <c r="E860" s="59"/>
      <c r="F860" s="31"/>
      <c r="G860" s="31"/>
      <c r="H860" s="54"/>
      <c r="I860" s="901"/>
    </row>
    <row r="861" spans="2:9">
      <c r="B861" s="29"/>
      <c r="C861" s="514"/>
      <c r="D861" s="59"/>
      <c r="E861" s="59"/>
      <c r="F861" s="31"/>
      <c r="G861" s="31"/>
      <c r="H861" s="54"/>
      <c r="I861" s="901"/>
    </row>
    <row r="862" spans="2:9">
      <c r="B862" s="29"/>
      <c r="C862" s="514"/>
      <c r="D862" s="59"/>
      <c r="E862" s="59"/>
      <c r="F862" s="31"/>
      <c r="G862" s="31"/>
      <c r="H862" s="54"/>
      <c r="I862" s="901"/>
    </row>
    <row r="863" spans="2:9">
      <c r="B863" s="29"/>
      <c r="C863" s="514"/>
      <c r="D863" s="59"/>
      <c r="E863" s="59"/>
      <c r="F863" s="31"/>
      <c r="G863" s="31"/>
      <c r="H863" s="54"/>
      <c r="I863" s="901"/>
    </row>
    <row r="864" spans="2:9">
      <c r="B864" s="29"/>
      <c r="C864" s="514"/>
      <c r="D864" s="59"/>
      <c r="E864" s="59"/>
      <c r="F864" s="31"/>
      <c r="G864" s="31"/>
      <c r="H864" s="54"/>
      <c r="I864" s="901"/>
    </row>
    <row r="865" spans="2:9">
      <c r="B865" s="29"/>
      <c r="C865" s="514"/>
      <c r="D865" s="57"/>
      <c r="E865" s="57"/>
      <c r="F865" s="31"/>
      <c r="G865" s="31"/>
      <c r="H865" s="54"/>
      <c r="I865" s="901"/>
    </row>
    <row r="866" spans="2:9">
      <c r="B866" s="29"/>
      <c r="C866" s="514"/>
      <c r="D866" s="59"/>
      <c r="E866" s="59"/>
      <c r="F866" s="31"/>
      <c r="G866" s="31"/>
      <c r="H866" s="54"/>
      <c r="I866" s="901"/>
    </row>
    <row r="867" spans="2:9">
      <c r="B867" s="29"/>
      <c r="C867" s="514"/>
      <c r="D867" s="59"/>
      <c r="E867" s="59"/>
      <c r="F867" s="31"/>
      <c r="G867" s="31"/>
      <c r="H867" s="54"/>
      <c r="I867" s="901"/>
    </row>
    <row r="868" spans="2:9">
      <c r="B868" s="29"/>
      <c r="C868" s="514"/>
      <c r="D868" s="59"/>
      <c r="E868" s="59"/>
      <c r="F868" s="31"/>
      <c r="G868" s="31"/>
      <c r="H868" s="54"/>
      <c r="I868" s="901"/>
    </row>
    <row r="869" spans="2:9">
      <c r="B869" s="29"/>
      <c r="C869" s="514"/>
      <c r="D869" s="59"/>
      <c r="E869" s="59"/>
      <c r="F869" s="31"/>
      <c r="G869" s="31"/>
      <c r="H869" s="54"/>
      <c r="I869" s="901"/>
    </row>
    <row r="870" spans="2:9">
      <c r="B870" s="29"/>
      <c r="C870" s="514"/>
      <c r="D870" s="59"/>
      <c r="E870" s="59"/>
      <c r="F870" s="31"/>
      <c r="G870" s="31"/>
      <c r="H870" s="54"/>
      <c r="I870" s="86"/>
    </row>
    <row r="871" spans="2:9">
      <c r="B871" s="29"/>
      <c r="C871" s="514"/>
      <c r="D871" s="59"/>
      <c r="E871" s="59"/>
      <c r="F871" s="31"/>
      <c r="G871" s="31"/>
      <c r="H871" s="54"/>
      <c r="I871" s="901"/>
    </row>
    <row r="872" spans="2:9">
      <c r="B872" s="29"/>
      <c r="C872" s="514"/>
      <c r="D872" s="59"/>
      <c r="E872" s="59"/>
      <c r="F872" s="31"/>
      <c r="G872" s="31"/>
      <c r="H872" s="54"/>
      <c r="I872" s="901"/>
    </row>
    <row r="873" spans="2:9">
      <c r="B873" s="29"/>
      <c r="C873" s="514"/>
      <c r="D873" s="59"/>
      <c r="E873" s="59"/>
      <c r="F873" s="31"/>
      <c r="G873" s="31"/>
      <c r="H873" s="54"/>
      <c r="I873" s="901"/>
    </row>
    <row r="874" spans="2:9">
      <c r="B874" s="29"/>
      <c r="C874" s="514"/>
      <c r="D874" s="59"/>
      <c r="E874" s="59"/>
      <c r="F874" s="31"/>
      <c r="G874" s="31"/>
      <c r="H874" s="54"/>
      <c r="I874" s="901"/>
    </row>
    <row r="875" spans="2:9">
      <c r="B875" s="29"/>
      <c r="C875" s="514"/>
      <c r="D875" s="59"/>
      <c r="E875" s="59"/>
      <c r="F875" s="31"/>
      <c r="G875" s="31"/>
      <c r="H875" s="54"/>
      <c r="I875" s="901"/>
    </row>
  </sheetData>
  <autoFilter ref="B1:I686" xr:uid="{E6FC5F49-D4A3-4AA3-9E47-7BFDB327CD23}">
    <filterColumn colId="0">
      <filters>
        <dateGroupItem year="2025" month="5" dateTimeGrouping="month"/>
        <dateGroupItem year="2025" month="6" dateTimeGrouping="month"/>
      </filters>
    </filterColumn>
  </autoFilter>
  <mergeCells count="2">
    <mergeCell ref="F557:F571"/>
    <mergeCell ref="I557:I5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F5DA-C7F6-4AC8-933A-79A6FD37C8C3}">
  <sheetPr>
    <tabColor rgb="FF963057"/>
  </sheetPr>
  <dimension ref="B1:H42"/>
  <sheetViews>
    <sheetView showGridLines="0" workbookViewId="0">
      <pane ySplit="3" topLeftCell="A4" activePane="bottomLeft" state="frozen"/>
      <selection pane="bottomLeft" activeCell="F10" sqref="B1:F10"/>
    </sheetView>
  </sheetViews>
  <sheetFormatPr baseColWidth="10" defaultColWidth="9.1640625" defaultRowHeight="15" customHeight="1"/>
  <cols>
    <col min="1" max="1" width="3.83203125" customWidth="1"/>
    <col min="2" max="2" width="18.1640625" style="3" customWidth="1"/>
    <col min="3" max="3" width="56.5" customWidth="1"/>
    <col min="4" max="4" width="36.33203125" customWidth="1"/>
    <col min="5" max="5" width="30.5" customWidth="1"/>
    <col min="6" max="6" width="21.6640625" customWidth="1"/>
    <col min="7" max="7" width="9.6640625" customWidth="1"/>
    <col min="8" max="9" width="14.6640625" customWidth="1"/>
    <col min="10" max="10" width="74.33203125" customWidth="1"/>
    <col min="11" max="11" width="26" customWidth="1"/>
    <col min="12" max="12" width="35.5" customWidth="1"/>
    <col min="13" max="13" width="14.6640625" customWidth="1"/>
  </cols>
  <sheetData>
    <row r="1" spans="2:8"/>
    <row r="2" spans="2:8" s="66" customFormat="1" ht="15" customHeight="1">
      <c r="G2"/>
      <c r="H2" s="3"/>
    </row>
    <row r="3" spans="2:8" ht="15" customHeight="1">
      <c r="B3"/>
    </row>
    <row r="4" spans="2:8"/>
    <row r="5" spans="2:8"/>
    <row r="6" spans="2:8"/>
    <row r="7" spans="2:8"/>
    <row r="8" spans="2:8"/>
    <row r="9" spans="2:8"/>
    <row r="10" spans="2:8"/>
    <row r="11" spans="2:8">
      <c r="B11"/>
    </row>
    <row r="12" spans="2:8">
      <c r="B12"/>
    </row>
    <row r="13" spans="2:8">
      <c r="B13"/>
    </row>
    <row r="14" spans="2:8">
      <c r="B14"/>
    </row>
    <row r="15" spans="2:8">
      <c r="B15"/>
    </row>
    <row r="16" spans="2:8">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row r="39" spans="2:2"/>
    <row r="40" spans="2:2"/>
    <row r="41" spans="2:2"/>
    <row r="42" spans="2:2"/>
  </sheetData>
  <conditionalFormatting sqref="F11:G1048576 G1:G10">
    <cfRule type="aboveAverage" dxfId="21" priority="2" aboveAverage="0"/>
  </conditionalFormatting>
  <conditionalFormatting sqref="M9:M199">
    <cfRule type="aboveAverage" dxfId="20" priority="1" aboveAverage="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10622-2C4F-454D-B1BA-6C5042BE6EE7}">
  <sheetPr>
    <tabColor rgb="FF14800A"/>
  </sheetPr>
  <dimension ref="B1:BP278"/>
  <sheetViews>
    <sheetView showGridLines="0" workbookViewId="0">
      <pane ySplit="2" topLeftCell="A146" activePane="bottomLeft" state="frozen"/>
      <selection pane="bottomLeft" activeCell="D146" sqref="D146"/>
    </sheetView>
  </sheetViews>
  <sheetFormatPr baseColWidth="10" defaultColWidth="9.1640625" defaultRowHeight="15"/>
  <cols>
    <col min="1" max="1" width="3.83203125" customWidth="1"/>
    <col min="2" max="2" width="17.6640625" style="3" customWidth="1"/>
    <col min="3" max="3" width="63.1640625" customWidth="1"/>
    <col min="4" max="4" width="65.83203125" style="77" customWidth="1"/>
    <col min="5" max="5" width="45.1640625" customWidth="1"/>
    <col min="6" max="6" width="31" style="3" bestFit="1" customWidth="1"/>
    <col min="7" max="7" width="22.5" style="75" bestFit="1" customWidth="1"/>
    <col min="8" max="8" width="14.6640625" customWidth="1"/>
    <col min="9" max="9" width="62" bestFit="1" customWidth="1"/>
    <col min="10" max="11" width="16.83203125" style="3" customWidth="1"/>
    <col min="12" max="12" width="14.6640625" style="3" customWidth="1"/>
    <col min="13" max="13" width="14.6640625" customWidth="1"/>
    <col min="14" max="14" width="16" bestFit="1" customWidth="1"/>
    <col min="15" max="29" width="14.6640625" customWidth="1"/>
    <col min="30" max="30" width="42.1640625" bestFit="1" customWidth="1"/>
    <col min="31" max="31" width="32.1640625" bestFit="1" customWidth="1"/>
    <col min="32" max="32" width="42.5" bestFit="1" customWidth="1"/>
    <col min="33" max="33" width="36" bestFit="1" customWidth="1"/>
    <col min="34" max="34" width="35.5" bestFit="1" customWidth="1"/>
    <col min="35" max="35" width="36.5" bestFit="1" customWidth="1"/>
    <col min="36" max="36" width="37.6640625" bestFit="1" customWidth="1"/>
    <col min="37" max="37" width="37.5" bestFit="1" customWidth="1"/>
    <col min="38" max="38" width="35.5" bestFit="1" customWidth="1"/>
    <col min="39" max="39" width="37.6640625" bestFit="1" customWidth="1"/>
    <col min="40" max="40" width="41.83203125" bestFit="1" customWidth="1"/>
    <col min="41" max="41" width="37.6640625" bestFit="1" customWidth="1"/>
    <col min="42" max="42" width="37.5" bestFit="1" customWidth="1"/>
    <col min="43" max="44" width="40.6640625" bestFit="1" customWidth="1"/>
    <col min="45" max="45" width="40.5" bestFit="1" customWidth="1"/>
    <col min="46" max="46" width="41.83203125" bestFit="1" customWidth="1"/>
    <col min="47" max="47" width="52.5" bestFit="1" customWidth="1"/>
    <col min="48" max="48" width="52.33203125" bestFit="1" customWidth="1"/>
    <col min="49" max="49" width="42.83203125" bestFit="1" customWidth="1"/>
    <col min="50" max="51" width="41.83203125" bestFit="1" customWidth="1"/>
    <col min="52" max="52" width="41.6640625" bestFit="1" customWidth="1"/>
    <col min="53" max="53" width="41.5" bestFit="1" customWidth="1"/>
    <col min="54" max="54" width="42.33203125" bestFit="1" customWidth="1"/>
    <col min="55" max="56" width="42.1640625" bestFit="1" customWidth="1"/>
    <col min="57" max="57" width="59.1640625" bestFit="1" customWidth="1"/>
    <col min="58" max="58" width="58.83203125" bestFit="1" customWidth="1"/>
    <col min="59" max="59" width="43.1640625" bestFit="1" customWidth="1"/>
    <col min="60" max="60" width="49.83203125" bestFit="1" customWidth="1"/>
    <col min="61" max="61" width="49.6640625" bestFit="1" customWidth="1"/>
    <col min="62" max="62" width="50.6640625" bestFit="1" customWidth="1"/>
    <col min="63" max="63" width="58.5" bestFit="1" customWidth="1"/>
    <col min="64" max="64" width="58.33203125" bestFit="1" customWidth="1"/>
    <col min="65" max="65" width="52.5" bestFit="1" customWidth="1"/>
    <col min="66" max="66" width="52.6640625" bestFit="1" customWidth="1"/>
    <col min="67" max="67" width="10.83203125" bestFit="1" customWidth="1"/>
    <col min="68" max="68" width="12.5" bestFit="1" customWidth="1"/>
  </cols>
  <sheetData>
    <row r="1" spans="2:68">
      <c r="I1" s="3"/>
      <c r="M1" s="3"/>
      <c r="N1" s="75"/>
    </row>
    <row r="2" spans="2:68" s="66" customFormat="1" ht="15" customHeight="1">
      <c r="B2" s="68" t="s">
        <v>380</v>
      </c>
      <c r="C2" s="68" t="s">
        <v>384</v>
      </c>
      <c r="D2" s="76" t="s">
        <v>387</v>
      </c>
      <c r="E2" s="68" t="s">
        <v>951</v>
      </c>
      <c r="F2" s="68" t="s">
        <v>952</v>
      </c>
      <c r="G2" s="74" t="s">
        <v>953</v>
      </c>
      <c r="H2" s="3"/>
      <c r="I2" s="73" t="s">
        <v>953</v>
      </c>
      <c r="J2" s="68" t="s">
        <v>381</v>
      </c>
      <c r="K2" s="3"/>
      <c r="L2" s="3"/>
      <c r="M2"/>
      <c r="N2"/>
      <c r="O2"/>
      <c r="P2"/>
      <c r="Q2"/>
      <c r="R2"/>
      <c r="S2"/>
      <c r="T2"/>
      <c r="U2"/>
      <c r="V2"/>
      <c r="W2"/>
      <c r="X2"/>
      <c r="Y2"/>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spans="2:68">
      <c r="B3" s="67">
        <v>45734</v>
      </c>
      <c r="C3" t="s">
        <v>954</v>
      </c>
      <c r="D3" s="3" t="s">
        <v>955</v>
      </c>
      <c r="E3" t="s">
        <v>271</v>
      </c>
      <c r="F3" s="3" t="s">
        <v>271</v>
      </c>
      <c r="G3" s="75">
        <v>6.6</v>
      </c>
      <c r="I3" s="68" t="s">
        <v>387</v>
      </c>
      <c r="J3" s="3">
        <v>3</v>
      </c>
      <c r="K3" s="3">
        <v>4</v>
      </c>
      <c r="L3" s="3" t="s">
        <v>656</v>
      </c>
    </row>
    <row r="4" spans="2:68">
      <c r="C4" t="s">
        <v>956</v>
      </c>
      <c r="D4" s="3" t="s">
        <v>957</v>
      </c>
      <c r="E4" t="s">
        <v>271</v>
      </c>
      <c r="F4" s="3" t="s">
        <v>271</v>
      </c>
      <c r="G4" s="75">
        <v>184.26000000000002</v>
      </c>
      <c r="I4" t="s">
        <v>958</v>
      </c>
      <c r="J4" s="80">
        <v>0.16263267659346897</v>
      </c>
      <c r="K4" s="80">
        <v>0.24841507975908048</v>
      </c>
      <c r="L4" s="80">
        <v>0.41104775635254942</v>
      </c>
    </row>
    <row r="5" spans="2:68">
      <c r="C5" t="s">
        <v>959</v>
      </c>
      <c r="D5" s="3" t="s">
        <v>957</v>
      </c>
      <c r="E5" t="s">
        <v>271</v>
      </c>
      <c r="F5" s="3" t="s">
        <v>271</v>
      </c>
      <c r="G5" s="75">
        <v>77.111999999999995</v>
      </c>
      <c r="I5" t="s">
        <v>960</v>
      </c>
      <c r="J5" s="80">
        <v>9.3961316681206414E-2</v>
      </c>
      <c r="K5" s="80">
        <v>0.10283752918712862</v>
      </c>
      <c r="L5" s="80">
        <v>0.19679884586833507</v>
      </c>
    </row>
    <row r="6" spans="2:68">
      <c r="C6" t="s">
        <v>961</v>
      </c>
      <c r="D6" s="3" t="s">
        <v>957</v>
      </c>
      <c r="E6" t="s">
        <v>271</v>
      </c>
      <c r="F6" s="3" t="s">
        <v>271</v>
      </c>
      <c r="G6" s="75">
        <v>85</v>
      </c>
      <c r="I6" t="s">
        <v>962</v>
      </c>
      <c r="J6" s="80">
        <v>0</v>
      </c>
      <c r="K6" s="80">
        <v>9.2937216650537099E-2</v>
      </c>
      <c r="L6" s="80">
        <v>9.2937216650537099E-2</v>
      </c>
    </row>
    <row r="7" spans="2:68">
      <c r="B7" s="3" t="s">
        <v>963</v>
      </c>
      <c r="C7" s="3"/>
      <c r="D7" s="3"/>
      <c r="E7" s="3"/>
      <c r="G7" s="75">
        <v>352.97199999999998</v>
      </c>
      <c r="I7" t="s">
        <v>957</v>
      </c>
      <c r="J7" s="80">
        <v>5.0057142967178669E-2</v>
      </c>
      <c r="K7" s="80">
        <v>2.7188550461672668E-2</v>
      </c>
      <c r="L7" s="80">
        <v>7.7245693428851334E-2</v>
      </c>
    </row>
    <row r="8" spans="2:68">
      <c r="B8" s="67">
        <v>45735</v>
      </c>
      <c r="C8" t="s">
        <v>964</v>
      </c>
      <c r="D8" s="3" t="s">
        <v>965</v>
      </c>
      <c r="E8" t="s">
        <v>271</v>
      </c>
      <c r="F8" s="67">
        <v>45738</v>
      </c>
      <c r="G8" s="75">
        <v>264</v>
      </c>
      <c r="I8" t="s">
        <v>655</v>
      </c>
      <c r="J8" s="80">
        <v>0</v>
      </c>
      <c r="K8" s="80">
        <v>6.0309141563841318E-2</v>
      </c>
      <c r="L8" s="80">
        <v>6.0309141563841318E-2</v>
      </c>
    </row>
    <row r="9" spans="2:68">
      <c r="C9" t="s">
        <v>966</v>
      </c>
      <c r="D9" s="3" t="s">
        <v>960</v>
      </c>
      <c r="E9" t="s">
        <v>271</v>
      </c>
      <c r="F9" s="3" t="s">
        <v>271</v>
      </c>
      <c r="G9" s="75">
        <v>150</v>
      </c>
      <c r="I9" t="s">
        <v>967</v>
      </c>
      <c r="J9" s="80">
        <v>1.7189919878383361E-2</v>
      </c>
      <c r="K9" s="80">
        <v>3.594218943291707E-2</v>
      </c>
      <c r="L9" s="80">
        <v>5.3132109311300427E-2</v>
      </c>
    </row>
    <row r="10" spans="2:68">
      <c r="C10" t="s">
        <v>959</v>
      </c>
      <c r="D10" s="3" t="s">
        <v>957</v>
      </c>
      <c r="E10" t="s">
        <v>271</v>
      </c>
      <c r="F10" s="3" t="s">
        <v>271</v>
      </c>
      <c r="G10" s="75">
        <v>58.968000000000004</v>
      </c>
      <c r="I10" t="s">
        <v>968</v>
      </c>
      <c r="J10" s="80">
        <v>4.1660189278718826E-2</v>
      </c>
      <c r="K10" s="80">
        <v>0</v>
      </c>
      <c r="L10" s="80">
        <v>4.1660189278718826E-2</v>
      </c>
    </row>
    <row r="11" spans="2:68">
      <c r="C11" t="s">
        <v>969</v>
      </c>
      <c r="D11" s="3" t="s">
        <v>965</v>
      </c>
      <c r="E11" t="s">
        <v>271</v>
      </c>
      <c r="F11" s="3" t="s">
        <v>271</v>
      </c>
      <c r="G11" s="75">
        <v>455</v>
      </c>
      <c r="I11" t="s">
        <v>970</v>
      </c>
      <c r="J11" s="80">
        <v>7.4795778049027801E-3</v>
      </c>
      <c r="K11" s="80">
        <v>2.3800743869527255E-2</v>
      </c>
      <c r="L11" s="80">
        <v>3.1280321674430039E-2</v>
      </c>
    </row>
    <row r="12" spans="2:68">
      <c r="C12" t="s">
        <v>971</v>
      </c>
      <c r="D12" s="3" t="s">
        <v>957</v>
      </c>
      <c r="E12" t="s">
        <v>271</v>
      </c>
      <c r="F12" s="3" t="s">
        <v>271</v>
      </c>
      <c r="G12" s="75">
        <v>211.20000000000002</v>
      </c>
      <c r="I12" t="s">
        <v>972</v>
      </c>
      <c r="J12" s="80">
        <v>0</v>
      </c>
      <c r="K12" s="80">
        <v>1.4094104923982564E-2</v>
      </c>
      <c r="L12" s="80">
        <v>1.4094104923982564E-2</v>
      </c>
    </row>
    <row r="13" spans="2:68">
      <c r="C13" t="s">
        <v>961</v>
      </c>
      <c r="D13" s="3" t="s">
        <v>960</v>
      </c>
      <c r="E13" t="s">
        <v>271</v>
      </c>
      <c r="F13" s="3" t="s">
        <v>271</v>
      </c>
      <c r="G13" s="75">
        <v>10</v>
      </c>
      <c r="I13" t="s">
        <v>965</v>
      </c>
      <c r="J13" s="80">
        <v>1.3312744929510593E-2</v>
      </c>
      <c r="K13" s="80">
        <v>0</v>
      </c>
      <c r="L13" s="80">
        <v>1.3312744929510593E-2</v>
      </c>
    </row>
    <row r="14" spans="2:68">
      <c r="B14" s="3" t="s">
        <v>973</v>
      </c>
      <c r="C14" s="3"/>
      <c r="D14" s="3"/>
      <c r="E14" s="3"/>
      <c r="G14" s="75">
        <v>1149.1680000000001</v>
      </c>
      <c r="I14" t="s">
        <v>974</v>
      </c>
      <c r="J14" s="80">
        <v>0</v>
      </c>
      <c r="K14" s="80">
        <v>5.0447711870576575E-3</v>
      </c>
      <c r="L14" s="80">
        <v>5.0447711870576575E-3</v>
      </c>
    </row>
    <row r="15" spans="2:68">
      <c r="B15" s="67">
        <v>45736</v>
      </c>
      <c r="C15" t="s">
        <v>975</v>
      </c>
      <c r="D15" s="3" t="s">
        <v>960</v>
      </c>
      <c r="E15" t="s">
        <v>271</v>
      </c>
      <c r="F15" s="3" t="s">
        <v>271</v>
      </c>
      <c r="G15" s="75">
        <v>973.43999999999994</v>
      </c>
      <c r="I15" t="s">
        <v>955</v>
      </c>
      <c r="J15" s="80">
        <v>1.6552981873410944E-3</v>
      </c>
      <c r="K15" s="80">
        <v>0</v>
      </c>
      <c r="L15" s="80">
        <v>1.6552981873410944E-3</v>
      </c>
    </row>
    <row r="16" spans="2:68">
      <c r="C16" t="s">
        <v>976</v>
      </c>
      <c r="D16" s="3" t="s">
        <v>957</v>
      </c>
      <c r="E16" t="s">
        <v>271</v>
      </c>
      <c r="F16" s="67">
        <v>45738</v>
      </c>
      <c r="G16" s="75">
        <v>20.700000000000003</v>
      </c>
      <c r="I16" t="s">
        <v>977</v>
      </c>
      <c r="J16" s="80">
        <v>1.2798010146422424E-3</v>
      </c>
      <c r="K16" s="80">
        <v>0</v>
      </c>
      <c r="L16" s="80">
        <v>1.2798010146422424E-3</v>
      </c>
    </row>
    <row r="17" spans="2:12">
      <c r="C17" t="s">
        <v>978</v>
      </c>
      <c r="D17" s="3" t="s">
        <v>958</v>
      </c>
      <c r="E17" t="s">
        <v>271</v>
      </c>
      <c r="F17" s="3" t="s">
        <v>271</v>
      </c>
      <c r="G17" s="75">
        <v>2750</v>
      </c>
      <c r="I17" t="s">
        <v>979</v>
      </c>
      <c r="J17" s="80">
        <v>0</v>
      </c>
      <c r="K17" s="80">
        <v>1.4664386626109027E-4</v>
      </c>
      <c r="L17" s="80">
        <v>1.4664386626109027E-4</v>
      </c>
    </row>
    <row r="18" spans="2:12">
      <c r="C18" t="s">
        <v>959</v>
      </c>
      <c r="D18" s="3" t="s">
        <v>957</v>
      </c>
      <c r="E18" t="s">
        <v>271</v>
      </c>
      <c r="F18" s="3" t="s">
        <v>271</v>
      </c>
      <c r="G18" s="75">
        <v>140.61599999999999</v>
      </c>
      <c r="I18" t="s">
        <v>980</v>
      </c>
      <c r="J18" s="80">
        <v>5.536176264149746E-5</v>
      </c>
      <c r="K18" s="80">
        <v>0</v>
      </c>
      <c r="L18" s="80">
        <v>5.536176264149746E-5</v>
      </c>
    </row>
    <row r="19" spans="2:12">
      <c r="C19" t="s">
        <v>961</v>
      </c>
      <c r="D19" s="3" t="s">
        <v>957</v>
      </c>
      <c r="E19" t="s">
        <v>271</v>
      </c>
      <c r="F19" s="67">
        <v>45738</v>
      </c>
      <c r="G19" s="75">
        <v>170</v>
      </c>
      <c r="I19" t="s">
        <v>656</v>
      </c>
      <c r="J19" s="80">
        <v>0.38928402909799442</v>
      </c>
      <c r="K19" s="80">
        <v>0.6107159709020058</v>
      </c>
      <c r="L19" s="80">
        <v>1</v>
      </c>
    </row>
    <row r="20" spans="2:12">
      <c r="C20" t="s">
        <v>981</v>
      </c>
      <c r="D20" s="3" t="s">
        <v>977</v>
      </c>
      <c r="E20" t="s">
        <v>271</v>
      </c>
      <c r="F20" s="3" t="s">
        <v>271</v>
      </c>
      <c r="G20" s="75">
        <v>69.12</v>
      </c>
    </row>
    <row r="21" spans="2:12">
      <c r="B21" s="3" t="s">
        <v>982</v>
      </c>
      <c r="C21" s="3"/>
      <c r="D21" s="3"/>
      <c r="E21" s="3"/>
      <c r="G21" s="75">
        <v>4123.8760000000002</v>
      </c>
    </row>
    <row r="22" spans="2:12">
      <c r="B22" s="67">
        <v>45737</v>
      </c>
      <c r="C22" t="s">
        <v>983</v>
      </c>
      <c r="D22" s="3" t="s">
        <v>958</v>
      </c>
      <c r="E22" t="s">
        <v>271</v>
      </c>
      <c r="F22" s="3" t="s">
        <v>271</v>
      </c>
      <c r="G22" s="75">
        <v>368.52000000000004</v>
      </c>
    </row>
    <row r="23" spans="2:12">
      <c r="C23" t="s">
        <v>956</v>
      </c>
      <c r="D23" s="3" t="s">
        <v>957</v>
      </c>
      <c r="E23" t="s">
        <v>271</v>
      </c>
      <c r="F23" s="67">
        <v>45741</v>
      </c>
      <c r="G23" s="75">
        <v>398.40000000000003</v>
      </c>
    </row>
    <row r="24" spans="2:12">
      <c r="C24" t="s">
        <v>984</v>
      </c>
      <c r="D24" s="3" t="s">
        <v>957</v>
      </c>
      <c r="E24" t="s">
        <v>271</v>
      </c>
      <c r="F24" s="3" t="s">
        <v>271</v>
      </c>
      <c r="G24" s="75">
        <v>422.40000000000003</v>
      </c>
    </row>
    <row r="25" spans="2:12">
      <c r="C25" t="s">
        <v>976</v>
      </c>
      <c r="D25" s="3" t="s">
        <v>960</v>
      </c>
      <c r="E25" t="s">
        <v>271</v>
      </c>
      <c r="F25" s="3" t="s">
        <v>271</v>
      </c>
      <c r="G25" s="75">
        <v>418.14</v>
      </c>
    </row>
    <row r="26" spans="2:12">
      <c r="C26" t="s">
        <v>985</v>
      </c>
      <c r="D26" s="3" t="s">
        <v>968</v>
      </c>
      <c r="E26" t="s">
        <v>271</v>
      </c>
      <c r="F26" s="3" t="s">
        <v>271</v>
      </c>
      <c r="G26" s="75">
        <v>2250</v>
      </c>
    </row>
    <row r="27" spans="2:12">
      <c r="C27" t="s">
        <v>959</v>
      </c>
      <c r="D27" s="3" t="s">
        <v>957</v>
      </c>
      <c r="E27" t="s">
        <v>271</v>
      </c>
      <c r="F27" s="3" t="s">
        <v>271</v>
      </c>
      <c r="G27" s="75">
        <v>190.68</v>
      </c>
    </row>
    <row r="28" spans="2:12">
      <c r="C28" t="s">
        <v>969</v>
      </c>
      <c r="D28" s="3" t="s">
        <v>958</v>
      </c>
      <c r="E28" t="s">
        <v>271</v>
      </c>
      <c r="F28" s="3" t="s">
        <v>271</v>
      </c>
      <c r="G28" s="75">
        <v>488.04</v>
      </c>
    </row>
    <row r="29" spans="2:12">
      <c r="C29" t="s">
        <v>961</v>
      </c>
      <c r="D29" s="3" t="s">
        <v>958</v>
      </c>
      <c r="E29" t="s">
        <v>271</v>
      </c>
      <c r="F29" s="3" t="s">
        <v>271</v>
      </c>
      <c r="G29" s="75">
        <v>49.699999999999996</v>
      </c>
    </row>
    <row r="30" spans="2:12">
      <c r="C30" t="s">
        <v>986</v>
      </c>
      <c r="D30" s="3" t="s">
        <v>958</v>
      </c>
      <c r="E30" t="s">
        <v>271</v>
      </c>
      <c r="F30" s="3" t="s">
        <v>271</v>
      </c>
      <c r="G30" s="75">
        <v>711.62</v>
      </c>
    </row>
    <row r="31" spans="2:12">
      <c r="C31" t="s">
        <v>987</v>
      </c>
      <c r="D31" s="3" t="s">
        <v>958</v>
      </c>
      <c r="E31" t="s">
        <v>271</v>
      </c>
      <c r="F31" s="3" t="s">
        <v>271</v>
      </c>
      <c r="G31" s="75">
        <v>0</v>
      </c>
    </row>
    <row r="32" spans="2:12">
      <c r="C32" t="s">
        <v>988</v>
      </c>
      <c r="D32" s="3" t="s">
        <v>958</v>
      </c>
      <c r="E32" t="s">
        <v>271</v>
      </c>
      <c r="F32" s="3" t="s">
        <v>271</v>
      </c>
      <c r="G32" s="75">
        <v>2599.5600000000004</v>
      </c>
    </row>
    <row r="33" spans="2:7">
      <c r="C33" t="s">
        <v>989</v>
      </c>
      <c r="D33" s="3" t="s">
        <v>958</v>
      </c>
      <c r="E33" t="s">
        <v>271</v>
      </c>
      <c r="F33" s="3" t="s">
        <v>271</v>
      </c>
      <c r="G33" s="75">
        <v>1015.9200000000001</v>
      </c>
    </row>
    <row r="34" spans="2:7">
      <c r="C34" t="s">
        <v>990</v>
      </c>
      <c r="D34" s="3" t="s">
        <v>958</v>
      </c>
      <c r="E34" t="s">
        <v>271</v>
      </c>
      <c r="F34" s="3" t="s">
        <v>271</v>
      </c>
      <c r="G34" s="75">
        <v>800.17</v>
      </c>
    </row>
    <row r="35" spans="2:7">
      <c r="B35" s="3" t="s">
        <v>991</v>
      </c>
      <c r="C35" s="3"/>
      <c r="D35" s="3"/>
      <c r="E35" s="3"/>
      <c r="G35" s="75">
        <v>9713.15</v>
      </c>
    </row>
    <row r="36" spans="2:7">
      <c r="B36" s="67">
        <v>45741</v>
      </c>
      <c r="C36" t="s">
        <v>992</v>
      </c>
      <c r="D36" s="3" t="s">
        <v>955</v>
      </c>
      <c r="E36" t="s">
        <v>271</v>
      </c>
      <c r="F36" s="3" t="s">
        <v>271</v>
      </c>
      <c r="G36" s="75">
        <v>82.8</v>
      </c>
    </row>
    <row r="37" spans="2:7">
      <c r="C37" t="s">
        <v>976</v>
      </c>
      <c r="D37" s="3" t="s">
        <v>957</v>
      </c>
      <c r="E37" t="s">
        <v>271</v>
      </c>
      <c r="F37" s="3" t="s">
        <v>271</v>
      </c>
      <c r="G37" s="75">
        <v>331.2</v>
      </c>
    </row>
    <row r="38" spans="2:7">
      <c r="C38" t="s">
        <v>959</v>
      </c>
      <c r="D38" s="3" t="s">
        <v>960</v>
      </c>
      <c r="E38" t="s">
        <v>271</v>
      </c>
      <c r="F38" s="3" t="s">
        <v>271</v>
      </c>
      <c r="G38" s="75">
        <v>63.56</v>
      </c>
    </row>
    <row r="39" spans="2:7">
      <c r="B39" s="3" t="s">
        <v>993</v>
      </c>
      <c r="C39" s="3"/>
      <c r="D39" s="3"/>
      <c r="E39" s="3"/>
      <c r="G39" s="75">
        <v>477.56</v>
      </c>
    </row>
    <row r="40" spans="2:7">
      <c r="B40" s="67">
        <v>45742</v>
      </c>
      <c r="C40" t="s">
        <v>994</v>
      </c>
      <c r="D40" s="3" t="s">
        <v>960</v>
      </c>
      <c r="E40" t="s">
        <v>271</v>
      </c>
      <c r="F40" s="3" t="s">
        <v>271</v>
      </c>
      <c r="G40" s="75">
        <v>408.36</v>
      </c>
    </row>
    <row r="41" spans="2:7">
      <c r="C41" t="s">
        <v>995</v>
      </c>
      <c r="D41" s="3" t="s">
        <v>960</v>
      </c>
      <c r="E41" t="s">
        <v>271</v>
      </c>
      <c r="F41" s="3" t="s">
        <v>271</v>
      </c>
      <c r="G41" s="75">
        <v>506.88</v>
      </c>
    </row>
    <row r="42" spans="2:7">
      <c r="C42" t="s">
        <v>976</v>
      </c>
      <c r="D42" t="s">
        <v>970</v>
      </c>
      <c r="E42" t="s">
        <v>996</v>
      </c>
      <c r="F42" s="67">
        <v>45745</v>
      </c>
      <c r="G42" s="75">
        <v>223.55999999999997</v>
      </c>
    </row>
    <row r="43" spans="2:7">
      <c r="C43" t="s">
        <v>997</v>
      </c>
      <c r="D43" s="3" t="s">
        <v>960</v>
      </c>
      <c r="E43" t="s">
        <v>271</v>
      </c>
      <c r="F43" s="3" t="s">
        <v>271</v>
      </c>
      <c r="G43" s="75">
        <v>360</v>
      </c>
    </row>
    <row r="44" spans="2:7">
      <c r="C44" t="s">
        <v>998</v>
      </c>
      <c r="D44" s="3" t="s">
        <v>980</v>
      </c>
      <c r="E44" t="s">
        <v>271</v>
      </c>
      <c r="F44" s="3" t="s">
        <v>271</v>
      </c>
      <c r="G44" s="75">
        <v>2.99</v>
      </c>
    </row>
    <row r="45" spans="2:7">
      <c r="B45" s="3" t="s">
        <v>999</v>
      </c>
      <c r="C45" s="3"/>
      <c r="D45" s="3"/>
      <c r="E45" s="3"/>
      <c r="G45" s="75">
        <v>1501.79</v>
      </c>
    </row>
    <row r="46" spans="2:7">
      <c r="B46" s="67">
        <v>45743</v>
      </c>
      <c r="C46" t="s">
        <v>1000</v>
      </c>
      <c r="D46" s="3" t="s">
        <v>967</v>
      </c>
      <c r="E46" t="s">
        <v>271</v>
      </c>
      <c r="F46" s="67">
        <v>45745</v>
      </c>
      <c r="G46" s="75">
        <v>22</v>
      </c>
    </row>
    <row r="47" spans="2:7">
      <c r="C47" t="s">
        <v>1001</v>
      </c>
      <c r="D47" s="3" t="s">
        <v>967</v>
      </c>
      <c r="E47" t="s">
        <v>271</v>
      </c>
      <c r="F47" s="67">
        <v>45745</v>
      </c>
      <c r="G47" s="75">
        <v>906.40000000000009</v>
      </c>
    </row>
    <row r="48" spans="2:7">
      <c r="B48" s="3" t="s">
        <v>1002</v>
      </c>
      <c r="C48" s="3"/>
      <c r="D48" s="3"/>
      <c r="E48" s="3"/>
      <c r="G48" s="75">
        <v>928.40000000000009</v>
      </c>
    </row>
    <row r="49" spans="2:7">
      <c r="B49" s="67">
        <v>45744</v>
      </c>
      <c r="C49" t="s">
        <v>1003</v>
      </c>
      <c r="D49" s="3" t="s">
        <v>957</v>
      </c>
      <c r="E49" t="s">
        <v>271</v>
      </c>
      <c r="F49" s="3" t="s">
        <v>271</v>
      </c>
      <c r="G49" s="75">
        <v>4.97</v>
      </c>
    </row>
    <row r="50" spans="2:7">
      <c r="C50" t="s">
        <v>1001</v>
      </c>
      <c r="D50" t="s">
        <v>970</v>
      </c>
      <c r="E50" t="s">
        <v>1004</v>
      </c>
      <c r="F50" s="3" t="s">
        <v>271</v>
      </c>
      <c r="G50" s="75">
        <v>180.4</v>
      </c>
    </row>
    <row r="51" spans="2:7">
      <c r="C51" t="s">
        <v>657</v>
      </c>
      <c r="D51" s="3" t="s">
        <v>957</v>
      </c>
      <c r="E51" t="s">
        <v>271</v>
      </c>
      <c r="F51" s="67">
        <v>45744</v>
      </c>
      <c r="G51" s="75">
        <v>408</v>
      </c>
    </row>
    <row r="52" spans="2:7">
      <c r="B52" s="3" t="s">
        <v>1005</v>
      </c>
      <c r="C52" s="3"/>
      <c r="D52" s="3"/>
      <c r="E52" s="3"/>
      <c r="G52" s="75">
        <v>593.37</v>
      </c>
    </row>
    <row r="53" spans="2:7">
      <c r="B53" s="67">
        <v>45747</v>
      </c>
      <c r="C53" t="s">
        <v>956</v>
      </c>
      <c r="D53" s="3" t="s">
        <v>960</v>
      </c>
      <c r="E53" t="s">
        <v>271</v>
      </c>
      <c r="F53" s="67">
        <v>45748</v>
      </c>
      <c r="G53" s="75">
        <v>229.08</v>
      </c>
    </row>
    <row r="54" spans="2:7">
      <c r="C54" t="s">
        <v>1006</v>
      </c>
      <c r="D54" s="3" t="s">
        <v>960</v>
      </c>
      <c r="E54" t="s">
        <v>271</v>
      </c>
      <c r="F54" s="67">
        <v>45748</v>
      </c>
      <c r="G54" s="75">
        <v>55.44</v>
      </c>
    </row>
    <row r="55" spans="2:7">
      <c r="C55" t="s">
        <v>1007</v>
      </c>
      <c r="D55" s="3" t="s">
        <v>960</v>
      </c>
      <c r="E55" t="s">
        <v>271</v>
      </c>
      <c r="F55" s="67">
        <v>45748</v>
      </c>
      <c r="G55" s="75">
        <v>178.74</v>
      </c>
    </row>
    <row r="56" spans="2:7">
      <c r="C56" t="s">
        <v>1008</v>
      </c>
      <c r="D56" s="3" t="s">
        <v>960</v>
      </c>
      <c r="E56" t="s">
        <v>271</v>
      </c>
      <c r="F56" s="3" t="s">
        <v>271</v>
      </c>
      <c r="G56" s="75">
        <v>1481.06</v>
      </c>
    </row>
    <row r="57" spans="2:7">
      <c r="C57" t="s">
        <v>997</v>
      </c>
      <c r="D57" s="3" t="s">
        <v>960</v>
      </c>
      <c r="E57" t="s">
        <v>271</v>
      </c>
      <c r="F57" s="67">
        <v>45747</v>
      </c>
      <c r="G57" s="75">
        <v>240</v>
      </c>
    </row>
    <row r="58" spans="2:7">
      <c r="B58" s="3" t="s">
        <v>1009</v>
      </c>
      <c r="C58" s="3"/>
      <c r="D58" s="3"/>
      <c r="E58" s="3"/>
      <c r="G58" s="75">
        <v>2184.3199999999997</v>
      </c>
    </row>
    <row r="59" spans="2:7">
      <c r="B59" s="67">
        <v>45751</v>
      </c>
      <c r="C59" t="s">
        <v>981</v>
      </c>
      <c r="D59" s="3" t="s">
        <v>957</v>
      </c>
      <c r="E59" t="s">
        <v>271</v>
      </c>
      <c r="F59" s="3" t="s">
        <v>271</v>
      </c>
      <c r="G59" s="75">
        <v>11.52</v>
      </c>
    </row>
    <row r="60" spans="2:7">
      <c r="C60" t="s">
        <v>1010</v>
      </c>
      <c r="D60" t="s">
        <v>970</v>
      </c>
      <c r="E60" t="s">
        <v>1011</v>
      </c>
      <c r="F60" s="3" t="s">
        <v>271</v>
      </c>
      <c r="G60" s="75">
        <v>69</v>
      </c>
    </row>
    <row r="61" spans="2:7">
      <c r="B61" s="3" t="s">
        <v>1012</v>
      </c>
      <c r="C61" s="3"/>
      <c r="D61" s="3"/>
      <c r="E61" s="3"/>
      <c r="G61" s="75">
        <v>80.52</v>
      </c>
    </row>
    <row r="62" spans="2:7">
      <c r="B62" s="67">
        <v>45754</v>
      </c>
      <c r="C62" t="s">
        <v>1001</v>
      </c>
      <c r="D62" s="3" t="s">
        <v>972</v>
      </c>
      <c r="E62" t="s">
        <v>271</v>
      </c>
      <c r="F62" s="67">
        <v>45755</v>
      </c>
      <c r="G62" s="75">
        <v>761.2</v>
      </c>
    </row>
    <row r="63" spans="2:7">
      <c r="B63" s="3" t="s">
        <v>1013</v>
      </c>
      <c r="C63" s="3"/>
      <c r="D63" s="3"/>
      <c r="E63" s="3"/>
      <c r="G63" s="75">
        <v>761.2</v>
      </c>
    </row>
    <row r="64" spans="2:7">
      <c r="B64" s="67">
        <v>45755</v>
      </c>
      <c r="C64" t="s">
        <v>1014</v>
      </c>
      <c r="D64" s="3" t="s">
        <v>957</v>
      </c>
      <c r="E64" t="s">
        <v>271</v>
      </c>
      <c r="F64" s="3" t="s">
        <v>271</v>
      </c>
      <c r="G64" s="75">
        <v>49.800000000000004</v>
      </c>
    </row>
    <row r="65" spans="2:7">
      <c r="C65" t="s">
        <v>657</v>
      </c>
      <c r="D65" s="3" t="s">
        <v>957</v>
      </c>
      <c r="E65" t="s">
        <v>271</v>
      </c>
      <c r="F65" s="3" t="s">
        <v>271</v>
      </c>
      <c r="G65" s="75">
        <v>100.8</v>
      </c>
    </row>
    <row r="66" spans="2:7">
      <c r="C66" s="82" t="s">
        <v>981</v>
      </c>
      <c r="D66" s="3" t="s">
        <v>957</v>
      </c>
      <c r="E66" t="s">
        <v>271</v>
      </c>
      <c r="F66" s="3" t="s">
        <v>271</v>
      </c>
      <c r="G66" s="75">
        <v>34.56</v>
      </c>
    </row>
    <row r="67" spans="2:7">
      <c r="B67" s="3" t="s">
        <v>1015</v>
      </c>
      <c r="C67" s="3"/>
      <c r="D67" s="3"/>
      <c r="E67" s="3"/>
      <c r="G67" s="75">
        <v>185.16</v>
      </c>
    </row>
    <row r="68" spans="2:7">
      <c r="B68" s="67">
        <v>45756</v>
      </c>
      <c r="C68" t="s">
        <v>1016</v>
      </c>
      <c r="D68" s="3" t="s">
        <v>958</v>
      </c>
      <c r="E68" t="s">
        <v>271</v>
      </c>
      <c r="F68" s="3" t="s">
        <v>271</v>
      </c>
      <c r="G68" s="75">
        <v>612.54000000000008</v>
      </c>
    </row>
    <row r="69" spans="2:7">
      <c r="C69" t="s">
        <v>1006</v>
      </c>
      <c r="D69" s="3" t="s">
        <v>958</v>
      </c>
      <c r="E69" t="s">
        <v>271</v>
      </c>
      <c r="F69" s="3" t="s">
        <v>271</v>
      </c>
      <c r="G69" s="75">
        <v>15.84</v>
      </c>
    </row>
    <row r="70" spans="2:7">
      <c r="B70" s="3" t="s">
        <v>1017</v>
      </c>
      <c r="C70" s="3"/>
      <c r="D70" s="3"/>
      <c r="E70" s="3"/>
      <c r="G70" s="75">
        <v>628.38000000000011</v>
      </c>
    </row>
    <row r="71" spans="2:7">
      <c r="B71" s="67">
        <v>45757</v>
      </c>
      <c r="C71" t="s">
        <v>1018</v>
      </c>
      <c r="D71" s="3" t="s">
        <v>958</v>
      </c>
      <c r="E71" t="s">
        <v>271</v>
      </c>
      <c r="F71" s="3" t="s">
        <v>271</v>
      </c>
      <c r="G71" s="75">
        <v>221.76</v>
      </c>
    </row>
    <row r="72" spans="2:7">
      <c r="C72" t="s">
        <v>1019</v>
      </c>
      <c r="D72" s="3" t="s">
        <v>958</v>
      </c>
      <c r="E72" t="s">
        <v>271</v>
      </c>
      <c r="F72" s="3" t="s">
        <v>271</v>
      </c>
      <c r="G72" s="75">
        <v>74.800000000000011</v>
      </c>
    </row>
    <row r="73" spans="2:7">
      <c r="C73" t="s">
        <v>1020</v>
      </c>
      <c r="D73" s="3" t="s">
        <v>958</v>
      </c>
      <c r="E73" t="s">
        <v>271</v>
      </c>
      <c r="F73" s="3" t="s">
        <v>271</v>
      </c>
      <c r="G73" s="75">
        <v>411.84</v>
      </c>
    </row>
    <row r="74" spans="2:7">
      <c r="C74" t="s">
        <v>956</v>
      </c>
      <c r="D74" s="3" t="s">
        <v>958</v>
      </c>
      <c r="E74" t="s">
        <v>271</v>
      </c>
      <c r="F74" s="3" t="s">
        <v>271</v>
      </c>
      <c r="G74" s="75">
        <v>94.62</v>
      </c>
    </row>
    <row r="75" spans="2:7">
      <c r="C75" t="s">
        <v>1006</v>
      </c>
      <c r="D75" s="3" t="s">
        <v>958</v>
      </c>
      <c r="E75" t="s">
        <v>271</v>
      </c>
      <c r="F75" s="3" t="s">
        <v>271</v>
      </c>
      <c r="G75" s="75">
        <v>19.8</v>
      </c>
    </row>
    <row r="76" spans="2:7">
      <c r="C76" t="s">
        <v>1021</v>
      </c>
      <c r="D76" s="3" t="s">
        <v>958</v>
      </c>
      <c r="E76" t="s">
        <v>271</v>
      </c>
      <c r="F76" s="3" t="s">
        <v>271</v>
      </c>
      <c r="G76" s="75">
        <v>35.200000000000003</v>
      </c>
    </row>
    <row r="77" spans="2:7">
      <c r="C77" t="s">
        <v>1022</v>
      </c>
      <c r="D77" s="3" t="s">
        <v>958</v>
      </c>
      <c r="E77" t="s">
        <v>271</v>
      </c>
      <c r="F77" s="3" t="s">
        <v>271</v>
      </c>
      <c r="G77" s="75">
        <v>818.40000000000009</v>
      </c>
    </row>
    <row r="78" spans="2:7">
      <c r="C78" t="s">
        <v>971</v>
      </c>
      <c r="D78" s="3" t="s">
        <v>958</v>
      </c>
      <c r="E78" t="s">
        <v>271</v>
      </c>
      <c r="F78" s="3" t="s">
        <v>271</v>
      </c>
      <c r="G78" s="75">
        <v>184.8</v>
      </c>
    </row>
    <row r="79" spans="2:7">
      <c r="B79" s="3" t="s">
        <v>1023</v>
      </c>
      <c r="C79" s="3"/>
      <c r="D79" s="3"/>
      <c r="E79" s="3"/>
      <c r="G79" s="75">
        <v>1861.22</v>
      </c>
    </row>
    <row r="80" spans="2:7">
      <c r="B80" s="3" t="s">
        <v>655</v>
      </c>
      <c r="C80" t="s">
        <v>1024</v>
      </c>
      <c r="D80" t="s">
        <v>655</v>
      </c>
      <c r="E80" t="s">
        <v>271</v>
      </c>
      <c r="F80" t="s">
        <v>271</v>
      </c>
      <c r="G80" s="75">
        <v>0</v>
      </c>
    </row>
    <row r="81" spans="2:14">
      <c r="C81" t="s">
        <v>655</v>
      </c>
      <c r="D81" t="s">
        <v>655</v>
      </c>
      <c r="E81" t="s">
        <v>655</v>
      </c>
      <c r="F81" t="s">
        <v>655</v>
      </c>
      <c r="G81" s="75">
        <v>0</v>
      </c>
      <c r="I81" s="3"/>
      <c r="M81" s="3"/>
    </row>
    <row r="82" spans="2:14">
      <c r="B82" t="s">
        <v>1025</v>
      </c>
      <c r="D82"/>
      <c r="F82"/>
      <c r="G82" s="75">
        <v>0</v>
      </c>
      <c r="I82" s="3"/>
      <c r="M82" s="3"/>
    </row>
    <row r="83" spans="2:14">
      <c r="B83" s="67">
        <v>45758</v>
      </c>
      <c r="C83" t="s">
        <v>1019</v>
      </c>
      <c r="D83" t="s">
        <v>958</v>
      </c>
      <c r="E83" t="s">
        <v>271</v>
      </c>
      <c r="F83" t="s">
        <v>271</v>
      </c>
      <c r="G83" s="75">
        <v>127.60000000000001</v>
      </c>
      <c r="I83" s="3"/>
      <c r="M83" s="3"/>
    </row>
    <row r="84" spans="2:14">
      <c r="C84" t="s">
        <v>956</v>
      </c>
      <c r="D84" t="s">
        <v>974</v>
      </c>
      <c r="E84" t="s">
        <v>271</v>
      </c>
      <c r="F84" t="s">
        <v>271</v>
      </c>
      <c r="G84" s="75">
        <v>34.86</v>
      </c>
      <c r="I84" s="3"/>
      <c r="M84" s="3"/>
      <c r="N84" s="75"/>
    </row>
    <row r="85" spans="2:14">
      <c r="C85" t="s">
        <v>1022</v>
      </c>
      <c r="D85" t="s">
        <v>957</v>
      </c>
      <c r="E85" t="s">
        <v>271</v>
      </c>
      <c r="F85" t="s">
        <v>271</v>
      </c>
      <c r="G85" s="75">
        <v>800.80000000000007</v>
      </c>
      <c r="I85" s="3"/>
      <c r="M85" s="3"/>
      <c r="N85" s="75"/>
    </row>
    <row r="86" spans="2:14">
      <c r="C86" t="s">
        <v>1026</v>
      </c>
      <c r="D86" t="s">
        <v>958</v>
      </c>
      <c r="E86" t="s">
        <v>271</v>
      </c>
      <c r="F86" t="s">
        <v>271</v>
      </c>
      <c r="G86" s="75">
        <v>44</v>
      </c>
      <c r="I86" s="3"/>
      <c r="M86" s="3"/>
      <c r="N86" s="75"/>
    </row>
    <row r="87" spans="2:14">
      <c r="D87" t="s">
        <v>655</v>
      </c>
      <c r="E87" t="s">
        <v>1027</v>
      </c>
      <c r="F87" t="s">
        <v>271</v>
      </c>
      <c r="G87" s="75">
        <v>154</v>
      </c>
      <c r="I87" s="3"/>
      <c r="M87" s="3"/>
      <c r="N87" s="75"/>
    </row>
    <row r="88" spans="2:14">
      <c r="C88" t="s">
        <v>1028</v>
      </c>
      <c r="D88" t="s">
        <v>974</v>
      </c>
      <c r="E88" t="s">
        <v>271</v>
      </c>
      <c r="F88" t="s">
        <v>271</v>
      </c>
      <c r="G88" s="75">
        <v>237.6</v>
      </c>
      <c r="I88" s="3"/>
      <c r="M88" s="3"/>
      <c r="N88" s="75"/>
    </row>
    <row r="89" spans="2:14">
      <c r="C89" t="s">
        <v>1029</v>
      </c>
      <c r="D89" t="s">
        <v>655</v>
      </c>
      <c r="E89" t="s">
        <v>1030</v>
      </c>
      <c r="F89" t="s">
        <v>271</v>
      </c>
      <c r="G89" s="75">
        <v>11.879999999999999</v>
      </c>
      <c r="I89" s="3"/>
      <c r="M89" s="3"/>
      <c r="N89" s="75"/>
    </row>
    <row r="90" spans="2:14">
      <c r="B90" s="3" t="s">
        <v>1031</v>
      </c>
      <c r="C90" s="3"/>
      <c r="D90" s="3"/>
      <c r="E90" s="3"/>
      <c r="G90" s="75">
        <v>1410.7400000000002</v>
      </c>
      <c r="I90" s="3"/>
      <c r="M90" s="3"/>
      <c r="N90" s="75"/>
    </row>
    <row r="91" spans="2:14">
      <c r="B91" s="67">
        <v>45761</v>
      </c>
      <c r="C91" t="s">
        <v>988</v>
      </c>
      <c r="D91" t="s">
        <v>958</v>
      </c>
      <c r="E91" t="s">
        <v>271</v>
      </c>
      <c r="F91" t="s">
        <v>271</v>
      </c>
      <c r="G91" s="75">
        <v>1792.8000000000002</v>
      </c>
      <c r="I91" s="3"/>
      <c r="M91" s="3"/>
      <c r="N91" s="75"/>
    </row>
    <row r="92" spans="2:14">
      <c r="C92" t="s">
        <v>1032</v>
      </c>
      <c r="D92" t="s">
        <v>958</v>
      </c>
      <c r="E92" t="s">
        <v>271</v>
      </c>
      <c r="F92" t="s">
        <v>271</v>
      </c>
      <c r="G92" s="75">
        <v>8962.5</v>
      </c>
      <c r="I92" s="3"/>
      <c r="M92" s="3"/>
      <c r="N92" s="75"/>
    </row>
    <row r="93" spans="2:14">
      <c r="B93" s="3" t="s">
        <v>1033</v>
      </c>
      <c r="C93" s="3"/>
      <c r="D93" s="3"/>
      <c r="E93" s="3"/>
      <c r="G93" s="75">
        <v>10755.3</v>
      </c>
      <c r="I93" s="3"/>
      <c r="M93" s="3"/>
      <c r="N93" s="75"/>
    </row>
    <row r="94" spans="2:14">
      <c r="B94" s="67">
        <v>45762</v>
      </c>
      <c r="C94" t="s">
        <v>1034</v>
      </c>
      <c r="D94" t="s">
        <v>957</v>
      </c>
      <c r="E94" t="s">
        <v>271</v>
      </c>
      <c r="F94" t="s">
        <v>271</v>
      </c>
      <c r="G94" s="75">
        <v>16.799999999999997</v>
      </c>
      <c r="I94" s="3"/>
      <c r="M94" s="3"/>
      <c r="N94" s="75"/>
    </row>
    <row r="95" spans="2:14">
      <c r="B95" s="3" t="s">
        <v>1035</v>
      </c>
      <c r="C95" s="3"/>
      <c r="D95" s="3"/>
      <c r="E95" s="3"/>
      <c r="G95" s="75">
        <v>16.799999999999997</v>
      </c>
      <c r="I95" s="3"/>
      <c r="M95" s="3"/>
      <c r="N95" s="75"/>
    </row>
    <row r="96" spans="2:14">
      <c r="B96" s="67">
        <v>45763</v>
      </c>
      <c r="C96" t="s">
        <v>1018</v>
      </c>
      <c r="D96" t="s">
        <v>655</v>
      </c>
      <c r="E96" t="s">
        <v>1036</v>
      </c>
      <c r="F96" t="s">
        <v>271</v>
      </c>
      <c r="G96" s="75">
        <v>257.39999999999998</v>
      </c>
      <c r="I96" s="3"/>
      <c r="M96" s="3"/>
      <c r="N96" s="75"/>
    </row>
    <row r="97" spans="2:14">
      <c r="C97" t="s">
        <v>1037</v>
      </c>
      <c r="D97" t="s">
        <v>655</v>
      </c>
      <c r="E97" t="s">
        <v>1036</v>
      </c>
      <c r="F97" t="s">
        <v>271</v>
      </c>
      <c r="G97" s="75">
        <v>2833.92</v>
      </c>
      <c r="I97" s="3"/>
      <c r="M97" s="3"/>
      <c r="N97" s="75"/>
    </row>
    <row r="98" spans="2:14">
      <c r="B98" s="3" t="s">
        <v>1038</v>
      </c>
      <c r="C98" s="3"/>
      <c r="D98" s="3"/>
      <c r="E98" s="3"/>
      <c r="G98" s="75">
        <v>3091.32</v>
      </c>
      <c r="I98" s="3"/>
      <c r="M98" s="3"/>
      <c r="N98" s="75"/>
    </row>
    <row r="99" spans="2:14">
      <c r="B99" s="67">
        <v>45764</v>
      </c>
      <c r="C99" t="s">
        <v>995</v>
      </c>
      <c r="D99" t="s">
        <v>962</v>
      </c>
      <c r="E99" t="s">
        <v>271</v>
      </c>
      <c r="F99" t="s">
        <v>271</v>
      </c>
      <c r="G99" s="75">
        <v>1728</v>
      </c>
      <c r="I99" s="3"/>
      <c r="M99" s="3"/>
      <c r="N99" s="75"/>
    </row>
    <row r="100" spans="2:14">
      <c r="C100" t="s">
        <v>1008</v>
      </c>
      <c r="D100" t="s">
        <v>962</v>
      </c>
      <c r="E100" t="s">
        <v>271</v>
      </c>
      <c r="F100" t="s">
        <v>271</v>
      </c>
      <c r="G100" s="75">
        <v>14.91</v>
      </c>
      <c r="I100" s="3"/>
      <c r="M100" s="3"/>
      <c r="N100" s="75"/>
    </row>
    <row r="101" spans="2:14">
      <c r="C101" t="s">
        <v>657</v>
      </c>
      <c r="D101" t="s">
        <v>962</v>
      </c>
      <c r="E101" t="s">
        <v>271</v>
      </c>
      <c r="F101" t="s">
        <v>271</v>
      </c>
      <c r="G101" s="75">
        <v>1185.5999999999999</v>
      </c>
      <c r="I101" s="3"/>
      <c r="M101" s="3"/>
      <c r="N101" s="75"/>
    </row>
    <row r="102" spans="2:14">
      <c r="C102" t="s">
        <v>966</v>
      </c>
      <c r="D102" t="s">
        <v>962</v>
      </c>
      <c r="E102" t="s">
        <v>271</v>
      </c>
      <c r="F102" t="s">
        <v>271</v>
      </c>
      <c r="G102" s="75">
        <v>243.53</v>
      </c>
      <c r="I102" s="3"/>
      <c r="M102" s="3"/>
      <c r="N102" s="75"/>
    </row>
    <row r="103" spans="2:14">
      <c r="C103" t="s">
        <v>1039</v>
      </c>
      <c r="D103" t="s">
        <v>962</v>
      </c>
      <c r="E103" t="s">
        <v>271</v>
      </c>
      <c r="F103" t="s">
        <v>271</v>
      </c>
      <c r="G103" s="75">
        <v>1254.75</v>
      </c>
      <c r="I103" s="3"/>
      <c r="M103" s="3"/>
      <c r="N103" s="75"/>
    </row>
    <row r="104" spans="2:14">
      <c r="C104" t="s">
        <v>1040</v>
      </c>
      <c r="D104" t="s">
        <v>962</v>
      </c>
      <c r="E104" t="s">
        <v>271</v>
      </c>
      <c r="F104" t="s">
        <v>271</v>
      </c>
      <c r="G104" s="75">
        <v>319.79999999999995</v>
      </c>
      <c r="I104" s="3"/>
      <c r="M104" s="3"/>
      <c r="N104" s="75"/>
    </row>
    <row r="105" spans="2:14">
      <c r="B105" s="3" t="s">
        <v>1041</v>
      </c>
      <c r="C105" s="3"/>
      <c r="D105" s="3"/>
      <c r="E105" s="3"/>
      <c r="G105" s="75">
        <v>4746.5900000000011</v>
      </c>
      <c r="I105" s="3"/>
      <c r="M105" s="3"/>
      <c r="N105" s="75"/>
    </row>
    <row r="106" spans="2:14">
      <c r="B106" s="67">
        <v>45768</v>
      </c>
      <c r="C106" t="s">
        <v>1022</v>
      </c>
      <c r="D106" t="s">
        <v>960</v>
      </c>
      <c r="E106" t="s">
        <v>271</v>
      </c>
      <c r="F106" t="s">
        <v>271</v>
      </c>
      <c r="G106" s="75">
        <v>3590.4</v>
      </c>
      <c r="I106" s="3"/>
      <c r="M106" s="3"/>
      <c r="N106" s="75"/>
    </row>
    <row r="107" spans="2:14">
      <c r="C107" t="s">
        <v>1001</v>
      </c>
      <c r="D107" t="s">
        <v>960</v>
      </c>
      <c r="E107" t="s">
        <v>271</v>
      </c>
      <c r="F107" t="s">
        <v>271</v>
      </c>
      <c r="G107" s="75">
        <v>567.6</v>
      </c>
      <c r="I107" s="3"/>
      <c r="M107" s="3"/>
      <c r="N107" s="75"/>
    </row>
    <row r="108" spans="2:14">
      <c r="C108" t="s">
        <v>966</v>
      </c>
      <c r="D108" t="s">
        <v>960</v>
      </c>
      <c r="E108" t="s">
        <v>271</v>
      </c>
      <c r="F108" t="s">
        <v>271</v>
      </c>
      <c r="G108" s="75">
        <v>243.53</v>
      </c>
      <c r="I108" s="3"/>
      <c r="M108" s="3"/>
      <c r="N108" s="75"/>
    </row>
    <row r="109" spans="2:14">
      <c r="C109" t="s">
        <v>1010</v>
      </c>
      <c r="D109" t="s">
        <v>957</v>
      </c>
      <c r="E109" t="s">
        <v>271</v>
      </c>
      <c r="F109" t="s">
        <v>271</v>
      </c>
      <c r="G109" s="75">
        <v>33</v>
      </c>
      <c r="I109" s="3"/>
      <c r="M109" s="3"/>
      <c r="N109" s="75"/>
    </row>
    <row r="110" spans="2:14">
      <c r="C110" t="s">
        <v>1029</v>
      </c>
      <c r="D110" t="s">
        <v>979</v>
      </c>
      <c r="E110" t="s">
        <v>271</v>
      </c>
      <c r="F110" t="s">
        <v>271</v>
      </c>
      <c r="G110" s="75">
        <v>3.96</v>
      </c>
      <c r="I110" s="3"/>
      <c r="M110" s="3"/>
      <c r="N110" s="75"/>
    </row>
    <row r="111" spans="2:14">
      <c r="C111" t="s">
        <v>1042</v>
      </c>
      <c r="D111" t="s">
        <v>960</v>
      </c>
      <c r="E111" t="s">
        <v>271</v>
      </c>
      <c r="F111" t="s">
        <v>271</v>
      </c>
      <c r="G111" s="75">
        <v>1060.4000000000001</v>
      </c>
      <c r="I111" s="3"/>
      <c r="M111" s="3"/>
      <c r="N111" s="75"/>
    </row>
    <row r="112" spans="2:14">
      <c r="C112" t="s">
        <v>1043</v>
      </c>
      <c r="D112" t="s">
        <v>957</v>
      </c>
      <c r="E112" t="s">
        <v>271</v>
      </c>
      <c r="F112" t="s">
        <v>271</v>
      </c>
      <c r="G112" s="75">
        <v>57.599999999999994</v>
      </c>
      <c r="I112" s="3"/>
      <c r="M112" s="3"/>
      <c r="N112" s="75"/>
    </row>
    <row r="113" spans="2:14">
      <c r="B113" s="3" t="s">
        <v>1044</v>
      </c>
      <c r="C113" s="3"/>
      <c r="D113" s="3"/>
      <c r="E113" s="3"/>
      <c r="G113" s="75">
        <v>5556.49</v>
      </c>
      <c r="I113" s="3"/>
      <c r="M113" s="3"/>
      <c r="N113" s="75"/>
    </row>
    <row r="114" spans="2:14">
      <c r="B114" s="67">
        <v>45769</v>
      </c>
      <c r="C114" t="s">
        <v>1006</v>
      </c>
      <c r="D114" t="s">
        <v>967</v>
      </c>
      <c r="E114" t="s">
        <v>271</v>
      </c>
      <c r="F114" t="s">
        <v>271</v>
      </c>
      <c r="G114" s="75">
        <v>217.8</v>
      </c>
      <c r="I114" s="3"/>
      <c r="M114" s="3"/>
      <c r="N114" s="75"/>
    </row>
    <row r="115" spans="2:14">
      <c r="C115" t="s">
        <v>1021</v>
      </c>
      <c r="D115" t="s">
        <v>967</v>
      </c>
      <c r="E115" t="s">
        <v>271</v>
      </c>
      <c r="F115" s="38">
        <v>45770</v>
      </c>
      <c r="G115" s="75">
        <v>22</v>
      </c>
      <c r="I115" s="3"/>
      <c r="M115" s="3"/>
      <c r="N115" s="75"/>
    </row>
    <row r="116" spans="2:14">
      <c r="C116" t="s">
        <v>1001</v>
      </c>
      <c r="D116" t="s">
        <v>967</v>
      </c>
      <c r="E116" t="s">
        <v>271</v>
      </c>
      <c r="F116" s="38">
        <v>45770</v>
      </c>
      <c r="G116" s="75">
        <v>602.80000000000007</v>
      </c>
      <c r="I116" s="3"/>
      <c r="M116" s="3"/>
      <c r="N116" s="75"/>
    </row>
    <row r="117" spans="2:14">
      <c r="C117" t="s">
        <v>657</v>
      </c>
      <c r="D117" t="s">
        <v>967</v>
      </c>
      <c r="E117" t="s">
        <v>271</v>
      </c>
      <c r="F117" s="38">
        <v>45769</v>
      </c>
      <c r="G117" s="75">
        <v>259.2</v>
      </c>
      <c r="I117" s="3"/>
      <c r="M117" s="3"/>
      <c r="N117" s="75"/>
    </row>
    <row r="118" spans="2:14">
      <c r="C118" t="s">
        <v>966</v>
      </c>
      <c r="D118" t="s">
        <v>967</v>
      </c>
      <c r="E118" t="s">
        <v>271</v>
      </c>
      <c r="F118" t="s">
        <v>271</v>
      </c>
      <c r="G118" s="75">
        <v>238.56</v>
      </c>
      <c r="I118" s="3"/>
      <c r="M118" s="3"/>
      <c r="N118" s="75"/>
    </row>
    <row r="119" spans="2:14">
      <c r="C119" t="s">
        <v>971</v>
      </c>
      <c r="D119" t="s">
        <v>970</v>
      </c>
      <c r="E119" t="s">
        <v>1045</v>
      </c>
      <c r="F119" s="38">
        <v>45770</v>
      </c>
      <c r="G119" s="75">
        <v>638</v>
      </c>
      <c r="I119" s="3"/>
      <c r="M119" s="3"/>
      <c r="N119" s="75"/>
    </row>
    <row r="120" spans="2:14">
      <c r="C120" t="s">
        <v>998</v>
      </c>
      <c r="D120" t="s">
        <v>967</v>
      </c>
      <c r="E120" t="s">
        <v>271</v>
      </c>
      <c r="F120" t="s">
        <v>271</v>
      </c>
      <c r="G120" s="75">
        <v>8.9700000000000006</v>
      </c>
      <c r="I120" s="3"/>
      <c r="M120" s="3"/>
      <c r="N120" s="75"/>
    </row>
    <row r="121" spans="2:14">
      <c r="C121" t="s">
        <v>1029</v>
      </c>
      <c r="D121" t="s">
        <v>979</v>
      </c>
      <c r="E121" t="s">
        <v>271</v>
      </c>
      <c r="F121" t="s">
        <v>271</v>
      </c>
      <c r="G121" s="75">
        <v>3.96</v>
      </c>
      <c r="I121" s="3"/>
      <c r="M121" s="3"/>
      <c r="N121" s="75"/>
    </row>
    <row r="122" spans="2:14">
      <c r="C122" t="s">
        <v>1046</v>
      </c>
      <c r="D122" t="s">
        <v>967</v>
      </c>
      <c r="E122" t="s">
        <v>271</v>
      </c>
      <c r="F122" s="38">
        <v>45770</v>
      </c>
      <c r="G122" s="75">
        <v>64.740000000000009</v>
      </c>
      <c r="I122" s="3"/>
      <c r="M122" s="3"/>
      <c r="N122" s="75"/>
    </row>
    <row r="123" spans="2:14">
      <c r="C123" t="s">
        <v>1047</v>
      </c>
      <c r="D123" t="s">
        <v>967</v>
      </c>
      <c r="E123" t="s">
        <v>271</v>
      </c>
      <c r="F123" t="s">
        <v>271</v>
      </c>
      <c r="G123" s="75">
        <v>369.6</v>
      </c>
      <c r="I123" s="3"/>
      <c r="M123" s="3"/>
      <c r="N123" s="75"/>
    </row>
    <row r="124" spans="2:14">
      <c r="C124" t="s">
        <v>1048</v>
      </c>
      <c r="D124" t="s">
        <v>970</v>
      </c>
      <c r="E124" t="s">
        <v>1045</v>
      </c>
      <c r="F124" s="38">
        <v>45770</v>
      </c>
      <c r="G124" s="75">
        <v>220.00000000000003</v>
      </c>
      <c r="I124" s="3"/>
      <c r="M124" s="3"/>
      <c r="N124" s="75"/>
    </row>
    <row r="125" spans="2:14">
      <c r="B125" s="3" t="s">
        <v>1049</v>
      </c>
      <c r="C125" s="3"/>
      <c r="D125" s="3"/>
      <c r="E125" s="3"/>
      <c r="G125" s="75">
        <v>2645.63</v>
      </c>
      <c r="I125" s="3"/>
      <c r="M125" s="3"/>
      <c r="N125" s="75"/>
    </row>
    <row r="126" spans="2:14">
      <c r="B126" s="38">
        <v>45770</v>
      </c>
      <c r="C126" t="s">
        <v>994</v>
      </c>
      <c r="D126" t="s">
        <v>970</v>
      </c>
      <c r="E126" t="s">
        <v>1050</v>
      </c>
      <c r="F126" t="s">
        <v>271</v>
      </c>
      <c r="G126" s="75">
        <v>338.64000000000004</v>
      </c>
      <c r="I126" s="3"/>
      <c r="M126" s="3"/>
      <c r="N126" s="75"/>
    </row>
    <row r="127" spans="2:14">
      <c r="B127"/>
      <c r="C127" t="s">
        <v>1006</v>
      </c>
      <c r="D127" t="s">
        <v>970</v>
      </c>
      <c r="E127" t="s">
        <v>1051</v>
      </c>
      <c r="F127" t="s">
        <v>271</v>
      </c>
      <c r="G127" s="75">
        <v>19.8</v>
      </c>
      <c r="I127" s="3"/>
      <c r="M127" s="3"/>
      <c r="N127" s="75"/>
    </row>
    <row r="128" spans="2:14">
      <c r="B128"/>
      <c r="C128" t="s">
        <v>966</v>
      </c>
      <c r="D128" t="s">
        <v>957</v>
      </c>
      <c r="E128" t="s">
        <v>271</v>
      </c>
      <c r="F128" t="s">
        <v>271</v>
      </c>
      <c r="G128" s="75">
        <v>243.53</v>
      </c>
      <c r="I128" s="3"/>
      <c r="M128" s="3"/>
      <c r="N128" s="75"/>
    </row>
    <row r="129" spans="2:14">
      <c r="B129"/>
      <c r="C129" t="s">
        <v>998</v>
      </c>
      <c r="D129" t="s">
        <v>967</v>
      </c>
      <c r="E129" t="s">
        <v>271</v>
      </c>
      <c r="F129" t="s">
        <v>271</v>
      </c>
      <c r="G129" s="75">
        <v>14.950000000000001</v>
      </c>
      <c r="I129" s="3"/>
      <c r="M129" s="3"/>
      <c r="N129" s="75"/>
    </row>
    <row r="130" spans="2:14">
      <c r="B130"/>
      <c r="C130" t="s">
        <v>1047</v>
      </c>
      <c r="D130" t="s">
        <v>967</v>
      </c>
      <c r="E130" t="s">
        <v>271</v>
      </c>
      <c r="F130" t="s">
        <v>271</v>
      </c>
      <c r="G130" s="75">
        <v>142.56</v>
      </c>
      <c r="I130" s="3"/>
      <c r="M130" s="3"/>
      <c r="N130" s="75"/>
    </row>
    <row r="131" spans="2:14">
      <c r="B131" t="s">
        <v>1052</v>
      </c>
      <c r="D131"/>
      <c r="F131"/>
      <c r="G131" s="75">
        <v>759.48</v>
      </c>
      <c r="I131" s="3"/>
      <c r="M131" s="3"/>
      <c r="N131" s="75"/>
    </row>
    <row r="132" spans="2:14">
      <c r="B132" s="38">
        <v>45771</v>
      </c>
      <c r="C132" t="s">
        <v>995</v>
      </c>
      <c r="D132" t="s">
        <v>960</v>
      </c>
      <c r="E132" t="s">
        <v>1053</v>
      </c>
      <c r="F132" t="s">
        <v>271</v>
      </c>
      <c r="G132" s="75">
        <v>46.08</v>
      </c>
      <c r="I132" s="3"/>
      <c r="M132" s="3"/>
      <c r="N132" s="75"/>
    </row>
    <row r="133" spans="2:14">
      <c r="B133"/>
      <c r="C133" t="s">
        <v>1001</v>
      </c>
      <c r="D133" t="s">
        <v>962</v>
      </c>
      <c r="E133" t="s">
        <v>271</v>
      </c>
      <c r="F133" t="s">
        <v>271</v>
      </c>
      <c r="G133" s="75">
        <v>272.8</v>
      </c>
      <c r="I133" s="3"/>
      <c r="M133" s="3"/>
      <c r="N133" s="75"/>
    </row>
    <row r="134" spans="2:14">
      <c r="B134" t="s">
        <v>1054</v>
      </c>
      <c r="D134"/>
      <c r="F134"/>
      <c r="G134" s="75">
        <v>318.88</v>
      </c>
      <c r="I134" s="3"/>
      <c r="M134" s="3"/>
      <c r="N134" s="75"/>
    </row>
    <row r="135" spans="2:14">
      <c r="B135" s="38">
        <v>45772</v>
      </c>
      <c r="C135" t="s">
        <v>995</v>
      </c>
      <c r="D135" t="s">
        <v>960</v>
      </c>
      <c r="E135" t="s">
        <v>1055</v>
      </c>
      <c r="F135" t="s">
        <v>271</v>
      </c>
      <c r="G135" s="75">
        <v>46.08</v>
      </c>
      <c r="I135" s="3"/>
      <c r="M135" s="3"/>
      <c r="N135" s="75"/>
    </row>
    <row r="136" spans="2:14">
      <c r="B136" t="s">
        <v>1056</v>
      </c>
      <c r="D136"/>
      <c r="F136"/>
      <c r="G136" s="75">
        <v>46.08</v>
      </c>
      <c r="I136" s="3"/>
      <c r="M136" s="3"/>
      <c r="N136" s="75"/>
    </row>
    <row r="137" spans="2:14">
      <c r="B137" s="38">
        <v>45775</v>
      </c>
      <c r="C137" t="s">
        <v>657</v>
      </c>
      <c r="D137" t="s">
        <v>957</v>
      </c>
      <c r="E137" t="s">
        <v>271</v>
      </c>
      <c r="F137" t="s">
        <v>271</v>
      </c>
      <c r="G137" s="75">
        <v>120</v>
      </c>
      <c r="I137" s="3"/>
      <c r="M137" s="3"/>
      <c r="N137" s="75"/>
    </row>
    <row r="138" spans="2:14">
      <c r="B138" t="s">
        <v>1057</v>
      </c>
      <c r="D138"/>
      <c r="F138"/>
      <c r="G138" s="75">
        <v>120</v>
      </c>
      <c r="I138" s="3"/>
      <c r="M138" s="3"/>
      <c r="N138" s="75"/>
    </row>
    <row r="139" spans="2:14">
      <c r="I139" s="3"/>
      <c r="M139" s="3"/>
      <c r="N139" s="75"/>
    </row>
    <row r="140" spans="2:14">
      <c r="I140" s="3"/>
      <c r="M140" s="3"/>
      <c r="N140" s="75"/>
    </row>
    <row r="141" spans="2:14">
      <c r="I141" s="3"/>
      <c r="M141" s="3"/>
      <c r="N141" s="75"/>
    </row>
    <row r="142" spans="2:14">
      <c r="I142" s="3"/>
      <c r="M142" s="3"/>
      <c r="N142" s="75"/>
    </row>
    <row r="143" spans="2:14">
      <c r="I143" s="3"/>
      <c r="M143" s="3"/>
      <c r="N143" s="75"/>
    </row>
    <row r="144" spans="2:14">
      <c r="I144" s="3"/>
      <c r="M144" s="3"/>
      <c r="N144" s="75"/>
    </row>
    <row r="145" spans="9:14">
      <c r="I145" s="3"/>
      <c r="M145" s="3"/>
      <c r="N145" s="75"/>
    </row>
    <row r="146" spans="9:14">
      <c r="I146" s="3"/>
      <c r="M146" s="3"/>
      <c r="N146" s="75"/>
    </row>
    <row r="147" spans="9:14">
      <c r="I147" s="3"/>
      <c r="M147" s="3"/>
      <c r="N147" s="75"/>
    </row>
    <row r="148" spans="9:14">
      <c r="I148" s="3"/>
      <c r="M148" s="3"/>
      <c r="N148" s="75"/>
    </row>
    <row r="149" spans="9:14">
      <c r="I149" s="3"/>
      <c r="M149" s="3"/>
      <c r="N149" s="75"/>
    </row>
    <row r="150" spans="9:14">
      <c r="I150" s="3"/>
      <c r="M150" s="3"/>
      <c r="N150" s="75"/>
    </row>
    <row r="151" spans="9:14">
      <c r="I151" s="3"/>
      <c r="M151" s="3"/>
      <c r="N151" s="75"/>
    </row>
    <row r="152" spans="9:14">
      <c r="I152" s="3"/>
      <c r="M152" s="3"/>
      <c r="N152" s="75"/>
    </row>
    <row r="153" spans="9:14">
      <c r="I153" s="3"/>
      <c r="M153" s="3"/>
      <c r="N153" s="75"/>
    </row>
    <row r="154" spans="9:14">
      <c r="I154" s="3"/>
      <c r="M154" s="3"/>
      <c r="N154" s="75"/>
    </row>
    <row r="155" spans="9:14">
      <c r="I155" s="3"/>
      <c r="M155" s="3"/>
      <c r="N155" s="75"/>
    </row>
    <row r="156" spans="9:14">
      <c r="I156" s="3"/>
      <c r="M156" s="3"/>
      <c r="N156" s="75"/>
    </row>
    <row r="157" spans="9:14">
      <c r="I157" s="3"/>
      <c r="M157" s="3"/>
      <c r="N157" s="75"/>
    </row>
    <row r="158" spans="9:14">
      <c r="I158" s="3"/>
      <c r="M158" s="3"/>
      <c r="N158" s="75"/>
    </row>
    <row r="159" spans="9:14">
      <c r="I159" s="3"/>
      <c r="M159" s="3"/>
      <c r="N159" s="75"/>
    </row>
    <row r="160" spans="9:14">
      <c r="I160" s="3"/>
      <c r="M160" s="3"/>
      <c r="N160" s="75"/>
    </row>
    <row r="161" spans="9:14">
      <c r="I161" s="3"/>
      <c r="M161" s="3"/>
      <c r="N161" s="75"/>
    </row>
    <row r="162" spans="9:14">
      <c r="I162" s="3"/>
      <c r="M162" s="3"/>
      <c r="N162" s="75"/>
    </row>
    <row r="163" spans="9:14">
      <c r="I163" s="3"/>
      <c r="M163" s="3"/>
      <c r="N163" s="75"/>
    </row>
    <row r="164" spans="9:14">
      <c r="I164" s="3"/>
      <c r="M164" s="3"/>
      <c r="N164" s="75"/>
    </row>
    <row r="165" spans="9:14">
      <c r="I165" s="3"/>
      <c r="M165" s="3"/>
      <c r="N165" s="75"/>
    </row>
    <row r="166" spans="9:14">
      <c r="I166" s="3"/>
      <c r="M166" s="3"/>
      <c r="N166" s="75"/>
    </row>
    <row r="167" spans="9:14">
      <c r="I167" s="3"/>
      <c r="M167" s="3"/>
      <c r="N167" s="75"/>
    </row>
    <row r="168" spans="9:14">
      <c r="I168" s="3"/>
      <c r="M168" s="3"/>
      <c r="N168" s="75"/>
    </row>
    <row r="169" spans="9:14">
      <c r="I169" s="3"/>
      <c r="M169" s="3"/>
      <c r="N169" s="75"/>
    </row>
    <row r="170" spans="9:14">
      <c r="I170" s="3"/>
      <c r="M170" s="3"/>
      <c r="N170" s="75"/>
    </row>
    <row r="171" spans="9:14">
      <c r="I171" s="3"/>
      <c r="M171" s="3"/>
      <c r="N171" s="75"/>
    </row>
    <row r="172" spans="9:14">
      <c r="I172" s="3"/>
      <c r="M172" s="3"/>
      <c r="N172" s="75"/>
    </row>
    <row r="173" spans="9:14">
      <c r="I173" s="3"/>
      <c r="M173" s="3"/>
      <c r="N173" s="75"/>
    </row>
    <row r="174" spans="9:14">
      <c r="I174" s="3"/>
      <c r="M174" s="3"/>
      <c r="N174" s="75"/>
    </row>
    <row r="175" spans="9:14">
      <c r="I175" s="3"/>
      <c r="M175" s="3"/>
      <c r="N175" s="75"/>
    </row>
    <row r="176" spans="9:14">
      <c r="I176" s="3"/>
      <c r="M176" s="3"/>
      <c r="N176" s="75"/>
    </row>
    <row r="177" spans="9:14">
      <c r="I177" s="3"/>
      <c r="M177" s="3"/>
      <c r="N177" s="75"/>
    </row>
    <row r="178" spans="9:14">
      <c r="I178" s="3"/>
      <c r="M178" s="3"/>
      <c r="N178" s="75"/>
    </row>
    <row r="179" spans="9:14">
      <c r="I179" s="3"/>
      <c r="M179" s="3"/>
      <c r="N179" s="75"/>
    </row>
    <row r="180" spans="9:14">
      <c r="I180" s="3"/>
      <c r="M180" s="3"/>
      <c r="N180" s="75"/>
    </row>
    <row r="181" spans="9:14">
      <c r="I181" s="3"/>
      <c r="M181" s="3"/>
      <c r="N181" s="75"/>
    </row>
    <row r="182" spans="9:14">
      <c r="I182" s="3"/>
      <c r="M182" s="3"/>
      <c r="N182" s="75"/>
    </row>
    <row r="183" spans="9:14">
      <c r="I183" s="3"/>
      <c r="M183" s="3"/>
      <c r="N183" s="75"/>
    </row>
    <row r="184" spans="9:14">
      <c r="I184" s="3"/>
      <c r="M184" s="3"/>
      <c r="N184" s="75"/>
    </row>
    <row r="185" spans="9:14">
      <c r="I185" s="3"/>
      <c r="M185" s="3"/>
      <c r="N185" s="75"/>
    </row>
    <row r="186" spans="9:14">
      <c r="I186" s="3"/>
      <c r="M186" s="3"/>
      <c r="N186" s="75"/>
    </row>
    <row r="187" spans="9:14">
      <c r="I187" s="3"/>
      <c r="M187" s="3"/>
      <c r="N187" s="75"/>
    </row>
    <row r="188" spans="9:14">
      <c r="I188" s="3"/>
      <c r="M188" s="3"/>
      <c r="N188" s="75"/>
    </row>
    <row r="189" spans="9:14">
      <c r="I189" s="3"/>
      <c r="M189" s="3"/>
      <c r="N189" s="75"/>
    </row>
    <row r="190" spans="9:14">
      <c r="I190" s="3"/>
      <c r="M190" s="3"/>
      <c r="N190" s="75"/>
    </row>
    <row r="191" spans="9:14">
      <c r="I191" s="3"/>
      <c r="M191" s="3"/>
      <c r="N191" s="75"/>
    </row>
    <row r="192" spans="9:14">
      <c r="I192" s="3"/>
      <c r="M192" s="3"/>
      <c r="N192" s="75"/>
    </row>
    <row r="193" spans="9:14">
      <c r="I193" s="3"/>
      <c r="M193" s="3"/>
      <c r="N193" s="75"/>
    </row>
    <row r="194" spans="9:14">
      <c r="I194" s="3"/>
      <c r="M194" s="3"/>
      <c r="N194" s="75"/>
    </row>
    <row r="195" spans="9:14">
      <c r="I195" s="3"/>
      <c r="M195" s="3"/>
      <c r="N195" s="75"/>
    </row>
    <row r="196" spans="9:14">
      <c r="I196" s="3"/>
      <c r="M196" s="3"/>
      <c r="N196" s="75"/>
    </row>
    <row r="197" spans="9:14">
      <c r="I197" s="3"/>
      <c r="M197" s="3"/>
      <c r="N197" s="75"/>
    </row>
    <row r="198" spans="9:14">
      <c r="I198" s="3"/>
      <c r="M198" s="3"/>
      <c r="N198" s="75"/>
    </row>
    <row r="199" spans="9:14">
      <c r="I199" s="3"/>
      <c r="M199" s="3"/>
      <c r="N199" s="75"/>
    </row>
    <row r="200" spans="9:14">
      <c r="I200" s="3"/>
      <c r="M200" s="3"/>
      <c r="N200" s="75"/>
    </row>
    <row r="201" spans="9:14">
      <c r="I201" s="3"/>
      <c r="M201" s="3"/>
      <c r="N201" s="75"/>
    </row>
    <row r="202" spans="9:14">
      <c r="I202" s="3"/>
      <c r="M202" s="3"/>
      <c r="N202" s="75"/>
    </row>
    <row r="203" spans="9:14">
      <c r="I203" s="3"/>
      <c r="M203" s="3"/>
      <c r="N203" s="75"/>
    </row>
    <row r="204" spans="9:14">
      <c r="I204" s="3"/>
      <c r="M204" s="3"/>
      <c r="N204" s="75"/>
    </row>
    <row r="205" spans="9:14">
      <c r="I205" s="3"/>
      <c r="M205" s="3"/>
      <c r="N205" s="75"/>
    </row>
    <row r="206" spans="9:14">
      <c r="I206" s="3"/>
      <c r="M206" s="3"/>
      <c r="N206" s="75"/>
    </row>
    <row r="207" spans="9:14">
      <c r="I207" s="3"/>
      <c r="M207" s="3"/>
      <c r="N207" s="75"/>
    </row>
    <row r="208" spans="9:14">
      <c r="I208" s="3"/>
      <c r="M208" s="3"/>
      <c r="N208" s="75"/>
    </row>
    <row r="209" spans="9:14">
      <c r="I209" s="3"/>
      <c r="M209" s="3"/>
      <c r="N209" s="75"/>
    </row>
    <row r="210" spans="9:14">
      <c r="I210" s="3"/>
      <c r="M210" s="3"/>
      <c r="N210" s="75"/>
    </row>
    <row r="211" spans="9:14">
      <c r="I211" s="3"/>
      <c r="M211" s="3"/>
      <c r="N211" s="75"/>
    </row>
    <row r="212" spans="9:14">
      <c r="I212" s="3"/>
      <c r="M212" s="3"/>
      <c r="N212" s="75"/>
    </row>
    <row r="213" spans="9:14">
      <c r="I213" s="3"/>
      <c r="M213" s="3"/>
      <c r="N213" s="75"/>
    </row>
    <row r="214" spans="9:14">
      <c r="I214" s="3"/>
      <c r="M214" s="3"/>
      <c r="N214" s="75"/>
    </row>
    <row r="215" spans="9:14">
      <c r="I215" s="3"/>
      <c r="M215" s="3"/>
      <c r="N215" s="75"/>
    </row>
    <row r="216" spans="9:14">
      <c r="I216" s="3"/>
      <c r="M216" s="3"/>
      <c r="N216" s="75"/>
    </row>
    <row r="217" spans="9:14">
      <c r="I217" s="3"/>
      <c r="M217" s="3"/>
      <c r="N217" s="75"/>
    </row>
    <row r="218" spans="9:14">
      <c r="I218" s="3"/>
      <c r="M218" s="3"/>
      <c r="N218" s="75"/>
    </row>
    <row r="219" spans="9:14">
      <c r="I219" s="3"/>
      <c r="M219" s="3"/>
      <c r="N219" s="75"/>
    </row>
    <row r="220" spans="9:14">
      <c r="I220" s="3"/>
      <c r="M220" s="3"/>
      <c r="N220" s="75"/>
    </row>
    <row r="221" spans="9:14">
      <c r="I221" s="3"/>
      <c r="M221" s="3"/>
      <c r="N221" s="75"/>
    </row>
    <row r="222" spans="9:14">
      <c r="I222" s="3"/>
      <c r="M222" s="3"/>
      <c r="N222" s="75"/>
    </row>
    <row r="223" spans="9:14">
      <c r="I223" s="3"/>
      <c r="M223" s="3"/>
      <c r="N223" s="75"/>
    </row>
    <row r="224" spans="9:14">
      <c r="I224" s="3"/>
      <c r="M224" s="3"/>
      <c r="N224" s="75"/>
    </row>
    <row r="225" spans="9:14">
      <c r="I225" s="3"/>
      <c r="M225" s="3"/>
      <c r="N225" s="75"/>
    </row>
    <row r="226" spans="9:14">
      <c r="I226" s="3"/>
      <c r="M226" s="3"/>
      <c r="N226" s="75"/>
    </row>
    <row r="227" spans="9:14">
      <c r="I227" s="3"/>
      <c r="M227" s="3"/>
      <c r="N227" s="75"/>
    </row>
    <row r="228" spans="9:14">
      <c r="I228" s="3"/>
      <c r="M228" s="3"/>
      <c r="N228" s="75"/>
    </row>
    <row r="229" spans="9:14">
      <c r="I229" s="3"/>
      <c r="M229" s="3"/>
      <c r="N229" s="75"/>
    </row>
    <row r="230" spans="9:14">
      <c r="I230" s="3"/>
      <c r="M230" s="3"/>
      <c r="N230" s="75"/>
    </row>
    <row r="231" spans="9:14">
      <c r="I231" s="3"/>
      <c r="M231" s="3"/>
      <c r="N231" s="75"/>
    </row>
    <row r="232" spans="9:14">
      <c r="I232" s="3"/>
      <c r="M232" s="3"/>
      <c r="N232" s="75"/>
    </row>
    <row r="233" spans="9:14">
      <c r="I233" s="3"/>
      <c r="M233" s="3"/>
      <c r="N233" s="75"/>
    </row>
    <row r="234" spans="9:14">
      <c r="I234" s="3"/>
      <c r="M234" s="3"/>
      <c r="N234" s="75"/>
    </row>
    <row r="235" spans="9:14">
      <c r="I235" s="3"/>
      <c r="M235" s="3"/>
      <c r="N235" s="75"/>
    </row>
    <row r="236" spans="9:14">
      <c r="I236" s="3"/>
      <c r="M236" s="3"/>
      <c r="N236" s="75"/>
    </row>
    <row r="237" spans="9:14">
      <c r="I237" s="3"/>
      <c r="M237" s="3"/>
      <c r="N237" s="75"/>
    </row>
    <row r="238" spans="9:14">
      <c r="I238" s="3"/>
      <c r="M238" s="3"/>
      <c r="N238" s="75"/>
    </row>
    <row r="239" spans="9:14">
      <c r="I239" s="3"/>
      <c r="M239" s="3"/>
      <c r="N239" s="75"/>
    </row>
    <row r="240" spans="9:14">
      <c r="I240" s="3"/>
      <c r="M240" s="3"/>
      <c r="N240" s="75"/>
    </row>
    <row r="241" spans="9:14">
      <c r="I241" s="3"/>
      <c r="M241" s="3"/>
      <c r="N241" s="75"/>
    </row>
    <row r="242" spans="9:14">
      <c r="I242" s="3"/>
      <c r="M242" s="3"/>
      <c r="N242" s="75"/>
    </row>
    <row r="243" spans="9:14">
      <c r="I243" s="3"/>
      <c r="M243" s="3"/>
      <c r="N243" s="75"/>
    </row>
    <row r="244" spans="9:14">
      <c r="I244" s="3"/>
      <c r="M244" s="3"/>
      <c r="N244" s="75"/>
    </row>
    <row r="245" spans="9:14">
      <c r="I245" s="3"/>
      <c r="M245" s="3"/>
      <c r="N245" s="75"/>
    </row>
    <row r="246" spans="9:14">
      <c r="I246" s="3"/>
      <c r="M246" s="3"/>
      <c r="N246" s="75"/>
    </row>
    <row r="247" spans="9:14">
      <c r="I247" s="3"/>
      <c r="M247" s="3"/>
      <c r="N247" s="75"/>
    </row>
    <row r="248" spans="9:14">
      <c r="I248" s="3"/>
      <c r="M248" s="3"/>
      <c r="N248" s="75"/>
    </row>
    <row r="249" spans="9:14">
      <c r="I249" s="3"/>
      <c r="M249" s="3"/>
      <c r="N249" s="75"/>
    </row>
    <row r="250" spans="9:14">
      <c r="I250" s="3"/>
      <c r="M250" s="3"/>
      <c r="N250" s="75"/>
    </row>
    <row r="251" spans="9:14">
      <c r="I251" s="3"/>
      <c r="M251" s="3"/>
      <c r="N251" s="75"/>
    </row>
    <row r="252" spans="9:14">
      <c r="I252" s="3"/>
      <c r="M252" s="3"/>
      <c r="N252" s="75"/>
    </row>
    <row r="253" spans="9:14">
      <c r="I253" s="3"/>
      <c r="M253" s="3"/>
      <c r="N253" s="75"/>
    </row>
    <row r="254" spans="9:14">
      <c r="I254" s="3"/>
      <c r="M254" s="3"/>
      <c r="N254" s="75"/>
    </row>
    <row r="255" spans="9:14">
      <c r="I255" s="3"/>
      <c r="M255" s="3"/>
      <c r="N255" s="75"/>
    </row>
    <row r="256" spans="9:14">
      <c r="I256" s="3"/>
      <c r="M256" s="3"/>
      <c r="N256" s="75"/>
    </row>
    <row r="257" spans="9:14">
      <c r="I257" s="3"/>
      <c r="M257" s="3"/>
      <c r="N257" s="75"/>
    </row>
    <row r="258" spans="9:14">
      <c r="I258" s="3"/>
      <c r="M258" s="3"/>
      <c r="N258" s="75"/>
    </row>
    <row r="259" spans="9:14">
      <c r="I259" s="3"/>
      <c r="M259" s="3"/>
      <c r="N259" s="75"/>
    </row>
    <row r="260" spans="9:14">
      <c r="I260" s="3"/>
      <c r="M260" s="3"/>
      <c r="N260" s="75"/>
    </row>
    <row r="261" spans="9:14">
      <c r="I261" s="3"/>
      <c r="M261" s="3"/>
      <c r="N261" s="75"/>
    </row>
    <row r="262" spans="9:14">
      <c r="I262" s="3"/>
      <c r="M262" s="3"/>
      <c r="N262" s="75"/>
    </row>
    <row r="263" spans="9:14">
      <c r="I263" s="3"/>
      <c r="M263" s="3"/>
      <c r="N263" s="75"/>
    </row>
    <row r="264" spans="9:14">
      <c r="I264" s="3"/>
      <c r="M264" s="3"/>
      <c r="N264" s="75"/>
    </row>
    <row r="265" spans="9:14">
      <c r="I265" s="3"/>
      <c r="M265" s="3"/>
      <c r="N265" s="75"/>
    </row>
    <row r="266" spans="9:14">
      <c r="I266" s="3"/>
      <c r="M266" s="3"/>
      <c r="N266" s="75"/>
    </row>
    <row r="267" spans="9:14">
      <c r="I267" s="3"/>
      <c r="M267" s="3"/>
      <c r="N267" s="75"/>
    </row>
    <row r="268" spans="9:14">
      <c r="I268" s="3"/>
      <c r="M268" s="3"/>
      <c r="N268" s="75"/>
    </row>
    <row r="269" spans="9:14">
      <c r="I269" s="3"/>
      <c r="M269" s="3"/>
      <c r="N269" s="75"/>
    </row>
    <row r="270" spans="9:14">
      <c r="I270" s="3"/>
      <c r="M270" s="3"/>
      <c r="N270" s="75"/>
    </row>
    <row r="271" spans="9:14">
      <c r="I271" s="3"/>
      <c r="M271" s="3"/>
      <c r="N271" s="75"/>
    </row>
    <row r="272" spans="9:14">
      <c r="I272" s="3"/>
      <c r="M272" s="3"/>
      <c r="N272" s="75"/>
    </row>
    <row r="273" spans="9:14">
      <c r="I273" s="3"/>
      <c r="M273" s="3"/>
      <c r="N273" s="75"/>
    </row>
    <row r="274" spans="9:14">
      <c r="I274" s="3"/>
      <c r="M274" s="3"/>
      <c r="N274" s="75"/>
    </row>
    <row r="275" spans="9:14">
      <c r="I275" s="3"/>
      <c r="M275" s="3"/>
      <c r="N275" s="75"/>
    </row>
    <row r="276" spans="9:14">
      <c r="I276" s="3"/>
      <c r="M276" s="3"/>
      <c r="N276" s="75"/>
    </row>
    <row r="277" spans="9:14">
      <c r="I277" s="3"/>
      <c r="M277" s="3"/>
      <c r="N277" s="75"/>
    </row>
    <row r="278" spans="9:14">
      <c r="I278" s="3"/>
      <c r="M278" s="3"/>
      <c r="N278"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FDE8-DB5A-4BE7-8B44-89F95A23C0CA}">
  <sheetPr>
    <tabColor rgb="FF14800A"/>
  </sheetPr>
  <dimension ref="A1:N158"/>
  <sheetViews>
    <sheetView showGridLines="0" workbookViewId="0">
      <pane ySplit="2" topLeftCell="A125" activePane="bottomLeft" state="frozen"/>
      <selection pane="bottomLeft" activeCell="H125" sqref="H125"/>
    </sheetView>
  </sheetViews>
  <sheetFormatPr baseColWidth="10" defaultColWidth="9.1640625" defaultRowHeight="15"/>
  <cols>
    <col min="1" max="1" width="4.1640625" customWidth="1"/>
    <col min="2" max="2" width="9.83203125" style="3" customWidth="1"/>
    <col min="3" max="3" width="10" style="3" customWidth="1"/>
    <col min="4" max="4" width="15" style="17" customWidth="1"/>
    <col min="5" max="5" width="34.5" customWidth="1"/>
    <col min="6" max="6" width="14.6640625" customWidth="1"/>
    <col min="7" max="7" width="12" style="50" customWidth="1"/>
    <col min="8" max="8" width="11.6640625" customWidth="1"/>
    <col min="9" max="9" width="46.1640625" style="46" customWidth="1"/>
    <col min="10" max="10" width="48.5" customWidth="1"/>
    <col min="11" max="11" width="18.5" style="3" customWidth="1"/>
    <col min="12" max="12" width="12.5" bestFit="1" customWidth="1"/>
    <col min="14" max="14" width="59" customWidth="1"/>
  </cols>
  <sheetData>
    <row r="1" spans="2:14">
      <c r="I1"/>
    </row>
    <row r="2" spans="2:14" s="17" customFormat="1" ht="48">
      <c r="B2" s="53" t="s">
        <v>380</v>
      </c>
      <c r="C2" s="53" t="s">
        <v>381</v>
      </c>
      <c r="D2" s="25" t="s">
        <v>382</v>
      </c>
      <c r="E2" s="25" t="s">
        <v>383</v>
      </c>
      <c r="F2" s="25" t="s">
        <v>384</v>
      </c>
      <c r="G2" s="51" t="s">
        <v>1058</v>
      </c>
      <c r="H2" s="25" t="s">
        <v>1059</v>
      </c>
      <c r="I2" s="25" t="s">
        <v>387</v>
      </c>
      <c r="J2" s="61" t="s">
        <v>951</v>
      </c>
      <c r="K2" s="25" t="s">
        <v>1060</v>
      </c>
    </row>
    <row r="3" spans="2:14" ht="16">
      <c r="B3" s="79">
        <v>45734</v>
      </c>
      <c r="C3" s="78">
        <f t="shared" ref="C3:C66" si="0">+MONTH(B3)</f>
        <v>3</v>
      </c>
      <c r="D3" s="30" t="s">
        <v>395</v>
      </c>
      <c r="E3" s="23" t="str">
        <f>IF(D3=0," ",VLOOKUP(D3,'BASE DATOS'!A:B,2,0))</f>
        <v xml:space="preserve">HAMBURGUESA UG 72 x 69 grs </v>
      </c>
      <c r="F3" s="23" t="str">
        <f>+D3&amp;" - "&amp;E3</f>
        <v xml:space="preserve">UG0045 - HAMBURGUESA UG 72 x 69 grs </v>
      </c>
      <c r="G3" s="28">
        <v>0</v>
      </c>
      <c r="H3" s="23">
        <f>17*5</f>
        <v>85</v>
      </c>
      <c r="I3" s="72" t="s">
        <v>957</v>
      </c>
      <c r="J3" s="23" t="s">
        <v>271</v>
      </c>
      <c r="K3" s="23" t="s">
        <v>271</v>
      </c>
      <c r="N3" s="71" t="s">
        <v>1061</v>
      </c>
    </row>
    <row r="4" spans="2:14" ht="16">
      <c r="B4" s="79">
        <v>45734</v>
      </c>
      <c r="C4" s="78">
        <f t="shared" si="0"/>
        <v>3</v>
      </c>
      <c r="D4" s="30" t="s">
        <v>441</v>
      </c>
      <c r="E4" s="23" t="str">
        <f>IF(D4=0," ",VLOOKUP(D4,'BASE DATOS'!A:B,2,0))</f>
        <v>MEDALLON TUKI 18 x 4 X 63 G</v>
      </c>
      <c r="F4" s="23" t="str">
        <f t="shared" ref="F4:F67" si="1">+D4&amp;" - "&amp;E4</f>
        <v>MTUK001 - MEDALLON TUKI 18 x 4 X 63 G</v>
      </c>
      <c r="G4" s="28">
        <v>0</v>
      </c>
      <c r="H4" s="28">
        <f>18*4*0.063*17</f>
        <v>77.111999999999995</v>
      </c>
      <c r="I4" s="72" t="s">
        <v>957</v>
      </c>
      <c r="J4" s="23" t="s">
        <v>271</v>
      </c>
      <c r="K4" s="23" t="s">
        <v>271</v>
      </c>
      <c r="N4" s="70" t="s">
        <v>958</v>
      </c>
    </row>
    <row r="5" spans="2:14" ht="16">
      <c r="B5" s="79">
        <v>45734</v>
      </c>
      <c r="C5" s="78">
        <f t="shared" si="0"/>
        <v>3</v>
      </c>
      <c r="D5" s="30" t="s">
        <v>1062</v>
      </c>
      <c r="E5" s="23" t="str">
        <f>IF(D5=0," ",VLOOKUP(D5,'BASE DATOS'!A:B,2,0))</f>
        <v>MEDALLONES CHACRA NUESTRA 10 x12x55grs</v>
      </c>
      <c r="F5" s="23" t="str">
        <f t="shared" si="1"/>
        <v>CH0232 - MEDALLONES CHACRA NUESTRA 10 x12x55grs</v>
      </c>
      <c r="G5" s="28">
        <v>0</v>
      </c>
      <c r="H5" s="23">
        <f>10*12*0.055</f>
        <v>6.6</v>
      </c>
      <c r="I5" s="72" t="s">
        <v>955</v>
      </c>
      <c r="J5" s="23" t="s">
        <v>271</v>
      </c>
      <c r="K5" s="23" t="s">
        <v>271</v>
      </c>
      <c r="N5" s="70" t="s">
        <v>1063</v>
      </c>
    </row>
    <row r="6" spans="2:14" ht="16">
      <c r="B6" s="79">
        <v>45734</v>
      </c>
      <c r="C6" s="78">
        <f t="shared" si="0"/>
        <v>3</v>
      </c>
      <c r="D6" s="30" t="s">
        <v>403</v>
      </c>
      <c r="E6" s="23" t="str">
        <f>IF(D6=0," ",VLOOKUP(D6,'BASE DATOS'!A:B,2,0))</f>
        <v>MEDALLONES PACHECO FIRST 60 x 83 grs</v>
      </c>
      <c r="F6" s="23" t="str">
        <f t="shared" si="1"/>
        <v>H110 - MEDALLONES PACHECO FIRST 60 x 83 grs</v>
      </c>
      <c r="G6" s="28">
        <v>0</v>
      </c>
      <c r="H6" s="28">
        <f>37*60*0.083</f>
        <v>184.26000000000002</v>
      </c>
      <c r="I6" s="72" t="s">
        <v>957</v>
      </c>
      <c r="J6" s="23" t="s">
        <v>271</v>
      </c>
      <c r="K6" s="23" t="s">
        <v>271</v>
      </c>
      <c r="N6" s="70" t="s">
        <v>957</v>
      </c>
    </row>
    <row r="7" spans="2:14" ht="16">
      <c r="B7" s="79">
        <v>45735</v>
      </c>
      <c r="C7" s="78">
        <f t="shared" si="0"/>
        <v>3</v>
      </c>
      <c r="D7" s="30" t="s">
        <v>406</v>
      </c>
      <c r="E7" s="23" t="str">
        <f>IF(D7=0," ",VLOOKUP(D7,'BASE DATOS'!A:B,2,0))</f>
        <v>MEDALLONES UG 40 x 110 grs</v>
      </c>
      <c r="F7" s="23" t="str">
        <f t="shared" si="1"/>
        <v>UG0013 - MEDALLONES UG 40 x 110 grs</v>
      </c>
      <c r="G7" s="28">
        <v>0</v>
      </c>
      <c r="H7" s="28">
        <f>48*4.4</f>
        <v>211.20000000000002</v>
      </c>
      <c r="I7" s="72" t="s">
        <v>957</v>
      </c>
      <c r="J7" s="23" t="s">
        <v>271</v>
      </c>
      <c r="K7" s="23" t="s">
        <v>271</v>
      </c>
      <c r="N7" s="70" t="s">
        <v>972</v>
      </c>
    </row>
    <row r="8" spans="2:14" ht="16">
      <c r="B8" s="79">
        <v>45735</v>
      </c>
      <c r="C8" s="78">
        <f t="shared" si="0"/>
        <v>3</v>
      </c>
      <c r="D8" s="30" t="s">
        <v>426</v>
      </c>
      <c r="E8" s="23" t="str">
        <f>IF(D8=0," ",VLOOKUP(D8,'BASE DATOS'!A:B,2,0))</f>
        <v>MEDALLONES UG 60 x 83 grs</v>
      </c>
      <c r="F8" s="23" t="str">
        <f t="shared" si="1"/>
        <v>UG0005 - MEDALLONES UG 60 x 83 grs</v>
      </c>
      <c r="G8" s="28">
        <v>0</v>
      </c>
      <c r="H8" s="23">
        <f>91*5</f>
        <v>455</v>
      </c>
      <c r="I8" s="72" t="s">
        <v>965</v>
      </c>
      <c r="J8" s="23" t="s">
        <v>271</v>
      </c>
      <c r="K8" s="23" t="s">
        <v>271</v>
      </c>
      <c r="N8" s="70" t="s">
        <v>960</v>
      </c>
    </row>
    <row r="9" spans="2:14" ht="32">
      <c r="B9" s="79">
        <v>45735</v>
      </c>
      <c r="C9" s="78">
        <f t="shared" si="0"/>
        <v>3</v>
      </c>
      <c r="D9" s="30" t="s">
        <v>395</v>
      </c>
      <c r="E9" s="23" t="str">
        <f>IF(D9=0," ",VLOOKUP(D9,'BASE DATOS'!A:B,2,0))</f>
        <v xml:space="preserve">HAMBURGUESA UG 72 x 69 grs </v>
      </c>
      <c r="F9" s="23" t="str">
        <f t="shared" si="1"/>
        <v xml:space="preserve">UG0045 - HAMBURGUESA UG 72 x 69 grs </v>
      </c>
      <c r="G9" s="28">
        <v>0</v>
      </c>
      <c r="H9" s="23">
        <v>10</v>
      </c>
      <c r="I9" s="72" t="s">
        <v>960</v>
      </c>
      <c r="J9" s="23" t="s">
        <v>271</v>
      </c>
      <c r="K9" s="23" t="s">
        <v>271</v>
      </c>
      <c r="N9" s="70" t="s">
        <v>980</v>
      </c>
    </row>
    <row r="10" spans="2:14" ht="16">
      <c r="B10" s="79">
        <v>45735</v>
      </c>
      <c r="C10" s="78">
        <f t="shared" si="0"/>
        <v>3</v>
      </c>
      <c r="D10" s="30" t="s">
        <v>441</v>
      </c>
      <c r="E10" s="23" t="str">
        <f>IF(D10=0," ",VLOOKUP(D10,'BASE DATOS'!A:B,2,0))</f>
        <v>MEDALLON TUKI 18 x 4 X 63 G</v>
      </c>
      <c r="F10" s="23" t="str">
        <f t="shared" si="1"/>
        <v>MTUK001 - MEDALLON TUKI 18 x 4 X 63 G</v>
      </c>
      <c r="G10" s="28">
        <v>0</v>
      </c>
      <c r="H10" s="28">
        <f>13*18*4*0.063</f>
        <v>58.968000000000004</v>
      </c>
      <c r="I10" s="72" t="s">
        <v>957</v>
      </c>
      <c r="J10" s="23" t="s">
        <v>271</v>
      </c>
      <c r="K10" s="23" t="s">
        <v>271</v>
      </c>
      <c r="N10" s="70" t="s">
        <v>965</v>
      </c>
    </row>
    <row r="11" spans="2:14" ht="32">
      <c r="B11" s="79">
        <v>45735</v>
      </c>
      <c r="C11" s="78">
        <f t="shared" si="0"/>
        <v>3</v>
      </c>
      <c r="D11" s="30" t="s">
        <v>550</v>
      </c>
      <c r="E11" s="23" t="str">
        <f>IF(D11=0," ",VLOOKUP(D11,'BASE DATOS'!A:B,2,0))</f>
        <v>HAMBURGUESA VICTORIA 72 X 69</v>
      </c>
      <c r="F11" s="23" t="str">
        <f t="shared" si="1"/>
        <v>H533 - HAMBURGUESA VICTORIA 72 X 69</v>
      </c>
      <c r="G11" s="28">
        <v>0</v>
      </c>
      <c r="H11" s="23">
        <v>150</v>
      </c>
      <c r="I11" s="72" t="s">
        <v>960</v>
      </c>
      <c r="J11" s="23" t="s">
        <v>271</v>
      </c>
      <c r="K11" s="23" t="s">
        <v>271</v>
      </c>
      <c r="N11" s="70" t="s">
        <v>979</v>
      </c>
    </row>
    <row r="12" spans="2:14" ht="16">
      <c r="B12" s="79">
        <v>45735</v>
      </c>
      <c r="C12" s="78">
        <f t="shared" si="0"/>
        <v>3</v>
      </c>
      <c r="D12" s="30" t="s">
        <v>388</v>
      </c>
      <c r="E12" s="23" t="str">
        <f>IF(D12=0," ",VLOOKUP(D12,'BASE DATOS'!A:B,2,0))</f>
        <v>MEDALLONES ARO 40 x 110 grs</v>
      </c>
      <c r="F12" s="23" t="str">
        <f t="shared" si="1"/>
        <v>H018 - MEDALLONES ARO 40 x 110 grs</v>
      </c>
      <c r="G12" s="28">
        <v>0</v>
      </c>
      <c r="H12" s="23">
        <f>60*4.4</f>
        <v>264</v>
      </c>
      <c r="I12" s="72" t="s">
        <v>965</v>
      </c>
      <c r="J12" s="23" t="s">
        <v>271</v>
      </c>
      <c r="K12" s="44">
        <v>45738</v>
      </c>
      <c r="N12" s="70" t="s">
        <v>968</v>
      </c>
    </row>
    <row r="13" spans="2:14" ht="16">
      <c r="B13" s="79">
        <v>45736</v>
      </c>
      <c r="C13" s="78">
        <f t="shared" si="0"/>
        <v>3</v>
      </c>
      <c r="D13" s="30" t="s">
        <v>395</v>
      </c>
      <c r="E13" s="23" t="str">
        <f>IF(D13=0," ",VLOOKUP(D13,'BASE DATOS'!A:B,2,0))</f>
        <v xml:space="preserve">HAMBURGUESA UG 72 x 69 grs </v>
      </c>
      <c r="F13" s="23" t="str">
        <f t="shared" si="1"/>
        <v xml:space="preserve">UG0045 - HAMBURGUESA UG 72 x 69 grs </v>
      </c>
      <c r="G13" s="28">
        <v>0</v>
      </c>
      <c r="H13" s="28">
        <f>34*5</f>
        <v>170</v>
      </c>
      <c r="I13" s="72" t="s">
        <v>957</v>
      </c>
      <c r="J13" s="23" t="s">
        <v>271</v>
      </c>
      <c r="K13" s="44">
        <v>45738</v>
      </c>
      <c r="N13" s="70" t="s">
        <v>955</v>
      </c>
    </row>
    <row r="14" spans="2:14" ht="16">
      <c r="B14" s="79">
        <v>45736</v>
      </c>
      <c r="C14" s="78">
        <f t="shared" si="0"/>
        <v>3</v>
      </c>
      <c r="D14" s="30" t="s">
        <v>557</v>
      </c>
      <c r="E14" s="23" t="str">
        <f>IF(D14=0," ",VLOOKUP(D14,'BASE DATOS'!A:B,2,0))</f>
        <v>HAMBURGUESAS UNION GANADERA 12 X 8 X 120 G</v>
      </c>
      <c r="F14" s="23" t="str">
        <f t="shared" si="1"/>
        <v>UG0057 - HAMBURGUESAS UNION GANADERA 12 X 8 X 120 G</v>
      </c>
      <c r="G14" s="28">
        <v>0</v>
      </c>
      <c r="H14" s="904">
        <f>12*8*0.12*6</f>
        <v>69.12</v>
      </c>
      <c r="I14" s="72" t="s">
        <v>977</v>
      </c>
      <c r="J14" s="23" t="s">
        <v>271</v>
      </c>
      <c r="K14" s="23" t="s">
        <v>271</v>
      </c>
      <c r="N14" s="70" t="s">
        <v>977</v>
      </c>
    </row>
    <row r="15" spans="2:14" ht="16">
      <c r="B15" s="79">
        <v>45736</v>
      </c>
      <c r="C15" s="78">
        <f t="shared" si="0"/>
        <v>3</v>
      </c>
      <c r="D15" s="30" t="s">
        <v>441</v>
      </c>
      <c r="E15" s="23" t="str">
        <f>IF(D15=0," ",VLOOKUP(D15,'BASE DATOS'!A:B,2,0))</f>
        <v>MEDALLON TUKI 18 x 4 X 63 G</v>
      </c>
      <c r="F15" s="23" t="str">
        <f t="shared" si="1"/>
        <v>MTUK001 - MEDALLON TUKI 18 x 4 X 63 G</v>
      </c>
      <c r="G15" s="28">
        <v>0</v>
      </c>
      <c r="H15" s="28">
        <f>18*4*0.063*31</f>
        <v>140.61599999999999</v>
      </c>
      <c r="I15" s="72" t="s">
        <v>957</v>
      </c>
      <c r="J15" s="23" t="s">
        <v>271</v>
      </c>
      <c r="K15" s="23" t="s">
        <v>271</v>
      </c>
      <c r="N15" s="69" t="s">
        <v>967</v>
      </c>
    </row>
    <row r="16" spans="2:14" ht="16">
      <c r="B16" s="79">
        <v>45736</v>
      </c>
      <c r="C16" s="78">
        <f t="shared" si="0"/>
        <v>3</v>
      </c>
      <c r="D16" s="30" t="s">
        <v>414</v>
      </c>
      <c r="E16" s="23" t="str">
        <f>IF(D16=0," ",VLOOKUP(D16,'BASE DATOS'!A:B,2,0))</f>
        <v>MEDALLONES VICTORIA 60 x 69 grs</v>
      </c>
      <c r="F16" s="23" t="str">
        <f t="shared" si="1"/>
        <v>H515 - MEDALLONES VICTORIA 60 x 69 grs</v>
      </c>
      <c r="G16" s="28">
        <v>0</v>
      </c>
      <c r="H16" s="28">
        <f>60*0.069*5</f>
        <v>20.700000000000003</v>
      </c>
      <c r="I16" s="72" t="s">
        <v>957</v>
      </c>
      <c r="J16" s="23" t="s">
        <v>271</v>
      </c>
      <c r="K16" s="44">
        <v>45738</v>
      </c>
      <c r="N16" s="69" t="s">
        <v>962</v>
      </c>
    </row>
    <row r="17" spans="1:14" ht="32">
      <c r="B17" s="79">
        <v>45736</v>
      </c>
      <c r="C17" s="78">
        <f t="shared" si="0"/>
        <v>3</v>
      </c>
      <c r="D17" s="30" t="s">
        <v>651</v>
      </c>
      <c r="E17" s="23" t="str">
        <f>IF(D17=0," ",VLOOKUP(D17,'BASE DATOS'!A:B,2,0))</f>
        <v>HAMBURGUESA DIA % 18 x 4 x 80 grs</v>
      </c>
      <c r="F17" s="23" t="str">
        <f t="shared" si="1"/>
        <v>H077 - HAMBURGUESA DIA % 18 x 4 x 80 grs</v>
      </c>
      <c r="G17" s="28">
        <v>0</v>
      </c>
      <c r="H17" s="28">
        <f>18*4*0.08*169</f>
        <v>973.43999999999994</v>
      </c>
      <c r="I17" s="72" t="s">
        <v>960</v>
      </c>
      <c r="J17" s="23" t="s">
        <v>271</v>
      </c>
      <c r="K17" s="23" t="s">
        <v>271</v>
      </c>
      <c r="N17" s="70" t="s">
        <v>970</v>
      </c>
    </row>
    <row r="18" spans="1:14" ht="16">
      <c r="B18" s="79">
        <v>45736</v>
      </c>
      <c r="C18" s="78">
        <f t="shared" si="0"/>
        <v>3</v>
      </c>
      <c r="D18" s="30" t="s">
        <v>452</v>
      </c>
      <c r="E18" s="23" t="s">
        <v>1064</v>
      </c>
      <c r="F18" s="23" t="str">
        <f t="shared" si="1"/>
        <v>HFR001 - HAMBURGUESA RIOPLATENSE 60X83 GRS</v>
      </c>
      <c r="G18" s="28">
        <v>0</v>
      </c>
      <c r="H18" s="28">
        <f>550*5</f>
        <v>2750</v>
      </c>
      <c r="I18" s="72" t="s">
        <v>958</v>
      </c>
      <c r="J18" s="23" t="s">
        <v>271</v>
      </c>
      <c r="K18" s="23" t="s">
        <v>271</v>
      </c>
    </row>
    <row r="19" spans="1:14" ht="16">
      <c r="B19" s="79">
        <v>45737</v>
      </c>
      <c r="C19" s="78">
        <f t="shared" si="0"/>
        <v>3</v>
      </c>
      <c r="D19" s="30" t="s">
        <v>402</v>
      </c>
      <c r="E19" s="23" t="str">
        <f>IF(D19=0," ",VLOOKUP(D19,'BASE DATOS'!A:B,2,0))</f>
        <v xml:space="preserve">HAMBURGUESA UG 60 x 83 grs </v>
      </c>
      <c r="F19" s="23" t="str">
        <f t="shared" si="1"/>
        <v xml:space="preserve">H046 - HAMBURGUESA UG 60 x 83 grs </v>
      </c>
      <c r="G19" s="28">
        <v>74</v>
      </c>
      <c r="H19" s="905">
        <f>IFERROR((VLOOKUP(D19,'BASE DATOS'!A:C,3,0)*G19),0)</f>
        <v>368.52000000000004</v>
      </c>
      <c r="I19" s="72" t="s">
        <v>958</v>
      </c>
      <c r="J19" s="23" t="s">
        <v>271</v>
      </c>
      <c r="K19" s="23" t="s">
        <v>271</v>
      </c>
      <c r="L19" t="s">
        <v>1065</v>
      </c>
    </row>
    <row r="20" spans="1:14" ht="16">
      <c r="B20" s="79">
        <v>45737</v>
      </c>
      <c r="C20" s="78">
        <f t="shared" si="0"/>
        <v>3</v>
      </c>
      <c r="D20" s="30" t="s">
        <v>407</v>
      </c>
      <c r="E20" s="23" t="str">
        <f>IF(D20=0," ",VLOOKUP(D20,'BASE DATOS'!A:B,2,0))</f>
        <v>HAMBURGUESA UG 10 x 12 x 83 grs</v>
      </c>
      <c r="F20" s="23" t="str">
        <f t="shared" si="1"/>
        <v>UG0048 - HAMBURGUESA UG 10 x 12 x 83 grs</v>
      </c>
      <c r="G20" s="28">
        <v>0</v>
      </c>
      <c r="H20" s="905">
        <f>IFERROR((VLOOKUP(D20,'BASE DATOS'!A:C,3,0)*G20),0)</f>
        <v>0</v>
      </c>
      <c r="I20" s="72" t="s">
        <v>958</v>
      </c>
      <c r="J20" s="23" t="s">
        <v>271</v>
      </c>
      <c r="K20" s="23" t="s">
        <v>271</v>
      </c>
      <c r="L20" t="s">
        <v>1065</v>
      </c>
    </row>
    <row r="21" spans="1:14" ht="16">
      <c r="B21" s="79">
        <v>45737</v>
      </c>
      <c r="C21" s="78">
        <f t="shared" si="0"/>
        <v>3</v>
      </c>
      <c r="D21" s="30" t="s">
        <v>509</v>
      </c>
      <c r="E21" s="23" t="str">
        <f>IF(D21=0," ",VLOOKUP(D21,'BASE DATOS'!A:B,2,0))</f>
        <v>HAMBURGUESAS UG 18 X 4 X 83 GRS</v>
      </c>
      <c r="F21" s="23" t="str">
        <f t="shared" si="1"/>
        <v>UG0047 - HAMBURGUESAS UG 18 X 4 X 83 GRS</v>
      </c>
      <c r="G21" s="28">
        <v>119</v>
      </c>
      <c r="H21" s="905">
        <f>IFERROR((VLOOKUP(D21,'BASE DATOS'!A:C,3,0)*G21),0)</f>
        <v>711.62</v>
      </c>
      <c r="I21" s="72" t="s">
        <v>958</v>
      </c>
      <c r="J21" s="23" t="s">
        <v>271</v>
      </c>
      <c r="K21" s="23" t="s">
        <v>271</v>
      </c>
      <c r="L21" t="s">
        <v>1065</v>
      </c>
    </row>
    <row r="22" spans="1:14" ht="16">
      <c r="B22" s="79">
        <v>45737</v>
      </c>
      <c r="C22" s="78">
        <f t="shared" si="0"/>
        <v>3</v>
      </c>
      <c r="D22" s="30" t="s">
        <v>504</v>
      </c>
      <c r="E22" s="23" t="str">
        <f>IF(D22=0," ",VLOOKUP(D22,'BASE DATOS'!A:B,2,0))</f>
        <v>HAMBURGUESA UG 18 x 4 x 69 grs</v>
      </c>
      <c r="F22" s="23" t="str">
        <f t="shared" si="1"/>
        <v>UG0053 - HAMBURGUESA UG 18 x 4 x 69 grs</v>
      </c>
      <c r="G22" s="28">
        <v>161</v>
      </c>
      <c r="H22" s="905">
        <f>IFERROR((VLOOKUP(D22,'BASE DATOS'!A:C,3,0)*G22),0)</f>
        <v>800.17</v>
      </c>
      <c r="I22" s="72" t="s">
        <v>958</v>
      </c>
      <c r="J22" s="23" t="s">
        <v>271</v>
      </c>
      <c r="K22" s="23" t="s">
        <v>271</v>
      </c>
      <c r="L22" t="s">
        <v>1065</v>
      </c>
    </row>
    <row r="23" spans="1:14" ht="16">
      <c r="B23" s="79">
        <v>45737</v>
      </c>
      <c r="C23" s="78">
        <f t="shared" si="0"/>
        <v>3</v>
      </c>
      <c r="D23" s="30" t="s">
        <v>426</v>
      </c>
      <c r="E23" s="23" t="str">
        <f>IF(D23=0," ",VLOOKUP(D23,'BASE DATOS'!A:B,2,0))</f>
        <v>MEDALLONES UG 60 x 83 grs</v>
      </c>
      <c r="F23" s="23" t="str">
        <f t="shared" si="1"/>
        <v>UG0005 - MEDALLONES UG 60 x 83 grs</v>
      </c>
      <c r="G23" s="28">
        <v>98</v>
      </c>
      <c r="H23" s="905">
        <f>IFERROR((VLOOKUP(D23,'BASE DATOS'!A:C,3,0)*G23),0)</f>
        <v>488.04</v>
      </c>
      <c r="I23" s="72" t="s">
        <v>958</v>
      </c>
      <c r="J23" s="23" t="s">
        <v>271</v>
      </c>
      <c r="K23" s="23" t="s">
        <v>271</v>
      </c>
      <c r="L23" t="s">
        <v>1065</v>
      </c>
    </row>
    <row r="24" spans="1:14" ht="16">
      <c r="B24" s="79">
        <v>45737</v>
      </c>
      <c r="C24" s="78">
        <f t="shared" si="0"/>
        <v>3</v>
      </c>
      <c r="D24" s="30" t="s">
        <v>415</v>
      </c>
      <c r="E24" s="23" t="str">
        <f>IF(D24=0," ",VLOOKUP(D24,'BASE DATOS'!A:B,2,0))</f>
        <v>HAMBURGUESA UG 6 x 20 x 83 grs</v>
      </c>
      <c r="F24" s="23" t="str">
        <f t="shared" si="1"/>
        <v>UG0049 - HAMBURGUESA UG 6 x 20 x 83 grs</v>
      </c>
      <c r="G24" s="28">
        <v>261</v>
      </c>
      <c r="H24" s="905">
        <f>IFERROR((VLOOKUP(D24,'BASE DATOS'!A:C,3,0)*G24),0)</f>
        <v>2599.5600000000004</v>
      </c>
      <c r="I24" s="72" t="s">
        <v>958</v>
      </c>
      <c r="J24" s="23" t="s">
        <v>271</v>
      </c>
      <c r="K24" s="23" t="s">
        <v>271</v>
      </c>
      <c r="L24" t="s">
        <v>1065</v>
      </c>
    </row>
    <row r="25" spans="1:14" ht="16">
      <c r="A25" s="245"/>
      <c r="B25" s="79">
        <v>45737</v>
      </c>
      <c r="C25" s="78">
        <f t="shared" si="0"/>
        <v>3</v>
      </c>
      <c r="D25" s="30" t="s">
        <v>417</v>
      </c>
      <c r="E25" s="23" t="str">
        <f>IF(D25=0," ",VLOOKUP(D25,'BASE DATOS'!A:B,2,0))</f>
        <v>HAMBURGUESA UG 30 x 2 x 83 grs</v>
      </c>
      <c r="F25" s="23" t="str">
        <f t="shared" si="1"/>
        <v>UG0052 - HAMBURGUESA UG 30 x 2 x 83 grs</v>
      </c>
      <c r="G25" s="28">
        <v>204</v>
      </c>
      <c r="H25" s="905">
        <f>IFERROR((VLOOKUP(D25,'BASE DATOS'!A:C,3,0)*G25),0)</f>
        <v>1015.9200000000001</v>
      </c>
      <c r="I25" s="72" t="s">
        <v>958</v>
      </c>
      <c r="J25" s="23" t="s">
        <v>271</v>
      </c>
      <c r="K25" s="23" t="s">
        <v>271</v>
      </c>
      <c r="L25" t="s">
        <v>1065</v>
      </c>
    </row>
    <row r="26" spans="1:14" ht="16">
      <c r="A26" s="245"/>
      <c r="B26" s="79">
        <v>45737</v>
      </c>
      <c r="C26" s="78">
        <f t="shared" si="0"/>
        <v>3</v>
      </c>
      <c r="D26" s="30" t="s">
        <v>441</v>
      </c>
      <c r="E26" s="23" t="str">
        <f>IF(D26=0," ",VLOOKUP(D26,'BASE DATOS'!A:B,2,0))</f>
        <v>MEDALLON TUKI 18 x 4 X 63 G</v>
      </c>
      <c r="F26" s="23" t="str">
        <f t="shared" si="1"/>
        <v>MTUK001 - MEDALLON TUKI 18 x 4 X 63 G</v>
      </c>
      <c r="G26" s="28">
        <v>22</v>
      </c>
      <c r="H26" s="905">
        <f>IFERROR((VLOOKUP(D26,'BASE DATOS'!A:C,3,0)*G26),0)</f>
        <v>99.88</v>
      </c>
      <c r="I26" s="72" t="s">
        <v>957</v>
      </c>
      <c r="J26" s="23" t="s">
        <v>271</v>
      </c>
      <c r="K26" s="23" t="s">
        <v>271</v>
      </c>
      <c r="L26" t="s">
        <v>1065</v>
      </c>
    </row>
    <row r="27" spans="1:14" ht="32">
      <c r="A27" s="245"/>
      <c r="B27" s="79">
        <v>45737</v>
      </c>
      <c r="C27" s="78">
        <f t="shared" si="0"/>
        <v>3</v>
      </c>
      <c r="D27" s="30" t="s">
        <v>414</v>
      </c>
      <c r="E27" s="23" t="str">
        <f>IF(D27=0," ",VLOOKUP(D27,'BASE DATOS'!A:B,2,0))</f>
        <v>MEDALLONES VICTORIA 60 x 69 grs</v>
      </c>
      <c r="F27" s="23" t="str">
        <f t="shared" si="1"/>
        <v>H515 - MEDALLONES VICTORIA 60 x 69 grs</v>
      </c>
      <c r="G27" s="28">
        <v>101</v>
      </c>
      <c r="H27" s="905">
        <f>IFERROR((VLOOKUP(D27,'BASE DATOS'!A:C,3,0)*G27),0)</f>
        <v>418.14</v>
      </c>
      <c r="I27" s="72" t="s">
        <v>960</v>
      </c>
      <c r="J27" s="23" t="s">
        <v>271</v>
      </c>
      <c r="K27" s="23" t="s">
        <v>271</v>
      </c>
      <c r="L27" t="s">
        <v>1065</v>
      </c>
    </row>
    <row r="28" spans="1:14" ht="16">
      <c r="A28" s="245"/>
      <c r="B28" s="79">
        <v>45737</v>
      </c>
      <c r="C28" s="78">
        <f t="shared" si="0"/>
        <v>3</v>
      </c>
      <c r="D28" s="30" t="s">
        <v>421</v>
      </c>
      <c r="E28" s="23" t="str">
        <f>IF(D28=0," ",VLOOKUP(D28,'BASE DATOS'!A:B,2,0))</f>
        <v>MEDALLONES CAMPO NUESTRO 40 x 110 grs</v>
      </c>
      <c r="F28" s="23" t="str">
        <f t="shared" si="1"/>
        <v>H213 - MEDALLONES CAMPO NUESTRO 40 x 110 grs</v>
      </c>
      <c r="G28" s="28">
        <v>96</v>
      </c>
      <c r="H28" s="905">
        <f>IFERROR((VLOOKUP(D28,'BASE DATOS'!A:C,3,0)*G28),0)</f>
        <v>422.40000000000003</v>
      </c>
      <c r="I28" s="72" t="s">
        <v>957</v>
      </c>
      <c r="J28" s="23" t="s">
        <v>271</v>
      </c>
      <c r="K28" s="23" t="s">
        <v>271</v>
      </c>
      <c r="L28" t="s">
        <v>1065</v>
      </c>
    </row>
    <row r="29" spans="1:14" ht="16">
      <c r="A29" s="245"/>
      <c r="B29" s="79">
        <v>45737</v>
      </c>
      <c r="C29" s="78">
        <f t="shared" si="0"/>
        <v>3</v>
      </c>
      <c r="D29" s="30" t="s">
        <v>395</v>
      </c>
      <c r="E29" s="23" t="str">
        <f>IF(D29=0," ",VLOOKUP(D29,'BASE DATOS'!A:B,2,0))</f>
        <v xml:space="preserve">HAMBURGUESA UG 72 x 69 grs </v>
      </c>
      <c r="F29" s="23" t="str">
        <f t="shared" si="1"/>
        <v xml:space="preserve">UG0045 - HAMBURGUESA UG 72 x 69 grs </v>
      </c>
      <c r="G29" s="28">
        <v>10</v>
      </c>
      <c r="H29" s="905">
        <f>IFERROR((VLOOKUP(D29,'BASE DATOS'!A:C,3,0)*G29),0)</f>
        <v>49.699999999999996</v>
      </c>
      <c r="I29" s="72" t="s">
        <v>958</v>
      </c>
      <c r="J29" s="23" t="s">
        <v>271</v>
      </c>
      <c r="K29" s="23" t="s">
        <v>271</v>
      </c>
      <c r="L29" t="s">
        <v>1065</v>
      </c>
    </row>
    <row r="30" spans="1:14" ht="16">
      <c r="A30" s="245"/>
      <c r="B30" s="79">
        <v>45737</v>
      </c>
      <c r="C30" s="78">
        <f t="shared" si="0"/>
        <v>3</v>
      </c>
      <c r="D30" s="30" t="s">
        <v>441</v>
      </c>
      <c r="E30" s="23" t="str">
        <f>IF(D30=0," ",VLOOKUP(D30,'BASE DATOS'!A:B,2,0))</f>
        <v>MEDALLON TUKI 18 x 4 X 63 G</v>
      </c>
      <c r="F30" s="23" t="str">
        <f t="shared" si="1"/>
        <v>MTUK001 - MEDALLON TUKI 18 x 4 X 63 G</v>
      </c>
      <c r="G30" s="28">
        <v>20</v>
      </c>
      <c r="H30" s="905">
        <f>IFERROR((VLOOKUP(D30,'BASE DATOS'!A:C,3,0)*G30),0)</f>
        <v>90.8</v>
      </c>
      <c r="I30" s="72" t="s">
        <v>957</v>
      </c>
      <c r="J30" s="23" t="s">
        <v>271</v>
      </c>
      <c r="K30" s="23" t="s">
        <v>271</v>
      </c>
      <c r="L30" t="s">
        <v>1066</v>
      </c>
    </row>
    <row r="31" spans="1:14" ht="16">
      <c r="A31" s="245"/>
      <c r="B31" s="79">
        <v>45737</v>
      </c>
      <c r="C31" s="78">
        <f t="shared" si="0"/>
        <v>3</v>
      </c>
      <c r="D31" s="30" t="s">
        <v>403</v>
      </c>
      <c r="E31" s="23" t="str">
        <f>IF(D31=0," ",VLOOKUP(D31,'BASE DATOS'!A:B,2,0))</f>
        <v>MEDALLONES PACHECO FIRST 60 x 83 grs</v>
      </c>
      <c r="F31" s="23" t="str">
        <f t="shared" si="1"/>
        <v>H110 - MEDALLONES PACHECO FIRST 60 x 83 grs</v>
      </c>
      <c r="G31" s="28">
        <v>80</v>
      </c>
      <c r="H31" s="905">
        <f>IFERROR((VLOOKUP(D31,'BASE DATOS'!A:C,3,0)*G31),0)</f>
        <v>398.40000000000003</v>
      </c>
      <c r="I31" s="72" t="s">
        <v>957</v>
      </c>
      <c r="J31" s="23" t="s">
        <v>271</v>
      </c>
      <c r="K31" s="906">
        <v>45741</v>
      </c>
      <c r="L31" t="s">
        <v>1066</v>
      </c>
    </row>
    <row r="32" spans="1:14" ht="16">
      <c r="A32" s="245"/>
      <c r="B32" s="79">
        <v>45737</v>
      </c>
      <c r="C32" s="78">
        <f t="shared" si="0"/>
        <v>3</v>
      </c>
      <c r="D32" s="30" t="s">
        <v>460</v>
      </c>
      <c r="E32" s="23" t="str">
        <f>IF(D32=0," ",VLOOKUP(D32,'BASE DATOS'!A:B,2,0))</f>
        <v>ALBONDIGA A GRANEL</v>
      </c>
      <c r="F32" s="23" t="str">
        <f t="shared" si="1"/>
        <v>H990 - ALBONDIGA A GRANEL</v>
      </c>
      <c r="G32" s="28">
        <v>250</v>
      </c>
      <c r="H32" s="905">
        <f>IFERROR((VLOOKUP(D32,'BASE DATOS'!A:C,3,0)*G32),0)</f>
        <v>2250</v>
      </c>
      <c r="I32" s="72" t="s">
        <v>968</v>
      </c>
      <c r="J32" s="23" t="s">
        <v>271</v>
      </c>
      <c r="K32" s="23" t="s">
        <v>271</v>
      </c>
      <c r="L32" t="s">
        <v>1066</v>
      </c>
    </row>
    <row r="33" spans="1:12" ht="32">
      <c r="A33" s="245"/>
      <c r="B33" s="79">
        <v>45741</v>
      </c>
      <c r="C33" s="78">
        <f t="shared" si="0"/>
        <v>3</v>
      </c>
      <c r="D33" s="30" t="s">
        <v>441</v>
      </c>
      <c r="E33" s="23" t="str">
        <f>IF(D33=0," ",VLOOKUP(D33,'BASE DATOS'!A:B,2,0))</f>
        <v>MEDALLON TUKI 18 x 4 X 63 G</v>
      </c>
      <c r="F33" s="23" t="str">
        <f t="shared" si="1"/>
        <v>MTUK001 - MEDALLON TUKI 18 x 4 X 63 G</v>
      </c>
      <c r="G33" s="28">
        <v>14</v>
      </c>
      <c r="H33" s="905">
        <f>IFERROR((VLOOKUP(D33,'BASE DATOS'!A:C,3,0)*G33),0)</f>
        <v>63.56</v>
      </c>
      <c r="I33" s="72" t="s">
        <v>960</v>
      </c>
      <c r="J33" s="23" t="s">
        <v>271</v>
      </c>
      <c r="K33" s="23" t="s">
        <v>271</v>
      </c>
    </row>
    <row r="34" spans="1:12" ht="16">
      <c r="A34" s="245"/>
      <c r="B34" s="79">
        <v>45741</v>
      </c>
      <c r="C34" s="78">
        <f t="shared" si="0"/>
        <v>3</v>
      </c>
      <c r="D34" s="30" t="s">
        <v>414</v>
      </c>
      <c r="E34" s="23" t="str">
        <f>IF(D34=0," ",VLOOKUP(D34,'BASE DATOS'!A:B,2,0))</f>
        <v>MEDALLONES VICTORIA 60 x 69 grs</v>
      </c>
      <c r="F34" s="23" t="str">
        <f t="shared" si="1"/>
        <v>H515 - MEDALLONES VICTORIA 60 x 69 grs</v>
      </c>
      <c r="G34" s="28">
        <v>80</v>
      </c>
      <c r="H34" s="905">
        <f>IFERROR((VLOOKUP(D34,'BASE DATOS'!A:C,3,0)*G34),0)</f>
        <v>331.2</v>
      </c>
      <c r="I34" s="72" t="s">
        <v>957</v>
      </c>
      <c r="J34" s="23" t="s">
        <v>271</v>
      </c>
      <c r="K34" s="23" t="s">
        <v>271</v>
      </c>
    </row>
    <row r="35" spans="1:12" ht="16">
      <c r="A35" s="245"/>
      <c r="B35" s="79">
        <v>45741</v>
      </c>
      <c r="C35" s="78">
        <f t="shared" si="0"/>
        <v>3</v>
      </c>
      <c r="D35" s="30" t="s">
        <v>532</v>
      </c>
      <c r="E35" s="23" t="str">
        <f>IF(D35=0," ",VLOOKUP(D35,'BASE DATOS'!A:B,2,0))</f>
        <v>MEDALLONES P, FIRST 60 X 69 grs</v>
      </c>
      <c r="F35" s="23" t="str">
        <f t="shared" si="1"/>
        <v>H115 - MEDALLONES P, FIRST 60 X 69 grs</v>
      </c>
      <c r="G35" s="28">
        <v>20</v>
      </c>
      <c r="H35" s="905">
        <f>IFERROR((VLOOKUP(D35,'BASE DATOS'!A:C,3,0)*G35),0)</f>
        <v>82.8</v>
      </c>
      <c r="I35" s="72" t="s">
        <v>955</v>
      </c>
      <c r="J35" s="23" t="s">
        <v>271</v>
      </c>
      <c r="K35" s="23" t="s">
        <v>271</v>
      </c>
    </row>
    <row r="36" spans="1:12" ht="16">
      <c r="A36" s="245"/>
      <c r="B36" s="79">
        <v>45742</v>
      </c>
      <c r="C36" s="78">
        <f t="shared" si="0"/>
        <v>3</v>
      </c>
      <c r="D36" s="30" t="s">
        <v>1067</v>
      </c>
      <c r="E36" s="23" t="str">
        <f>IF(D36=0," ",VLOOKUP(D36,'BASE DATOS'!A:B,2,0))</f>
        <v>MEDALLONES UG 36 x 83 grs</v>
      </c>
      <c r="F36" s="23" t="str">
        <f t="shared" si="1"/>
        <v>ug0030 - MEDALLONES UG 36 x 83 grs</v>
      </c>
      <c r="G36" s="28">
        <v>1</v>
      </c>
      <c r="H36" s="905">
        <f>IFERROR((VLOOKUP(D36,'BASE DATOS'!A:C,3,0)*G36),0)</f>
        <v>2.99</v>
      </c>
      <c r="I36" s="72" t="s">
        <v>980</v>
      </c>
      <c r="J36" s="23" t="s">
        <v>271</v>
      </c>
      <c r="K36" s="23" t="s">
        <v>271</v>
      </c>
    </row>
    <row r="37" spans="1:12" ht="32">
      <c r="A37" s="245"/>
      <c r="B37" s="79">
        <v>45742</v>
      </c>
      <c r="C37" s="78">
        <f t="shared" si="0"/>
        <v>3</v>
      </c>
      <c r="D37" s="30" t="s">
        <v>522</v>
      </c>
      <c r="E37" s="23" t="str">
        <f>IF(D37=0," ",VLOOKUP(D37,'BASE DATOS'!A:B,2,0))</f>
        <v>HAMBURGUESA TUKI 60 x 80 G</v>
      </c>
      <c r="F37" s="23" t="str">
        <f t="shared" si="1"/>
        <v>HTUK003 - HAMBURGUESA TUKI 60 x 80 G</v>
      </c>
      <c r="G37" s="28">
        <v>75</v>
      </c>
      <c r="H37" s="905">
        <f>IFERROR((VLOOKUP(D37,'BASE DATOS'!A:C,3,0)*G37),0)</f>
        <v>360</v>
      </c>
      <c r="I37" s="72" t="s">
        <v>960</v>
      </c>
      <c r="J37" s="23" t="s">
        <v>271</v>
      </c>
      <c r="K37" s="23" t="s">
        <v>271</v>
      </c>
    </row>
    <row r="38" spans="1:12" s="2" customFormat="1" ht="16">
      <c r="A38" s="55"/>
      <c r="B38" s="79">
        <v>45742</v>
      </c>
      <c r="C38" s="78">
        <f t="shared" si="0"/>
        <v>3</v>
      </c>
      <c r="D38" s="30" t="s">
        <v>414</v>
      </c>
      <c r="E38" s="31" t="str">
        <f>IF(D38=0," ",VLOOKUP(D38,'BASE DATOS'!A:B,2,0))</f>
        <v>MEDALLONES VICTORIA 60 x 69 grs</v>
      </c>
      <c r="F38" s="23" t="str">
        <f t="shared" si="1"/>
        <v>H515 - MEDALLONES VICTORIA 60 x 69 grs</v>
      </c>
      <c r="G38" s="907">
        <v>54</v>
      </c>
      <c r="H38" s="908">
        <f>IFERROR((VLOOKUP(D38,'BASE DATOS'!A:C,3,0)*G38),0)</f>
        <v>223.55999999999997</v>
      </c>
      <c r="I38" s="72" t="s">
        <v>970</v>
      </c>
      <c r="J38" s="31" t="s">
        <v>996</v>
      </c>
      <c r="K38" s="909">
        <v>45745</v>
      </c>
    </row>
    <row r="39" spans="1:12" ht="32">
      <c r="A39" s="245"/>
      <c r="B39" s="79">
        <v>45742</v>
      </c>
      <c r="C39" s="78">
        <f t="shared" si="0"/>
        <v>3</v>
      </c>
      <c r="D39" s="30" t="s">
        <v>447</v>
      </c>
      <c r="E39" s="23" t="str">
        <f>IF(D39=0," ",VLOOKUP(D39,'BASE DATOS'!A:B,2,0))</f>
        <v>HAMBURGUESA DIA % 12 x 12 x 80 grs</v>
      </c>
      <c r="F39" s="23" t="str">
        <f t="shared" si="1"/>
        <v>H078 - HAMBURGUESA DIA % 12 x 12 x 80 grs</v>
      </c>
      <c r="G39" s="28">
        <v>44</v>
      </c>
      <c r="H39" s="905">
        <f>IFERROR((VLOOKUP(D39,'BASE DATOS'!A:C,3,0)*G39),0)</f>
        <v>506.88</v>
      </c>
      <c r="I39" s="72" t="s">
        <v>960</v>
      </c>
      <c r="J39" s="23" t="s">
        <v>271</v>
      </c>
      <c r="K39" s="23" t="s">
        <v>271</v>
      </c>
    </row>
    <row r="40" spans="1:12" ht="32">
      <c r="A40" s="245"/>
      <c r="B40" s="79">
        <v>45742</v>
      </c>
      <c r="C40" s="78">
        <f t="shared" si="0"/>
        <v>3</v>
      </c>
      <c r="D40" s="30" t="s">
        <v>512</v>
      </c>
      <c r="E40" s="23" t="str">
        <f>IF(D40=0," ",VLOOKUP(D40,'BASE DATOS'!A:B,2,0))</f>
        <v>HAMBURGUESA CLASSIC 6 x 20 x 83 grs</v>
      </c>
      <c r="F40" s="23" t="str">
        <f t="shared" si="1"/>
        <v>CLA003 - HAMBURGUESA CLASSIC 6 x 20 x 83 grs</v>
      </c>
      <c r="G40" s="28">
        <v>41</v>
      </c>
      <c r="H40" s="905">
        <f>IFERROR((VLOOKUP(D40,'BASE DATOS'!A:C,3,0)*G40),0)</f>
        <v>408.36</v>
      </c>
      <c r="I40" s="72" t="s">
        <v>960</v>
      </c>
      <c r="J40" s="23" t="s">
        <v>271</v>
      </c>
      <c r="K40" s="23" t="s">
        <v>271</v>
      </c>
    </row>
    <row r="41" spans="1:12" ht="32">
      <c r="A41" s="245"/>
      <c r="B41" s="79">
        <v>45743</v>
      </c>
      <c r="C41" s="78">
        <f t="shared" si="0"/>
        <v>3</v>
      </c>
      <c r="D41" s="30" t="s">
        <v>481</v>
      </c>
      <c r="E41" s="23" t="str">
        <f>IF(D41=0," ",VLOOKUP(D41,'BASE DATOS'!A:B,2,0))</f>
        <v>MEDALLONES VICTORIA 40 x 110 grs</v>
      </c>
      <c r="F41" s="23" t="str">
        <f t="shared" si="1"/>
        <v>H513 - MEDALLONES VICTORIA 40 x 110 grs</v>
      </c>
      <c r="G41" s="28">
        <v>206</v>
      </c>
      <c r="H41" s="905">
        <f>IFERROR((VLOOKUP(D41,'BASE DATOS'!A:C,3,0)*G41),0)</f>
        <v>906.40000000000009</v>
      </c>
      <c r="I41" s="72" t="s">
        <v>967</v>
      </c>
      <c r="J41" s="23" t="s">
        <v>271</v>
      </c>
      <c r="K41" s="906">
        <v>45745</v>
      </c>
    </row>
    <row r="42" spans="1:12" ht="32">
      <c r="A42" s="245"/>
      <c r="B42" s="79">
        <v>45743</v>
      </c>
      <c r="C42" s="78">
        <f t="shared" si="0"/>
        <v>3</v>
      </c>
      <c r="D42" s="30" t="s">
        <v>389</v>
      </c>
      <c r="E42" s="23" t="str">
        <f>IF(D42=0," ",VLOOKUP(D42,'BASE DATOS'!A:B,2,0))</f>
        <v>MEDALLONES CAMPO CHICO 40 x 110 grs</v>
      </c>
      <c r="F42" s="23" t="str">
        <f t="shared" si="1"/>
        <v>H413 - MEDALLONES CAMPO CHICO 40 x 110 grs</v>
      </c>
      <c r="G42" s="28">
        <v>5</v>
      </c>
      <c r="H42" s="905">
        <f>IFERROR((VLOOKUP(D42,'BASE DATOS'!A:C,3,0)*G42),0)</f>
        <v>22</v>
      </c>
      <c r="I42" s="72" t="s">
        <v>967</v>
      </c>
      <c r="J42" s="23" t="s">
        <v>271</v>
      </c>
      <c r="K42" s="906">
        <v>45745</v>
      </c>
    </row>
    <row r="43" spans="1:12" ht="16">
      <c r="A43" s="245"/>
      <c r="B43" s="79">
        <v>45744</v>
      </c>
      <c r="C43" s="78">
        <f t="shared" si="0"/>
        <v>3</v>
      </c>
      <c r="D43" s="30" t="s">
        <v>481</v>
      </c>
      <c r="E43" s="23" t="str">
        <f>IF(D43=0," ",VLOOKUP(D43,'BASE DATOS'!A:B,2,0))</f>
        <v>MEDALLONES VICTORIA 40 x 110 grs</v>
      </c>
      <c r="F43" s="23" t="str">
        <f t="shared" si="1"/>
        <v>H513 - MEDALLONES VICTORIA 40 x 110 grs</v>
      </c>
      <c r="G43" s="28">
        <v>41</v>
      </c>
      <c r="H43" s="905">
        <f>IFERROR((VLOOKUP(D43,'BASE DATOS'!A:C,3,0)*G43),0)</f>
        <v>180.4</v>
      </c>
      <c r="I43" s="72" t="s">
        <v>970</v>
      </c>
      <c r="J43" s="23" t="s">
        <v>1004</v>
      </c>
      <c r="K43" s="23" t="s">
        <v>271</v>
      </c>
      <c r="L43" t="s">
        <v>1068</v>
      </c>
    </row>
    <row r="44" spans="1:12" ht="16">
      <c r="A44" s="245"/>
      <c r="B44" s="79">
        <v>45744</v>
      </c>
      <c r="C44" s="78">
        <f t="shared" si="0"/>
        <v>3</v>
      </c>
      <c r="D44" s="30" t="s">
        <v>485</v>
      </c>
      <c r="E44" s="23" t="str">
        <f>IF(D44=0," ",VLOOKUP(D44,'BASE DATOS'!A:B,2,0))</f>
        <v>HAMBURGUESA VICTORIA 60 x 80 grs</v>
      </c>
      <c r="F44" s="23" t="str">
        <f t="shared" si="1"/>
        <v>H530 - HAMBURGUESA VICTORIA 60 x 80 grs</v>
      </c>
      <c r="G44" s="28">
        <v>85</v>
      </c>
      <c r="H44" s="905">
        <f>IFERROR((VLOOKUP(D44,'BASE DATOS'!A:C,3,0)*G44),0)</f>
        <v>408</v>
      </c>
      <c r="I44" s="72" t="s">
        <v>957</v>
      </c>
      <c r="J44" s="23" t="s">
        <v>271</v>
      </c>
      <c r="K44" s="906">
        <v>45744</v>
      </c>
      <c r="L44" t="s">
        <v>1068</v>
      </c>
    </row>
    <row r="45" spans="1:12" ht="16">
      <c r="A45" s="245"/>
      <c r="B45" s="79">
        <v>45744</v>
      </c>
      <c r="C45" s="78">
        <f t="shared" si="0"/>
        <v>3</v>
      </c>
      <c r="D45" s="30" t="s">
        <v>1069</v>
      </c>
      <c r="E45" s="23" t="str">
        <f>IF(D45=0," ",VLOOKUP(D45,'BASE DATOS'!A:B,2,0))</f>
        <v>MEDALLONES ARO  72 x 69 grs</v>
      </c>
      <c r="F45" s="23" t="str">
        <f t="shared" si="1"/>
        <v>H015 - MEDALLONES ARO  72 x 69 grs</v>
      </c>
      <c r="G45" s="28">
        <v>1</v>
      </c>
      <c r="H45" s="905">
        <f>IFERROR((VLOOKUP(D45,'BASE DATOS'!A:C,3,0)*G45),0)</f>
        <v>4.97</v>
      </c>
      <c r="I45" s="72" t="s">
        <v>957</v>
      </c>
      <c r="J45" s="23" t="s">
        <v>271</v>
      </c>
      <c r="K45" s="23" t="s">
        <v>271</v>
      </c>
      <c r="L45" t="s">
        <v>1070</v>
      </c>
    </row>
    <row r="46" spans="1:12" ht="32">
      <c r="A46" s="245"/>
      <c r="B46" s="79">
        <v>45747</v>
      </c>
      <c r="C46" s="78">
        <f t="shared" si="0"/>
        <v>3</v>
      </c>
      <c r="D46" s="30" t="s">
        <v>522</v>
      </c>
      <c r="E46" s="23" t="str">
        <f>IF(D46=0," ",VLOOKUP(D46,'BASE DATOS'!A:B,2,0))</f>
        <v>HAMBURGUESA TUKI 60 x 80 G</v>
      </c>
      <c r="F46" s="23" t="str">
        <f t="shared" si="1"/>
        <v>HTUK003 - HAMBURGUESA TUKI 60 x 80 G</v>
      </c>
      <c r="G46" s="28">
        <v>50</v>
      </c>
      <c r="H46" s="905">
        <f>IFERROR((VLOOKUP(D46,'BASE DATOS'!A:C,3,0)*G46),0)</f>
        <v>240</v>
      </c>
      <c r="I46" s="72" t="s">
        <v>960</v>
      </c>
      <c r="J46" s="23" t="s">
        <v>271</v>
      </c>
      <c r="K46" s="906">
        <v>45747</v>
      </c>
    </row>
    <row r="47" spans="1:12" ht="32">
      <c r="A47" s="245"/>
      <c r="B47" s="79">
        <v>45747</v>
      </c>
      <c r="C47" s="78">
        <f t="shared" si="0"/>
        <v>3</v>
      </c>
      <c r="D47" s="30" t="s">
        <v>548</v>
      </c>
      <c r="E47" s="23" t="str">
        <f>IF(D47=0," ",VLOOKUP(D47,'BASE DATOS'!A:B,2,0))</f>
        <v>MEDALLONES P, FIRST 72 x 55 grs</v>
      </c>
      <c r="F47" s="23" t="str">
        <f t="shared" si="1"/>
        <v>H112 - MEDALLONES P, FIRST 72 x 55 grs</v>
      </c>
      <c r="G47" s="28">
        <v>14</v>
      </c>
      <c r="H47" s="905">
        <f>IFERROR((VLOOKUP(D47,'BASE DATOS'!A:C,3,0)*G47),0)</f>
        <v>55.44</v>
      </c>
      <c r="I47" s="72" t="s">
        <v>960</v>
      </c>
      <c r="J47" s="23" t="s">
        <v>271</v>
      </c>
      <c r="K47" s="906">
        <v>45748</v>
      </c>
    </row>
    <row r="48" spans="1:12" ht="32">
      <c r="A48" s="245"/>
      <c r="B48" s="79">
        <v>45747</v>
      </c>
      <c r="C48" s="78">
        <f t="shared" si="0"/>
        <v>3</v>
      </c>
      <c r="D48" s="30" t="s">
        <v>403</v>
      </c>
      <c r="E48" s="23" t="str">
        <f>IF(D48=0," ",VLOOKUP(D48,'BASE DATOS'!A:B,2,0))</f>
        <v>MEDALLONES PACHECO FIRST 60 x 83 grs</v>
      </c>
      <c r="F48" s="23" t="str">
        <f t="shared" si="1"/>
        <v>H110 - MEDALLONES PACHECO FIRST 60 x 83 grs</v>
      </c>
      <c r="G48" s="28">
        <v>46</v>
      </c>
      <c r="H48" s="905">
        <f>IFERROR((VLOOKUP(D48,'BASE DATOS'!A:C,3,0)*G48),0)</f>
        <v>229.08</v>
      </c>
      <c r="I48" s="72" t="s">
        <v>960</v>
      </c>
      <c r="J48" s="23" t="s">
        <v>271</v>
      </c>
      <c r="K48" s="906">
        <v>45748</v>
      </c>
    </row>
    <row r="49" spans="1:12" ht="32">
      <c r="A49" s="245"/>
      <c r="B49" s="79">
        <v>45747</v>
      </c>
      <c r="C49" s="78">
        <f t="shared" si="0"/>
        <v>3</v>
      </c>
      <c r="D49" s="30" t="s">
        <v>598</v>
      </c>
      <c r="E49" s="23" t="str">
        <f>IF(D49=0," ",VLOOKUP(D49,'BASE DATOS'!A:B,2,0))</f>
        <v>MEDALLONES BONMAR 24 x 4 x 69 grs</v>
      </c>
      <c r="F49" s="23" t="str">
        <f t="shared" si="1"/>
        <v>H153 - MEDALLONES BONMAR 24 x 4 x 69 grs</v>
      </c>
      <c r="G49" s="28">
        <v>27</v>
      </c>
      <c r="H49" s="905">
        <f>IFERROR((VLOOKUP(D49,'BASE DATOS'!A:C,3,0)*G49),0)</f>
        <v>178.74</v>
      </c>
      <c r="I49" s="72" t="s">
        <v>960</v>
      </c>
      <c r="J49" s="23" t="s">
        <v>271</v>
      </c>
      <c r="K49" s="906">
        <v>45748</v>
      </c>
    </row>
    <row r="50" spans="1:12" ht="32">
      <c r="A50" s="245"/>
      <c r="B50" s="79">
        <v>45747</v>
      </c>
      <c r="C50" s="78">
        <f t="shared" si="0"/>
        <v>3</v>
      </c>
      <c r="D50" s="30" t="s">
        <v>524</v>
      </c>
      <c r="E50" s="23" t="str">
        <f>IF(D50=0," ",VLOOKUP(D50,'BASE DATOS'!A:B,2,0))</f>
        <v>MEDALLONES BONMAR 72 x 69 grs</v>
      </c>
      <c r="F50" s="23" t="str">
        <f t="shared" si="1"/>
        <v>H154 - MEDALLONES BONMAR 72 x 69 grs</v>
      </c>
      <c r="G50" s="28">
        <v>298</v>
      </c>
      <c r="H50" s="905">
        <f>IFERROR((VLOOKUP(D50,'BASE DATOS'!A:C,3,0)*G50),0)</f>
        <v>1481.06</v>
      </c>
      <c r="I50" s="72" t="s">
        <v>960</v>
      </c>
      <c r="J50" s="23" t="s">
        <v>271</v>
      </c>
      <c r="K50" s="23" t="s">
        <v>271</v>
      </c>
    </row>
    <row r="51" spans="1:12" ht="16">
      <c r="A51" s="245"/>
      <c r="B51" s="79">
        <v>45751</v>
      </c>
      <c r="C51" s="78">
        <f t="shared" si="0"/>
        <v>4</v>
      </c>
      <c r="D51" s="30" t="s">
        <v>557</v>
      </c>
      <c r="E51" s="23" t="str">
        <f>IF(D51=0," ",VLOOKUP(D51,'BASE DATOS'!A:B,2,0))</f>
        <v>HAMBURGUESAS UNION GANADERA 12 X 8 X 120 G</v>
      </c>
      <c r="F51" s="23" t="str">
        <f t="shared" si="1"/>
        <v>UG0057 - HAMBURGUESAS UNION GANADERA 12 X 8 X 120 G</v>
      </c>
      <c r="G51" s="28">
        <v>1</v>
      </c>
      <c r="H51" s="905">
        <f>IFERROR((VLOOKUP(D51,'BASE DATOS'!A:C,3,0)*G51),0)</f>
        <v>11.52</v>
      </c>
      <c r="I51" s="72" t="s">
        <v>957</v>
      </c>
      <c r="J51" s="23" t="s">
        <v>271</v>
      </c>
      <c r="K51" s="23" t="s">
        <v>271</v>
      </c>
      <c r="L51" t="s">
        <v>1068</v>
      </c>
    </row>
    <row r="52" spans="1:12" ht="16">
      <c r="A52" s="245"/>
      <c r="B52" s="79">
        <v>45751</v>
      </c>
      <c r="C52" s="78">
        <f t="shared" si="0"/>
        <v>4</v>
      </c>
      <c r="D52" s="30" t="s">
        <v>543</v>
      </c>
      <c r="E52" s="23" t="str">
        <f>IF(D52=0," ",VLOOKUP(D52,'BASE DATOS'!A:B,2,0))</f>
        <v>ALBONDIGA UG 3 Kgs (PULPETAS)</v>
      </c>
      <c r="F52" s="23" t="str">
        <f t="shared" si="1"/>
        <v>UG0750 - ALBONDIGA UG 3 Kgs (PULPETAS)</v>
      </c>
      <c r="G52" s="28">
        <v>23</v>
      </c>
      <c r="H52" s="905">
        <f>IFERROR((VLOOKUP(D52,'BASE DATOS'!A:C,3,0)*G52),0)</f>
        <v>69</v>
      </c>
      <c r="I52" s="72" t="s">
        <v>970</v>
      </c>
      <c r="J52" s="23" t="s">
        <v>1011</v>
      </c>
      <c r="K52" s="23" t="s">
        <v>271</v>
      </c>
      <c r="L52" t="s">
        <v>1070</v>
      </c>
    </row>
    <row r="53" spans="1:12" ht="16">
      <c r="A53" s="245"/>
      <c r="B53" s="79">
        <v>45754</v>
      </c>
      <c r="C53" s="78">
        <f t="shared" si="0"/>
        <v>4</v>
      </c>
      <c r="D53" s="30" t="s">
        <v>481</v>
      </c>
      <c r="E53" s="23" t="str">
        <f>IF(D53=0," ",VLOOKUP(D53,'BASE DATOS'!A:B,2,0))</f>
        <v>MEDALLONES VICTORIA 40 x 110 grs</v>
      </c>
      <c r="F53" s="23" t="str">
        <f t="shared" si="1"/>
        <v>H513 - MEDALLONES VICTORIA 40 x 110 grs</v>
      </c>
      <c r="G53" s="28">
        <v>173</v>
      </c>
      <c r="H53" s="905">
        <f>IFERROR((VLOOKUP(D53,'BASE DATOS'!A:C,3,0)*G53),0)</f>
        <v>761.2</v>
      </c>
      <c r="I53" s="72" t="s">
        <v>972</v>
      </c>
      <c r="J53" s="23" t="s">
        <v>271</v>
      </c>
      <c r="K53" s="906">
        <v>45755</v>
      </c>
    </row>
    <row r="54" spans="1:12" ht="16">
      <c r="A54" s="245"/>
      <c r="B54" s="79">
        <v>45755</v>
      </c>
      <c r="C54" s="78">
        <f t="shared" si="0"/>
        <v>4</v>
      </c>
      <c r="D54" s="30" t="s">
        <v>557</v>
      </c>
      <c r="E54" s="23" t="str">
        <f>IF(D54=0," ",VLOOKUP(D54,'BASE DATOS'!A:B,2,0))</f>
        <v>HAMBURGUESAS UNION GANADERA 12 X 8 X 120 G</v>
      </c>
      <c r="F54" s="23" t="str">
        <f t="shared" si="1"/>
        <v>UG0057 - HAMBURGUESAS UNION GANADERA 12 X 8 X 120 G</v>
      </c>
      <c r="G54" s="28">
        <v>3</v>
      </c>
      <c r="H54" s="905">
        <f>IFERROR((VLOOKUP(D54,'BASE DATOS'!A:C,3,0)*G54),0)</f>
        <v>34.56</v>
      </c>
      <c r="I54" s="72" t="s">
        <v>957</v>
      </c>
      <c r="J54" s="23" t="s">
        <v>271</v>
      </c>
      <c r="K54" s="23" t="s">
        <v>271</v>
      </c>
    </row>
    <row r="55" spans="1:12" ht="16">
      <c r="A55" s="245"/>
      <c r="B55" s="79">
        <v>45755</v>
      </c>
      <c r="C55" s="78">
        <f t="shared" si="0"/>
        <v>4</v>
      </c>
      <c r="D55" s="30" t="s">
        <v>485</v>
      </c>
      <c r="E55" s="23" t="str">
        <f>IF(D55=0," ",VLOOKUP(D55,'BASE DATOS'!A:B,2,0))</f>
        <v>HAMBURGUESA VICTORIA 60 x 80 grs</v>
      </c>
      <c r="F55" s="23" t="str">
        <f t="shared" si="1"/>
        <v>H530 - HAMBURGUESA VICTORIA 60 x 80 grs</v>
      </c>
      <c r="G55" s="28">
        <v>21</v>
      </c>
      <c r="H55" s="905">
        <f>IFERROR((VLOOKUP(D55,'BASE DATOS'!A:C,3,0)*G55),0)</f>
        <v>100.8</v>
      </c>
      <c r="I55" s="72" t="s">
        <v>957</v>
      </c>
      <c r="J55" s="23" t="s">
        <v>271</v>
      </c>
      <c r="K55" s="23" t="s">
        <v>271</v>
      </c>
    </row>
    <row r="56" spans="1:12" ht="16">
      <c r="A56" s="245"/>
      <c r="B56" s="79">
        <v>45755</v>
      </c>
      <c r="C56" s="78">
        <f t="shared" si="0"/>
        <v>4</v>
      </c>
      <c r="D56" s="30" t="s">
        <v>405</v>
      </c>
      <c r="E56" s="23" t="str">
        <f>IF(D56=0," ",VLOOKUP(D56,'BASE DATOS'!A:B,2,0))</f>
        <v>HAMBURGUESA CUISINE &amp; CO 6 X 20 X 83 grs S/GLUTEN S/TACC</v>
      </c>
      <c r="F56" s="23" t="str">
        <f t="shared" si="1"/>
        <v>H357 - HAMBURGUESA CUISINE &amp; CO 6 X 20 X 83 grs S/GLUTEN S/TACC</v>
      </c>
      <c r="G56" s="28">
        <v>5</v>
      </c>
      <c r="H56" s="905">
        <f>IFERROR((VLOOKUP(D56,'BASE DATOS'!A:C,3,0)*G56),0)</f>
        <v>49.800000000000004</v>
      </c>
      <c r="I56" s="72" t="s">
        <v>957</v>
      </c>
      <c r="J56" s="23" t="s">
        <v>271</v>
      </c>
      <c r="K56" s="23" t="s">
        <v>271</v>
      </c>
    </row>
    <row r="57" spans="1:12" ht="16">
      <c r="A57" s="245"/>
      <c r="B57" s="79">
        <v>45756</v>
      </c>
      <c r="C57" s="78">
        <f t="shared" si="0"/>
        <v>4</v>
      </c>
      <c r="D57" s="30" t="s">
        <v>548</v>
      </c>
      <c r="E57" s="23" t="str">
        <f>IF(D57=0," ",VLOOKUP(D57,'BASE DATOS'!A:B,2,0))</f>
        <v>MEDALLONES P, FIRST 72 x 55 grs</v>
      </c>
      <c r="F57" s="23" t="str">
        <f t="shared" si="1"/>
        <v>H112 - MEDALLONES P, FIRST 72 x 55 grs</v>
      </c>
      <c r="G57" s="28">
        <v>4</v>
      </c>
      <c r="H57" s="905">
        <f>IFERROR((VLOOKUP(D57,'BASE DATOS'!A:C,3,0)*G57),0)</f>
        <v>15.84</v>
      </c>
      <c r="I57" s="72" t="s">
        <v>958</v>
      </c>
      <c r="J57" s="23" t="s">
        <v>271</v>
      </c>
      <c r="K57" s="23" t="s">
        <v>271</v>
      </c>
    </row>
    <row r="58" spans="1:12" ht="16">
      <c r="A58" s="245"/>
      <c r="B58" s="79">
        <v>45756</v>
      </c>
      <c r="C58" s="78">
        <f t="shared" si="0"/>
        <v>4</v>
      </c>
      <c r="D58" s="30" t="s">
        <v>413</v>
      </c>
      <c r="E58" s="23" t="str">
        <f>IF(D58=0," ",VLOOKUP(D58,'BASE DATOS'!A:B,2,0))</f>
        <v>MEDALLONES CHISAP 60 x 83 grs</v>
      </c>
      <c r="F58" s="23" t="str">
        <f t="shared" si="1"/>
        <v>H061 - MEDALLONES CHISAP 60 x 83 grs</v>
      </c>
      <c r="G58" s="28">
        <v>123</v>
      </c>
      <c r="H58" s="905">
        <f>IFERROR((VLOOKUP(D58,'BASE DATOS'!A:C,3,0)*G58),0)</f>
        <v>612.54000000000008</v>
      </c>
      <c r="I58" s="72" t="s">
        <v>958</v>
      </c>
      <c r="J58" s="23" t="s">
        <v>271</v>
      </c>
      <c r="K58" s="23" t="s">
        <v>271</v>
      </c>
    </row>
    <row r="59" spans="1:12" ht="16">
      <c r="A59" s="245"/>
      <c r="B59" s="79">
        <v>45757</v>
      </c>
      <c r="C59" s="78">
        <f t="shared" si="0"/>
        <v>4</v>
      </c>
      <c r="D59" s="30" t="s">
        <v>488</v>
      </c>
      <c r="E59" s="23" t="str">
        <f>IF(D59=0," ",VLOOKUP(D59,'BASE DATOS'!A:B,2,0))</f>
        <v>HAMBURGUESA UG 40 x 110 grs</v>
      </c>
      <c r="F59" s="23" t="str">
        <f t="shared" si="1"/>
        <v>H043 - HAMBURGUESA UG 40 x 110 grs</v>
      </c>
      <c r="G59" s="28">
        <v>17</v>
      </c>
      <c r="H59" s="905">
        <f>IFERROR((VLOOKUP(D59,'BASE DATOS'!A:C,3,0)*G59),0)</f>
        <v>74.800000000000011</v>
      </c>
      <c r="I59" s="72" t="s">
        <v>958</v>
      </c>
      <c r="J59" s="23" t="s">
        <v>271</v>
      </c>
      <c r="K59" s="23" t="s">
        <v>271</v>
      </c>
    </row>
    <row r="60" spans="1:12" ht="16">
      <c r="A60" s="245"/>
      <c r="B60" s="79">
        <v>45757</v>
      </c>
      <c r="C60" s="78">
        <f t="shared" si="0"/>
        <v>4</v>
      </c>
      <c r="D60" s="30" t="s">
        <v>406</v>
      </c>
      <c r="E60" s="23" t="str">
        <f>IF(D60=0," ",VLOOKUP(D60,'BASE DATOS'!A:B,2,0))</f>
        <v>MEDALLONES UG 40 x 110 grs</v>
      </c>
      <c r="F60" s="23" t="str">
        <f t="shared" si="1"/>
        <v>UG0013 - MEDALLONES UG 40 x 110 grs</v>
      </c>
      <c r="G60" s="28">
        <v>42</v>
      </c>
      <c r="H60" s="905">
        <f>IFERROR((VLOOKUP(D60,'BASE DATOS'!A:C,3,0)*G60),0)</f>
        <v>184.8</v>
      </c>
      <c r="I60" s="72" t="s">
        <v>958</v>
      </c>
      <c r="J60" s="23" t="s">
        <v>271</v>
      </c>
      <c r="K60" s="23" t="s">
        <v>271</v>
      </c>
    </row>
    <row r="61" spans="1:12" ht="16">
      <c r="A61" s="245"/>
      <c r="B61" s="79">
        <v>45757</v>
      </c>
      <c r="C61" s="78">
        <f t="shared" si="0"/>
        <v>4</v>
      </c>
      <c r="D61" s="30" t="s">
        <v>490</v>
      </c>
      <c r="E61" s="23" t="str">
        <f>IF(D61=0," ",VLOOKUP(D61,'BASE DATOS'!A:B,2,0))</f>
        <v>MEDALLONES P, FIRST 40 x 110 grs</v>
      </c>
      <c r="F61" s="23" t="str">
        <f t="shared" si="1"/>
        <v>H113 - MEDALLONES P, FIRST 40 x 110 grs</v>
      </c>
      <c r="G61" s="28">
        <v>8</v>
      </c>
      <c r="H61" s="905">
        <f>IFERROR((VLOOKUP(D61,'BASE DATOS'!A:C,3,0)*G61),0)</f>
        <v>35.200000000000003</v>
      </c>
      <c r="I61" s="72" t="s">
        <v>958</v>
      </c>
      <c r="J61" s="23" t="s">
        <v>271</v>
      </c>
      <c r="K61" s="23" t="s">
        <v>271</v>
      </c>
    </row>
    <row r="62" spans="1:12" ht="16">
      <c r="B62" s="79">
        <v>45757</v>
      </c>
      <c r="C62" s="78">
        <f t="shared" si="0"/>
        <v>4</v>
      </c>
      <c r="D62" s="30" t="s">
        <v>403</v>
      </c>
      <c r="E62" s="23" t="str">
        <f>IF(D62=0," ",VLOOKUP(D62,'BASE DATOS'!A:B,2,0))</f>
        <v>MEDALLONES PACHECO FIRST 60 x 83 grs</v>
      </c>
      <c r="F62" s="23" t="str">
        <f t="shared" si="1"/>
        <v>H110 - MEDALLONES PACHECO FIRST 60 x 83 grs</v>
      </c>
      <c r="G62" s="28">
        <v>19</v>
      </c>
      <c r="H62" s="905">
        <f>IFERROR((VLOOKUP(D62,'BASE DATOS'!A:C,3,0)*G62),0)</f>
        <v>94.62</v>
      </c>
      <c r="I62" s="72" t="s">
        <v>958</v>
      </c>
      <c r="J62" s="23" t="s">
        <v>271</v>
      </c>
      <c r="K62" s="23" t="s">
        <v>271</v>
      </c>
    </row>
    <row r="63" spans="1:12" ht="16">
      <c r="B63" s="79">
        <v>45757</v>
      </c>
      <c r="C63" s="78">
        <f t="shared" si="0"/>
        <v>4</v>
      </c>
      <c r="D63" s="30" t="s">
        <v>595</v>
      </c>
      <c r="E63" s="23" t="str">
        <f>IF(D63=0," ",VLOOKUP(D63,'BASE DATOS'!A:B,2,0))</f>
        <v>MEDALLONES E, LA HUELLA  40 x 110 grs</v>
      </c>
      <c r="F63" s="23" t="str">
        <f t="shared" si="1"/>
        <v>H313 - MEDALLONES E, LA HUELLA  40 x 110 grs</v>
      </c>
      <c r="G63" s="28">
        <v>186</v>
      </c>
      <c r="H63" s="905">
        <f>IFERROR((VLOOKUP(D63,'BASE DATOS'!A:C,3,0)*G63),0)</f>
        <v>818.40000000000009</v>
      </c>
      <c r="I63" s="72" t="s">
        <v>958</v>
      </c>
      <c r="J63" s="23" t="s">
        <v>271</v>
      </c>
      <c r="K63" s="23" t="s">
        <v>271</v>
      </c>
    </row>
    <row r="64" spans="1:12" ht="16">
      <c r="B64" s="79">
        <v>45757</v>
      </c>
      <c r="C64" s="78">
        <f t="shared" si="0"/>
        <v>4</v>
      </c>
      <c r="D64" s="30" t="s">
        <v>528</v>
      </c>
      <c r="E64" s="23" t="str">
        <f>IF(D64=0," ",VLOOKUP(D64,'BASE DATOS'!A:B,2,0))</f>
        <v>MEDALLONES M&amp;K 36 x 2 x 55 grs</v>
      </c>
      <c r="F64" s="23" t="str">
        <f t="shared" si="1"/>
        <v>H023 - MEDALLONES M&amp;K 36 x 2 x 55 grs</v>
      </c>
      <c r="G64" s="28">
        <v>56</v>
      </c>
      <c r="H64" s="905">
        <f>IFERROR((VLOOKUP(D64,'BASE DATOS'!A:C,3,0)*G64),0)</f>
        <v>221.76</v>
      </c>
      <c r="I64" s="72" t="s">
        <v>958</v>
      </c>
      <c r="J64" s="23" t="s">
        <v>271</v>
      </c>
      <c r="K64" s="23" t="s">
        <v>271</v>
      </c>
    </row>
    <row r="65" spans="2:12" ht="16">
      <c r="B65" s="79">
        <v>45757</v>
      </c>
      <c r="C65" s="78">
        <f t="shared" si="0"/>
        <v>4</v>
      </c>
      <c r="D65" s="30" t="s">
        <v>529</v>
      </c>
      <c r="E65" s="23" t="str">
        <f>IF(D65=0," ",VLOOKUP(D65,'BASE DATOS'!A:B,2,0))</f>
        <v>MEDALLONES BEST 36 x 2 x 55 grs</v>
      </c>
      <c r="F65" s="23" t="str">
        <f t="shared" si="1"/>
        <v>H073 - MEDALLONES BEST 36 x 2 x 55 grs</v>
      </c>
      <c r="G65" s="28">
        <v>104</v>
      </c>
      <c r="H65" s="905">
        <f>IFERROR((VLOOKUP(D65,'BASE DATOS'!A:C,3,0)*G65),0)</f>
        <v>411.84</v>
      </c>
      <c r="I65" s="72" t="s">
        <v>958</v>
      </c>
      <c r="J65" s="23" t="s">
        <v>271</v>
      </c>
      <c r="K65" s="23" t="s">
        <v>271</v>
      </c>
    </row>
    <row r="66" spans="2:12" ht="16">
      <c r="B66" s="79">
        <v>45757</v>
      </c>
      <c r="C66" s="78">
        <f t="shared" si="0"/>
        <v>4</v>
      </c>
      <c r="D66" s="30" t="s">
        <v>548</v>
      </c>
      <c r="E66" s="23" t="str">
        <f>IF(D66=0," ",VLOOKUP(D66,'BASE DATOS'!A:B,2,0))</f>
        <v>MEDALLONES P, FIRST 72 x 55 grs</v>
      </c>
      <c r="F66" s="23" t="str">
        <f t="shared" si="1"/>
        <v>H112 - MEDALLONES P, FIRST 72 x 55 grs</v>
      </c>
      <c r="G66" s="28">
        <v>5</v>
      </c>
      <c r="H66" s="905">
        <f>IFERROR((VLOOKUP(D66,'BASE DATOS'!A:C,3,0)*G66),0)</f>
        <v>19.8</v>
      </c>
      <c r="I66" s="72" t="s">
        <v>958</v>
      </c>
      <c r="J66" s="23" t="s">
        <v>271</v>
      </c>
      <c r="K66" s="23" t="s">
        <v>271</v>
      </c>
    </row>
    <row r="67" spans="2:12" ht="16">
      <c r="B67" s="910">
        <v>45758</v>
      </c>
      <c r="C67" s="78">
        <f t="shared" ref="C67:C130" si="2">+MONTH(B67)</f>
        <v>4</v>
      </c>
      <c r="D67" s="30" t="s">
        <v>488</v>
      </c>
      <c r="E67" s="23" t="str">
        <f>IF(D67=0," ",VLOOKUP(D67,'BASE DATOS'!A:B,2,0))</f>
        <v>HAMBURGUESA UG 40 x 110 grs</v>
      </c>
      <c r="F67" s="23" t="str">
        <f t="shared" si="1"/>
        <v>H043 - HAMBURGUESA UG 40 x 110 grs</v>
      </c>
      <c r="G67" s="28">
        <v>29</v>
      </c>
      <c r="H67" s="905">
        <f>IFERROR((VLOOKUP(D67,'BASE DATOS'!A:C,3,0)*G67),0)</f>
        <v>127.60000000000001</v>
      </c>
      <c r="I67" s="72" t="s">
        <v>958</v>
      </c>
      <c r="J67" s="23" t="s">
        <v>271</v>
      </c>
      <c r="K67" s="23" t="s">
        <v>271</v>
      </c>
    </row>
    <row r="68" spans="2:12" ht="16">
      <c r="B68" s="910">
        <v>45758</v>
      </c>
      <c r="C68" s="78">
        <f t="shared" si="2"/>
        <v>4</v>
      </c>
      <c r="D68" s="30" t="s">
        <v>492</v>
      </c>
      <c r="E68" s="23" t="str">
        <f>IF(D68=0," ",VLOOKUP(D68,'BASE DATOS'!A:B,2,0))</f>
        <v>HAMBURGUESA UG 40 x 110 grs (Impreso)</v>
      </c>
      <c r="F68" s="23" t="str">
        <f t="shared" ref="F68:F130" si="3">+D68&amp;" - "&amp;E68</f>
        <v>UG0056 - HAMBURGUESA UG 40 x 110 grs (Impreso)</v>
      </c>
      <c r="G68" s="28">
        <v>10</v>
      </c>
      <c r="H68" s="905">
        <f>IFERROR((VLOOKUP(D68,'BASE DATOS'!A:C,3,0)*G68),0)</f>
        <v>44</v>
      </c>
      <c r="I68" s="72" t="s">
        <v>958</v>
      </c>
      <c r="J68" s="23" t="s">
        <v>271</v>
      </c>
      <c r="K68" s="23" t="s">
        <v>271</v>
      </c>
    </row>
    <row r="69" spans="2:12" ht="48">
      <c r="B69" s="910">
        <v>45758</v>
      </c>
      <c r="C69" s="78">
        <f t="shared" si="2"/>
        <v>4</v>
      </c>
      <c r="D69" s="30" t="s">
        <v>547</v>
      </c>
      <c r="E69" s="23" t="str">
        <f>IF(D69=0," ",VLOOKUP(D69,'BASE DATOS'!A:B,2,0))</f>
        <v>MEDALLONES CHACRA NUESTRA 36x2x55grs</v>
      </c>
      <c r="F69" s="23" t="str">
        <f t="shared" si="3"/>
        <v>CH0230 - MEDALLONES CHACRA NUESTRA 36x2x55grs</v>
      </c>
      <c r="G69" s="28">
        <v>60</v>
      </c>
      <c r="H69" s="905">
        <f>IFERROR((VLOOKUP(D69,'BASE DATOS'!A:C,3,0)*G69),0)</f>
        <v>237.6</v>
      </c>
      <c r="I69" s="72" t="s">
        <v>974</v>
      </c>
      <c r="J69" s="23" t="s">
        <v>271</v>
      </c>
      <c r="K69" s="23" t="s">
        <v>271</v>
      </c>
    </row>
    <row r="70" spans="2:12" ht="48">
      <c r="B70" s="910">
        <v>45758</v>
      </c>
      <c r="C70" s="78">
        <f t="shared" si="2"/>
        <v>4</v>
      </c>
      <c r="D70" s="30" t="s">
        <v>403</v>
      </c>
      <c r="E70" s="23" t="str">
        <f>IF(D70=0," ",VLOOKUP(D70,'BASE DATOS'!A:B,2,0))</f>
        <v>MEDALLONES PACHECO FIRST 60 x 83 grs</v>
      </c>
      <c r="F70" s="23" t="str">
        <f t="shared" si="3"/>
        <v>H110 - MEDALLONES PACHECO FIRST 60 x 83 grs</v>
      </c>
      <c r="G70" s="28">
        <v>7</v>
      </c>
      <c r="H70" s="905">
        <f>IFERROR((VLOOKUP(D70,'BASE DATOS'!A:C,3,0)*G70),0)</f>
        <v>34.86</v>
      </c>
      <c r="I70" s="72" t="s">
        <v>974</v>
      </c>
      <c r="J70" s="23" t="s">
        <v>271</v>
      </c>
      <c r="K70" s="23" t="s">
        <v>271</v>
      </c>
    </row>
    <row r="71" spans="2:12" ht="16">
      <c r="B71" s="910">
        <v>45758</v>
      </c>
      <c r="C71" s="78">
        <f t="shared" si="2"/>
        <v>4</v>
      </c>
      <c r="D71" s="30" t="s">
        <v>595</v>
      </c>
      <c r="E71" s="23" t="str">
        <f>IF(D71=0," ",VLOOKUP(D71,'BASE DATOS'!A:B,2,0))</f>
        <v>MEDALLONES E, LA HUELLA  40 x 110 grs</v>
      </c>
      <c r="F71" s="23" t="str">
        <f t="shared" si="3"/>
        <v>H313 - MEDALLONES E, LA HUELLA  40 x 110 grs</v>
      </c>
      <c r="G71" s="28">
        <v>182</v>
      </c>
      <c r="H71" s="905">
        <f>IFERROR((VLOOKUP(D71,'BASE DATOS'!A:C,3,0)*G71),0)</f>
        <v>800.80000000000007</v>
      </c>
      <c r="I71" s="72" t="s">
        <v>957</v>
      </c>
      <c r="J71" s="23" t="s">
        <v>271</v>
      </c>
      <c r="K71" s="23" t="s">
        <v>271</v>
      </c>
    </row>
    <row r="72" spans="2:12">
      <c r="B72" s="910">
        <v>45758</v>
      </c>
      <c r="C72" s="78">
        <f t="shared" si="2"/>
        <v>4</v>
      </c>
      <c r="D72" s="30" t="s">
        <v>492</v>
      </c>
      <c r="E72" s="23" t="str">
        <f>IF(D72=0," ",VLOOKUP(D72,'BASE DATOS'!A:B,2,0))</f>
        <v>HAMBURGUESA UG 40 x 110 grs (Impreso)</v>
      </c>
      <c r="F72" s="23" t="str">
        <f t="shared" si="3"/>
        <v>UG0056 - HAMBURGUESA UG 40 x 110 grs (Impreso)</v>
      </c>
      <c r="G72" s="28">
        <v>35</v>
      </c>
      <c r="H72" s="905">
        <f>IFERROR((VLOOKUP(D72,'BASE DATOS'!A:C,3,0)*G72),0)</f>
        <v>154</v>
      </c>
      <c r="I72" s="72"/>
      <c r="J72" s="23" t="s">
        <v>1027</v>
      </c>
      <c r="K72" s="23" t="s">
        <v>271</v>
      </c>
    </row>
    <row r="73" spans="2:12">
      <c r="B73" s="910">
        <v>45758</v>
      </c>
      <c r="C73" s="78">
        <f t="shared" si="2"/>
        <v>4</v>
      </c>
      <c r="D73" s="30" t="s">
        <v>533</v>
      </c>
      <c r="E73" s="23" t="str">
        <f>IF(D73=0," ",VLOOKUP(D73,'BASE DATOS'!A:B,2,0))</f>
        <v>MEDALLONES MAXIMA 36 X 2 X 55 grs S/GLUTEN S/TACC</v>
      </c>
      <c r="F73" s="23" t="str">
        <f t="shared" si="3"/>
        <v>H375 - MEDALLONES MAXIMA 36 X 2 X 55 grs S/GLUTEN S/TACC</v>
      </c>
      <c r="G73" s="28">
        <v>3</v>
      </c>
      <c r="H73" s="905">
        <f>IFERROR((VLOOKUP(D73,'BASE DATOS'!A:C,3,0)*G73),0)</f>
        <v>11.879999999999999</v>
      </c>
      <c r="I73" s="72"/>
      <c r="J73" s="23" t="s">
        <v>1030</v>
      </c>
      <c r="K73" s="23" t="s">
        <v>271</v>
      </c>
    </row>
    <row r="74" spans="2:12" ht="16">
      <c r="B74" s="910">
        <v>45761</v>
      </c>
      <c r="C74" s="78">
        <f t="shared" si="2"/>
        <v>4</v>
      </c>
      <c r="D74" s="30" t="s">
        <v>497</v>
      </c>
      <c r="E74" s="23" t="str">
        <f>IF(D74=0," ",VLOOKUP(D74,'BASE DATOS'!A:B,2,0))</f>
        <v>HAMBURGUESA UG 12 x 12 x 83 grs</v>
      </c>
      <c r="F74" s="23" t="str">
        <f t="shared" si="3"/>
        <v>UG0050 - HAMBURGUESA UG 12 x 12 x 83 grs</v>
      </c>
      <c r="G74" s="28">
        <v>750</v>
      </c>
      <c r="H74" s="905">
        <f>IFERROR((VLOOKUP(D74,'BASE DATOS'!A:C,3,0)*G74),0)</f>
        <v>8962.5</v>
      </c>
      <c r="I74" s="72" t="s">
        <v>958</v>
      </c>
      <c r="J74" s="23" t="s">
        <v>271</v>
      </c>
      <c r="K74" s="23" t="s">
        <v>271</v>
      </c>
    </row>
    <row r="75" spans="2:12" ht="16">
      <c r="B75" s="910">
        <v>45761</v>
      </c>
      <c r="C75" s="78">
        <f t="shared" si="2"/>
        <v>4</v>
      </c>
      <c r="D75" s="30" t="s">
        <v>415</v>
      </c>
      <c r="E75" s="23" t="str">
        <f>IF(D75=0," ",VLOOKUP(D75,'BASE DATOS'!A:B,2,0))</f>
        <v>HAMBURGUESA UG 6 x 20 x 83 grs</v>
      </c>
      <c r="F75" s="23" t="str">
        <f t="shared" si="3"/>
        <v>UG0049 - HAMBURGUESA UG 6 x 20 x 83 grs</v>
      </c>
      <c r="G75" s="28">
        <v>180</v>
      </c>
      <c r="H75" s="905">
        <f>IFERROR((VLOOKUP(D75,'BASE DATOS'!A:C,3,0)*G75),0)</f>
        <v>1792.8000000000002</v>
      </c>
      <c r="I75" s="72" t="s">
        <v>958</v>
      </c>
      <c r="J75" s="23" t="s">
        <v>271</v>
      </c>
      <c r="K75" s="23" t="s">
        <v>271</v>
      </c>
    </row>
    <row r="76" spans="2:12" ht="16">
      <c r="B76" s="79">
        <v>45762</v>
      </c>
      <c r="C76" s="78">
        <f t="shared" si="2"/>
        <v>4</v>
      </c>
      <c r="D76" s="30" t="s">
        <v>430</v>
      </c>
      <c r="E76" s="23" t="str">
        <f>IF(D76=0," ",VLOOKUP(D76,'BASE DATOS'!A:B,2,0))</f>
        <v xml:space="preserve">HAMBURGUESA UG 10 x 2 x 140 grs GIGANTES </v>
      </c>
      <c r="F76" s="23" t="str">
        <f t="shared" si="3"/>
        <v xml:space="preserve">UG0055 - HAMBURGUESA UG 10 x 2 x 140 grs GIGANTES </v>
      </c>
      <c r="G76" s="28">
        <v>6</v>
      </c>
      <c r="H76" s="905">
        <f>IFERROR((VLOOKUP(D76,'BASE DATOS'!A:C,3,0)*G76),0)</f>
        <v>16.799999999999997</v>
      </c>
      <c r="I76" s="72" t="s">
        <v>957</v>
      </c>
      <c r="J76" s="23" t="s">
        <v>271</v>
      </c>
      <c r="K76" s="23" t="s">
        <v>271</v>
      </c>
    </row>
    <row r="77" spans="2:12" ht="32">
      <c r="B77" s="79">
        <v>45763</v>
      </c>
      <c r="C77" s="78">
        <f t="shared" si="2"/>
        <v>4</v>
      </c>
      <c r="D77" s="30" t="s">
        <v>1071</v>
      </c>
      <c r="E77" s="23" t="str">
        <f>IF(D77=0," ",VLOOKUP(D77,'BASE DATOS'!A:B,2,0))</f>
        <v>MED CON SOJA CIUDAD DEL LAGO 12 X 12 X 80G</v>
      </c>
      <c r="F77" s="23" t="str">
        <f t="shared" si="3"/>
        <v>MCDL002 - MED CON SOJA CIUDAD DEL LAGO 12 X 12 X 80G</v>
      </c>
      <c r="G77" s="28">
        <v>246</v>
      </c>
      <c r="H77" s="905">
        <f>IFERROR((VLOOKUP(D77,'BASE DATOS'!A:C,3,0)*G77),0)</f>
        <v>2833.92</v>
      </c>
      <c r="I77" s="72"/>
      <c r="J77" s="72" t="s">
        <v>1036</v>
      </c>
      <c r="K77" s="23" t="s">
        <v>271</v>
      </c>
    </row>
    <row r="78" spans="2:12" ht="32">
      <c r="B78" s="79">
        <v>45763</v>
      </c>
      <c r="C78" s="78">
        <f t="shared" si="2"/>
        <v>4</v>
      </c>
      <c r="D78" s="30" t="s">
        <v>528</v>
      </c>
      <c r="E78" s="23" t="str">
        <f>IF(D78=0," ",VLOOKUP(D78,'BASE DATOS'!A:B,2,0))</f>
        <v>MEDALLONES M&amp;K 36 x 2 x 55 grs</v>
      </c>
      <c r="F78" s="23" t="str">
        <f t="shared" si="3"/>
        <v>H023 - MEDALLONES M&amp;K 36 x 2 x 55 grs</v>
      </c>
      <c r="G78" s="28">
        <v>65</v>
      </c>
      <c r="H78" s="905">
        <f>IFERROR((VLOOKUP(D78,'BASE DATOS'!A:C,3,0)*G78),0)</f>
        <v>257.39999999999998</v>
      </c>
      <c r="I78" s="72"/>
      <c r="J78" s="72" t="s">
        <v>1036</v>
      </c>
      <c r="K78" s="23" t="s">
        <v>271</v>
      </c>
    </row>
    <row r="79" spans="2:12" ht="16">
      <c r="B79" s="79">
        <v>45764</v>
      </c>
      <c r="C79" s="78">
        <f t="shared" si="2"/>
        <v>4</v>
      </c>
      <c r="D79" s="30" t="s">
        <v>485</v>
      </c>
      <c r="E79" s="23" t="str">
        <f>IF(D79=0," ",VLOOKUP(D79,'BASE DATOS'!A:B,2,0))</f>
        <v>HAMBURGUESA VICTORIA 60 x 80 grs</v>
      </c>
      <c r="F79" s="23" t="str">
        <f t="shared" si="3"/>
        <v>H530 - HAMBURGUESA VICTORIA 60 x 80 grs</v>
      </c>
      <c r="G79" s="28">
        <v>113</v>
      </c>
      <c r="H79" s="905">
        <f>IFERROR((VLOOKUP(D79,'BASE DATOS'!A:C,3,0)*G79),0)</f>
        <v>542.4</v>
      </c>
      <c r="I79" s="72" t="s">
        <v>962</v>
      </c>
      <c r="J79" s="23" t="s">
        <v>271</v>
      </c>
      <c r="K79" s="23" t="s">
        <v>271</v>
      </c>
      <c r="L79" t="s">
        <v>1068</v>
      </c>
    </row>
    <row r="80" spans="2:12" ht="16">
      <c r="B80" s="79">
        <v>45764</v>
      </c>
      <c r="C80" s="78">
        <f t="shared" si="2"/>
        <v>4</v>
      </c>
      <c r="D80" s="30" t="s">
        <v>464</v>
      </c>
      <c r="E80" s="23" t="str">
        <f>IF(D80=0," ",VLOOKUP(D80,'BASE DATOS'!A:B,2,0))</f>
        <v>HAMBURGUESA CLASSIC 12 x 12 x 83 grs</v>
      </c>
      <c r="F80" s="23" t="str">
        <f t="shared" si="3"/>
        <v>CLA002 - HAMBURGUESA CLASSIC 12 x 12 x 83 grs</v>
      </c>
      <c r="G80" s="28">
        <v>105</v>
      </c>
      <c r="H80" s="905">
        <f>IFERROR((VLOOKUP(D80,'BASE DATOS'!A:C,3,0)*G80),0)</f>
        <v>1254.75</v>
      </c>
      <c r="I80" s="72" t="s">
        <v>962</v>
      </c>
      <c r="J80" s="23" t="s">
        <v>271</v>
      </c>
      <c r="K80" s="23" t="s">
        <v>271</v>
      </c>
      <c r="L80" t="s">
        <v>1068</v>
      </c>
    </row>
    <row r="81" spans="2:12" ht="16">
      <c r="B81" s="79">
        <v>45764</v>
      </c>
      <c r="C81" s="78">
        <f t="shared" si="2"/>
        <v>4</v>
      </c>
      <c r="D81" s="30" t="s">
        <v>485</v>
      </c>
      <c r="E81" s="23" t="str">
        <f>IF(D81=0," ",VLOOKUP(D81,'BASE DATOS'!A:B,2,0))</f>
        <v>HAMBURGUESA VICTORIA 60 x 80 grs</v>
      </c>
      <c r="F81" s="23" t="str">
        <f t="shared" si="3"/>
        <v>H530 - HAMBURGUESA VICTORIA 60 x 80 grs</v>
      </c>
      <c r="G81" s="28">
        <v>134</v>
      </c>
      <c r="H81" s="905">
        <f>IFERROR((VLOOKUP(D81,'BASE DATOS'!A:C,3,0)*G81),0)</f>
        <v>643.19999999999993</v>
      </c>
      <c r="I81" s="72" t="s">
        <v>962</v>
      </c>
      <c r="J81" s="23" t="s">
        <v>271</v>
      </c>
      <c r="K81" s="23" t="s">
        <v>271</v>
      </c>
      <c r="L81" t="s">
        <v>1070</v>
      </c>
    </row>
    <row r="82" spans="2:12" ht="16">
      <c r="B82" s="79">
        <v>45764</v>
      </c>
      <c r="C82" s="78">
        <f t="shared" si="2"/>
        <v>4</v>
      </c>
      <c r="D82" s="30" t="s">
        <v>550</v>
      </c>
      <c r="E82" s="23" t="str">
        <f>IF(D82=0," ",VLOOKUP(D82,'BASE DATOS'!A:B,2,0))</f>
        <v>HAMBURGUESA VICTORIA 72 X 69</v>
      </c>
      <c r="F82" s="23" t="str">
        <f t="shared" si="3"/>
        <v>H533 - HAMBURGUESA VICTORIA 72 X 69</v>
      </c>
      <c r="G82" s="28">
        <v>49</v>
      </c>
      <c r="H82" s="905">
        <f>IFERROR((VLOOKUP(D82,'BASE DATOS'!A:C,3,0)*G82),0)</f>
        <v>243.53</v>
      </c>
      <c r="I82" s="72" t="s">
        <v>962</v>
      </c>
      <c r="J82" s="23" t="s">
        <v>271</v>
      </c>
      <c r="K82" s="23" t="s">
        <v>271</v>
      </c>
      <c r="L82" t="s">
        <v>1070</v>
      </c>
    </row>
    <row r="83" spans="2:12" ht="16">
      <c r="B83" s="79">
        <v>45764</v>
      </c>
      <c r="C83" s="78">
        <f t="shared" si="2"/>
        <v>4</v>
      </c>
      <c r="D83" s="30" t="s">
        <v>447</v>
      </c>
      <c r="E83" s="23" t="str">
        <f>IF(D83=0," ",VLOOKUP(D83,'BASE DATOS'!A:B,2,0))</f>
        <v>HAMBURGUESA DIA % 12 x 12 x 80 grs</v>
      </c>
      <c r="F83" s="23" t="str">
        <f t="shared" si="3"/>
        <v>H078 - HAMBURGUESA DIA % 12 x 12 x 80 grs</v>
      </c>
      <c r="G83" s="28">
        <v>150</v>
      </c>
      <c r="H83" s="905">
        <f>IFERROR((VLOOKUP(D83,'BASE DATOS'!A:C,3,0)*G83),0)</f>
        <v>1728</v>
      </c>
      <c r="I83" s="72" t="s">
        <v>962</v>
      </c>
      <c r="J83" s="23" t="s">
        <v>271</v>
      </c>
      <c r="K83" s="23" t="s">
        <v>271</v>
      </c>
      <c r="L83" t="s">
        <v>1070</v>
      </c>
    </row>
    <row r="84" spans="2:12" ht="16">
      <c r="B84" s="79">
        <v>45764</v>
      </c>
      <c r="C84" s="78">
        <f t="shared" si="2"/>
        <v>4</v>
      </c>
      <c r="D84" s="30" t="s">
        <v>499</v>
      </c>
      <c r="E84" s="23" t="str">
        <f>IF(D84=0," ",VLOOKUP(D84,'BASE DATOS'!A:B,2,0))</f>
        <v>MEDALLONES OPI F Pack x 2</v>
      </c>
      <c r="F84" s="23" t="str">
        <f t="shared" si="3"/>
        <v>H087 - MEDALLONES OPI F Pack x 2</v>
      </c>
      <c r="G84" s="28">
        <v>78</v>
      </c>
      <c r="H84" s="905">
        <f>IFERROR((VLOOKUP(D84,'BASE DATOS'!A:C,3,0)*G84),0)</f>
        <v>319.79999999999995</v>
      </c>
      <c r="I84" s="72" t="s">
        <v>962</v>
      </c>
      <c r="J84" s="23" t="s">
        <v>271</v>
      </c>
      <c r="K84" s="23" t="s">
        <v>271</v>
      </c>
      <c r="L84" t="s">
        <v>1070</v>
      </c>
    </row>
    <row r="85" spans="2:12" ht="16">
      <c r="B85" s="79">
        <v>45764</v>
      </c>
      <c r="C85" s="78">
        <f t="shared" si="2"/>
        <v>4</v>
      </c>
      <c r="D85" s="30" t="s">
        <v>524</v>
      </c>
      <c r="E85" s="23" t="str">
        <f>IF(D85=0," ",VLOOKUP(D85,'BASE DATOS'!A:B,2,0))</f>
        <v>MEDALLONES BONMAR 72 x 69 grs</v>
      </c>
      <c r="F85" s="23" t="str">
        <f t="shared" si="3"/>
        <v>H154 - MEDALLONES BONMAR 72 x 69 grs</v>
      </c>
      <c r="G85" s="28">
        <v>3</v>
      </c>
      <c r="H85" s="905">
        <f>IFERROR((VLOOKUP(D85,'BASE DATOS'!A:C,3,0)*G85),0)</f>
        <v>14.91</v>
      </c>
      <c r="I85" s="72" t="s">
        <v>962</v>
      </c>
      <c r="J85" s="23" t="s">
        <v>271</v>
      </c>
      <c r="K85" s="23" t="s">
        <v>271</v>
      </c>
      <c r="L85" t="s">
        <v>1070</v>
      </c>
    </row>
    <row r="86" spans="2:12" ht="32">
      <c r="B86" s="79">
        <v>45768</v>
      </c>
      <c r="C86" s="78">
        <f t="shared" si="2"/>
        <v>4</v>
      </c>
      <c r="D86" s="30" t="s">
        <v>481</v>
      </c>
      <c r="E86" s="23" t="str">
        <f>IF(D86=0," ",VLOOKUP(D86,'BASE DATOS'!A:B,2,0))</f>
        <v>MEDALLONES VICTORIA 40 x 110 grs</v>
      </c>
      <c r="F86" s="23" t="str">
        <f t="shared" si="3"/>
        <v>H513 - MEDALLONES VICTORIA 40 x 110 grs</v>
      </c>
      <c r="G86" s="28">
        <v>129</v>
      </c>
      <c r="H86" s="905">
        <f>IFERROR((VLOOKUP(D86,'BASE DATOS'!A:C,3,0)*G86),0)</f>
        <v>567.6</v>
      </c>
      <c r="I86" s="72" t="s">
        <v>960</v>
      </c>
      <c r="J86" s="23" t="s">
        <v>271</v>
      </c>
      <c r="K86" s="23" t="s">
        <v>271</v>
      </c>
    </row>
    <row r="87" spans="2:12" ht="32">
      <c r="B87" s="79">
        <v>45768</v>
      </c>
      <c r="C87" s="78">
        <f t="shared" si="2"/>
        <v>4</v>
      </c>
      <c r="D87" s="30" t="s">
        <v>503</v>
      </c>
      <c r="E87" s="23" t="str">
        <f>IF(D87=0," ",VLOOKUP(D87,'BASE DATOS'!A:B,2,0))</f>
        <v>MEDALLONES M&amp;K 20 x 2 x 110 grs</v>
      </c>
      <c r="F87" s="23" t="str">
        <f t="shared" si="3"/>
        <v>H024 - MEDALLONES M&amp;K 20 x 2 x 110 grs</v>
      </c>
      <c r="G87" s="28">
        <v>241</v>
      </c>
      <c r="H87" s="905">
        <f>IFERROR((VLOOKUP(D87,'BASE DATOS'!A:C,3,0)*G87),0)</f>
        <v>1060.4000000000001</v>
      </c>
      <c r="I87" s="72" t="s">
        <v>960</v>
      </c>
      <c r="J87" s="23" t="s">
        <v>271</v>
      </c>
      <c r="K87" s="23" t="s">
        <v>271</v>
      </c>
    </row>
    <row r="88" spans="2:12" ht="32">
      <c r="B88" s="79">
        <v>45768</v>
      </c>
      <c r="C88" s="78">
        <f t="shared" si="2"/>
        <v>4</v>
      </c>
      <c r="D88" s="30" t="s">
        <v>595</v>
      </c>
      <c r="E88" s="23" t="str">
        <f>IF(D88=0," ",VLOOKUP(D88,'BASE DATOS'!A:B,2,0))</f>
        <v>MEDALLONES E, LA HUELLA  40 x 110 grs</v>
      </c>
      <c r="F88" s="23" t="str">
        <f t="shared" si="3"/>
        <v>H313 - MEDALLONES E, LA HUELLA  40 x 110 grs</v>
      </c>
      <c r="G88" s="28">
        <v>816</v>
      </c>
      <c r="H88" s="905">
        <f>IFERROR((VLOOKUP(D88,'BASE DATOS'!A:C,3,0)*G88),0)</f>
        <v>3590.4</v>
      </c>
      <c r="I88" s="72" t="s">
        <v>960</v>
      </c>
      <c r="J88" s="23" t="s">
        <v>271</v>
      </c>
      <c r="K88" s="23" t="s">
        <v>271</v>
      </c>
    </row>
    <row r="89" spans="2:12">
      <c r="B89" s="79">
        <v>45768</v>
      </c>
      <c r="C89" s="78">
        <f t="shared" si="2"/>
        <v>4</v>
      </c>
      <c r="D89" s="30" t="s">
        <v>543</v>
      </c>
      <c r="E89" s="23" t="str">
        <f>IF(D89=0," ",VLOOKUP(D89,'BASE DATOS'!A:B,2,0))</f>
        <v>ALBONDIGA UG 3 Kgs (PULPETAS)</v>
      </c>
      <c r="F89" s="23" t="str">
        <f t="shared" si="3"/>
        <v>UG0750 - ALBONDIGA UG 3 Kgs (PULPETAS)</v>
      </c>
      <c r="G89" s="28">
        <v>11</v>
      </c>
      <c r="H89" s="905">
        <f>IFERROR((VLOOKUP(D89,'BASE DATOS'!A:C,3,0)*G89),0)</f>
        <v>33</v>
      </c>
      <c r="I89" s="23" t="s">
        <v>957</v>
      </c>
      <c r="J89" s="23" t="s">
        <v>271</v>
      </c>
      <c r="K89" s="23" t="s">
        <v>271</v>
      </c>
    </row>
    <row r="90" spans="2:12" ht="32">
      <c r="B90" s="79">
        <v>45768</v>
      </c>
      <c r="C90" s="78">
        <f t="shared" si="2"/>
        <v>4</v>
      </c>
      <c r="D90" s="30" t="s">
        <v>550</v>
      </c>
      <c r="E90" s="23" t="str">
        <f>IF(D90=0," ",VLOOKUP(D90,'BASE DATOS'!A:B,2,0))</f>
        <v>HAMBURGUESA VICTORIA 72 X 69</v>
      </c>
      <c r="F90" s="23" t="str">
        <f t="shared" si="3"/>
        <v>H533 - HAMBURGUESA VICTORIA 72 X 69</v>
      </c>
      <c r="G90" s="28">
        <v>49</v>
      </c>
      <c r="H90" s="905">
        <f>IFERROR((VLOOKUP(D90,'BASE DATOS'!A:C,3,0)*G90),0)</f>
        <v>243.53</v>
      </c>
      <c r="I90" s="72" t="s">
        <v>960</v>
      </c>
      <c r="J90" s="23" t="s">
        <v>271</v>
      </c>
      <c r="K90" s="23" t="s">
        <v>271</v>
      </c>
    </row>
    <row r="91" spans="2:12" ht="16">
      <c r="B91" s="79">
        <v>45768</v>
      </c>
      <c r="C91" s="78">
        <f t="shared" si="2"/>
        <v>4</v>
      </c>
      <c r="D91" s="30" t="s">
        <v>508</v>
      </c>
      <c r="E91" s="23" t="str">
        <f>IF(D91=0," ",VLOOKUP(D91,'BASE DATOS'!A:B,2,0))</f>
        <v>MAROLiO 18x4x80 grs</v>
      </c>
      <c r="F91" s="23" t="str">
        <f t="shared" si="3"/>
        <v>MA002 - MAROLiO 18x4x80 grs</v>
      </c>
      <c r="G91" s="28">
        <v>10</v>
      </c>
      <c r="H91" s="905">
        <f>IFERROR((VLOOKUP(D91,'BASE DATOS'!A:C,3,0)*G91),0)</f>
        <v>57.599999999999994</v>
      </c>
      <c r="I91" s="72" t="s">
        <v>957</v>
      </c>
      <c r="J91" s="23" t="s">
        <v>271</v>
      </c>
      <c r="K91" s="23" t="s">
        <v>271</v>
      </c>
    </row>
    <row r="92" spans="2:12" ht="16">
      <c r="B92" s="79">
        <v>45768</v>
      </c>
      <c r="C92" s="78">
        <f t="shared" si="2"/>
        <v>4</v>
      </c>
      <c r="D92" s="30" t="s">
        <v>533</v>
      </c>
      <c r="E92" s="23" t="str">
        <f>IF(D92=0," ",VLOOKUP(D92,'BASE DATOS'!A:B,2,0))</f>
        <v>MEDALLONES MAXIMA 36 X 2 X 55 grs S/GLUTEN S/TACC</v>
      </c>
      <c r="F92" s="23" t="str">
        <f t="shared" si="3"/>
        <v>H375 - MEDALLONES MAXIMA 36 X 2 X 55 grs S/GLUTEN S/TACC</v>
      </c>
      <c r="G92" s="28">
        <v>1</v>
      </c>
      <c r="H92" s="905">
        <f>IFERROR((VLOOKUP(D92,'BASE DATOS'!A:C,3,0)*G92),0)</f>
        <v>3.96</v>
      </c>
      <c r="I92" s="72" t="s">
        <v>979</v>
      </c>
      <c r="J92" s="23" t="s">
        <v>271</v>
      </c>
      <c r="K92" s="23" t="s">
        <v>271</v>
      </c>
    </row>
    <row r="93" spans="2:12" ht="32">
      <c r="B93" s="79">
        <v>45769</v>
      </c>
      <c r="C93" s="78">
        <f t="shared" si="2"/>
        <v>4</v>
      </c>
      <c r="D93" s="30" t="s">
        <v>444</v>
      </c>
      <c r="E93" s="23" t="str">
        <f>IF(D93=0," ",VLOOKUP(D93,'BASE DATOS'!A:B,2,0))</f>
        <v>MEDALLONES UG 36 x 83 grs</v>
      </c>
      <c r="F93" s="23" t="str">
        <f t="shared" si="3"/>
        <v>UG0030 - MEDALLONES UG 36 x 83 grs</v>
      </c>
      <c r="G93" s="28">
        <v>3</v>
      </c>
      <c r="H93" s="905">
        <f>IFERROR((VLOOKUP(D93,'BASE DATOS'!A:C,3,0)*G93),0)</f>
        <v>8.9700000000000006</v>
      </c>
      <c r="I93" s="72" t="s">
        <v>967</v>
      </c>
      <c r="J93" s="23" t="s">
        <v>271</v>
      </c>
      <c r="K93" s="23" t="s">
        <v>271</v>
      </c>
    </row>
    <row r="94" spans="2:12" ht="32">
      <c r="B94" s="79">
        <v>45769</v>
      </c>
      <c r="C94" s="78">
        <f t="shared" si="2"/>
        <v>4</v>
      </c>
      <c r="D94" s="30" t="s">
        <v>597</v>
      </c>
      <c r="E94" s="23" t="str">
        <f>IF(D94=0," ",VLOOKUP(D94,'BASE DATOS'!A:B,2,0))</f>
        <v xml:space="preserve">HAMB DE CERDO UG 15 X 2 X 83 GRS </v>
      </c>
      <c r="F94" s="23" t="str">
        <f t="shared" si="3"/>
        <v xml:space="preserve">UG0591 - HAMB DE CERDO UG 15 X 2 X 83 GRS </v>
      </c>
      <c r="G94" s="28">
        <v>26</v>
      </c>
      <c r="H94" s="905">
        <f>IFERROR((VLOOKUP(D94,'BASE DATOS'!A:C,3,0)*G94),0)</f>
        <v>64.740000000000009</v>
      </c>
      <c r="I94" s="72" t="s">
        <v>967</v>
      </c>
      <c r="J94" s="23" t="s">
        <v>271</v>
      </c>
      <c r="K94" s="84">
        <v>45770</v>
      </c>
    </row>
    <row r="95" spans="2:12" ht="32">
      <c r="B95" s="79">
        <v>45769</v>
      </c>
      <c r="C95" s="78">
        <f t="shared" si="2"/>
        <v>4</v>
      </c>
      <c r="D95" s="30" t="s">
        <v>506</v>
      </c>
      <c r="E95" s="23" t="str">
        <f>IF(D95=0," ",VLOOKUP(D95,'BASE DATOS'!A:B,2,0))</f>
        <v>MEDALLONES CHACRA NUESTRA 24 x 4 x 55 grs</v>
      </c>
      <c r="F95" s="23" t="str">
        <f t="shared" si="3"/>
        <v>CH0231 - MEDALLONES CHACRA NUESTRA 24 x 4 x 55 grs</v>
      </c>
      <c r="G95" s="28">
        <v>70</v>
      </c>
      <c r="H95" s="905">
        <f>IFERROR((VLOOKUP(D95,'BASE DATOS'!A:C,3,0)*G95),0)</f>
        <v>369.6</v>
      </c>
      <c r="I95" s="72" t="s">
        <v>967</v>
      </c>
      <c r="J95" s="23" t="s">
        <v>271</v>
      </c>
      <c r="K95" s="23" t="s">
        <v>271</v>
      </c>
    </row>
    <row r="96" spans="2:12" ht="32">
      <c r="B96" s="79">
        <v>45769</v>
      </c>
      <c r="C96" s="78">
        <f t="shared" si="2"/>
        <v>4</v>
      </c>
      <c r="D96" s="30" t="s">
        <v>481</v>
      </c>
      <c r="E96" s="23" t="str">
        <f>IF(D96=0," ",VLOOKUP(D96,'BASE DATOS'!A:B,2,0))</f>
        <v>MEDALLONES VICTORIA 40 x 110 grs</v>
      </c>
      <c r="F96" s="23" t="str">
        <f t="shared" si="3"/>
        <v>H513 - MEDALLONES VICTORIA 40 x 110 grs</v>
      </c>
      <c r="G96" s="28">
        <v>137</v>
      </c>
      <c r="H96" s="905">
        <f>IFERROR((VLOOKUP(D96,'BASE DATOS'!A:C,3,0)*G96),0)</f>
        <v>602.80000000000007</v>
      </c>
      <c r="I96" s="72" t="s">
        <v>967</v>
      </c>
      <c r="J96" s="23" t="s">
        <v>271</v>
      </c>
      <c r="K96" s="84">
        <v>45770</v>
      </c>
    </row>
    <row r="97" spans="2:11" ht="32">
      <c r="B97" s="79">
        <v>45769</v>
      </c>
      <c r="C97" s="78">
        <f t="shared" si="2"/>
        <v>4</v>
      </c>
      <c r="D97" s="30" t="s">
        <v>485</v>
      </c>
      <c r="E97" s="23" t="str">
        <f>IF(D97=0," ",VLOOKUP(D97,'BASE DATOS'!A:B,2,0))</f>
        <v>HAMBURGUESA VICTORIA 60 x 80 grs</v>
      </c>
      <c r="F97" s="23" t="str">
        <f t="shared" si="3"/>
        <v>H530 - HAMBURGUESA VICTORIA 60 x 80 grs</v>
      </c>
      <c r="G97" s="28">
        <v>54</v>
      </c>
      <c r="H97" s="905">
        <f>IFERROR((VLOOKUP(D97,'BASE DATOS'!A:C,3,0)*G97),0)</f>
        <v>259.2</v>
      </c>
      <c r="I97" s="72" t="s">
        <v>967</v>
      </c>
      <c r="J97" s="23" t="s">
        <v>271</v>
      </c>
      <c r="K97" s="84">
        <v>45769</v>
      </c>
    </row>
    <row r="98" spans="2:11" ht="32">
      <c r="B98" s="79">
        <v>45769</v>
      </c>
      <c r="C98" s="78">
        <f t="shared" si="2"/>
        <v>4</v>
      </c>
      <c r="D98" s="30" t="s">
        <v>550</v>
      </c>
      <c r="E98" s="23" t="str">
        <f>IF(D98=0," ",VLOOKUP(D98,'BASE DATOS'!A:B,2,0))</f>
        <v>HAMBURGUESA VICTORIA 72 X 69</v>
      </c>
      <c r="F98" s="23" t="str">
        <f t="shared" si="3"/>
        <v>H533 - HAMBURGUESA VICTORIA 72 X 69</v>
      </c>
      <c r="G98" s="28">
        <v>48</v>
      </c>
      <c r="H98" s="905">
        <f>IFERROR((VLOOKUP(D98,'BASE DATOS'!A:C,3,0)*G98),0)</f>
        <v>238.56</v>
      </c>
      <c r="I98" s="72" t="s">
        <v>967</v>
      </c>
      <c r="J98" s="23" t="s">
        <v>271</v>
      </c>
      <c r="K98" s="23" t="s">
        <v>271</v>
      </c>
    </row>
    <row r="99" spans="2:11" ht="32">
      <c r="B99" s="79">
        <v>45769</v>
      </c>
      <c r="C99" s="78">
        <f t="shared" si="2"/>
        <v>4</v>
      </c>
      <c r="D99" s="30" t="s">
        <v>548</v>
      </c>
      <c r="E99" s="23" t="str">
        <f>IF(D99=0," ",VLOOKUP(D99,'BASE DATOS'!A:B,2,0))</f>
        <v>MEDALLONES P, FIRST 72 x 55 grs</v>
      </c>
      <c r="F99" s="23" t="str">
        <f t="shared" si="3"/>
        <v>H112 - MEDALLONES P, FIRST 72 x 55 grs</v>
      </c>
      <c r="G99" s="28">
        <v>55</v>
      </c>
      <c r="H99" s="905">
        <f>IFERROR((VLOOKUP(D99,'BASE DATOS'!A:C,3,0)*G99),0)</f>
        <v>217.8</v>
      </c>
      <c r="I99" s="72" t="s">
        <v>967</v>
      </c>
      <c r="J99" s="23" t="s">
        <v>271</v>
      </c>
      <c r="K99" s="23" t="s">
        <v>271</v>
      </c>
    </row>
    <row r="100" spans="2:11" ht="32">
      <c r="B100" s="79">
        <v>45769</v>
      </c>
      <c r="C100" s="78">
        <f t="shared" si="2"/>
        <v>4</v>
      </c>
      <c r="D100" s="30" t="s">
        <v>490</v>
      </c>
      <c r="E100" s="23" t="str">
        <f>IF(D100=0," ",VLOOKUP(D100,'BASE DATOS'!A:B,2,0))</f>
        <v>MEDALLONES P, FIRST 40 x 110 grs</v>
      </c>
      <c r="F100" s="23" t="str">
        <f t="shared" si="3"/>
        <v>H113 - MEDALLONES P, FIRST 40 x 110 grs</v>
      </c>
      <c r="G100" s="28">
        <v>5</v>
      </c>
      <c r="H100" s="905">
        <f>IFERROR((VLOOKUP(D100,'BASE DATOS'!A:C,3,0)*G100),0)</f>
        <v>22</v>
      </c>
      <c r="I100" s="72" t="s">
        <v>967</v>
      </c>
      <c r="J100" s="23" t="s">
        <v>271</v>
      </c>
      <c r="K100" s="84">
        <v>45770</v>
      </c>
    </row>
    <row r="101" spans="2:11" ht="16">
      <c r="B101" s="79">
        <v>45769</v>
      </c>
      <c r="C101" s="78">
        <f t="shared" si="2"/>
        <v>4</v>
      </c>
      <c r="D101" s="30" t="s">
        <v>406</v>
      </c>
      <c r="E101" s="23" t="str">
        <f>IF(D101=0," ",VLOOKUP(D101,'BASE DATOS'!A:B,2,0))</f>
        <v>MEDALLONES UG 40 x 110 grs</v>
      </c>
      <c r="F101" s="23" t="str">
        <f t="shared" si="3"/>
        <v>UG0013 - MEDALLONES UG 40 x 110 grs</v>
      </c>
      <c r="G101" s="28">
        <v>145</v>
      </c>
      <c r="H101" s="905">
        <f>IFERROR((VLOOKUP(D101,'BASE DATOS'!A:C,3,0)*G101),0)</f>
        <v>638</v>
      </c>
      <c r="I101" s="72" t="s">
        <v>970</v>
      </c>
      <c r="J101" s="23" t="s">
        <v>1045</v>
      </c>
      <c r="K101" s="84">
        <v>45770</v>
      </c>
    </row>
    <row r="102" spans="2:11" ht="16">
      <c r="B102" s="79">
        <v>45769</v>
      </c>
      <c r="C102" s="78">
        <f t="shared" si="2"/>
        <v>4</v>
      </c>
      <c r="D102" s="30" t="s">
        <v>531</v>
      </c>
      <c r="E102" s="23" t="str">
        <f>IF(D102=0," ",VLOOKUP(D102,'BASE DATOS'!A:B,2,0))</f>
        <v>HAMBURGUESA VICTORIA 40 x 110 grs</v>
      </c>
      <c r="F102" s="23" t="str">
        <f t="shared" si="3"/>
        <v>H543 - HAMBURGUESA VICTORIA 40 x 110 grs</v>
      </c>
      <c r="G102" s="28">
        <v>50</v>
      </c>
      <c r="H102" s="905">
        <f>IFERROR((VLOOKUP(D102,'BASE DATOS'!A:C,3,0)*G102),0)</f>
        <v>220.00000000000003</v>
      </c>
      <c r="I102" s="72" t="s">
        <v>970</v>
      </c>
      <c r="J102" s="23" t="s">
        <v>1045</v>
      </c>
      <c r="K102" s="84">
        <v>45770</v>
      </c>
    </row>
    <row r="103" spans="2:11" ht="16">
      <c r="B103" s="79">
        <v>45769</v>
      </c>
      <c r="C103" s="78">
        <f t="shared" si="2"/>
        <v>4</v>
      </c>
      <c r="D103" s="30" t="s">
        <v>533</v>
      </c>
      <c r="E103" s="23" t="str">
        <f>IF(D103=0," ",VLOOKUP(D103,'BASE DATOS'!A:B,2,0))</f>
        <v>MEDALLONES MAXIMA 36 X 2 X 55 grs S/GLUTEN S/TACC</v>
      </c>
      <c r="F103" s="23" t="str">
        <f t="shared" ref="F103" si="4">+D103&amp;" - "&amp;E103</f>
        <v>H375 - MEDALLONES MAXIMA 36 X 2 X 55 grs S/GLUTEN S/TACC</v>
      </c>
      <c r="G103" s="28">
        <v>1</v>
      </c>
      <c r="H103" s="905">
        <f>IFERROR((VLOOKUP(D103,'BASE DATOS'!A:C,3,0)*G103),0)</f>
        <v>3.96</v>
      </c>
      <c r="I103" s="72" t="s">
        <v>979</v>
      </c>
      <c r="J103" s="23" t="s">
        <v>271</v>
      </c>
      <c r="K103" s="23" t="s">
        <v>271</v>
      </c>
    </row>
    <row r="104" spans="2:11" ht="32">
      <c r="B104" s="79">
        <v>45770</v>
      </c>
      <c r="C104" s="78">
        <f t="shared" si="2"/>
        <v>4</v>
      </c>
      <c r="D104" s="30" t="s">
        <v>444</v>
      </c>
      <c r="E104" s="23" t="str">
        <f>IF(D104=0," ",VLOOKUP(D104,'BASE DATOS'!A:B,2,0))</f>
        <v>MEDALLONES UG 36 x 83 grs</v>
      </c>
      <c r="F104" s="23" t="str">
        <f t="shared" si="3"/>
        <v>UG0030 - MEDALLONES UG 36 x 83 grs</v>
      </c>
      <c r="G104" s="28">
        <v>5</v>
      </c>
      <c r="H104" s="905">
        <f>IFERROR((VLOOKUP(D104,'BASE DATOS'!A:C,3,0)*G104),0)</f>
        <v>14.950000000000001</v>
      </c>
      <c r="I104" s="72" t="s">
        <v>967</v>
      </c>
      <c r="J104" s="23" t="s">
        <v>271</v>
      </c>
      <c r="K104" s="23" t="s">
        <v>271</v>
      </c>
    </row>
    <row r="105" spans="2:11" ht="32">
      <c r="B105" s="79">
        <v>45770</v>
      </c>
      <c r="C105" s="78">
        <f t="shared" si="2"/>
        <v>4</v>
      </c>
      <c r="D105" s="30" t="s">
        <v>506</v>
      </c>
      <c r="E105" s="23" t="str">
        <f>IF(D105=0," ",VLOOKUP(D105,'BASE DATOS'!A:B,2,0))</f>
        <v>MEDALLONES CHACRA NUESTRA 24 x 4 x 55 grs</v>
      </c>
      <c r="F105" s="23" t="str">
        <f t="shared" si="3"/>
        <v>CH0231 - MEDALLONES CHACRA NUESTRA 24 x 4 x 55 grs</v>
      </c>
      <c r="G105" s="28">
        <v>27</v>
      </c>
      <c r="H105" s="905">
        <f>IFERROR((VLOOKUP(D105,'BASE DATOS'!A:C,3,0)*G105),0)</f>
        <v>142.56</v>
      </c>
      <c r="I105" s="72" t="s">
        <v>967</v>
      </c>
      <c r="J105" s="23" t="s">
        <v>271</v>
      </c>
      <c r="K105" s="23" t="s">
        <v>271</v>
      </c>
    </row>
    <row r="106" spans="2:11" ht="16">
      <c r="B106" s="79">
        <v>45770</v>
      </c>
      <c r="C106" s="78">
        <f t="shared" si="2"/>
        <v>4</v>
      </c>
      <c r="D106" s="30" t="s">
        <v>550</v>
      </c>
      <c r="E106" s="23" t="str">
        <f>IF(D106=0," ",VLOOKUP(D106,'BASE DATOS'!A:B,2,0))</f>
        <v>HAMBURGUESA VICTORIA 72 X 69</v>
      </c>
      <c r="F106" s="23" t="str">
        <f t="shared" si="3"/>
        <v>H533 - HAMBURGUESA VICTORIA 72 X 69</v>
      </c>
      <c r="G106" s="28">
        <v>49</v>
      </c>
      <c r="H106" s="905">
        <f>IFERROR((VLOOKUP(D106,'BASE DATOS'!A:C,3,0)*G106),0)</f>
        <v>243.53</v>
      </c>
      <c r="I106" s="72" t="s">
        <v>957</v>
      </c>
      <c r="J106" s="23" t="s">
        <v>271</v>
      </c>
      <c r="K106" s="23" t="s">
        <v>271</v>
      </c>
    </row>
    <row r="107" spans="2:11" ht="16">
      <c r="B107" s="79">
        <v>45770</v>
      </c>
      <c r="C107" s="78">
        <f t="shared" si="2"/>
        <v>4</v>
      </c>
      <c r="D107" s="30" t="s">
        <v>548</v>
      </c>
      <c r="E107" s="23" t="str">
        <f>IF(D107=0," ",VLOOKUP(D107,'BASE DATOS'!A:B,2,0))</f>
        <v>MEDALLONES P, FIRST 72 x 55 grs</v>
      </c>
      <c r="F107" s="23" t="str">
        <f t="shared" si="3"/>
        <v>H112 - MEDALLONES P, FIRST 72 x 55 grs</v>
      </c>
      <c r="G107" s="28">
        <v>5</v>
      </c>
      <c r="H107" s="905">
        <f>IFERROR((VLOOKUP(D107,'BASE DATOS'!A:C,3,0)*G107),0)</f>
        <v>19.8</v>
      </c>
      <c r="I107" s="72" t="s">
        <v>1072</v>
      </c>
      <c r="J107" s="23" t="s">
        <v>1051</v>
      </c>
      <c r="K107" s="23" t="s">
        <v>271</v>
      </c>
    </row>
    <row r="108" spans="2:11" ht="48">
      <c r="B108" s="79">
        <v>45770</v>
      </c>
      <c r="C108" s="78">
        <f t="shared" si="2"/>
        <v>4</v>
      </c>
      <c r="D108" s="30" t="s">
        <v>512</v>
      </c>
      <c r="E108" s="23" t="str">
        <f>IF(D108=0," ",VLOOKUP(D108,'BASE DATOS'!A:B,2,0))</f>
        <v>HAMBURGUESA CLASSIC 6 x 20 x 83 grs</v>
      </c>
      <c r="F108" s="23" t="str">
        <f t="shared" si="3"/>
        <v>CLA003 - HAMBURGUESA CLASSIC 6 x 20 x 83 grs</v>
      </c>
      <c r="G108" s="28">
        <v>34</v>
      </c>
      <c r="H108" s="905">
        <f>IFERROR((VLOOKUP(D108,'BASE DATOS'!A:C,3,0)*G108),0)</f>
        <v>338.64000000000004</v>
      </c>
      <c r="I108" s="72" t="s">
        <v>1072</v>
      </c>
      <c r="J108" s="72" t="s">
        <v>1050</v>
      </c>
      <c r="K108" s="23" t="s">
        <v>271</v>
      </c>
    </row>
    <row r="109" spans="2:11" ht="16">
      <c r="B109" s="79">
        <v>45771</v>
      </c>
      <c r="C109" s="78">
        <f t="shared" si="2"/>
        <v>4</v>
      </c>
      <c r="D109" s="30" t="s">
        <v>481</v>
      </c>
      <c r="E109" s="23" t="str">
        <f>IF(D109=0," ",VLOOKUP(D109,'BASE DATOS'!A:B,2,0))</f>
        <v>MEDALLONES VICTORIA 40 x 110 grs</v>
      </c>
      <c r="F109" s="23" t="str">
        <f t="shared" si="3"/>
        <v>H513 - MEDALLONES VICTORIA 40 x 110 grs</v>
      </c>
      <c r="G109" s="28">
        <v>62</v>
      </c>
      <c r="H109" s="905">
        <f>IFERROR((VLOOKUP(D109,'BASE DATOS'!A:C,3,0)*G109),0)</f>
        <v>272.8</v>
      </c>
      <c r="I109" s="72" t="s">
        <v>962</v>
      </c>
      <c r="J109" s="23" t="s">
        <v>271</v>
      </c>
      <c r="K109" s="23" t="s">
        <v>271</v>
      </c>
    </row>
    <row r="110" spans="2:11" ht="32">
      <c r="B110" s="79">
        <v>45771</v>
      </c>
      <c r="C110" s="78">
        <f t="shared" si="2"/>
        <v>4</v>
      </c>
      <c r="D110" s="30" t="s">
        <v>447</v>
      </c>
      <c r="E110" s="23" t="str">
        <f>IF(D110=0," ",VLOOKUP(D110,'BASE DATOS'!A:B,2,0))</f>
        <v>HAMBURGUESA DIA % 12 x 12 x 80 grs</v>
      </c>
      <c r="F110" s="23" t="str">
        <f t="shared" si="3"/>
        <v>H078 - HAMBURGUESA DIA % 12 x 12 x 80 grs</v>
      </c>
      <c r="G110" s="28">
        <v>4</v>
      </c>
      <c r="H110" s="905">
        <f>IFERROR((VLOOKUP(D110,'BASE DATOS'!A:C,3,0)*G110),0)</f>
        <v>46.08</v>
      </c>
      <c r="I110" s="72" t="s">
        <v>960</v>
      </c>
      <c r="J110" s="23" t="s">
        <v>1053</v>
      </c>
      <c r="K110" s="23" t="s">
        <v>271</v>
      </c>
    </row>
    <row r="111" spans="2:11" ht="32">
      <c r="B111" s="79">
        <v>45772</v>
      </c>
      <c r="C111" s="78">
        <f t="shared" si="2"/>
        <v>4</v>
      </c>
      <c r="D111" s="30" t="s">
        <v>447</v>
      </c>
      <c r="E111" s="23" t="str">
        <f>IF(D111=0," ",VLOOKUP(D111,'BASE DATOS'!A:B,2,0))</f>
        <v>HAMBURGUESA DIA % 12 x 12 x 80 grs</v>
      </c>
      <c r="F111" s="23" t="str">
        <f t="shared" si="3"/>
        <v>H078 - HAMBURGUESA DIA % 12 x 12 x 80 grs</v>
      </c>
      <c r="G111" s="28">
        <v>4</v>
      </c>
      <c r="H111" s="905">
        <f>IFERROR((VLOOKUP(D111,'BASE DATOS'!A:C,3,0)*G111),0)</f>
        <v>46.08</v>
      </c>
      <c r="I111" s="72" t="s">
        <v>960</v>
      </c>
      <c r="J111" s="72" t="s">
        <v>1055</v>
      </c>
      <c r="K111" s="23" t="s">
        <v>271</v>
      </c>
    </row>
    <row r="112" spans="2:11" ht="16">
      <c r="B112" s="79">
        <v>45775</v>
      </c>
      <c r="C112" s="78">
        <f t="shared" si="2"/>
        <v>4</v>
      </c>
      <c r="D112" s="30" t="s">
        <v>485</v>
      </c>
      <c r="E112" s="23" t="str">
        <f>IF(D112=0," ",VLOOKUP(D112,'BASE DATOS'!A:B,2,0))</f>
        <v>HAMBURGUESA VICTORIA 60 x 80 grs</v>
      </c>
      <c r="F112" s="23" t="str">
        <f t="shared" si="3"/>
        <v>H530 - HAMBURGUESA VICTORIA 60 x 80 grs</v>
      </c>
      <c r="G112" s="28">
        <v>25</v>
      </c>
      <c r="H112" s="905">
        <f>IFERROR((VLOOKUP(D112,'BASE DATOS'!A:C,3,0)*G112),0)</f>
        <v>120</v>
      </c>
      <c r="I112" s="72" t="s">
        <v>957</v>
      </c>
      <c r="J112" s="23" t="s">
        <v>271</v>
      </c>
      <c r="K112" s="23" t="s">
        <v>271</v>
      </c>
    </row>
    <row r="113" spans="2:11">
      <c r="B113" s="911"/>
      <c r="C113" s="78">
        <f t="shared" si="2"/>
        <v>1</v>
      </c>
      <c r="D113" s="30"/>
      <c r="E113" s="23" t="str">
        <f>IF(D113=0," ",VLOOKUP(D113,'BASE DATOS'!A:B,2,0))</f>
        <v xml:space="preserve"> </v>
      </c>
      <c r="F113" s="23" t="str">
        <f t="shared" si="3"/>
        <v xml:space="preserve"> -  </v>
      </c>
      <c r="G113" s="28"/>
      <c r="H113" s="905">
        <f>IFERROR((VLOOKUP(D113,'BASE DATOS'!A:C,3,0)*G113),0)</f>
        <v>0</v>
      </c>
      <c r="I113" s="72"/>
      <c r="J113" s="23" t="s">
        <v>271</v>
      </c>
      <c r="K113" s="23" t="s">
        <v>271</v>
      </c>
    </row>
    <row r="114" spans="2:11">
      <c r="B114" s="911"/>
      <c r="C114" s="78">
        <f t="shared" si="2"/>
        <v>1</v>
      </c>
      <c r="D114" s="30"/>
      <c r="E114" s="23" t="str">
        <f>IF(D114=0," ",VLOOKUP(D114,'BASE DATOS'!A:B,2,0))</f>
        <v xml:space="preserve"> </v>
      </c>
      <c r="F114" s="23" t="str">
        <f t="shared" si="3"/>
        <v xml:space="preserve"> -  </v>
      </c>
      <c r="G114" s="28"/>
      <c r="H114" s="905">
        <f>IFERROR((VLOOKUP(D114,'BASE DATOS'!A:C,3,0)*G114),0)</f>
        <v>0</v>
      </c>
      <c r="I114" s="72"/>
      <c r="J114" s="23" t="s">
        <v>271</v>
      </c>
      <c r="K114" s="23" t="s">
        <v>271</v>
      </c>
    </row>
    <row r="115" spans="2:11">
      <c r="B115" s="911"/>
      <c r="C115" s="78">
        <f t="shared" si="2"/>
        <v>1</v>
      </c>
      <c r="D115" s="30"/>
      <c r="E115" s="23" t="str">
        <f>IF(D115=0," ",VLOOKUP(D115,'BASE DATOS'!A:B,2,0))</f>
        <v xml:space="preserve"> </v>
      </c>
      <c r="F115" s="23" t="str">
        <f t="shared" si="3"/>
        <v xml:space="preserve"> -  </v>
      </c>
      <c r="G115" s="28"/>
      <c r="H115" s="905">
        <f>IFERROR((VLOOKUP(D115,'BASE DATOS'!A:C,3,0)*G115),0)</f>
        <v>0</v>
      </c>
      <c r="I115" s="72"/>
      <c r="J115" s="23" t="s">
        <v>271</v>
      </c>
      <c r="K115" s="23" t="s">
        <v>271</v>
      </c>
    </row>
    <row r="116" spans="2:11">
      <c r="B116" s="911"/>
      <c r="C116" s="78">
        <f t="shared" si="2"/>
        <v>1</v>
      </c>
      <c r="D116" s="30"/>
      <c r="E116" s="23" t="str">
        <f>IF(D116=0," ",VLOOKUP(D116,'BASE DATOS'!A:B,2,0))</f>
        <v xml:space="preserve"> </v>
      </c>
      <c r="F116" s="23" t="str">
        <f t="shared" si="3"/>
        <v xml:space="preserve"> -  </v>
      </c>
      <c r="G116" s="28"/>
      <c r="H116" s="905">
        <f>IFERROR((VLOOKUP(D116,'BASE DATOS'!A:C,3,0)*G116),0)</f>
        <v>0</v>
      </c>
      <c r="I116" s="72"/>
      <c r="J116" s="23" t="s">
        <v>271</v>
      </c>
      <c r="K116" s="23" t="s">
        <v>271</v>
      </c>
    </row>
    <row r="117" spans="2:11">
      <c r="B117" s="911"/>
      <c r="C117" s="78">
        <f t="shared" si="2"/>
        <v>1</v>
      </c>
      <c r="D117" s="30"/>
      <c r="E117" s="23" t="str">
        <f>IF(D117=0," ",VLOOKUP(D117,'BASE DATOS'!A:B,2,0))</f>
        <v xml:space="preserve"> </v>
      </c>
      <c r="F117" s="23" t="str">
        <f t="shared" si="3"/>
        <v xml:space="preserve"> -  </v>
      </c>
      <c r="G117" s="28"/>
      <c r="H117" s="905">
        <f>IFERROR((VLOOKUP(D117,'BASE DATOS'!A:C,3,0)*G117),0)</f>
        <v>0</v>
      </c>
      <c r="I117" s="72"/>
      <c r="J117" s="23" t="s">
        <v>271</v>
      </c>
      <c r="K117" s="23" t="s">
        <v>271</v>
      </c>
    </row>
    <row r="118" spans="2:11">
      <c r="B118" s="911"/>
      <c r="C118" s="78">
        <f t="shared" si="2"/>
        <v>1</v>
      </c>
      <c r="D118" s="30"/>
      <c r="E118" s="23" t="str">
        <f>IF(D118=0," ",VLOOKUP(D118,'BASE DATOS'!A:B,2,0))</f>
        <v xml:space="preserve"> </v>
      </c>
      <c r="F118" s="23" t="str">
        <f t="shared" si="3"/>
        <v xml:space="preserve"> -  </v>
      </c>
      <c r="G118" s="28"/>
      <c r="H118" s="905">
        <f>IFERROR((VLOOKUP(D118,'BASE DATOS'!A:C,3,0)*G118),0)</f>
        <v>0</v>
      </c>
      <c r="I118" s="72"/>
      <c r="J118" s="23" t="s">
        <v>271</v>
      </c>
      <c r="K118" s="23" t="s">
        <v>271</v>
      </c>
    </row>
    <row r="119" spans="2:11">
      <c r="B119" s="911"/>
      <c r="C119" s="78">
        <f t="shared" si="2"/>
        <v>1</v>
      </c>
      <c r="D119" s="30"/>
      <c r="E119" s="23" t="str">
        <f>IF(D119=0," ",VLOOKUP(D119,'BASE DATOS'!A:B,2,0))</f>
        <v xml:space="preserve"> </v>
      </c>
      <c r="F119" s="23" t="str">
        <f t="shared" si="3"/>
        <v xml:space="preserve"> -  </v>
      </c>
      <c r="G119" s="28"/>
      <c r="H119" s="905">
        <f>IFERROR((VLOOKUP(D119,'BASE DATOS'!A:C,3,0)*G119),0)</f>
        <v>0</v>
      </c>
      <c r="I119" s="72"/>
      <c r="J119" s="23" t="s">
        <v>271</v>
      </c>
      <c r="K119" s="23" t="s">
        <v>271</v>
      </c>
    </row>
    <row r="120" spans="2:11">
      <c r="B120" s="911"/>
      <c r="C120" s="78">
        <f t="shared" si="2"/>
        <v>1</v>
      </c>
      <c r="D120" s="30"/>
      <c r="E120" s="23" t="str">
        <f>IF(D120=0," ",VLOOKUP(D120,'BASE DATOS'!A:B,2,0))</f>
        <v xml:space="preserve"> </v>
      </c>
      <c r="F120" s="23" t="str">
        <f t="shared" si="3"/>
        <v xml:space="preserve"> -  </v>
      </c>
      <c r="G120" s="28"/>
      <c r="H120" s="905">
        <f>IFERROR((VLOOKUP(D120,'BASE DATOS'!A:C,3,0)*G120),0)</f>
        <v>0</v>
      </c>
      <c r="I120" s="72"/>
      <c r="J120" s="23" t="s">
        <v>271</v>
      </c>
      <c r="K120" s="23" t="s">
        <v>271</v>
      </c>
    </row>
    <row r="121" spans="2:11">
      <c r="B121" s="911"/>
      <c r="C121" s="78">
        <f t="shared" si="2"/>
        <v>1</v>
      </c>
      <c r="D121" s="30"/>
      <c r="E121" s="23" t="str">
        <f>IF(D121=0," ",VLOOKUP(D121,'BASE DATOS'!A:B,2,0))</f>
        <v xml:space="preserve"> </v>
      </c>
      <c r="F121" s="23" t="str">
        <f t="shared" si="3"/>
        <v xml:space="preserve"> -  </v>
      </c>
      <c r="G121" s="28"/>
      <c r="H121" s="905">
        <f>IFERROR((VLOOKUP(D121,'BASE DATOS'!A:C,3,0)*G121),0)</f>
        <v>0</v>
      </c>
      <c r="I121" s="72"/>
      <c r="J121" s="23" t="s">
        <v>271</v>
      </c>
      <c r="K121" s="23" t="s">
        <v>271</v>
      </c>
    </row>
    <row r="122" spans="2:11">
      <c r="B122" s="911"/>
      <c r="C122" s="78">
        <f t="shared" si="2"/>
        <v>1</v>
      </c>
      <c r="D122" s="30"/>
      <c r="E122" s="23" t="str">
        <f>IF(D122=0," ",VLOOKUP(D122,'BASE DATOS'!A:B,2,0))</f>
        <v xml:space="preserve"> </v>
      </c>
      <c r="F122" s="23" t="str">
        <f t="shared" si="3"/>
        <v xml:space="preserve"> -  </v>
      </c>
      <c r="G122" s="28"/>
      <c r="H122" s="905">
        <f>IFERROR((VLOOKUP(D122,'BASE DATOS'!A:C,3,0)*G122),0)</f>
        <v>0</v>
      </c>
      <c r="I122" s="72"/>
      <c r="J122" s="23" t="s">
        <v>271</v>
      </c>
      <c r="K122" s="23" t="s">
        <v>271</v>
      </c>
    </row>
    <row r="123" spans="2:11">
      <c r="B123" s="911"/>
      <c r="C123" s="78">
        <f t="shared" si="2"/>
        <v>1</v>
      </c>
      <c r="D123" s="30"/>
      <c r="E123" s="23" t="str">
        <f>IF(D123=0," ",VLOOKUP(D123,'BASE DATOS'!A:B,2,0))</f>
        <v xml:space="preserve"> </v>
      </c>
      <c r="F123" s="23" t="str">
        <f t="shared" si="3"/>
        <v xml:space="preserve"> -  </v>
      </c>
      <c r="G123" s="28"/>
      <c r="H123" s="905">
        <f>IFERROR((VLOOKUP(D123,'BASE DATOS'!A:C,3,0)*G123),0)</f>
        <v>0</v>
      </c>
      <c r="I123" s="72"/>
      <c r="J123" s="23" t="s">
        <v>271</v>
      </c>
      <c r="K123" s="23" t="s">
        <v>271</v>
      </c>
    </row>
    <row r="124" spans="2:11">
      <c r="B124" s="911"/>
      <c r="C124" s="78">
        <f t="shared" si="2"/>
        <v>1</v>
      </c>
      <c r="D124" s="30"/>
      <c r="E124" s="23" t="str">
        <f>IF(D124=0," ",VLOOKUP(D124,'BASE DATOS'!A:B,2,0))</f>
        <v xml:space="preserve"> </v>
      </c>
      <c r="F124" s="23" t="str">
        <f t="shared" si="3"/>
        <v xml:space="preserve"> -  </v>
      </c>
      <c r="G124" s="28"/>
      <c r="H124" s="905">
        <f>IFERROR((VLOOKUP(D124,'BASE DATOS'!A:C,3,0)*G124),0)</f>
        <v>0</v>
      </c>
      <c r="I124" s="72"/>
      <c r="J124" s="23" t="s">
        <v>271</v>
      </c>
      <c r="K124" s="23" t="s">
        <v>271</v>
      </c>
    </row>
    <row r="125" spans="2:11">
      <c r="B125" s="911"/>
      <c r="C125" s="78">
        <f t="shared" si="2"/>
        <v>1</v>
      </c>
      <c r="D125" s="30"/>
      <c r="E125" s="23" t="str">
        <f>IF(D125=0," ",VLOOKUP(D125,'BASE DATOS'!A:B,2,0))</f>
        <v xml:space="preserve"> </v>
      </c>
      <c r="F125" s="23" t="str">
        <f t="shared" si="3"/>
        <v xml:space="preserve"> -  </v>
      </c>
      <c r="G125" s="28"/>
      <c r="H125" s="905">
        <f>IFERROR((VLOOKUP(D125,'BASE DATOS'!A:C,3,0)*G125),0)</f>
        <v>0</v>
      </c>
      <c r="I125" s="72"/>
      <c r="J125" s="23" t="s">
        <v>271</v>
      </c>
      <c r="K125" s="23" t="s">
        <v>271</v>
      </c>
    </row>
    <row r="126" spans="2:11">
      <c r="B126" s="911"/>
      <c r="C126" s="78">
        <f t="shared" si="2"/>
        <v>1</v>
      </c>
      <c r="D126" s="30"/>
      <c r="E126" s="23" t="str">
        <f>IF(D126=0," ",VLOOKUP(D126,'BASE DATOS'!A:B,2,0))</f>
        <v xml:space="preserve"> </v>
      </c>
      <c r="F126" s="23" t="str">
        <f t="shared" si="3"/>
        <v xml:space="preserve"> -  </v>
      </c>
      <c r="G126" s="28"/>
      <c r="H126" s="905">
        <f>IFERROR((VLOOKUP(D126,'BASE DATOS'!A:C,3,0)*G126),0)</f>
        <v>0</v>
      </c>
      <c r="I126" s="72"/>
      <c r="J126" s="23" t="s">
        <v>271</v>
      </c>
      <c r="K126" s="23" t="s">
        <v>271</v>
      </c>
    </row>
    <row r="127" spans="2:11">
      <c r="B127" s="911"/>
      <c r="C127" s="78">
        <f t="shared" si="2"/>
        <v>1</v>
      </c>
      <c r="D127" s="30"/>
      <c r="E127" s="23" t="str">
        <f>IF(D127=0," ",VLOOKUP(D127,'BASE DATOS'!A:B,2,0))</f>
        <v xml:space="preserve"> </v>
      </c>
      <c r="F127" s="23" t="str">
        <f t="shared" si="3"/>
        <v xml:space="preserve"> -  </v>
      </c>
      <c r="G127" s="28"/>
      <c r="H127" s="905">
        <f>IFERROR((VLOOKUP(D127,'BASE DATOS'!A:C,3,0)*G127),0)</f>
        <v>0</v>
      </c>
      <c r="I127" s="72"/>
      <c r="J127" s="23" t="s">
        <v>271</v>
      </c>
      <c r="K127" s="23" t="s">
        <v>271</v>
      </c>
    </row>
    <row r="128" spans="2:11">
      <c r="B128" s="911"/>
      <c r="C128" s="78">
        <f t="shared" si="2"/>
        <v>1</v>
      </c>
      <c r="D128" s="30"/>
      <c r="E128" s="23" t="str">
        <f>IF(D128=0," ",VLOOKUP(D128,'BASE DATOS'!A:B,2,0))</f>
        <v xml:space="preserve"> </v>
      </c>
      <c r="F128" s="23" t="str">
        <f t="shared" si="3"/>
        <v xml:space="preserve"> -  </v>
      </c>
      <c r="G128" s="28"/>
      <c r="H128" s="905">
        <f>IFERROR((VLOOKUP(D128,'BASE DATOS'!A:C,3,0)*G128),0)</f>
        <v>0</v>
      </c>
      <c r="I128" s="72"/>
      <c r="J128" s="23" t="s">
        <v>271</v>
      </c>
      <c r="K128" s="23" t="s">
        <v>271</v>
      </c>
    </row>
    <row r="129" spans="2:11">
      <c r="B129" s="911"/>
      <c r="C129" s="78">
        <f t="shared" si="2"/>
        <v>1</v>
      </c>
      <c r="D129" s="30"/>
      <c r="E129" s="23" t="str">
        <f>IF(D129=0," ",VLOOKUP(D129,'BASE DATOS'!A:B,2,0))</f>
        <v xml:space="preserve"> </v>
      </c>
      <c r="F129" s="23" t="str">
        <f t="shared" si="3"/>
        <v xml:space="preserve"> -  </v>
      </c>
      <c r="G129" s="28"/>
      <c r="H129" s="905">
        <f>IFERROR((VLOOKUP(D129,'BASE DATOS'!A:C,3,0)*G129),0)</f>
        <v>0</v>
      </c>
      <c r="I129" s="72"/>
      <c r="J129" s="23" t="s">
        <v>271</v>
      </c>
      <c r="K129" s="23" t="s">
        <v>271</v>
      </c>
    </row>
    <row r="130" spans="2:11">
      <c r="B130" s="911"/>
      <c r="C130" s="78">
        <f t="shared" si="2"/>
        <v>1</v>
      </c>
      <c r="D130" s="30"/>
      <c r="E130" s="23" t="str">
        <f>IF(D130=0," ",VLOOKUP(D130,'BASE DATOS'!A:B,2,0))</f>
        <v xml:space="preserve"> </v>
      </c>
      <c r="F130" s="23" t="str">
        <f t="shared" si="3"/>
        <v xml:space="preserve"> -  </v>
      </c>
      <c r="G130" s="28"/>
      <c r="H130" s="905">
        <f>IFERROR((VLOOKUP(D130,'BASE DATOS'!A:C,3,0)*G130),0)</f>
        <v>0</v>
      </c>
      <c r="I130" s="72"/>
      <c r="J130" s="23" t="s">
        <v>271</v>
      </c>
      <c r="K130" s="23" t="s">
        <v>271</v>
      </c>
    </row>
    <row r="131" spans="2:11">
      <c r="B131" s="911"/>
      <c r="C131" s="78">
        <f t="shared" ref="C131:C158" si="5">+MONTH(B131)</f>
        <v>1</v>
      </c>
      <c r="D131" s="30"/>
      <c r="E131" s="23" t="str">
        <f>IF(D131=0," ",VLOOKUP(D131,'BASE DATOS'!A:B,2,0))</f>
        <v xml:space="preserve"> </v>
      </c>
      <c r="F131" s="23" t="str">
        <f t="shared" ref="F131:F156" si="6">+D131&amp;" - "&amp;E131</f>
        <v xml:space="preserve"> -  </v>
      </c>
      <c r="G131" s="28"/>
      <c r="H131" s="905">
        <f>IFERROR((VLOOKUP(D131,'BASE DATOS'!A:C,3,0)*G131),0)</f>
        <v>0</v>
      </c>
      <c r="I131" s="72"/>
      <c r="J131" s="23" t="s">
        <v>271</v>
      </c>
      <c r="K131" s="23" t="s">
        <v>271</v>
      </c>
    </row>
    <row r="132" spans="2:11">
      <c r="B132" s="911"/>
      <c r="C132" s="78">
        <f t="shared" si="5"/>
        <v>1</v>
      </c>
      <c r="D132" s="30"/>
      <c r="E132" s="23" t="str">
        <f>IF(D132=0," ",VLOOKUP(D132,'BASE DATOS'!A:B,2,0))</f>
        <v xml:space="preserve"> </v>
      </c>
      <c r="F132" s="23" t="str">
        <f t="shared" si="6"/>
        <v xml:space="preserve"> -  </v>
      </c>
      <c r="G132" s="28"/>
      <c r="H132" s="905">
        <f>IFERROR((VLOOKUP(D132,'BASE DATOS'!A:C,3,0)*G132),0)</f>
        <v>0</v>
      </c>
      <c r="I132" s="72"/>
      <c r="J132" s="23" t="s">
        <v>271</v>
      </c>
      <c r="K132" s="23" t="s">
        <v>271</v>
      </c>
    </row>
    <row r="133" spans="2:11">
      <c r="B133" s="911"/>
      <c r="C133" s="78">
        <f t="shared" si="5"/>
        <v>1</v>
      </c>
      <c r="D133" s="30"/>
      <c r="E133" s="23" t="str">
        <f>IF(D133=0," ",VLOOKUP(D133,'BASE DATOS'!A:B,2,0))</f>
        <v xml:space="preserve"> </v>
      </c>
      <c r="F133" s="23" t="str">
        <f t="shared" si="6"/>
        <v xml:space="preserve"> -  </v>
      </c>
      <c r="G133" s="28"/>
      <c r="H133" s="905">
        <f>IFERROR((VLOOKUP(D133,'BASE DATOS'!A:C,3,0)*G133),0)</f>
        <v>0</v>
      </c>
      <c r="I133" s="72"/>
      <c r="J133" s="23" t="s">
        <v>271</v>
      </c>
      <c r="K133" s="23" t="s">
        <v>271</v>
      </c>
    </row>
    <row r="134" spans="2:11">
      <c r="B134" s="911"/>
      <c r="C134" s="78">
        <f t="shared" si="5"/>
        <v>1</v>
      </c>
      <c r="D134" s="30"/>
      <c r="E134" s="23" t="str">
        <f>IF(D134=0," ",VLOOKUP(D134,'BASE DATOS'!A:B,2,0))</f>
        <v xml:space="preserve"> </v>
      </c>
      <c r="F134" s="23" t="str">
        <f t="shared" si="6"/>
        <v xml:space="preserve"> -  </v>
      </c>
      <c r="G134" s="28"/>
      <c r="H134" s="905">
        <f>IFERROR((VLOOKUP(D134,'BASE DATOS'!A:C,3,0)*G134),0)</f>
        <v>0</v>
      </c>
      <c r="I134" s="72"/>
      <c r="J134" s="23" t="s">
        <v>271</v>
      </c>
      <c r="K134" s="23" t="s">
        <v>271</v>
      </c>
    </row>
    <row r="135" spans="2:11">
      <c r="B135" s="911"/>
      <c r="C135" s="78">
        <f t="shared" si="5"/>
        <v>1</v>
      </c>
      <c r="D135" s="30"/>
      <c r="E135" s="23" t="str">
        <f>IF(D135=0," ",VLOOKUP(D135,'BASE DATOS'!A:B,2,0))</f>
        <v xml:space="preserve"> </v>
      </c>
      <c r="F135" s="23" t="str">
        <f t="shared" si="6"/>
        <v xml:space="preserve"> -  </v>
      </c>
      <c r="G135" s="28"/>
      <c r="H135" s="905">
        <f>IFERROR((VLOOKUP(D135,'BASE DATOS'!A:C,3,0)*G135),0)</f>
        <v>0</v>
      </c>
      <c r="I135" s="72"/>
      <c r="J135" s="23" t="s">
        <v>271</v>
      </c>
      <c r="K135" s="23" t="s">
        <v>271</v>
      </c>
    </row>
    <row r="136" spans="2:11">
      <c r="B136" s="911"/>
      <c r="C136" s="78">
        <f t="shared" si="5"/>
        <v>1</v>
      </c>
      <c r="D136" s="30"/>
      <c r="E136" s="23" t="str">
        <f>IF(D136=0," ",VLOOKUP(D136,'BASE DATOS'!A:B,2,0))</f>
        <v xml:space="preserve"> </v>
      </c>
      <c r="F136" s="23" t="str">
        <f t="shared" si="6"/>
        <v xml:space="preserve"> -  </v>
      </c>
      <c r="G136" s="28"/>
      <c r="H136" s="905">
        <f>IFERROR((VLOOKUP(D136,'BASE DATOS'!A:C,3,0)*G136),0)</f>
        <v>0</v>
      </c>
      <c r="I136" s="72"/>
      <c r="J136" s="23" t="s">
        <v>271</v>
      </c>
      <c r="K136" s="23" t="s">
        <v>271</v>
      </c>
    </row>
    <row r="137" spans="2:11">
      <c r="B137" s="911"/>
      <c r="C137" s="78">
        <f t="shared" si="5"/>
        <v>1</v>
      </c>
      <c r="D137" s="30"/>
      <c r="E137" s="23" t="str">
        <f>IF(D137=0," ",VLOOKUP(D137,'BASE DATOS'!A:B,2,0))</f>
        <v xml:space="preserve"> </v>
      </c>
      <c r="F137" s="23" t="str">
        <f t="shared" si="6"/>
        <v xml:space="preserve"> -  </v>
      </c>
      <c r="G137" s="28"/>
      <c r="H137" s="905">
        <f>IFERROR((VLOOKUP(D137,'BASE DATOS'!A:C,3,0)*G137),0)</f>
        <v>0</v>
      </c>
      <c r="I137" s="72"/>
      <c r="J137" s="23" t="s">
        <v>271</v>
      </c>
      <c r="K137" s="23" t="s">
        <v>271</v>
      </c>
    </row>
    <row r="138" spans="2:11">
      <c r="B138" s="911"/>
      <c r="C138" s="78">
        <f t="shared" si="5"/>
        <v>1</v>
      </c>
      <c r="D138" s="30"/>
      <c r="E138" s="23" t="str">
        <f>IF(D138=0," ",VLOOKUP(D138,'BASE DATOS'!A:B,2,0))</f>
        <v xml:space="preserve"> </v>
      </c>
      <c r="F138" s="23" t="str">
        <f t="shared" si="6"/>
        <v xml:space="preserve"> -  </v>
      </c>
      <c r="G138" s="28"/>
      <c r="H138" s="905">
        <f>IFERROR((VLOOKUP(D138,'BASE DATOS'!A:C,3,0)*G138),0)</f>
        <v>0</v>
      </c>
      <c r="I138" s="72"/>
      <c r="J138" s="23" t="s">
        <v>271</v>
      </c>
      <c r="K138" s="23" t="s">
        <v>271</v>
      </c>
    </row>
    <row r="139" spans="2:11">
      <c r="B139" s="911"/>
      <c r="C139" s="78">
        <f t="shared" si="5"/>
        <v>1</v>
      </c>
      <c r="D139" s="30"/>
      <c r="E139" s="23" t="str">
        <f>IF(D139=0," ",VLOOKUP(D139,'BASE DATOS'!A:B,2,0))</f>
        <v xml:space="preserve"> </v>
      </c>
      <c r="F139" s="23" t="str">
        <f t="shared" si="6"/>
        <v xml:space="preserve"> -  </v>
      </c>
      <c r="G139" s="28"/>
      <c r="H139" s="905">
        <f>IFERROR((VLOOKUP(D139,'BASE DATOS'!A:C,3,0)*G139),0)</f>
        <v>0</v>
      </c>
      <c r="I139" s="72"/>
      <c r="J139" s="23" t="s">
        <v>271</v>
      </c>
      <c r="K139" s="23" t="s">
        <v>271</v>
      </c>
    </row>
    <row r="140" spans="2:11">
      <c r="B140" s="911"/>
      <c r="C140" s="78">
        <f t="shared" si="5"/>
        <v>1</v>
      </c>
      <c r="D140" s="30"/>
      <c r="E140" s="23" t="str">
        <f>IF(D140=0," ",VLOOKUP(D140,'BASE DATOS'!A:B,2,0))</f>
        <v xml:space="preserve"> </v>
      </c>
      <c r="F140" s="23" t="str">
        <f t="shared" si="6"/>
        <v xml:space="preserve"> -  </v>
      </c>
      <c r="G140" s="28"/>
      <c r="H140" s="905">
        <f>IFERROR((VLOOKUP(D140,'BASE DATOS'!A:C,3,0)*G140),0)</f>
        <v>0</v>
      </c>
      <c r="I140" s="72"/>
      <c r="J140" s="23" t="s">
        <v>271</v>
      </c>
      <c r="K140" s="23" t="s">
        <v>271</v>
      </c>
    </row>
    <row r="141" spans="2:11">
      <c r="B141" s="911"/>
      <c r="C141" s="78">
        <f t="shared" si="5"/>
        <v>1</v>
      </c>
      <c r="D141" s="30"/>
      <c r="E141" s="23" t="str">
        <f>IF(D141=0," ",VLOOKUP(D141,'BASE DATOS'!A:B,2,0))</f>
        <v xml:space="preserve"> </v>
      </c>
      <c r="F141" s="23" t="str">
        <f t="shared" si="6"/>
        <v xml:space="preserve"> -  </v>
      </c>
      <c r="G141" s="28"/>
      <c r="H141" s="905">
        <f>IFERROR((VLOOKUP(D141,'BASE DATOS'!A:C,3,0)*G141),0)</f>
        <v>0</v>
      </c>
      <c r="I141" s="72"/>
      <c r="J141" s="23" t="s">
        <v>271</v>
      </c>
      <c r="K141" s="23" t="s">
        <v>271</v>
      </c>
    </row>
    <row r="142" spans="2:11">
      <c r="B142" s="911"/>
      <c r="C142" s="78">
        <f t="shared" si="5"/>
        <v>1</v>
      </c>
      <c r="D142" s="30"/>
      <c r="E142" s="23" t="str">
        <f>IF(D142=0," ",VLOOKUP(D142,'BASE DATOS'!A:B,2,0))</f>
        <v xml:space="preserve"> </v>
      </c>
      <c r="F142" s="23" t="str">
        <f t="shared" si="6"/>
        <v xml:space="preserve"> -  </v>
      </c>
      <c r="G142" s="28"/>
      <c r="H142" s="905">
        <f>IFERROR((VLOOKUP(D142,'BASE DATOS'!A:C,3,0)*G142),0)</f>
        <v>0</v>
      </c>
      <c r="I142" s="72"/>
      <c r="J142" s="23" t="s">
        <v>271</v>
      </c>
      <c r="K142" s="23" t="s">
        <v>271</v>
      </c>
    </row>
    <row r="143" spans="2:11">
      <c r="B143" s="911"/>
      <c r="C143" s="78">
        <f t="shared" si="5"/>
        <v>1</v>
      </c>
      <c r="D143" s="30"/>
      <c r="E143" s="23" t="str">
        <f>IF(D143=0," ",VLOOKUP(D143,'BASE DATOS'!A:B,2,0))</f>
        <v xml:space="preserve"> </v>
      </c>
      <c r="F143" s="23" t="str">
        <f t="shared" si="6"/>
        <v xml:space="preserve"> -  </v>
      </c>
      <c r="G143" s="28"/>
      <c r="H143" s="905">
        <f>IFERROR((VLOOKUP(D143,'BASE DATOS'!A:C,3,0)*G143),0)</f>
        <v>0</v>
      </c>
      <c r="I143" s="72"/>
      <c r="J143" s="23" t="s">
        <v>271</v>
      </c>
      <c r="K143" s="23" t="s">
        <v>271</v>
      </c>
    </row>
    <row r="144" spans="2:11">
      <c r="B144" s="911"/>
      <c r="C144" s="78">
        <f t="shared" si="5"/>
        <v>1</v>
      </c>
      <c r="D144" s="30"/>
      <c r="E144" s="23" t="str">
        <f>IF(D144=0," ",VLOOKUP(D144,'BASE DATOS'!A:B,2,0))</f>
        <v xml:space="preserve"> </v>
      </c>
      <c r="F144" s="23" t="str">
        <f t="shared" si="6"/>
        <v xml:space="preserve"> -  </v>
      </c>
      <c r="G144" s="28"/>
      <c r="H144" s="905">
        <f>IFERROR((VLOOKUP(D144,'BASE DATOS'!A:C,3,0)*G144),0)</f>
        <v>0</v>
      </c>
      <c r="I144" s="72"/>
      <c r="J144" s="23" t="s">
        <v>271</v>
      </c>
      <c r="K144" s="23" t="s">
        <v>271</v>
      </c>
    </row>
    <row r="145" spans="2:11">
      <c r="B145" s="911"/>
      <c r="C145" s="78">
        <f t="shared" si="5"/>
        <v>1</v>
      </c>
      <c r="D145" s="30"/>
      <c r="E145" s="23" t="str">
        <f>IF(D145=0," ",VLOOKUP(D145,'BASE DATOS'!A:B,2,0))</f>
        <v xml:space="preserve"> </v>
      </c>
      <c r="F145" s="23" t="str">
        <f t="shared" si="6"/>
        <v xml:space="preserve"> -  </v>
      </c>
      <c r="G145" s="28"/>
      <c r="H145" s="905">
        <f>IFERROR((VLOOKUP(D145,'BASE DATOS'!A:C,3,0)*G145),0)</f>
        <v>0</v>
      </c>
      <c r="I145" s="72"/>
      <c r="J145" s="23" t="s">
        <v>271</v>
      </c>
      <c r="K145" s="23" t="s">
        <v>271</v>
      </c>
    </row>
    <row r="146" spans="2:11">
      <c r="B146" s="911"/>
      <c r="C146" s="78">
        <f t="shared" si="5"/>
        <v>1</v>
      </c>
      <c r="D146" s="30"/>
      <c r="E146" s="23" t="str">
        <f>IF(D146=0," ",VLOOKUP(D146,'BASE DATOS'!A:B,2,0))</f>
        <v xml:space="preserve"> </v>
      </c>
      <c r="F146" s="23" t="str">
        <f t="shared" si="6"/>
        <v xml:space="preserve"> -  </v>
      </c>
      <c r="G146" s="28"/>
      <c r="H146" s="905">
        <f>IFERROR((VLOOKUP(D146,'BASE DATOS'!A:C,3,0)*G146),0)</f>
        <v>0</v>
      </c>
      <c r="I146" s="72"/>
      <c r="J146" s="23" t="s">
        <v>271</v>
      </c>
      <c r="K146" s="23" t="s">
        <v>271</v>
      </c>
    </row>
    <row r="147" spans="2:11">
      <c r="B147" s="911"/>
      <c r="C147" s="78">
        <f t="shared" si="5"/>
        <v>1</v>
      </c>
      <c r="D147" s="30"/>
      <c r="E147" s="23" t="str">
        <f>IF(D147=0," ",VLOOKUP(D147,'BASE DATOS'!A:B,2,0))</f>
        <v xml:space="preserve"> </v>
      </c>
      <c r="F147" s="23" t="str">
        <f t="shared" si="6"/>
        <v xml:space="preserve"> -  </v>
      </c>
      <c r="G147" s="28"/>
      <c r="H147" s="905">
        <f>IFERROR((VLOOKUP(D147,'BASE DATOS'!A:C,3,0)*G147),0)</f>
        <v>0</v>
      </c>
      <c r="I147" s="72"/>
      <c r="J147" s="23" t="s">
        <v>271</v>
      </c>
      <c r="K147" s="23" t="s">
        <v>271</v>
      </c>
    </row>
    <row r="148" spans="2:11">
      <c r="B148" s="911"/>
      <c r="C148" s="78">
        <f t="shared" si="5"/>
        <v>1</v>
      </c>
      <c r="D148" s="30"/>
      <c r="E148" s="23" t="str">
        <f>IF(D148=0," ",VLOOKUP(D148,'BASE DATOS'!A:B,2,0))</f>
        <v xml:space="preserve"> </v>
      </c>
      <c r="F148" s="23" t="str">
        <f t="shared" si="6"/>
        <v xml:space="preserve"> -  </v>
      </c>
      <c r="G148" s="28"/>
      <c r="H148" s="905">
        <f>IFERROR((VLOOKUP(D148,'BASE DATOS'!A:C,3,0)*G148),0)</f>
        <v>0</v>
      </c>
      <c r="I148" s="72"/>
      <c r="J148" s="23" t="s">
        <v>271</v>
      </c>
      <c r="K148" s="23" t="s">
        <v>271</v>
      </c>
    </row>
    <row r="149" spans="2:11">
      <c r="B149" s="911"/>
      <c r="C149" s="78">
        <f t="shared" si="5"/>
        <v>1</v>
      </c>
      <c r="D149" s="30"/>
      <c r="E149" s="23" t="str">
        <f>IF(D149=0," ",VLOOKUP(D149,'BASE DATOS'!A:B,2,0))</f>
        <v xml:space="preserve"> </v>
      </c>
      <c r="F149" s="23" t="str">
        <f t="shared" si="6"/>
        <v xml:space="preserve"> -  </v>
      </c>
      <c r="G149" s="28"/>
      <c r="H149" s="905">
        <f>IFERROR((VLOOKUP(D149,'BASE DATOS'!A:C,3,0)*G149),0)</f>
        <v>0</v>
      </c>
      <c r="I149" s="72"/>
      <c r="J149" s="23" t="s">
        <v>271</v>
      </c>
      <c r="K149" s="23" t="s">
        <v>271</v>
      </c>
    </row>
    <row r="150" spans="2:11">
      <c r="B150" s="911"/>
      <c r="C150" s="78">
        <f t="shared" si="5"/>
        <v>1</v>
      </c>
      <c r="D150" s="30"/>
      <c r="E150" s="23" t="str">
        <f>IF(D150=0," ",VLOOKUP(D150,'BASE DATOS'!A:B,2,0))</f>
        <v xml:space="preserve"> </v>
      </c>
      <c r="F150" s="23" t="str">
        <f t="shared" si="6"/>
        <v xml:space="preserve"> -  </v>
      </c>
      <c r="G150" s="28"/>
      <c r="H150" s="905">
        <f>IFERROR((VLOOKUP(D150,'BASE DATOS'!A:C,3,0)*G150),0)</f>
        <v>0</v>
      </c>
      <c r="I150" s="72"/>
      <c r="J150" s="23" t="s">
        <v>271</v>
      </c>
      <c r="K150" s="23" t="s">
        <v>271</v>
      </c>
    </row>
    <row r="151" spans="2:11">
      <c r="B151" s="911"/>
      <c r="C151" s="78">
        <f t="shared" si="5"/>
        <v>1</v>
      </c>
      <c r="D151" s="30"/>
      <c r="E151" s="23" t="str">
        <f>IF(D151=0," ",VLOOKUP(D151,'BASE DATOS'!A:B,2,0))</f>
        <v xml:space="preserve"> </v>
      </c>
      <c r="F151" s="23" t="str">
        <f t="shared" si="6"/>
        <v xml:space="preserve"> -  </v>
      </c>
      <c r="G151" s="28"/>
      <c r="H151" s="905">
        <f>IFERROR((VLOOKUP(D151,'BASE DATOS'!A:C,3,0)*G151),0)</f>
        <v>0</v>
      </c>
      <c r="I151" s="72"/>
      <c r="J151" s="23" t="s">
        <v>271</v>
      </c>
      <c r="K151" s="23" t="s">
        <v>271</v>
      </c>
    </row>
    <row r="152" spans="2:11">
      <c r="B152" s="911"/>
      <c r="C152" s="78">
        <f t="shared" si="5"/>
        <v>1</v>
      </c>
      <c r="D152" s="30"/>
      <c r="E152" s="23" t="str">
        <f>IF(D152=0," ",VLOOKUP(D152,'BASE DATOS'!A:B,2,0))</f>
        <v xml:space="preserve"> </v>
      </c>
      <c r="F152" s="23" t="str">
        <f t="shared" si="6"/>
        <v xml:space="preserve"> -  </v>
      </c>
      <c r="G152" s="28"/>
      <c r="H152" s="905">
        <f>IFERROR((VLOOKUP(D152,'BASE DATOS'!A:C,3,0)*G152),0)</f>
        <v>0</v>
      </c>
      <c r="I152" s="72"/>
      <c r="J152" s="23" t="s">
        <v>271</v>
      </c>
      <c r="K152" s="23" t="s">
        <v>271</v>
      </c>
    </row>
    <row r="153" spans="2:11">
      <c r="B153" s="911"/>
      <c r="C153" s="78">
        <f t="shared" si="5"/>
        <v>1</v>
      </c>
      <c r="D153" s="30"/>
      <c r="E153" s="23" t="str">
        <f>IF(D153=0," ",VLOOKUP(D153,'BASE DATOS'!A:B,2,0))</f>
        <v xml:space="preserve"> </v>
      </c>
      <c r="F153" s="23" t="str">
        <f t="shared" si="6"/>
        <v xml:space="preserve"> -  </v>
      </c>
      <c r="G153" s="28"/>
      <c r="H153" s="905">
        <f>IFERROR((VLOOKUP(D153,'BASE DATOS'!A:C,3,0)*G153),0)</f>
        <v>0</v>
      </c>
      <c r="I153" s="72"/>
      <c r="J153" s="23" t="s">
        <v>271</v>
      </c>
      <c r="K153" s="23" t="s">
        <v>271</v>
      </c>
    </row>
    <row r="154" spans="2:11">
      <c r="B154" s="911"/>
      <c r="C154" s="78">
        <f t="shared" si="5"/>
        <v>1</v>
      </c>
      <c r="D154" s="30"/>
      <c r="E154" s="23" t="str">
        <f>IF(D154=0," ",VLOOKUP(D154,'BASE DATOS'!A:B,2,0))</f>
        <v xml:space="preserve"> </v>
      </c>
      <c r="F154" s="23" t="str">
        <f t="shared" si="6"/>
        <v xml:space="preserve"> -  </v>
      </c>
      <c r="G154" s="28"/>
      <c r="H154" s="905">
        <f>IFERROR((VLOOKUP(D154,'BASE DATOS'!A:C,3,0)*G154),0)</f>
        <v>0</v>
      </c>
      <c r="I154" s="72"/>
      <c r="J154" s="23" t="s">
        <v>271</v>
      </c>
      <c r="K154" s="23" t="s">
        <v>271</v>
      </c>
    </row>
    <row r="155" spans="2:11">
      <c r="B155" s="911"/>
      <c r="C155" s="78">
        <f t="shared" si="5"/>
        <v>1</v>
      </c>
      <c r="D155" s="30"/>
      <c r="E155" s="23" t="str">
        <f>IF(D155=0," ",VLOOKUP(D155,'BASE DATOS'!A:B,2,0))</f>
        <v xml:space="preserve"> </v>
      </c>
      <c r="F155" s="23" t="str">
        <f t="shared" si="6"/>
        <v xml:space="preserve"> -  </v>
      </c>
      <c r="G155" s="28"/>
      <c r="H155" s="905">
        <f>IFERROR((VLOOKUP(D155,'BASE DATOS'!A:C,3,0)*G155),0)</f>
        <v>0</v>
      </c>
      <c r="I155" s="72"/>
      <c r="J155" s="23" t="s">
        <v>271</v>
      </c>
      <c r="K155" s="23" t="s">
        <v>271</v>
      </c>
    </row>
    <row r="156" spans="2:11">
      <c r="B156" s="911"/>
      <c r="C156" s="78">
        <f t="shared" si="5"/>
        <v>1</v>
      </c>
      <c r="D156" s="30"/>
      <c r="E156" s="23" t="str">
        <f>IF(D156=0," ",VLOOKUP(D156,'BASE DATOS'!A:B,2,0))</f>
        <v xml:space="preserve"> </v>
      </c>
      <c r="F156" s="23" t="str">
        <f t="shared" si="6"/>
        <v xml:space="preserve"> -  </v>
      </c>
      <c r="G156" s="28"/>
      <c r="H156" s="905">
        <f>IFERROR((VLOOKUP(D156,'BASE DATOS'!A:C,3,0)*G156),0)</f>
        <v>0</v>
      </c>
      <c r="I156" s="72"/>
      <c r="J156" s="23" t="s">
        <v>271</v>
      </c>
      <c r="K156" s="23" t="s">
        <v>271</v>
      </c>
    </row>
    <row r="157" spans="2:11">
      <c r="B157" s="911"/>
      <c r="C157" s="78">
        <f t="shared" si="5"/>
        <v>1</v>
      </c>
      <c r="D157" s="30"/>
      <c r="E157" s="23" t="str">
        <f>IF(D157=0," ",VLOOKUP(D157,'BASE DATOS'!A:B,2,0))</f>
        <v xml:space="preserve"> </v>
      </c>
      <c r="F157" s="23" t="str">
        <f t="shared" ref="F157:F158" si="7">+D157&amp;" - "&amp;E157</f>
        <v xml:space="preserve"> -  </v>
      </c>
      <c r="G157" s="28"/>
      <c r="H157" s="905">
        <f>IFERROR((VLOOKUP(D157,'BASE DATOS'!A:C,3,0)*G157),0)</f>
        <v>0</v>
      </c>
      <c r="I157" s="72"/>
      <c r="J157" s="23" t="s">
        <v>271</v>
      </c>
      <c r="K157" s="23" t="s">
        <v>271</v>
      </c>
    </row>
    <row r="158" spans="2:11">
      <c r="B158" s="911"/>
      <c r="C158" s="78">
        <f t="shared" si="5"/>
        <v>1</v>
      </c>
      <c r="D158" s="30"/>
      <c r="E158" s="23" t="str">
        <f>IF(D158=0," ",VLOOKUP(D158,'BASE DATOS'!A:B,2,0))</f>
        <v xml:space="preserve"> </v>
      </c>
      <c r="F158" s="23" t="str">
        <f t="shared" si="7"/>
        <v xml:space="preserve"> -  </v>
      </c>
      <c r="G158" s="28"/>
      <c r="H158" s="905">
        <f>IFERROR((VLOOKUP(D158,'BASE DATOS'!A:C,3,0)*G158),0)</f>
        <v>0</v>
      </c>
      <c r="I158" s="72"/>
      <c r="J158" s="23" t="s">
        <v>271</v>
      </c>
      <c r="K158" s="23" t="s">
        <v>271</v>
      </c>
    </row>
  </sheetData>
  <autoFilter ref="B2:K158" xr:uid="{8CB9BDCC-7060-4614-B41A-92C0794E4D9F}"/>
  <dataValidations count="2">
    <dataValidation allowBlank="1" showInputMessage="1" showErrorMessage="1" sqref="K3:K11 K14:K15 K17:K30 K32:K37 K39:K40 K43 K45 K50:K52 K54:K158 J3:J178" xr:uid="{DCDBD372-D425-4543-ADC8-FFBC5A40AD83}"/>
    <dataValidation type="list" allowBlank="1" showInputMessage="1" showErrorMessage="1" sqref="I3:I176" xr:uid="{1D1A68E4-3CE1-4E05-B760-4FE01BE74064}">
      <formula1>$N$4:$N$17</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A259-A6DF-4F87-B12A-DEDB36901B77}">
  <sheetPr>
    <tabColor theme="9" tint="0.39997558519241921"/>
  </sheetPr>
  <dimension ref="A1:DJ119"/>
  <sheetViews>
    <sheetView showGridLines="0" workbookViewId="0">
      <pane xSplit="1" topLeftCell="CR1" activePane="topRight" state="frozen"/>
      <selection pane="topRight" activeCell="DJ10" sqref="DJ10"/>
    </sheetView>
  </sheetViews>
  <sheetFormatPr baseColWidth="10" defaultColWidth="9.1640625" defaultRowHeight="15" outlineLevelCol="1"/>
  <cols>
    <col min="2" max="2" width="11.5" customWidth="1"/>
    <col min="3" max="7" width="9.1640625" hidden="1" customWidth="1" outlineLevel="1"/>
    <col min="8" max="8" width="11.5" hidden="1" customWidth="1" outlineLevel="1"/>
    <col min="9" max="29" width="9.1640625" hidden="1" customWidth="1" outlineLevel="1"/>
    <col min="30" max="30" width="10.33203125" hidden="1" customWidth="1" outlineLevel="1"/>
    <col min="31" max="35" width="9.1640625" hidden="1" customWidth="1" outlineLevel="1"/>
    <col min="36" max="36" width="9.5" hidden="1" customWidth="1" outlineLevel="1"/>
    <col min="37" max="37" width="9.33203125" hidden="1" customWidth="1" outlineLevel="1"/>
    <col min="38" max="38" width="10.5" hidden="1" customWidth="1" outlineLevel="1"/>
    <col min="39" max="39" width="12" hidden="1" customWidth="1" outlineLevel="1"/>
    <col min="40" max="41" width="9.33203125" hidden="1" customWidth="1" outlineLevel="1"/>
    <col min="42" max="82" width="9.1640625" hidden="1" customWidth="1" outlineLevel="1"/>
    <col min="83" max="83" width="9.1640625" collapsed="1"/>
  </cols>
  <sheetData>
    <row r="1" spans="1:113">
      <c r="A1" s="1468" t="s">
        <v>1073</v>
      </c>
      <c r="C1" s="88"/>
      <c r="D1" s="88"/>
      <c r="E1" s="88"/>
      <c r="F1" s="88"/>
      <c r="G1" s="88"/>
      <c r="H1" s="88"/>
      <c r="I1" s="88"/>
      <c r="J1" s="88"/>
      <c r="K1" s="88"/>
      <c r="L1" s="88"/>
      <c r="M1" s="88"/>
      <c r="N1" s="88"/>
      <c r="O1" s="88"/>
      <c r="P1" s="88"/>
      <c r="Q1" s="88"/>
      <c r="CE1" s="1456" t="s">
        <v>1074</v>
      </c>
      <c r="CF1" s="1456"/>
      <c r="CG1" s="1456"/>
      <c r="CH1" s="88"/>
      <c r="CI1" s="1457" t="s">
        <v>1075</v>
      </c>
      <c r="CJ1" s="1457"/>
      <c r="CK1" s="1457"/>
    </row>
    <row r="2" spans="1:113">
      <c r="A2" s="1468"/>
      <c r="C2" s="1456" t="s">
        <v>1074</v>
      </c>
      <c r="D2" s="1456"/>
      <c r="E2" s="1456"/>
      <c r="F2" s="88"/>
      <c r="G2" s="1457" t="s">
        <v>1075</v>
      </c>
      <c r="H2" s="1457"/>
      <c r="I2" s="1457"/>
      <c r="J2" s="88"/>
      <c r="K2" s="88"/>
      <c r="L2" s="88"/>
      <c r="M2" s="88"/>
      <c r="N2" s="88"/>
      <c r="O2" s="88"/>
      <c r="P2" s="88"/>
      <c r="Q2" s="88"/>
      <c r="CE2" s="1458" t="s">
        <v>1076</v>
      </c>
      <c r="CF2" s="1458"/>
      <c r="CG2" s="1458"/>
      <c r="CH2" s="88"/>
      <c r="CI2" s="1459" t="s">
        <v>56</v>
      </c>
      <c r="CJ2" s="1459"/>
      <c r="CK2" s="1459"/>
    </row>
    <row r="3" spans="1:113">
      <c r="A3" s="1468"/>
      <c r="C3" s="1458" t="s">
        <v>1076</v>
      </c>
      <c r="D3" s="1458"/>
      <c r="E3" s="1458"/>
      <c r="F3" s="88"/>
      <c r="G3" s="1459" t="s">
        <v>56</v>
      </c>
      <c r="H3" s="1459"/>
      <c r="I3" s="1459"/>
      <c r="J3" s="88"/>
      <c r="K3" s="88"/>
      <c r="L3" s="88"/>
      <c r="M3" s="88"/>
      <c r="N3" s="88"/>
      <c r="O3" s="88"/>
      <c r="P3" s="88"/>
      <c r="Q3" s="88"/>
    </row>
    <row r="4" spans="1:113">
      <c r="A4" s="1468"/>
      <c r="C4" s="88"/>
      <c r="D4" s="88"/>
      <c r="E4" s="88"/>
      <c r="F4" s="88"/>
      <c r="G4" s="88"/>
      <c r="H4" s="88"/>
      <c r="I4" s="88"/>
      <c r="J4" s="88"/>
      <c r="K4" s="88"/>
      <c r="L4" s="88"/>
      <c r="M4" s="88"/>
      <c r="N4" s="88"/>
      <c r="O4" s="88"/>
      <c r="P4" s="88"/>
      <c r="Q4" s="88"/>
      <c r="CF4" s="390" t="s">
        <v>1077</v>
      </c>
    </row>
    <row r="5" spans="1:113" s="2" customFormat="1" ht="25.5" customHeight="1">
      <c r="A5" s="1468"/>
      <c r="C5" s="1450">
        <v>45717</v>
      </c>
      <c r="D5" s="1451"/>
      <c r="E5" s="1451"/>
      <c r="F5" s="1451"/>
      <c r="G5" s="1451"/>
      <c r="H5" s="1451"/>
      <c r="I5" s="1452"/>
      <c r="J5" s="512"/>
      <c r="K5" s="1450">
        <v>45748</v>
      </c>
      <c r="L5" s="1451"/>
      <c r="M5" s="1451"/>
      <c r="N5" s="1451"/>
      <c r="O5" s="1451"/>
      <c r="P5" s="1451"/>
      <c r="Q5" s="1452"/>
      <c r="S5" s="1450">
        <v>45778</v>
      </c>
      <c r="T5" s="1451"/>
      <c r="U5" s="1451"/>
      <c r="V5" s="1451"/>
      <c r="W5" s="1451"/>
      <c r="X5" s="1451"/>
      <c r="Y5" s="1452"/>
      <c r="Z5" s="512"/>
      <c r="AA5" s="1450">
        <v>45809</v>
      </c>
      <c r="AB5" s="1451"/>
      <c r="AC5" s="1451"/>
      <c r="AD5" s="1451"/>
      <c r="AE5" s="1451"/>
      <c r="AF5" s="1451"/>
      <c r="AG5" s="1452"/>
      <c r="AH5" s="512"/>
      <c r="AI5" s="1450">
        <v>45839</v>
      </c>
      <c r="AJ5" s="1451"/>
      <c r="AK5" s="1451"/>
      <c r="AL5" s="1451"/>
      <c r="AM5" s="1451"/>
      <c r="AN5" s="1451"/>
      <c r="AO5" s="1452"/>
      <c r="AQ5" s="1450">
        <v>45870</v>
      </c>
      <c r="AR5" s="1451"/>
      <c r="AS5" s="1451"/>
      <c r="AT5" s="1451"/>
      <c r="AU5" s="1451"/>
      <c r="AV5" s="1451"/>
      <c r="AW5" s="1452"/>
      <c r="AY5" s="1450">
        <v>45901</v>
      </c>
      <c r="AZ5" s="1451"/>
      <c r="BA5" s="1451"/>
      <c r="BB5" s="1451"/>
      <c r="BC5" s="1451"/>
      <c r="BD5" s="1451"/>
      <c r="BE5" s="1452"/>
      <c r="BG5" s="1453">
        <v>45931</v>
      </c>
      <c r="BH5" s="1454"/>
      <c r="BI5" s="1454"/>
      <c r="BJ5" s="1454"/>
      <c r="BK5" s="1454"/>
      <c r="BL5" s="1454"/>
      <c r="BM5" s="1455"/>
      <c r="BO5" s="1453">
        <v>45962</v>
      </c>
      <c r="BP5" s="1454"/>
      <c r="BQ5" s="1454"/>
      <c r="BR5" s="1454"/>
      <c r="BS5" s="1454"/>
      <c r="BT5" s="1454"/>
      <c r="BU5" s="1455"/>
      <c r="BW5" s="1450">
        <v>45992</v>
      </c>
      <c r="BX5" s="1451"/>
      <c r="BY5" s="1451"/>
      <c r="BZ5" s="1451"/>
      <c r="CA5" s="1451"/>
      <c r="CB5" s="1451"/>
      <c r="CC5" s="1452"/>
      <c r="CE5" s="1450">
        <v>46023</v>
      </c>
      <c r="CF5" s="1451"/>
      <c r="CG5" s="1451"/>
      <c r="CH5" s="1451"/>
      <c r="CI5" s="1451"/>
      <c r="CJ5" s="1451"/>
      <c r="CK5" s="1452"/>
      <c r="CM5" s="1450">
        <v>46054</v>
      </c>
      <c r="CN5" s="1451"/>
      <c r="CO5" s="1451"/>
      <c r="CP5" s="1451"/>
      <c r="CQ5" s="1451"/>
      <c r="CR5" s="1451"/>
      <c r="CS5" s="1452"/>
      <c r="CU5" s="1450">
        <v>46082</v>
      </c>
      <c r="CV5" s="1451"/>
      <c r="CW5" s="1451"/>
      <c r="CX5" s="1451"/>
      <c r="CY5" s="1451"/>
      <c r="CZ5" s="1451"/>
      <c r="DA5" s="1452"/>
      <c r="DC5" s="1450">
        <v>46113</v>
      </c>
      <c r="DD5" s="1451"/>
      <c r="DE5" s="1451"/>
      <c r="DF5" s="1451"/>
      <c r="DG5" s="1451"/>
      <c r="DH5" s="1451"/>
      <c r="DI5" s="1452"/>
    </row>
    <row r="6" spans="1:113">
      <c r="A6" s="1468"/>
      <c r="C6" s="183" t="s">
        <v>321</v>
      </c>
      <c r="D6" s="184" t="s">
        <v>322</v>
      </c>
      <c r="E6" s="184" t="s">
        <v>323</v>
      </c>
      <c r="F6" s="184" t="s">
        <v>324</v>
      </c>
      <c r="G6" s="184" t="s">
        <v>318</v>
      </c>
      <c r="H6" s="184" t="s">
        <v>319</v>
      </c>
      <c r="I6" s="185" t="s">
        <v>320</v>
      </c>
      <c r="J6" s="186"/>
      <c r="K6" s="183" t="s">
        <v>321</v>
      </c>
      <c r="L6" s="184" t="s">
        <v>322</v>
      </c>
      <c r="M6" s="184" t="s">
        <v>323</v>
      </c>
      <c r="N6" s="184" t="s">
        <v>324</v>
      </c>
      <c r="O6" s="184" t="s">
        <v>318</v>
      </c>
      <c r="P6" s="184" t="s">
        <v>319</v>
      </c>
      <c r="Q6" s="185" t="s">
        <v>320</v>
      </c>
      <c r="S6" s="183" t="s">
        <v>321</v>
      </c>
      <c r="T6" s="184" t="s">
        <v>322</v>
      </c>
      <c r="U6" s="184" t="s">
        <v>323</v>
      </c>
      <c r="V6" s="184" t="s">
        <v>324</v>
      </c>
      <c r="W6" s="184" t="s">
        <v>318</v>
      </c>
      <c r="X6" s="184" t="s">
        <v>319</v>
      </c>
      <c r="Y6" s="185" t="s">
        <v>320</v>
      </c>
      <c r="Z6" s="186"/>
      <c r="AA6" s="183" t="s">
        <v>321</v>
      </c>
      <c r="AB6" s="184" t="s">
        <v>322</v>
      </c>
      <c r="AC6" s="184" t="s">
        <v>323</v>
      </c>
      <c r="AD6" s="184" t="s">
        <v>324</v>
      </c>
      <c r="AE6" s="184" t="s">
        <v>318</v>
      </c>
      <c r="AF6" s="184" t="s">
        <v>319</v>
      </c>
      <c r="AG6" s="185" t="s">
        <v>320</v>
      </c>
      <c r="AH6" s="186"/>
      <c r="AI6" s="284" t="s">
        <v>321</v>
      </c>
      <c r="AJ6" s="285" t="s">
        <v>322</v>
      </c>
      <c r="AK6" s="285" t="s">
        <v>323</v>
      </c>
      <c r="AL6" s="285" t="s">
        <v>324</v>
      </c>
      <c r="AM6" s="285" t="s">
        <v>318</v>
      </c>
      <c r="AN6" s="285" t="s">
        <v>319</v>
      </c>
      <c r="AO6" s="286" t="s">
        <v>320</v>
      </c>
      <c r="AQ6" s="183" t="s">
        <v>321</v>
      </c>
      <c r="AR6" s="184" t="s">
        <v>322</v>
      </c>
      <c r="AS6" s="184" t="s">
        <v>323</v>
      </c>
      <c r="AT6" s="184" t="s">
        <v>324</v>
      </c>
      <c r="AU6" s="184" t="s">
        <v>318</v>
      </c>
      <c r="AV6" s="184" t="s">
        <v>319</v>
      </c>
      <c r="AW6" s="185" t="s">
        <v>320</v>
      </c>
      <c r="AY6" s="183" t="s">
        <v>321</v>
      </c>
      <c r="AZ6" s="184" t="s">
        <v>322</v>
      </c>
      <c r="BA6" s="184" t="s">
        <v>323</v>
      </c>
      <c r="BB6" s="184" t="s">
        <v>324</v>
      </c>
      <c r="BC6" s="184" t="s">
        <v>318</v>
      </c>
      <c r="BD6" s="184" t="s">
        <v>319</v>
      </c>
      <c r="BE6" s="185" t="s">
        <v>320</v>
      </c>
      <c r="BG6" s="628" t="s">
        <v>321</v>
      </c>
      <c r="BH6" s="629" t="s">
        <v>322</v>
      </c>
      <c r="BI6" s="629" t="s">
        <v>323</v>
      </c>
      <c r="BJ6" s="629" t="s">
        <v>324</v>
      </c>
      <c r="BK6" s="629" t="s">
        <v>318</v>
      </c>
      <c r="BL6" s="629" t="s">
        <v>319</v>
      </c>
      <c r="BM6" s="630" t="s">
        <v>320</v>
      </c>
      <c r="BO6" s="628" t="s">
        <v>321</v>
      </c>
      <c r="BP6" s="629" t="s">
        <v>322</v>
      </c>
      <c r="BQ6" s="629" t="s">
        <v>323</v>
      </c>
      <c r="BR6" s="629" t="s">
        <v>324</v>
      </c>
      <c r="BS6" s="629" t="s">
        <v>318</v>
      </c>
      <c r="BT6" s="629" t="s">
        <v>319</v>
      </c>
      <c r="BU6" s="630" t="s">
        <v>320</v>
      </c>
      <c r="BW6" s="935" t="s">
        <v>321</v>
      </c>
      <c r="BX6" s="629" t="s">
        <v>322</v>
      </c>
      <c r="BY6" s="629" t="s">
        <v>323</v>
      </c>
      <c r="BZ6" s="629" t="s">
        <v>324</v>
      </c>
      <c r="CA6" s="629" t="s">
        <v>318</v>
      </c>
      <c r="CB6" s="629" t="s">
        <v>319</v>
      </c>
      <c r="CC6" s="936" t="s">
        <v>320</v>
      </c>
      <c r="CE6" s="935" t="s">
        <v>321</v>
      </c>
      <c r="CF6" s="629" t="s">
        <v>322</v>
      </c>
      <c r="CG6" s="629" t="s">
        <v>323</v>
      </c>
      <c r="CH6" s="629" t="s">
        <v>324</v>
      </c>
      <c r="CI6" s="629" t="s">
        <v>318</v>
      </c>
      <c r="CJ6" s="629" t="s">
        <v>319</v>
      </c>
      <c r="CK6" s="936" t="s">
        <v>320</v>
      </c>
      <c r="CM6" s="935" t="s">
        <v>321</v>
      </c>
      <c r="CN6" s="629" t="s">
        <v>322</v>
      </c>
      <c r="CO6" s="629" t="s">
        <v>323</v>
      </c>
      <c r="CP6" s="629" t="s">
        <v>324</v>
      </c>
      <c r="CQ6" s="629" t="s">
        <v>318</v>
      </c>
      <c r="CR6" s="629" t="s">
        <v>319</v>
      </c>
      <c r="CS6" s="936" t="s">
        <v>320</v>
      </c>
      <c r="CU6" s="935" t="s">
        <v>321</v>
      </c>
      <c r="CV6" s="629" t="s">
        <v>322</v>
      </c>
      <c r="CW6" s="629" t="s">
        <v>323</v>
      </c>
      <c r="CX6" s="629" t="s">
        <v>324</v>
      </c>
      <c r="CY6" s="629" t="s">
        <v>318</v>
      </c>
      <c r="CZ6" s="629" t="s">
        <v>319</v>
      </c>
      <c r="DA6" s="936" t="s">
        <v>320</v>
      </c>
      <c r="DC6" s="935" t="s">
        <v>321</v>
      </c>
      <c r="DD6" s="629" t="s">
        <v>322</v>
      </c>
      <c r="DE6" s="629" t="s">
        <v>323</v>
      </c>
      <c r="DF6" s="629" t="s">
        <v>324</v>
      </c>
      <c r="DG6" s="629" t="s">
        <v>318</v>
      </c>
      <c r="DH6" s="629" t="s">
        <v>319</v>
      </c>
      <c r="DI6" s="936" t="s">
        <v>320</v>
      </c>
    </row>
    <row r="7" spans="1:113">
      <c r="A7" s="1468"/>
      <c r="C7" s="188" t="s">
        <v>124</v>
      </c>
      <c r="D7" s="189" t="s">
        <v>124</v>
      </c>
      <c r="E7" s="189" t="s">
        <v>124</v>
      </c>
      <c r="F7" s="189" t="s">
        <v>124</v>
      </c>
      <c r="G7" s="189" t="s">
        <v>124</v>
      </c>
      <c r="H7" s="189">
        <v>1</v>
      </c>
      <c r="I7" s="190">
        <v>2</v>
      </c>
      <c r="J7" s="187"/>
      <c r="K7" s="188" t="s">
        <v>124</v>
      </c>
      <c r="L7" s="189">
        <v>1</v>
      </c>
      <c r="M7" s="189">
        <v>2</v>
      </c>
      <c r="N7" s="189">
        <v>3</v>
      </c>
      <c r="O7" s="189">
        <v>4</v>
      </c>
      <c r="P7" s="189">
        <v>5</v>
      </c>
      <c r="Q7" s="190">
        <v>6</v>
      </c>
      <c r="S7" s="188" t="s">
        <v>124</v>
      </c>
      <c r="T7" s="189" t="s">
        <v>124</v>
      </c>
      <c r="U7" s="189" t="s">
        <v>124</v>
      </c>
      <c r="V7" s="189">
        <v>1</v>
      </c>
      <c r="W7" s="189">
        <v>2</v>
      </c>
      <c r="X7" s="189">
        <v>3</v>
      </c>
      <c r="Y7" s="190">
        <v>4</v>
      </c>
      <c r="Z7" s="187"/>
      <c r="AA7" s="188" t="s">
        <v>124</v>
      </c>
      <c r="AB7" s="189" t="s">
        <v>124</v>
      </c>
      <c r="AC7" s="189" t="s">
        <v>124</v>
      </c>
      <c r="AD7" s="189" t="s">
        <v>124</v>
      </c>
      <c r="AE7" s="189" t="s">
        <v>124</v>
      </c>
      <c r="AF7" s="189" t="s">
        <v>124</v>
      </c>
      <c r="AG7" s="190">
        <v>1</v>
      </c>
      <c r="AH7" s="187"/>
      <c r="AI7" s="264" t="s">
        <v>124</v>
      </c>
      <c r="AJ7" s="287">
        <v>1</v>
      </c>
      <c r="AK7" s="287">
        <v>2</v>
      </c>
      <c r="AL7" s="287">
        <v>3</v>
      </c>
      <c r="AM7" s="287">
        <v>4</v>
      </c>
      <c r="AN7" s="287">
        <v>5</v>
      </c>
      <c r="AO7" s="265">
        <v>6</v>
      </c>
      <c r="AQ7" s="188" t="s">
        <v>124</v>
      </c>
      <c r="AR7" s="189"/>
      <c r="AS7" s="189"/>
      <c r="AT7" s="189"/>
      <c r="AU7" s="189">
        <v>1</v>
      </c>
      <c r="AV7" s="189">
        <f>+AU7+1</f>
        <v>2</v>
      </c>
      <c r="AW7" s="190">
        <f>+AV7+1</f>
        <v>3</v>
      </c>
      <c r="AY7" s="188">
        <v>1</v>
      </c>
      <c r="AZ7" s="189">
        <f t="shared" ref="AZ7:BE7" si="0">+AY7+1</f>
        <v>2</v>
      </c>
      <c r="BA7" s="189">
        <f t="shared" si="0"/>
        <v>3</v>
      </c>
      <c r="BB7" s="189">
        <f t="shared" si="0"/>
        <v>4</v>
      </c>
      <c r="BC7" s="189">
        <f t="shared" si="0"/>
        <v>5</v>
      </c>
      <c r="BD7" s="189">
        <f t="shared" si="0"/>
        <v>6</v>
      </c>
      <c r="BE7" s="190">
        <f t="shared" si="0"/>
        <v>7</v>
      </c>
      <c r="BG7" s="233"/>
      <c r="BH7" s="189"/>
      <c r="BI7" s="189">
        <f t="shared" ref="BI7" si="1">+BH7+1</f>
        <v>1</v>
      </c>
      <c r="BJ7" s="189">
        <f t="shared" ref="BJ7" si="2">+BI7+1</f>
        <v>2</v>
      </c>
      <c r="BK7" s="189">
        <f t="shared" ref="BK7" si="3">+BJ7+1</f>
        <v>3</v>
      </c>
      <c r="BL7" s="189">
        <f t="shared" ref="BL7" si="4">+BK7+1</f>
        <v>4</v>
      </c>
      <c r="BM7" s="234">
        <f t="shared" ref="BM7" si="5">+BL7+1</f>
        <v>5</v>
      </c>
      <c r="BO7" s="233"/>
      <c r="BP7" s="189"/>
      <c r="BQ7" s="189"/>
      <c r="BR7" s="189"/>
      <c r="BS7" s="189"/>
      <c r="BT7" s="189">
        <v>1</v>
      </c>
      <c r="BU7" s="234">
        <f t="shared" ref="BU7" si="6">+BT7+1</f>
        <v>2</v>
      </c>
      <c r="BW7" s="188">
        <v>1</v>
      </c>
      <c r="BX7" s="189">
        <f t="shared" ref="BX7" si="7">+BW7+1</f>
        <v>2</v>
      </c>
      <c r="BY7" s="189">
        <f t="shared" ref="BY7" si="8">+BX7+1</f>
        <v>3</v>
      </c>
      <c r="BZ7" s="189">
        <f t="shared" ref="BZ7" si="9">+BY7+1</f>
        <v>4</v>
      </c>
      <c r="CA7" s="189">
        <f t="shared" ref="CA7" si="10">+BZ7+1</f>
        <v>5</v>
      </c>
      <c r="CB7" s="189">
        <f t="shared" ref="CB7" si="11">+CA7+1</f>
        <v>6</v>
      </c>
      <c r="CC7" s="190">
        <f t="shared" ref="CC7" si="12">+CB7+1</f>
        <v>7</v>
      </c>
      <c r="CE7" s="188"/>
      <c r="CF7" s="189"/>
      <c r="CG7" s="189"/>
      <c r="CH7" s="189">
        <f t="shared" ref="CH7" si="13">+CG7+1</f>
        <v>1</v>
      </c>
      <c r="CI7" s="189">
        <f t="shared" ref="CI7" si="14">+CH7+1</f>
        <v>2</v>
      </c>
      <c r="CJ7" s="189">
        <f t="shared" ref="CJ7" si="15">+CI7+1</f>
        <v>3</v>
      </c>
      <c r="CK7" s="190">
        <f t="shared" ref="CK7" si="16">+CJ7+1</f>
        <v>4</v>
      </c>
      <c r="CM7" s="188"/>
      <c r="CN7" s="189"/>
      <c r="CO7" s="189"/>
      <c r="CP7" s="189"/>
      <c r="CQ7" s="189"/>
      <c r="CR7" s="189"/>
      <c r="CS7" s="190">
        <f t="shared" ref="CS7" si="17">+CR7+1</f>
        <v>1</v>
      </c>
      <c r="CU7" s="188"/>
      <c r="CV7" s="189"/>
      <c r="CW7" s="189"/>
      <c r="CX7" s="189"/>
      <c r="CY7" s="189"/>
      <c r="CZ7" s="189"/>
      <c r="DA7" s="190">
        <f t="shared" ref="DA7" si="18">+CZ7+1</f>
        <v>1</v>
      </c>
      <c r="DC7" s="188"/>
      <c r="DD7" s="189"/>
      <c r="DE7" s="189">
        <v>1</v>
      </c>
      <c r="DF7" s="189">
        <f>+DE7+1</f>
        <v>2</v>
      </c>
      <c r="DG7" s="189">
        <f t="shared" ref="DG7:DI7" si="19">+DF7+1</f>
        <v>3</v>
      </c>
      <c r="DH7" s="189">
        <f t="shared" si="19"/>
        <v>4</v>
      </c>
      <c r="DI7" s="190">
        <f t="shared" si="19"/>
        <v>5</v>
      </c>
    </row>
    <row r="8" spans="1:113">
      <c r="A8" s="1468"/>
      <c r="C8" s="191" t="s">
        <v>124</v>
      </c>
      <c r="D8" s="88"/>
      <c r="E8" s="88"/>
      <c r="F8" s="88"/>
      <c r="G8" s="88"/>
      <c r="H8" s="192">
        <v>0</v>
      </c>
      <c r="I8" s="193">
        <v>18</v>
      </c>
      <c r="J8" s="88"/>
      <c r="K8" s="191" t="s">
        <v>124</v>
      </c>
      <c r="L8" s="88">
        <v>44.5</v>
      </c>
      <c r="M8" s="194">
        <v>40</v>
      </c>
      <c r="N8" s="88">
        <v>44.5</v>
      </c>
      <c r="O8" s="88">
        <v>44.5</v>
      </c>
      <c r="P8" s="195" t="s">
        <v>1078</v>
      </c>
      <c r="Q8" s="196">
        <v>20</v>
      </c>
      <c r="S8" s="191" t="s">
        <v>124</v>
      </c>
      <c r="T8" s="88"/>
      <c r="U8" s="88"/>
      <c r="V8" s="192">
        <v>0</v>
      </c>
      <c r="W8" s="88">
        <v>45</v>
      </c>
      <c r="X8" s="88">
        <v>40</v>
      </c>
      <c r="Y8" s="198" t="s">
        <v>1078</v>
      </c>
      <c r="Z8" s="88"/>
      <c r="AA8" s="191" t="s">
        <v>124</v>
      </c>
      <c r="AB8" s="88"/>
      <c r="AC8" s="88"/>
      <c r="AD8" s="88"/>
      <c r="AE8" s="88"/>
      <c r="AF8" s="88"/>
      <c r="AG8" s="198" t="s">
        <v>1078</v>
      </c>
      <c r="AH8" s="88"/>
      <c r="AI8" s="266"/>
      <c r="AJ8" s="288">
        <v>45</v>
      </c>
      <c r="AK8" s="288">
        <v>45</v>
      </c>
      <c r="AL8" s="288">
        <v>45</v>
      </c>
      <c r="AM8" s="288">
        <v>45</v>
      </c>
      <c r="AN8" s="289" t="s">
        <v>1078</v>
      </c>
      <c r="AO8" s="267" t="s">
        <v>1078</v>
      </c>
      <c r="AQ8" s="191"/>
      <c r="AR8" s="88"/>
      <c r="AS8" s="88"/>
      <c r="AT8" s="88"/>
      <c r="AU8" s="88">
        <v>45</v>
      </c>
      <c r="AV8" s="240" t="s">
        <v>1078</v>
      </c>
      <c r="AW8" s="244" t="s">
        <v>1078</v>
      </c>
      <c r="AY8" s="191">
        <v>45</v>
      </c>
      <c r="AZ8" s="88">
        <v>45</v>
      </c>
      <c r="BA8" s="88">
        <v>45</v>
      </c>
      <c r="BB8" s="88">
        <v>45</v>
      </c>
      <c r="BC8" s="88">
        <v>45</v>
      </c>
      <c r="BD8" s="240" t="s">
        <v>1078</v>
      </c>
      <c r="BE8" s="244" t="s">
        <v>1078</v>
      </c>
      <c r="BG8" s="235"/>
      <c r="BH8" s="88"/>
      <c r="BI8" s="88">
        <v>40</v>
      </c>
      <c r="BJ8" s="88">
        <v>40</v>
      </c>
      <c r="BK8" s="88">
        <v>40</v>
      </c>
      <c r="BL8" s="88">
        <v>40</v>
      </c>
      <c r="BM8" s="259" t="s">
        <v>1078</v>
      </c>
      <c r="BO8" s="235"/>
      <c r="BP8" s="88"/>
      <c r="BQ8" s="88"/>
      <c r="BR8" s="88"/>
      <c r="BS8" s="88"/>
      <c r="BT8" s="920">
        <v>20</v>
      </c>
      <c r="BU8" s="940">
        <v>20</v>
      </c>
      <c r="BW8" s="191">
        <v>45</v>
      </c>
      <c r="BX8" s="88">
        <v>45</v>
      </c>
      <c r="BY8" s="88">
        <v>45</v>
      </c>
      <c r="BZ8" s="88">
        <v>45</v>
      </c>
      <c r="CA8" s="88">
        <v>45</v>
      </c>
      <c r="CB8" s="937">
        <v>40</v>
      </c>
      <c r="CC8" s="938" t="s">
        <v>1078</v>
      </c>
      <c r="CE8" s="978"/>
      <c r="CF8" s="979"/>
      <c r="CG8" s="979"/>
      <c r="CH8" s="1010">
        <v>0</v>
      </c>
      <c r="CI8" s="979">
        <v>45</v>
      </c>
      <c r="CJ8" s="977" t="s">
        <v>1078</v>
      </c>
      <c r="CK8" s="956" t="s">
        <v>1078</v>
      </c>
      <c r="CM8" s="191"/>
      <c r="CN8" s="88"/>
      <c r="CO8" s="88"/>
      <c r="CP8" s="88"/>
      <c r="CQ8" s="88"/>
      <c r="CR8" s="937"/>
      <c r="CS8" s="938" t="s">
        <v>1078</v>
      </c>
      <c r="CU8" s="191"/>
      <c r="CV8" s="88"/>
      <c r="CW8" s="88"/>
      <c r="CX8" s="88"/>
      <c r="CY8" s="88"/>
      <c r="CZ8" s="937"/>
      <c r="DA8" s="938" t="s">
        <v>1078</v>
      </c>
      <c r="DC8" s="191"/>
      <c r="DD8" s="88"/>
      <c r="DE8" s="88">
        <v>45</v>
      </c>
      <c r="DF8" s="1009">
        <v>40</v>
      </c>
      <c r="DG8" s="1183" t="s">
        <v>1078</v>
      </c>
      <c r="DH8" s="1054" t="s">
        <v>1078</v>
      </c>
      <c r="DI8" s="596">
        <v>40</v>
      </c>
    </row>
    <row r="9" spans="1:113">
      <c r="A9" s="1468"/>
      <c r="C9" s="188">
        <v>3</v>
      </c>
      <c r="D9" s="189">
        <v>4</v>
      </c>
      <c r="E9" s="189">
        <v>5</v>
      </c>
      <c r="F9" s="189">
        <v>6</v>
      </c>
      <c r="G9" s="189">
        <v>7</v>
      </c>
      <c r="H9" s="189">
        <v>8</v>
      </c>
      <c r="I9" s="190">
        <v>9</v>
      </c>
      <c r="J9" s="187"/>
      <c r="K9" s="188">
        <v>7</v>
      </c>
      <c r="L9" s="189">
        <v>8</v>
      </c>
      <c r="M9" s="189">
        <v>9</v>
      </c>
      <c r="N9" s="189">
        <v>10</v>
      </c>
      <c r="O9" s="189">
        <v>11</v>
      </c>
      <c r="P9" s="189">
        <v>12</v>
      </c>
      <c r="Q9" s="190">
        <v>13</v>
      </c>
      <c r="S9" s="188">
        <v>5</v>
      </c>
      <c r="T9" s="189">
        <v>6</v>
      </c>
      <c r="U9" s="189">
        <v>7</v>
      </c>
      <c r="V9" s="189">
        <v>8</v>
      </c>
      <c r="W9" s="189">
        <v>9</v>
      </c>
      <c r="X9" s="189">
        <v>10</v>
      </c>
      <c r="Y9" s="190">
        <v>11</v>
      </c>
      <c r="Z9" s="187"/>
      <c r="AA9" s="188">
        <v>2</v>
      </c>
      <c r="AB9" s="189">
        <v>3</v>
      </c>
      <c r="AC9" s="189">
        <v>4</v>
      </c>
      <c r="AD9" s="189">
        <v>5</v>
      </c>
      <c r="AE9" s="189">
        <v>6</v>
      </c>
      <c r="AF9" s="189">
        <v>7</v>
      </c>
      <c r="AG9" s="190">
        <v>8</v>
      </c>
      <c r="AH9" s="187"/>
      <c r="AI9" s="264">
        <v>7</v>
      </c>
      <c r="AJ9" s="287">
        <v>8</v>
      </c>
      <c r="AK9" s="287">
        <v>9</v>
      </c>
      <c r="AL9" s="287">
        <v>10</v>
      </c>
      <c r="AM9" s="287">
        <v>11</v>
      </c>
      <c r="AN9" s="287">
        <v>12</v>
      </c>
      <c r="AO9" s="265">
        <v>13</v>
      </c>
      <c r="AQ9" s="188">
        <v>4</v>
      </c>
      <c r="AR9" s="189">
        <f>+AQ9+1</f>
        <v>5</v>
      </c>
      <c r="AS9" s="189">
        <f t="shared" ref="AS9:AW9" si="20">+AR9+1</f>
        <v>6</v>
      </c>
      <c r="AT9" s="189">
        <f t="shared" si="20"/>
        <v>7</v>
      </c>
      <c r="AU9" s="189">
        <f t="shared" si="20"/>
        <v>8</v>
      </c>
      <c r="AV9" s="189">
        <f t="shared" si="20"/>
        <v>9</v>
      </c>
      <c r="AW9" s="190">
        <f t="shared" si="20"/>
        <v>10</v>
      </c>
      <c r="AY9" s="188">
        <v>8</v>
      </c>
      <c r="AZ9" s="189">
        <f t="shared" ref="AZ9:BE9" si="21">+AY9+1</f>
        <v>9</v>
      </c>
      <c r="BA9" s="189">
        <f t="shared" si="21"/>
        <v>10</v>
      </c>
      <c r="BB9" s="189">
        <f t="shared" si="21"/>
        <v>11</v>
      </c>
      <c r="BC9" s="189">
        <f t="shared" si="21"/>
        <v>12</v>
      </c>
      <c r="BD9" s="189">
        <f t="shared" si="21"/>
        <v>13</v>
      </c>
      <c r="BE9" s="190">
        <f t="shared" si="21"/>
        <v>14</v>
      </c>
      <c r="BG9" s="233">
        <v>6</v>
      </c>
      <c r="BH9" s="189">
        <f t="shared" ref="BH9" si="22">+BG9+1</f>
        <v>7</v>
      </c>
      <c r="BI9" s="189">
        <f t="shared" ref="BI9" si="23">+BH9+1</f>
        <v>8</v>
      </c>
      <c r="BJ9" s="189">
        <f t="shared" ref="BJ9" si="24">+BI9+1</f>
        <v>9</v>
      </c>
      <c r="BK9" s="189">
        <f t="shared" ref="BK9" si="25">+BJ9+1</f>
        <v>10</v>
      </c>
      <c r="BL9" s="189">
        <f t="shared" ref="BL9" si="26">+BK9+1</f>
        <v>11</v>
      </c>
      <c r="BM9" s="234">
        <f t="shared" ref="BM9" si="27">+BL9+1</f>
        <v>12</v>
      </c>
      <c r="BO9" s="233">
        <v>3</v>
      </c>
      <c r="BP9" s="189">
        <f t="shared" ref="BP9" si="28">+BO9+1</f>
        <v>4</v>
      </c>
      <c r="BQ9" s="189">
        <f t="shared" ref="BQ9" si="29">+BP9+1</f>
        <v>5</v>
      </c>
      <c r="BR9" s="189">
        <f t="shared" ref="BR9" si="30">+BQ9+1</f>
        <v>6</v>
      </c>
      <c r="BS9" s="189">
        <f t="shared" ref="BS9" si="31">+BR9+1</f>
        <v>7</v>
      </c>
      <c r="BT9" s="189">
        <f t="shared" ref="BT9" si="32">+BS9+1</f>
        <v>8</v>
      </c>
      <c r="BU9" s="234">
        <f t="shared" ref="BU9" si="33">+BT9+1</f>
        <v>9</v>
      </c>
      <c r="BW9" s="188">
        <v>8</v>
      </c>
      <c r="BX9" s="189">
        <f t="shared" ref="BX9" si="34">+BW9+1</f>
        <v>9</v>
      </c>
      <c r="BY9" s="189">
        <f t="shared" ref="BY9" si="35">+BX9+1</f>
        <v>10</v>
      </c>
      <c r="BZ9" s="189">
        <f t="shared" ref="BZ9" si="36">+BY9+1</f>
        <v>11</v>
      </c>
      <c r="CA9" s="189">
        <f t="shared" ref="CA9" si="37">+BZ9+1</f>
        <v>12</v>
      </c>
      <c r="CB9" s="189">
        <f t="shared" ref="CB9" si="38">+CA9+1</f>
        <v>13</v>
      </c>
      <c r="CC9" s="190">
        <f t="shared" ref="CC9" si="39">+CB9+1</f>
        <v>14</v>
      </c>
      <c r="CE9" s="981">
        <v>5</v>
      </c>
      <c r="CF9" s="982">
        <f t="shared" ref="CF9" si="40">+CE9+1</f>
        <v>6</v>
      </c>
      <c r="CG9" s="982">
        <f t="shared" ref="CG9" si="41">+CF9+1</f>
        <v>7</v>
      </c>
      <c r="CH9" s="982">
        <f t="shared" ref="CH9" si="42">+CG9+1</f>
        <v>8</v>
      </c>
      <c r="CI9" s="982">
        <f t="shared" ref="CI9" si="43">+CH9+1</f>
        <v>9</v>
      </c>
      <c r="CJ9" s="982">
        <f t="shared" ref="CJ9" si="44">+CI9+1</f>
        <v>10</v>
      </c>
      <c r="CK9" s="983">
        <f t="shared" ref="CK9" si="45">+CJ9+1</f>
        <v>11</v>
      </c>
      <c r="CM9" s="188">
        <v>2</v>
      </c>
      <c r="CN9" s="189">
        <f t="shared" ref="CN9" si="46">+CM9+1</f>
        <v>3</v>
      </c>
      <c r="CO9" s="189">
        <f t="shared" ref="CO9" si="47">+CN9+1</f>
        <v>4</v>
      </c>
      <c r="CP9" s="189">
        <f t="shared" ref="CP9" si="48">+CO9+1</f>
        <v>5</v>
      </c>
      <c r="CQ9" s="189">
        <f t="shared" ref="CQ9" si="49">+CP9+1</f>
        <v>6</v>
      </c>
      <c r="CR9" s="189">
        <f t="shared" ref="CR9" si="50">+CQ9+1</f>
        <v>7</v>
      </c>
      <c r="CS9" s="190">
        <f t="shared" ref="CS9" si="51">+CR9+1</f>
        <v>8</v>
      </c>
      <c r="CU9" s="188">
        <v>2</v>
      </c>
      <c r="CV9" s="189">
        <f t="shared" ref="CV9" si="52">+CU9+1</f>
        <v>3</v>
      </c>
      <c r="CW9" s="189">
        <f t="shared" ref="CW9" si="53">+CV9+1</f>
        <v>4</v>
      </c>
      <c r="CX9" s="189">
        <f t="shared" ref="CX9" si="54">+CW9+1</f>
        <v>5</v>
      </c>
      <c r="CY9" s="189">
        <f t="shared" ref="CY9" si="55">+CX9+1</f>
        <v>6</v>
      </c>
      <c r="CZ9" s="189">
        <f t="shared" ref="CZ9" si="56">+CY9+1</f>
        <v>7</v>
      </c>
      <c r="DA9" s="190">
        <f t="shared" ref="DA9" si="57">+CZ9+1</f>
        <v>8</v>
      </c>
      <c r="DC9" s="188">
        <v>6</v>
      </c>
      <c r="DD9" s="189">
        <f t="shared" ref="DD9" si="58">+DC9+1</f>
        <v>7</v>
      </c>
      <c r="DE9" s="189">
        <f t="shared" ref="DE9" si="59">+DD9+1</f>
        <v>8</v>
      </c>
      <c r="DF9" s="189">
        <f t="shared" ref="DF9" si="60">+DE9+1</f>
        <v>9</v>
      </c>
      <c r="DG9" s="189">
        <f t="shared" ref="DG9" si="61">+DF9+1</f>
        <v>10</v>
      </c>
      <c r="DH9" s="189">
        <f t="shared" ref="DH9" si="62">+DG9+1</f>
        <v>11</v>
      </c>
      <c r="DI9" s="190">
        <f t="shared" ref="DI9" si="63">+DH9+1</f>
        <v>12</v>
      </c>
    </row>
    <row r="10" spans="1:113">
      <c r="A10" s="1468"/>
      <c r="C10" s="199">
        <v>37</v>
      </c>
      <c r="D10" s="197">
        <v>33</v>
      </c>
      <c r="E10" s="88">
        <v>42</v>
      </c>
      <c r="F10" s="88">
        <v>24</v>
      </c>
      <c r="G10" s="88">
        <v>43</v>
      </c>
      <c r="H10" s="88">
        <v>39</v>
      </c>
      <c r="I10" s="198" t="s">
        <v>1078</v>
      </c>
      <c r="J10" s="88"/>
      <c r="K10" s="191">
        <v>44.5</v>
      </c>
      <c r="L10" s="88">
        <v>44.5</v>
      </c>
      <c r="M10" s="88">
        <v>44.5</v>
      </c>
      <c r="N10" s="88">
        <v>44.5</v>
      </c>
      <c r="O10" s="88">
        <v>44.5</v>
      </c>
      <c r="P10" s="88">
        <v>40</v>
      </c>
      <c r="Q10" s="193">
        <v>40</v>
      </c>
      <c r="S10" s="191">
        <v>45</v>
      </c>
      <c r="T10" s="88">
        <v>45</v>
      </c>
      <c r="U10" s="88">
        <v>45</v>
      </c>
      <c r="V10" s="88">
        <v>45</v>
      </c>
      <c r="W10" s="88">
        <v>45</v>
      </c>
      <c r="X10" s="88">
        <v>40</v>
      </c>
      <c r="Y10" s="193">
        <v>40</v>
      </c>
      <c r="Z10" s="88"/>
      <c r="AA10" s="191">
        <v>45</v>
      </c>
      <c r="AB10" s="88">
        <v>45</v>
      </c>
      <c r="AC10" s="88">
        <v>45</v>
      </c>
      <c r="AD10" s="88">
        <v>45</v>
      </c>
      <c r="AE10" s="88">
        <v>45</v>
      </c>
      <c r="AF10" s="88">
        <v>40</v>
      </c>
      <c r="AG10" s="193">
        <v>40</v>
      </c>
      <c r="AH10" s="88"/>
      <c r="AI10" s="266">
        <v>45</v>
      </c>
      <c r="AJ10" s="288">
        <v>45</v>
      </c>
      <c r="AK10" s="288">
        <v>45</v>
      </c>
      <c r="AL10" s="288">
        <v>45</v>
      </c>
      <c r="AM10" s="288">
        <v>45</v>
      </c>
      <c r="AN10" s="289" t="s">
        <v>1078</v>
      </c>
      <c r="AO10" s="267" t="s">
        <v>1078</v>
      </c>
      <c r="AQ10" s="191">
        <v>45</v>
      </c>
      <c r="AR10" s="88">
        <v>45</v>
      </c>
      <c r="AS10" s="88">
        <v>45</v>
      </c>
      <c r="AT10" s="88">
        <v>45</v>
      </c>
      <c r="AU10" s="88">
        <v>45</v>
      </c>
      <c r="AV10" s="88" t="s">
        <v>1078</v>
      </c>
      <c r="AW10" s="193" t="s">
        <v>1078</v>
      </c>
      <c r="AY10" s="191">
        <v>45</v>
      </c>
      <c r="AZ10" s="88">
        <v>45</v>
      </c>
      <c r="BA10" s="88">
        <v>45</v>
      </c>
      <c r="BB10" s="88">
        <v>45</v>
      </c>
      <c r="BC10" s="88">
        <v>45</v>
      </c>
      <c r="BD10" s="240" t="s">
        <v>1078</v>
      </c>
      <c r="BE10" s="244" t="s">
        <v>1078</v>
      </c>
      <c r="BG10" s="638">
        <v>40</v>
      </c>
      <c r="BH10" s="88">
        <v>40</v>
      </c>
      <c r="BI10" s="88">
        <v>40</v>
      </c>
      <c r="BJ10" s="88">
        <v>40</v>
      </c>
      <c r="BK10" s="631">
        <v>40</v>
      </c>
      <c r="BL10" s="258" t="s">
        <v>340</v>
      </c>
      <c r="BM10" s="259" t="s">
        <v>340</v>
      </c>
      <c r="BO10" s="235">
        <v>45</v>
      </c>
      <c r="BP10" s="88">
        <v>45</v>
      </c>
      <c r="BQ10" s="88">
        <v>45</v>
      </c>
      <c r="BR10" s="88">
        <v>45</v>
      </c>
      <c r="BS10" s="88">
        <v>45</v>
      </c>
      <c r="BT10" s="258" t="s">
        <v>340</v>
      </c>
      <c r="BU10" s="259" t="s">
        <v>340</v>
      </c>
      <c r="BW10" s="1008" t="s">
        <v>1078</v>
      </c>
      <c r="BX10" s="88">
        <v>45</v>
      </c>
      <c r="BY10" s="88">
        <v>45</v>
      </c>
      <c r="BZ10" s="88">
        <v>45</v>
      </c>
      <c r="CA10" s="88">
        <v>45</v>
      </c>
      <c r="CB10" s="937">
        <v>40</v>
      </c>
      <c r="CC10" s="596">
        <v>40</v>
      </c>
      <c r="CE10" s="978">
        <v>45</v>
      </c>
      <c r="CF10" s="979">
        <v>45</v>
      </c>
      <c r="CG10" s="979">
        <v>45</v>
      </c>
      <c r="CH10" s="979">
        <v>45</v>
      </c>
      <c r="CI10" s="979">
        <v>45</v>
      </c>
      <c r="CJ10" s="980">
        <v>40</v>
      </c>
      <c r="CK10" s="984">
        <v>40</v>
      </c>
      <c r="CM10" s="978">
        <v>45</v>
      </c>
      <c r="CN10" s="979">
        <v>45</v>
      </c>
      <c r="CO10" s="979">
        <v>45</v>
      </c>
      <c r="CP10" s="979">
        <v>45</v>
      </c>
      <c r="CQ10" s="979">
        <v>45</v>
      </c>
      <c r="CR10" s="980">
        <v>40</v>
      </c>
      <c r="CS10" s="984">
        <v>40</v>
      </c>
      <c r="CU10" s="191">
        <v>45</v>
      </c>
      <c r="CV10" s="88">
        <v>45</v>
      </c>
      <c r="CW10" s="88">
        <v>45</v>
      </c>
      <c r="CX10" s="88">
        <v>45</v>
      </c>
      <c r="CY10" s="88">
        <v>45</v>
      </c>
      <c r="CZ10" s="937">
        <v>40</v>
      </c>
      <c r="DA10" s="596">
        <v>40</v>
      </c>
      <c r="DC10" s="191">
        <v>45</v>
      </c>
      <c r="DD10" s="88">
        <v>45</v>
      </c>
      <c r="DE10" s="88">
        <v>45</v>
      </c>
      <c r="DF10" s="88">
        <v>45</v>
      </c>
      <c r="DG10" s="88">
        <v>45</v>
      </c>
      <c r="DH10" s="1054" t="s">
        <v>1078</v>
      </c>
      <c r="DI10" s="938">
        <v>20</v>
      </c>
    </row>
    <row r="11" spans="1:113">
      <c r="A11" s="1468"/>
      <c r="C11" s="188">
        <v>10</v>
      </c>
      <c r="D11" s="189">
        <v>11</v>
      </c>
      <c r="E11" s="189">
        <v>12</v>
      </c>
      <c r="F11" s="189">
        <v>13</v>
      </c>
      <c r="G11" s="189">
        <v>14</v>
      </c>
      <c r="H11" s="189">
        <v>15</v>
      </c>
      <c r="I11" s="190">
        <v>16</v>
      </c>
      <c r="J11" s="187"/>
      <c r="K11" s="188">
        <v>14</v>
      </c>
      <c r="L11" s="189">
        <v>15</v>
      </c>
      <c r="M11" s="189">
        <v>16</v>
      </c>
      <c r="N11" s="189">
        <v>17</v>
      </c>
      <c r="O11" s="189">
        <v>18</v>
      </c>
      <c r="P11" s="189">
        <v>19</v>
      </c>
      <c r="Q11" s="190">
        <v>20</v>
      </c>
      <c r="S11" s="188">
        <v>12</v>
      </c>
      <c r="T11" s="189">
        <v>13</v>
      </c>
      <c r="U11" s="189">
        <v>14</v>
      </c>
      <c r="V11" s="189">
        <v>15</v>
      </c>
      <c r="W11" s="189">
        <v>16</v>
      </c>
      <c r="X11" s="189">
        <v>17</v>
      </c>
      <c r="Y11" s="190">
        <v>18</v>
      </c>
      <c r="Z11" s="187"/>
      <c r="AA11" s="188">
        <v>9</v>
      </c>
      <c r="AB11" s="189">
        <v>10</v>
      </c>
      <c r="AC11" s="189">
        <v>11</v>
      </c>
      <c r="AD11" s="189">
        <v>12</v>
      </c>
      <c r="AE11" s="189">
        <v>13</v>
      </c>
      <c r="AF11" s="189">
        <v>14</v>
      </c>
      <c r="AG11" s="190">
        <v>15</v>
      </c>
      <c r="AH11" s="187"/>
      <c r="AI11" s="264">
        <v>14</v>
      </c>
      <c r="AJ11" s="287">
        <v>15</v>
      </c>
      <c r="AK11" s="287">
        <v>16</v>
      </c>
      <c r="AL11" s="287">
        <v>17</v>
      </c>
      <c r="AM11" s="287">
        <v>18</v>
      </c>
      <c r="AN11" s="287">
        <v>19</v>
      </c>
      <c r="AO11" s="265">
        <v>20</v>
      </c>
      <c r="AQ11" s="188">
        <v>11</v>
      </c>
      <c r="AR11" s="189">
        <f t="shared" ref="AR11:AW11" si="64">+AQ11+1</f>
        <v>12</v>
      </c>
      <c r="AS11" s="189">
        <f t="shared" si="64"/>
        <v>13</v>
      </c>
      <c r="AT11" s="189">
        <f t="shared" si="64"/>
        <v>14</v>
      </c>
      <c r="AU11" s="189">
        <f t="shared" si="64"/>
        <v>15</v>
      </c>
      <c r="AV11" s="189">
        <f t="shared" si="64"/>
        <v>16</v>
      </c>
      <c r="AW11" s="190">
        <f t="shared" si="64"/>
        <v>17</v>
      </c>
      <c r="AY11" s="188">
        <v>15</v>
      </c>
      <c r="AZ11" s="189">
        <f t="shared" ref="AZ11:BE11" si="65">+AY11+1</f>
        <v>16</v>
      </c>
      <c r="BA11" s="189">
        <f t="shared" si="65"/>
        <v>17</v>
      </c>
      <c r="BB11" s="189">
        <f t="shared" si="65"/>
        <v>18</v>
      </c>
      <c r="BC11" s="189">
        <f t="shared" si="65"/>
        <v>19</v>
      </c>
      <c r="BD11" s="189">
        <f t="shared" si="65"/>
        <v>20</v>
      </c>
      <c r="BE11" s="190">
        <f t="shared" si="65"/>
        <v>21</v>
      </c>
      <c r="BG11" s="233">
        <v>13</v>
      </c>
      <c r="BH11" s="189">
        <f t="shared" ref="BH11" si="66">+BG11+1</f>
        <v>14</v>
      </c>
      <c r="BI11" s="189">
        <f t="shared" ref="BI11" si="67">+BH11+1</f>
        <v>15</v>
      </c>
      <c r="BJ11" s="189">
        <f t="shared" ref="BJ11" si="68">+BI11+1</f>
        <v>16</v>
      </c>
      <c r="BK11" s="189">
        <f t="shared" ref="BK11" si="69">+BJ11+1</f>
        <v>17</v>
      </c>
      <c r="BL11" s="189">
        <f t="shared" ref="BL11" si="70">+BK11+1</f>
        <v>18</v>
      </c>
      <c r="BM11" s="234">
        <f t="shared" ref="BM11" si="71">+BL11+1</f>
        <v>19</v>
      </c>
      <c r="BO11" s="233">
        <v>10</v>
      </c>
      <c r="BP11" s="189">
        <f t="shared" ref="BP11" si="72">+BO11+1</f>
        <v>11</v>
      </c>
      <c r="BQ11" s="189">
        <f t="shared" ref="BQ11" si="73">+BP11+1</f>
        <v>12</v>
      </c>
      <c r="BR11" s="189">
        <f t="shared" ref="BR11" si="74">+BQ11+1</f>
        <v>13</v>
      </c>
      <c r="BS11" s="189">
        <f t="shared" ref="BS11" si="75">+BR11+1</f>
        <v>14</v>
      </c>
      <c r="BT11" s="189">
        <f t="shared" ref="BT11" si="76">+BS11+1</f>
        <v>15</v>
      </c>
      <c r="BU11" s="234">
        <f t="shared" ref="BU11" si="77">+BT11+1</f>
        <v>16</v>
      </c>
      <c r="BW11" s="188">
        <v>15</v>
      </c>
      <c r="BX11" s="189">
        <f t="shared" ref="BX11" si="78">+BW11+1</f>
        <v>16</v>
      </c>
      <c r="BY11" s="189">
        <f t="shared" ref="BY11" si="79">+BX11+1</f>
        <v>17</v>
      </c>
      <c r="BZ11" s="189">
        <f t="shared" ref="BZ11" si="80">+BY11+1</f>
        <v>18</v>
      </c>
      <c r="CA11" s="189">
        <f t="shared" ref="CA11" si="81">+BZ11+1</f>
        <v>19</v>
      </c>
      <c r="CB11" s="189">
        <f t="shared" ref="CB11" si="82">+CA11+1</f>
        <v>20</v>
      </c>
      <c r="CC11" s="939">
        <f>+CB11+1</f>
        <v>21</v>
      </c>
      <c r="CE11" s="981">
        <v>12</v>
      </c>
      <c r="CF11" s="982">
        <f t="shared" ref="CF11" si="83">+CE11+1</f>
        <v>13</v>
      </c>
      <c r="CG11" s="982">
        <f t="shared" ref="CG11" si="84">+CF11+1</f>
        <v>14</v>
      </c>
      <c r="CH11" s="982">
        <f t="shared" ref="CH11" si="85">+CG11+1</f>
        <v>15</v>
      </c>
      <c r="CI11" s="982">
        <f t="shared" ref="CI11" si="86">+CH11+1</f>
        <v>16</v>
      </c>
      <c r="CJ11" s="982">
        <f t="shared" ref="CJ11" si="87">+CI11+1</f>
        <v>17</v>
      </c>
      <c r="CK11" s="985">
        <f>+CJ11+1</f>
        <v>18</v>
      </c>
      <c r="CM11" s="188">
        <v>9</v>
      </c>
      <c r="CN11" s="189">
        <f t="shared" ref="CN11" si="88">+CM11+1</f>
        <v>10</v>
      </c>
      <c r="CO11" s="189">
        <f t="shared" ref="CO11" si="89">+CN11+1</f>
        <v>11</v>
      </c>
      <c r="CP11" s="189">
        <f t="shared" ref="CP11" si="90">+CO11+1</f>
        <v>12</v>
      </c>
      <c r="CQ11" s="189">
        <f t="shared" ref="CQ11" si="91">+CP11+1</f>
        <v>13</v>
      </c>
      <c r="CR11" s="189">
        <f t="shared" ref="CR11" si="92">+CQ11+1</f>
        <v>14</v>
      </c>
      <c r="CS11" s="939">
        <f>+CR11+1</f>
        <v>15</v>
      </c>
      <c r="CU11" s="188">
        <v>9</v>
      </c>
      <c r="CV11" s="189">
        <f t="shared" ref="CV11" si="93">+CU11+1</f>
        <v>10</v>
      </c>
      <c r="CW11" s="189">
        <f t="shared" ref="CW11" si="94">+CV11+1</f>
        <v>11</v>
      </c>
      <c r="CX11" s="189">
        <f t="shared" ref="CX11" si="95">+CW11+1</f>
        <v>12</v>
      </c>
      <c r="CY11" s="189">
        <f t="shared" ref="CY11" si="96">+CX11+1</f>
        <v>13</v>
      </c>
      <c r="CZ11" s="189">
        <f t="shared" ref="CZ11" si="97">+CY11+1</f>
        <v>14</v>
      </c>
      <c r="DA11" s="939">
        <f>+CZ11+1</f>
        <v>15</v>
      </c>
      <c r="DC11" s="188">
        <v>13</v>
      </c>
      <c r="DD11" s="189">
        <f t="shared" ref="DD11" si="98">+DC11+1</f>
        <v>14</v>
      </c>
      <c r="DE11" s="189">
        <f t="shared" ref="DE11" si="99">+DD11+1</f>
        <v>15</v>
      </c>
      <c r="DF11" s="189">
        <f t="shared" ref="DF11" si="100">+DE11+1</f>
        <v>16</v>
      </c>
      <c r="DG11" s="189">
        <f t="shared" ref="DG11" si="101">+DF11+1</f>
        <v>17</v>
      </c>
      <c r="DH11" s="189">
        <f t="shared" ref="DH11" si="102">+DG11+1</f>
        <v>18</v>
      </c>
      <c r="DI11" s="939">
        <f>+DH11+1</f>
        <v>19</v>
      </c>
    </row>
    <row r="12" spans="1:113">
      <c r="A12" s="1468"/>
      <c r="C12" s="191">
        <v>45</v>
      </c>
      <c r="D12" s="88">
        <v>37</v>
      </c>
      <c r="E12" s="88">
        <v>47</v>
      </c>
      <c r="F12" s="88">
        <v>45</v>
      </c>
      <c r="G12" s="88">
        <v>44</v>
      </c>
      <c r="H12" s="88">
        <v>40</v>
      </c>
      <c r="I12" s="198" t="s">
        <v>1078</v>
      </c>
      <c r="J12" s="88"/>
      <c r="K12" s="191">
        <v>44.5</v>
      </c>
      <c r="L12" s="88">
        <v>44.5</v>
      </c>
      <c r="M12" s="88">
        <v>44.5</v>
      </c>
      <c r="N12" s="88">
        <v>44.5</v>
      </c>
      <c r="O12" s="194" t="s">
        <v>1078</v>
      </c>
      <c r="P12" s="195" t="s">
        <v>1078</v>
      </c>
      <c r="Q12" s="198" t="s">
        <v>1078</v>
      </c>
      <c r="S12" s="191">
        <v>45</v>
      </c>
      <c r="T12" s="88">
        <v>45</v>
      </c>
      <c r="U12" s="88">
        <v>45</v>
      </c>
      <c r="V12" s="88">
        <v>45</v>
      </c>
      <c r="W12" s="88">
        <v>45</v>
      </c>
      <c r="X12" s="195" t="s">
        <v>1078</v>
      </c>
      <c r="Y12" s="198" t="s">
        <v>1078</v>
      </c>
      <c r="Z12" s="88"/>
      <c r="AA12" s="191">
        <v>45</v>
      </c>
      <c r="AB12" s="197">
        <v>40</v>
      </c>
      <c r="AC12" s="88">
        <v>45</v>
      </c>
      <c r="AD12" s="88">
        <v>45</v>
      </c>
      <c r="AE12" s="88">
        <v>45</v>
      </c>
      <c r="AF12" s="88">
        <v>40</v>
      </c>
      <c r="AG12" s="244" t="s">
        <v>1078</v>
      </c>
      <c r="AH12" s="88"/>
      <c r="AI12" s="268" t="s">
        <v>1079</v>
      </c>
      <c r="AJ12" s="290">
        <v>40</v>
      </c>
      <c r="AK12" s="290">
        <v>40</v>
      </c>
      <c r="AL12" s="290">
        <v>45</v>
      </c>
      <c r="AM12" s="288">
        <v>45</v>
      </c>
      <c r="AN12" s="288">
        <v>40</v>
      </c>
      <c r="AO12" s="269">
        <v>40</v>
      </c>
      <c r="AQ12" s="191">
        <v>45</v>
      </c>
      <c r="AR12" s="88">
        <v>45</v>
      </c>
      <c r="AS12" s="88">
        <v>45</v>
      </c>
      <c r="AT12" s="88">
        <v>45</v>
      </c>
      <c r="AU12" s="88">
        <v>45</v>
      </c>
      <c r="AV12" s="88" t="s">
        <v>1078</v>
      </c>
      <c r="AW12" s="244" t="s">
        <v>1078</v>
      </c>
      <c r="AY12" s="191">
        <v>45</v>
      </c>
      <c r="AZ12" s="88">
        <v>45</v>
      </c>
      <c r="BA12" s="88">
        <v>45</v>
      </c>
      <c r="BB12" s="88">
        <v>45</v>
      </c>
      <c r="BC12" s="88">
        <v>45</v>
      </c>
      <c r="BD12" s="88">
        <v>40</v>
      </c>
      <c r="BE12" s="244" t="s">
        <v>1078</v>
      </c>
      <c r="BG12" s="235">
        <v>40</v>
      </c>
      <c r="BH12" s="88">
        <v>40</v>
      </c>
      <c r="BI12" s="88">
        <v>40</v>
      </c>
      <c r="BJ12" s="88">
        <v>40</v>
      </c>
      <c r="BK12" s="88">
        <v>40</v>
      </c>
      <c r="BL12" s="258">
        <v>20</v>
      </c>
      <c r="BM12" s="259">
        <v>20</v>
      </c>
      <c r="BO12" s="235">
        <v>45</v>
      </c>
      <c r="BP12" s="88">
        <v>45</v>
      </c>
      <c r="BQ12" s="88">
        <v>45</v>
      </c>
      <c r="BR12" s="88">
        <v>45</v>
      </c>
      <c r="BS12" s="88">
        <v>45</v>
      </c>
      <c r="BT12" s="88">
        <v>20</v>
      </c>
      <c r="BU12" s="259">
        <v>20</v>
      </c>
      <c r="BW12" s="191">
        <v>45</v>
      </c>
      <c r="BX12" s="88">
        <v>45</v>
      </c>
      <c r="BY12" s="88">
        <v>45</v>
      </c>
      <c r="BZ12" s="88">
        <v>45</v>
      </c>
      <c r="CA12" s="88">
        <v>45</v>
      </c>
      <c r="CB12" s="979">
        <v>40</v>
      </c>
      <c r="CC12" s="956">
        <v>20</v>
      </c>
      <c r="CE12" s="978">
        <v>45</v>
      </c>
      <c r="CF12" s="979">
        <v>45</v>
      </c>
      <c r="CG12" s="979">
        <v>45</v>
      </c>
      <c r="CH12" s="979">
        <v>45</v>
      </c>
      <c r="CI12" s="979">
        <v>45</v>
      </c>
      <c r="CJ12" s="980">
        <v>40</v>
      </c>
      <c r="CK12" s="956" t="s">
        <v>1078</v>
      </c>
      <c r="CM12" s="978">
        <v>45</v>
      </c>
      <c r="CN12" s="88">
        <v>45</v>
      </c>
      <c r="CO12" s="88">
        <v>45</v>
      </c>
      <c r="CP12" s="88">
        <v>45</v>
      </c>
      <c r="CQ12" s="88">
        <v>45</v>
      </c>
      <c r="CR12" s="955">
        <v>40</v>
      </c>
      <c r="CS12" s="938" t="s">
        <v>1078</v>
      </c>
      <c r="CU12" s="191">
        <v>45</v>
      </c>
      <c r="CV12" s="88">
        <v>45</v>
      </c>
      <c r="CW12" s="88">
        <v>45</v>
      </c>
      <c r="CX12" s="88">
        <v>45</v>
      </c>
      <c r="CY12" s="88">
        <v>45</v>
      </c>
      <c r="CZ12" s="1054" t="s">
        <v>1078</v>
      </c>
      <c r="DA12" s="938" t="s">
        <v>1078</v>
      </c>
      <c r="DC12" s="191">
        <v>45</v>
      </c>
      <c r="DD12" s="88">
        <v>45</v>
      </c>
      <c r="DE12" s="88">
        <v>45</v>
      </c>
      <c r="DF12" s="88">
        <v>45</v>
      </c>
      <c r="DG12" s="88">
        <v>45</v>
      </c>
      <c r="DH12" s="88">
        <v>40</v>
      </c>
      <c r="DI12" s="596">
        <v>40</v>
      </c>
    </row>
    <row r="13" spans="1:113">
      <c r="A13" s="1468"/>
      <c r="C13" s="188">
        <v>17</v>
      </c>
      <c r="D13" s="189">
        <v>18</v>
      </c>
      <c r="E13" s="189">
        <v>19</v>
      </c>
      <c r="F13" s="189">
        <v>20</v>
      </c>
      <c r="G13" s="189">
        <v>21</v>
      </c>
      <c r="H13" s="189">
        <v>22</v>
      </c>
      <c r="I13" s="190">
        <v>23</v>
      </c>
      <c r="J13" s="187"/>
      <c r="K13" s="188">
        <v>21</v>
      </c>
      <c r="L13" s="189">
        <v>22</v>
      </c>
      <c r="M13" s="189">
        <v>23</v>
      </c>
      <c r="N13" s="189">
        <v>24</v>
      </c>
      <c r="O13" s="189">
        <v>25</v>
      </c>
      <c r="P13" s="189">
        <v>26</v>
      </c>
      <c r="Q13" s="190">
        <v>27</v>
      </c>
      <c r="S13" s="188">
        <v>19</v>
      </c>
      <c r="T13" s="189">
        <v>20</v>
      </c>
      <c r="U13" s="189">
        <v>21</v>
      </c>
      <c r="V13" s="189">
        <v>22</v>
      </c>
      <c r="W13" s="189">
        <v>23</v>
      </c>
      <c r="X13" s="189">
        <v>24</v>
      </c>
      <c r="Y13" s="190">
        <v>25</v>
      </c>
      <c r="Z13" s="187"/>
      <c r="AA13" s="188">
        <v>16</v>
      </c>
      <c r="AB13" s="189">
        <v>17</v>
      </c>
      <c r="AC13" s="189">
        <v>18</v>
      </c>
      <c r="AD13" s="189">
        <v>19</v>
      </c>
      <c r="AE13" s="189">
        <v>20</v>
      </c>
      <c r="AF13" s="189">
        <v>21</v>
      </c>
      <c r="AG13" s="190">
        <v>22</v>
      </c>
      <c r="AH13" s="187"/>
      <c r="AI13" s="264">
        <v>21</v>
      </c>
      <c r="AJ13" s="287">
        <v>22</v>
      </c>
      <c r="AK13" s="287">
        <v>23</v>
      </c>
      <c r="AL13" s="287">
        <v>24</v>
      </c>
      <c r="AM13" s="287">
        <v>25</v>
      </c>
      <c r="AN13" s="287">
        <v>26</v>
      </c>
      <c r="AO13" s="265">
        <v>27</v>
      </c>
      <c r="AQ13" s="188">
        <v>18</v>
      </c>
      <c r="AR13" s="189">
        <f t="shared" ref="AR13:AW13" si="103">+AQ13+1</f>
        <v>19</v>
      </c>
      <c r="AS13" s="189">
        <f t="shared" si="103"/>
        <v>20</v>
      </c>
      <c r="AT13" s="189">
        <f t="shared" si="103"/>
        <v>21</v>
      </c>
      <c r="AU13" s="189">
        <f t="shared" si="103"/>
        <v>22</v>
      </c>
      <c r="AV13" s="189">
        <f t="shared" si="103"/>
        <v>23</v>
      </c>
      <c r="AW13" s="190">
        <f t="shared" si="103"/>
        <v>24</v>
      </c>
      <c r="AY13" s="188">
        <v>22</v>
      </c>
      <c r="AZ13" s="189">
        <f t="shared" ref="AZ13:BE13" si="104">+AY13+1</f>
        <v>23</v>
      </c>
      <c r="BA13" s="189">
        <f t="shared" si="104"/>
        <v>24</v>
      </c>
      <c r="BB13" s="189">
        <f t="shared" si="104"/>
        <v>25</v>
      </c>
      <c r="BC13" s="189">
        <f t="shared" si="104"/>
        <v>26</v>
      </c>
      <c r="BD13" s="189">
        <f t="shared" si="104"/>
        <v>27</v>
      </c>
      <c r="BE13" s="190">
        <f t="shared" si="104"/>
        <v>28</v>
      </c>
      <c r="BG13" s="233">
        <v>20</v>
      </c>
      <c r="BH13" s="189">
        <f t="shared" ref="BH13" si="105">+BG13+1</f>
        <v>21</v>
      </c>
      <c r="BI13" s="189">
        <f t="shared" ref="BI13" si="106">+BH13+1</f>
        <v>22</v>
      </c>
      <c r="BJ13" s="189">
        <f t="shared" ref="BJ13" si="107">+BI13+1</f>
        <v>23</v>
      </c>
      <c r="BK13" s="189">
        <f t="shared" ref="BK13" si="108">+BJ13+1</f>
        <v>24</v>
      </c>
      <c r="BL13" s="189">
        <f t="shared" ref="BL13" si="109">+BK13+1</f>
        <v>25</v>
      </c>
      <c r="BM13" s="234">
        <f t="shared" ref="BM13" si="110">+BL13+1</f>
        <v>26</v>
      </c>
      <c r="BO13" s="233">
        <v>17</v>
      </c>
      <c r="BP13" s="189">
        <f t="shared" ref="BP13" si="111">+BO13+1</f>
        <v>18</v>
      </c>
      <c r="BQ13" s="189">
        <f t="shared" ref="BQ13" si="112">+BP13+1</f>
        <v>19</v>
      </c>
      <c r="BR13" s="189">
        <f t="shared" ref="BR13" si="113">+BQ13+1</f>
        <v>20</v>
      </c>
      <c r="BS13" s="189">
        <f t="shared" ref="BS13" si="114">+BR13+1</f>
        <v>21</v>
      </c>
      <c r="BT13" s="189">
        <f t="shared" ref="BT13" si="115">+BS13+1</f>
        <v>22</v>
      </c>
      <c r="BU13" s="234">
        <f t="shared" ref="BU13" si="116">+BT13+1</f>
        <v>23</v>
      </c>
      <c r="BW13" s="188">
        <v>22</v>
      </c>
      <c r="BX13" s="189">
        <f t="shared" ref="BX13" si="117">+BW13+1</f>
        <v>23</v>
      </c>
      <c r="BY13" s="189">
        <f t="shared" ref="BY13" si="118">+BX13+1</f>
        <v>24</v>
      </c>
      <c r="BZ13" s="189">
        <f t="shared" ref="BZ13" si="119">+BY13+1</f>
        <v>25</v>
      </c>
      <c r="CA13" s="189">
        <f t="shared" ref="CA13" si="120">+BZ13+1</f>
        <v>26</v>
      </c>
      <c r="CB13" s="189">
        <f t="shared" ref="CB13" si="121">+CA13+1</f>
        <v>27</v>
      </c>
      <c r="CC13" s="190">
        <f t="shared" ref="CC13" si="122">+CB13+1</f>
        <v>28</v>
      </c>
      <c r="CE13" s="981">
        <v>19</v>
      </c>
      <c r="CF13" s="982">
        <f t="shared" ref="CF13" si="123">+CE13+1</f>
        <v>20</v>
      </c>
      <c r="CG13" s="982">
        <f t="shared" ref="CG13" si="124">+CF13+1</f>
        <v>21</v>
      </c>
      <c r="CH13" s="982">
        <f t="shared" ref="CH13" si="125">+CG13+1</f>
        <v>22</v>
      </c>
      <c r="CI13" s="982">
        <f t="shared" ref="CI13" si="126">+CH13+1</f>
        <v>23</v>
      </c>
      <c r="CJ13" s="982">
        <f t="shared" ref="CJ13" si="127">+CI13+1</f>
        <v>24</v>
      </c>
      <c r="CK13" s="983">
        <f t="shared" ref="CK13" si="128">+CJ13+1</f>
        <v>25</v>
      </c>
      <c r="CM13" s="188">
        <v>16</v>
      </c>
      <c r="CN13" s="189">
        <f t="shared" ref="CN13" si="129">+CM13+1</f>
        <v>17</v>
      </c>
      <c r="CO13" s="189">
        <f t="shared" ref="CO13" si="130">+CN13+1</f>
        <v>18</v>
      </c>
      <c r="CP13" s="189">
        <f t="shared" ref="CP13" si="131">+CO13+1</f>
        <v>19</v>
      </c>
      <c r="CQ13" s="189">
        <f t="shared" ref="CQ13" si="132">+CP13+1</f>
        <v>20</v>
      </c>
      <c r="CR13" s="189">
        <f t="shared" ref="CR13" si="133">+CQ13+1</f>
        <v>21</v>
      </c>
      <c r="CS13" s="190">
        <f t="shared" ref="CS13" si="134">+CR13+1</f>
        <v>22</v>
      </c>
      <c r="CU13" s="188">
        <v>16</v>
      </c>
      <c r="CV13" s="189">
        <f t="shared" ref="CV13" si="135">+CU13+1</f>
        <v>17</v>
      </c>
      <c r="CW13" s="189">
        <f t="shared" ref="CW13" si="136">+CV13+1</f>
        <v>18</v>
      </c>
      <c r="CX13" s="189">
        <f t="shared" ref="CX13" si="137">+CW13+1</f>
        <v>19</v>
      </c>
      <c r="CY13" s="189">
        <f t="shared" ref="CY13" si="138">+CX13+1</f>
        <v>20</v>
      </c>
      <c r="CZ13" s="189">
        <f t="shared" ref="CZ13" si="139">+CY13+1</f>
        <v>21</v>
      </c>
      <c r="DA13" s="190">
        <f t="shared" ref="DA13" si="140">+CZ13+1</f>
        <v>22</v>
      </c>
      <c r="DC13" s="188">
        <v>20</v>
      </c>
      <c r="DD13" s="189">
        <f t="shared" ref="DD13" si="141">+DC13+1</f>
        <v>21</v>
      </c>
      <c r="DE13" s="189">
        <f t="shared" ref="DE13" si="142">+DD13+1</f>
        <v>22</v>
      </c>
      <c r="DF13" s="189">
        <f t="shared" ref="DF13" si="143">+DE13+1</f>
        <v>23</v>
      </c>
      <c r="DG13" s="189">
        <f t="shared" ref="DG13" si="144">+DF13+1</f>
        <v>24</v>
      </c>
      <c r="DH13" s="189">
        <f t="shared" ref="DH13" si="145">+DG13+1</f>
        <v>25</v>
      </c>
      <c r="DI13" s="190">
        <f t="shared" ref="DI13" si="146">+DH13+1</f>
        <v>26</v>
      </c>
    </row>
    <row r="14" spans="1:113">
      <c r="A14" s="1468"/>
      <c r="C14" s="191">
        <v>44.5</v>
      </c>
      <c r="D14" s="88">
        <v>44.5</v>
      </c>
      <c r="E14" s="88">
        <v>44.5</v>
      </c>
      <c r="F14" s="88">
        <v>44.5</v>
      </c>
      <c r="G14" s="88">
        <v>44.5</v>
      </c>
      <c r="H14" s="88">
        <v>40</v>
      </c>
      <c r="I14" s="193">
        <v>40</v>
      </c>
      <c r="J14" s="88"/>
      <c r="K14" s="191">
        <v>44.5</v>
      </c>
      <c r="L14" s="88">
        <v>44.5</v>
      </c>
      <c r="M14" s="88">
        <v>44.5</v>
      </c>
      <c r="N14" s="88">
        <v>44.5</v>
      </c>
      <c r="O14" s="88">
        <v>44.5</v>
      </c>
      <c r="P14" s="88">
        <v>40</v>
      </c>
      <c r="Q14" s="193">
        <v>40</v>
      </c>
      <c r="S14" s="191">
        <v>45</v>
      </c>
      <c r="T14" s="88">
        <v>45</v>
      </c>
      <c r="U14" s="88">
        <v>45</v>
      </c>
      <c r="V14" s="88">
        <v>45</v>
      </c>
      <c r="W14" s="88">
        <v>45</v>
      </c>
      <c r="X14" s="88">
        <v>40</v>
      </c>
      <c r="Y14" s="200">
        <v>40</v>
      </c>
      <c r="Z14" s="88"/>
      <c r="AA14" s="199" t="s">
        <v>1078</v>
      </c>
      <c r="AB14" s="88">
        <v>45</v>
      </c>
      <c r="AC14" s="88">
        <v>45</v>
      </c>
      <c r="AD14" s="88">
        <v>45</v>
      </c>
      <c r="AE14" s="197">
        <v>40</v>
      </c>
      <c r="AF14" s="88">
        <v>40</v>
      </c>
      <c r="AG14" s="193">
        <v>40</v>
      </c>
      <c r="AH14" s="88"/>
      <c r="AI14" s="266">
        <v>45</v>
      </c>
      <c r="AJ14" s="288">
        <v>45</v>
      </c>
      <c r="AK14" s="288">
        <v>45</v>
      </c>
      <c r="AL14" s="288">
        <v>45</v>
      </c>
      <c r="AM14" s="288">
        <v>45</v>
      </c>
      <c r="AN14" s="288">
        <v>40</v>
      </c>
      <c r="AO14" s="269">
        <v>40</v>
      </c>
      <c r="AQ14" s="191">
        <v>45</v>
      </c>
      <c r="AR14" s="88">
        <v>45</v>
      </c>
      <c r="AS14" s="88">
        <v>45</v>
      </c>
      <c r="AT14" s="88">
        <v>45</v>
      </c>
      <c r="AU14" s="88">
        <v>45</v>
      </c>
      <c r="AV14" s="88" t="s">
        <v>1078</v>
      </c>
      <c r="AW14" s="193" t="s">
        <v>1078</v>
      </c>
      <c r="AY14" s="191">
        <v>45</v>
      </c>
      <c r="AZ14" s="88">
        <v>45</v>
      </c>
      <c r="BA14" s="88">
        <v>45</v>
      </c>
      <c r="BB14" s="88">
        <v>45</v>
      </c>
      <c r="BC14" s="88">
        <v>45</v>
      </c>
      <c r="BD14" s="88">
        <v>40</v>
      </c>
      <c r="BE14" s="244" t="s">
        <v>1078</v>
      </c>
      <c r="BG14" s="235">
        <v>45</v>
      </c>
      <c r="BH14" s="88">
        <v>45</v>
      </c>
      <c r="BI14" s="88">
        <v>45</v>
      </c>
      <c r="BJ14" s="88">
        <v>45</v>
      </c>
      <c r="BK14" s="88">
        <v>45</v>
      </c>
      <c r="BL14" s="88">
        <v>20</v>
      </c>
      <c r="BM14" s="259">
        <v>20</v>
      </c>
      <c r="BO14" s="235">
        <v>45</v>
      </c>
      <c r="BP14" s="88">
        <v>45</v>
      </c>
      <c r="BQ14" s="88">
        <v>45</v>
      </c>
      <c r="BR14" s="88">
        <v>45</v>
      </c>
      <c r="BS14" s="88">
        <v>45</v>
      </c>
      <c r="BT14" s="88">
        <v>40</v>
      </c>
      <c r="BU14" s="596" t="s">
        <v>1078</v>
      </c>
      <c r="BW14" s="191">
        <v>45</v>
      </c>
      <c r="BX14" s="88">
        <v>45</v>
      </c>
      <c r="BY14" s="1009">
        <v>20</v>
      </c>
      <c r="BZ14" s="1009">
        <v>0</v>
      </c>
      <c r="CA14" s="88">
        <v>45</v>
      </c>
      <c r="CB14" s="88">
        <v>40</v>
      </c>
      <c r="CC14" s="938" t="s">
        <v>1078</v>
      </c>
      <c r="CE14" s="978">
        <v>45</v>
      </c>
      <c r="CF14" s="979">
        <v>45</v>
      </c>
      <c r="CG14" s="979">
        <v>45</v>
      </c>
      <c r="CH14" s="979">
        <v>45</v>
      </c>
      <c r="CI14" s="979">
        <v>45</v>
      </c>
      <c r="CJ14" s="1025" t="s">
        <v>1078</v>
      </c>
      <c r="CK14" s="956" t="s">
        <v>1078</v>
      </c>
      <c r="CM14" s="1053" t="s">
        <v>1078</v>
      </c>
      <c r="CN14" s="1009">
        <v>40</v>
      </c>
      <c r="CO14" s="88">
        <v>45</v>
      </c>
      <c r="CP14" s="88">
        <v>45</v>
      </c>
      <c r="CQ14" s="88">
        <v>45</v>
      </c>
      <c r="CR14" s="937">
        <v>40</v>
      </c>
      <c r="CS14" s="1099">
        <v>40</v>
      </c>
      <c r="CU14" s="191">
        <v>45</v>
      </c>
      <c r="CV14" s="88">
        <v>45</v>
      </c>
      <c r="CW14" s="88">
        <v>45</v>
      </c>
      <c r="CX14" s="88">
        <v>45</v>
      </c>
      <c r="CY14" s="88">
        <v>45</v>
      </c>
      <c r="CZ14" s="88">
        <v>40</v>
      </c>
      <c r="DA14" s="596">
        <v>40</v>
      </c>
      <c r="DC14" s="191">
        <v>45</v>
      </c>
      <c r="DD14" s="88">
        <v>45</v>
      </c>
      <c r="DE14" s="88">
        <v>45</v>
      </c>
      <c r="DF14" s="88">
        <v>45</v>
      </c>
      <c r="DG14" s="88">
        <v>45</v>
      </c>
      <c r="DH14" s="88">
        <v>40</v>
      </c>
      <c r="DI14" s="938" t="s">
        <v>1078</v>
      </c>
    </row>
    <row r="15" spans="1:113">
      <c r="A15" s="1468"/>
      <c r="C15" s="188">
        <v>24</v>
      </c>
      <c r="D15" s="189">
        <v>25</v>
      </c>
      <c r="E15" s="189">
        <v>26</v>
      </c>
      <c r="F15" s="189">
        <v>27</v>
      </c>
      <c r="G15" s="189">
        <v>28</v>
      </c>
      <c r="H15" s="189">
        <v>29</v>
      </c>
      <c r="I15" s="190">
        <v>30</v>
      </c>
      <c r="J15" s="187"/>
      <c r="K15" s="188">
        <v>28</v>
      </c>
      <c r="L15" s="189">
        <v>29</v>
      </c>
      <c r="M15" s="189">
        <v>30</v>
      </c>
      <c r="N15" s="189" t="s">
        <v>124</v>
      </c>
      <c r="O15" s="189" t="s">
        <v>124</v>
      </c>
      <c r="P15" s="189" t="s">
        <v>124</v>
      </c>
      <c r="Q15" s="190" t="s">
        <v>124</v>
      </c>
      <c r="S15" s="188">
        <v>26</v>
      </c>
      <c r="T15" s="189">
        <v>27</v>
      </c>
      <c r="U15" s="189">
        <v>28</v>
      </c>
      <c r="V15" s="189">
        <v>29</v>
      </c>
      <c r="W15" s="189">
        <v>30</v>
      </c>
      <c r="X15" s="189">
        <v>31</v>
      </c>
      <c r="Y15" s="190" t="s">
        <v>124</v>
      </c>
      <c r="Z15" s="187"/>
      <c r="AA15" s="188">
        <v>23</v>
      </c>
      <c r="AB15" s="189">
        <v>24</v>
      </c>
      <c r="AC15" s="189">
        <v>25</v>
      </c>
      <c r="AD15" s="189">
        <v>26</v>
      </c>
      <c r="AE15" s="189">
        <v>27</v>
      </c>
      <c r="AF15" s="189">
        <v>28</v>
      </c>
      <c r="AG15" s="190">
        <v>29</v>
      </c>
      <c r="AH15" s="187"/>
      <c r="AI15" s="264">
        <v>28</v>
      </c>
      <c r="AJ15" s="287">
        <v>29</v>
      </c>
      <c r="AK15" s="287">
        <v>30</v>
      </c>
      <c r="AL15" s="287">
        <v>31</v>
      </c>
      <c r="AM15" s="287" t="s">
        <v>124</v>
      </c>
      <c r="AN15" s="287" t="s">
        <v>124</v>
      </c>
      <c r="AO15" s="265" t="s">
        <v>124</v>
      </c>
      <c r="AQ15" s="188">
        <v>25</v>
      </c>
      <c r="AR15" s="189">
        <f t="shared" ref="AR15:AW15" si="147">+AQ15+1</f>
        <v>26</v>
      </c>
      <c r="AS15" s="189">
        <f t="shared" si="147"/>
        <v>27</v>
      </c>
      <c r="AT15" s="189">
        <f t="shared" si="147"/>
        <v>28</v>
      </c>
      <c r="AU15" s="189">
        <f t="shared" si="147"/>
        <v>29</v>
      </c>
      <c r="AV15" s="189">
        <f t="shared" si="147"/>
        <v>30</v>
      </c>
      <c r="AW15" s="190">
        <f t="shared" si="147"/>
        <v>31</v>
      </c>
      <c r="AY15" s="188">
        <v>29</v>
      </c>
      <c r="AZ15" s="189">
        <f t="shared" ref="AZ15" si="148">+AY15+1</f>
        <v>30</v>
      </c>
      <c r="BA15" s="189"/>
      <c r="BB15" s="189"/>
      <c r="BC15" s="189"/>
      <c r="BD15" s="189"/>
      <c r="BE15" s="190"/>
      <c r="BG15" s="233">
        <v>27</v>
      </c>
      <c r="BH15" s="189">
        <f t="shared" ref="BH15" si="149">+BG15+1</f>
        <v>28</v>
      </c>
      <c r="BI15" s="189">
        <f t="shared" ref="BI15" si="150">+BH15+1</f>
        <v>29</v>
      </c>
      <c r="BJ15" s="189">
        <f t="shared" ref="BJ15:BK15" si="151">+BI15+1</f>
        <v>30</v>
      </c>
      <c r="BK15" s="189">
        <f t="shared" si="151"/>
        <v>31</v>
      </c>
      <c r="BL15" s="189"/>
      <c r="BM15" s="234"/>
      <c r="BO15" s="233">
        <v>24</v>
      </c>
      <c r="BP15" s="189">
        <f t="shared" ref="BP15" si="152">+BO15+1</f>
        <v>25</v>
      </c>
      <c r="BQ15" s="189">
        <f t="shared" ref="BQ15" si="153">+BP15+1</f>
        <v>26</v>
      </c>
      <c r="BR15" s="189">
        <f t="shared" ref="BR15" si="154">+BQ15+1</f>
        <v>27</v>
      </c>
      <c r="BS15" s="189">
        <f t="shared" ref="BS15" si="155">+BR15+1</f>
        <v>28</v>
      </c>
      <c r="BT15" s="189">
        <f t="shared" ref="BT15" si="156">+BS15+1</f>
        <v>29</v>
      </c>
      <c r="BU15" s="234">
        <f t="shared" ref="BU15" si="157">+BT15+1</f>
        <v>30</v>
      </c>
      <c r="BW15" s="188">
        <v>29</v>
      </c>
      <c r="BX15" s="189">
        <f t="shared" ref="BX15:BY15" si="158">+BW15+1</f>
        <v>30</v>
      </c>
      <c r="BY15" s="189">
        <f t="shared" si="158"/>
        <v>31</v>
      </c>
      <c r="BZ15" s="189"/>
      <c r="CA15" s="189"/>
      <c r="CB15" s="189"/>
      <c r="CC15" s="190"/>
      <c r="CE15" s="981">
        <v>26</v>
      </c>
      <c r="CF15" s="982">
        <f t="shared" ref="CF15" si="159">+CE15+1</f>
        <v>27</v>
      </c>
      <c r="CG15" s="982">
        <f t="shared" ref="CG15" si="160">+CF15+1</f>
        <v>28</v>
      </c>
      <c r="CH15" s="982">
        <f t="shared" ref="CH15" si="161">+CG15+1</f>
        <v>29</v>
      </c>
      <c r="CI15" s="982">
        <f t="shared" ref="CI15" si="162">+CH15+1</f>
        <v>30</v>
      </c>
      <c r="CJ15" s="982">
        <f t="shared" ref="CJ15" si="163">+CI15+1</f>
        <v>31</v>
      </c>
      <c r="CK15" s="983"/>
      <c r="CM15" s="188">
        <v>23</v>
      </c>
      <c r="CN15" s="189">
        <f t="shared" ref="CN15" si="164">+CM15+1</f>
        <v>24</v>
      </c>
      <c r="CO15" s="189">
        <f t="shared" ref="CO15" si="165">+CN15+1</f>
        <v>25</v>
      </c>
      <c r="CP15" s="189">
        <f t="shared" ref="CP15" si="166">+CO15+1</f>
        <v>26</v>
      </c>
      <c r="CQ15" s="189">
        <f t="shared" ref="CQ15" si="167">+CP15+1</f>
        <v>27</v>
      </c>
      <c r="CR15" s="189">
        <f t="shared" ref="CR15" si="168">+CQ15+1</f>
        <v>28</v>
      </c>
      <c r="CS15" s="190"/>
      <c r="CU15" s="188">
        <v>23</v>
      </c>
      <c r="CV15" s="189">
        <f t="shared" ref="CV15" si="169">+CU15+1</f>
        <v>24</v>
      </c>
      <c r="CW15" s="189">
        <f t="shared" ref="CW15" si="170">+CV15+1</f>
        <v>25</v>
      </c>
      <c r="CX15" s="189">
        <f t="shared" ref="CX15" si="171">+CW15+1</f>
        <v>26</v>
      </c>
      <c r="CY15" s="189">
        <f t="shared" ref="CY15" si="172">+CX15+1</f>
        <v>27</v>
      </c>
      <c r="CZ15" s="189">
        <f t="shared" ref="CZ15" si="173">+CY15+1</f>
        <v>28</v>
      </c>
      <c r="DA15" s="190">
        <v>29</v>
      </c>
      <c r="DC15" s="188">
        <v>27</v>
      </c>
      <c r="DD15" s="189">
        <f t="shared" ref="DD15" si="174">+DC15+1</f>
        <v>28</v>
      </c>
      <c r="DE15" s="189">
        <f t="shared" ref="DE15" si="175">+DD15+1</f>
        <v>29</v>
      </c>
      <c r="DF15" s="189">
        <f t="shared" ref="DF15" si="176">+DE15+1</f>
        <v>30</v>
      </c>
      <c r="DG15" s="189"/>
      <c r="DH15" s="189"/>
      <c r="DI15" s="190"/>
    </row>
    <row r="16" spans="1:113">
      <c r="A16" s="1468"/>
      <c r="C16" s="199">
        <v>40</v>
      </c>
      <c r="D16" s="88">
        <v>44.5</v>
      </c>
      <c r="E16" s="88">
        <v>44.5</v>
      </c>
      <c r="F16" s="88">
        <v>44.5</v>
      </c>
      <c r="G16" s="88">
        <v>44.5</v>
      </c>
      <c r="H16" s="88">
        <v>40</v>
      </c>
      <c r="I16" s="196">
        <v>20</v>
      </c>
      <c r="J16" s="88"/>
      <c r="K16" s="191">
        <v>44.5</v>
      </c>
      <c r="L16" s="88">
        <v>44.5</v>
      </c>
      <c r="M16" s="88">
        <v>44.5</v>
      </c>
      <c r="N16" s="88"/>
      <c r="O16" s="88"/>
      <c r="P16" s="88"/>
      <c r="Q16" s="193" t="s">
        <v>124</v>
      </c>
      <c r="S16" s="191">
        <v>45</v>
      </c>
      <c r="T16" s="88">
        <v>45</v>
      </c>
      <c r="U16" s="88">
        <v>45</v>
      </c>
      <c r="V16" s="88">
        <v>45</v>
      </c>
      <c r="W16" s="88">
        <v>45</v>
      </c>
      <c r="X16" s="88">
        <v>40</v>
      </c>
      <c r="Y16" s="193" t="s">
        <v>124</v>
      </c>
      <c r="Z16" s="88"/>
      <c r="AA16" s="191">
        <v>45</v>
      </c>
      <c r="AB16" s="88">
        <v>45</v>
      </c>
      <c r="AC16" s="88">
        <v>45</v>
      </c>
      <c r="AD16" s="88">
        <v>45</v>
      </c>
      <c r="AE16" s="88">
        <v>45</v>
      </c>
      <c r="AF16" s="211" t="s">
        <v>1080</v>
      </c>
      <c r="AG16" s="198" t="s">
        <v>1078</v>
      </c>
      <c r="AH16" s="88"/>
      <c r="AI16" s="266">
        <v>45</v>
      </c>
      <c r="AJ16" s="288">
        <v>45</v>
      </c>
      <c r="AK16" s="288">
        <v>45</v>
      </c>
      <c r="AL16" s="288">
        <v>45</v>
      </c>
      <c r="AM16" s="288"/>
      <c r="AN16" s="288"/>
      <c r="AO16" s="269" t="s">
        <v>124</v>
      </c>
      <c r="AQ16" s="191">
        <v>45</v>
      </c>
      <c r="AR16" s="88">
        <v>45</v>
      </c>
      <c r="AS16" s="88">
        <v>45</v>
      </c>
      <c r="AT16" s="88">
        <v>45</v>
      </c>
      <c r="AU16" s="88">
        <v>45</v>
      </c>
      <c r="AV16" s="88" t="s">
        <v>1078</v>
      </c>
      <c r="AW16" s="244" t="s">
        <v>1078</v>
      </c>
      <c r="AY16" s="191">
        <v>45</v>
      </c>
      <c r="AZ16" s="88">
        <v>45</v>
      </c>
      <c r="BA16" s="88"/>
      <c r="BB16" s="88"/>
      <c r="BC16" s="88"/>
      <c r="BD16" s="88"/>
      <c r="BE16" s="193"/>
      <c r="BG16" s="235">
        <v>45</v>
      </c>
      <c r="BH16" s="88">
        <v>45</v>
      </c>
      <c r="BI16" s="88">
        <v>45</v>
      </c>
      <c r="BJ16" s="88">
        <v>45</v>
      </c>
      <c r="BK16" s="88">
        <v>45</v>
      </c>
      <c r="BL16" s="88"/>
      <c r="BM16" s="596"/>
      <c r="BO16" s="841" t="s">
        <v>1078</v>
      </c>
      <c r="BP16" s="88">
        <v>45</v>
      </c>
      <c r="BQ16" s="88">
        <v>45</v>
      </c>
      <c r="BR16" s="88">
        <v>45</v>
      </c>
      <c r="BS16" s="88">
        <v>45</v>
      </c>
      <c r="BT16" s="88">
        <v>20</v>
      </c>
      <c r="BU16" s="596">
        <v>20</v>
      </c>
      <c r="BW16" s="191">
        <v>45</v>
      </c>
      <c r="BX16" s="88">
        <v>45</v>
      </c>
      <c r="BY16" s="1009">
        <v>20</v>
      </c>
      <c r="BZ16" s="88"/>
      <c r="CA16" s="88"/>
      <c r="CB16" s="88"/>
      <c r="CC16" s="193"/>
      <c r="CE16" s="978">
        <v>45</v>
      </c>
      <c r="CF16" s="979">
        <v>45</v>
      </c>
      <c r="CG16" s="979">
        <v>45</v>
      </c>
      <c r="CH16" s="979">
        <v>45</v>
      </c>
      <c r="CI16" s="979">
        <v>45</v>
      </c>
      <c r="CJ16" s="979">
        <v>40</v>
      </c>
      <c r="CK16" s="986"/>
      <c r="CM16" s="191">
        <v>45</v>
      </c>
      <c r="CN16" s="88">
        <v>45</v>
      </c>
      <c r="CO16" s="88">
        <v>45</v>
      </c>
      <c r="CP16" s="88">
        <v>45</v>
      </c>
      <c r="CQ16" s="88">
        <v>45</v>
      </c>
      <c r="CR16" s="1054" t="s">
        <v>1078</v>
      </c>
      <c r="CS16" s="1098"/>
      <c r="CU16" s="191">
        <v>45</v>
      </c>
      <c r="CV16" s="1009">
        <v>40</v>
      </c>
      <c r="CW16" s="88">
        <v>45</v>
      </c>
      <c r="CX16" s="88">
        <v>45</v>
      </c>
      <c r="CY16" s="88">
        <v>45</v>
      </c>
      <c r="CZ16" s="88">
        <v>40</v>
      </c>
      <c r="DA16" s="938" t="s">
        <v>1078</v>
      </c>
      <c r="DC16" s="191">
        <v>45</v>
      </c>
      <c r="DD16" s="88">
        <v>45</v>
      </c>
      <c r="DE16" s="88">
        <v>45</v>
      </c>
      <c r="DF16" s="88">
        <v>45</v>
      </c>
      <c r="DG16" s="88"/>
      <c r="DH16" s="88"/>
      <c r="DI16" s="1172"/>
    </row>
    <row r="17" spans="1:114">
      <c r="A17" s="1468"/>
      <c r="C17" s="188">
        <v>31</v>
      </c>
      <c r="D17" s="201" t="s">
        <v>124</v>
      </c>
      <c r="E17" s="201" t="s">
        <v>124</v>
      </c>
      <c r="F17" s="201" t="s">
        <v>124</v>
      </c>
      <c r="G17" s="201" t="s">
        <v>124</v>
      </c>
      <c r="H17" s="201" t="s">
        <v>124</v>
      </c>
      <c r="I17" s="202" t="s">
        <v>124</v>
      </c>
      <c r="J17" s="88"/>
      <c r="K17" s="203" t="s">
        <v>124</v>
      </c>
      <c r="L17" s="201" t="s">
        <v>124</v>
      </c>
      <c r="M17" s="201" t="s">
        <v>124</v>
      </c>
      <c r="N17" s="201" t="s">
        <v>124</v>
      </c>
      <c r="O17" s="201" t="s">
        <v>124</v>
      </c>
      <c r="P17" s="201" t="s">
        <v>124</v>
      </c>
      <c r="Q17" s="202" t="s">
        <v>124</v>
      </c>
      <c r="S17" s="203" t="s">
        <v>124</v>
      </c>
      <c r="T17" s="201" t="s">
        <v>124</v>
      </c>
      <c r="U17" s="201" t="s">
        <v>124</v>
      </c>
      <c r="V17" s="201" t="s">
        <v>124</v>
      </c>
      <c r="W17" s="201" t="s">
        <v>124</v>
      </c>
      <c r="X17" s="201" t="s">
        <v>124</v>
      </c>
      <c r="Y17" s="202" t="s">
        <v>124</v>
      </c>
      <c r="Z17" s="88"/>
      <c r="AA17" s="188">
        <v>30</v>
      </c>
      <c r="AB17" s="201" t="s">
        <v>124</v>
      </c>
      <c r="AC17" s="201" t="s">
        <v>124</v>
      </c>
      <c r="AD17" s="201" t="s">
        <v>124</v>
      </c>
      <c r="AE17" s="201" t="s">
        <v>124</v>
      </c>
      <c r="AF17" s="201" t="s">
        <v>124</v>
      </c>
      <c r="AG17" s="202" t="s">
        <v>124</v>
      </c>
      <c r="AH17" s="88"/>
      <c r="AI17" s="270" t="s">
        <v>124</v>
      </c>
      <c r="AJ17" s="291" t="s">
        <v>124</v>
      </c>
      <c r="AK17" s="291" t="s">
        <v>124</v>
      </c>
      <c r="AL17" s="291" t="s">
        <v>124</v>
      </c>
      <c r="AM17" s="291" t="s">
        <v>124</v>
      </c>
      <c r="AN17" s="291" t="s">
        <v>124</v>
      </c>
      <c r="AO17" s="271" t="s">
        <v>124</v>
      </c>
      <c r="AQ17" s="203" t="s">
        <v>124</v>
      </c>
      <c r="AR17" s="201" t="s">
        <v>124</v>
      </c>
      <c r="AS17" s="201" t="s">
        <v>124</v>
      </c>
      <c r="AT17" s="201" t="s">
        <v>124</v>
      </c>
      <c r="AU17" s="201" t="s">
        <v>124</v>
      </c>
      <c r="AV17" s="201"/>
      <c r="AW17" s="202" t="s">
        <v>124</v>
      </c>
      <c r="AY17" s="203" t="s">
        <v>124</v>
      </c>
      <c r="AZ17" s="201" t="s">
        <v>124</v>
      </c>
      <c r="BA17" s="201" t="s">
        <v>124</v>
      </c>
      <c r="BB17" s="201" t="s">
        <v>124</v>
      </c>
      <c r="BC17" s="201" t="s">
        <v>124</v>
      </c>
      <c r="BD17" s="201" t="s">
        <v>124</v>
      </c>
      <c r="BE17" s="202" t="s">
        <v>124</v>
      </c>
      <c r="BG17" s="242" t="s">
        <v>124</v>
      </c>
      <c r="BH17" s="201" t="s">
        <v>124</v>
      </c>
      <c r="BI17" s="201" t="s">
        <v>124</v>
      </c>
      <c r="BJ17" s="201" t="s">
        <v>124</v>
      </c>
      <c r="BK17" s="201" t="s">
        <v>124</v>
      </c>
      <c r="BL17" s="201" t="s">
        <v>124</v>
      </c>
      <c r="BM17" s="236" t="s">
        <v>124</v>
      </c>
      <c r="BO17" s="242" t="s">
        <v>124</v>
      </c>
      <c r="BP17" s="201" t="s">
        <v>124</v>
      </c>
      <c r="BQ17" s="201" t="s">
        <v>124</v>
      </c>
      <c r="BR17" s="201" t="s">
        <v>124</v>
      </c>
      <c r="BS17" s="201" t="s">
        <v>124</v>
      </c>
      <c r="BT17" s="201" t="s">
        <v>124</v>
      </c>
      <c r="BU17" s="236" t="s">
        <v>124</v>
      </c>
      <c r="BW17" s="203" t="s">
        <v>124</v>
      </c>
      <c r="BX17" s="201" t="s">
        <v>124</v>
      </c>
      <c r="BY17" s="201" t="s">
        <v>124</v>
      </c>
      <c r="BZ17" s="201" t="s">
        <v>124</v>
      </c>
      <c r="CA17" s="201" t="s">
        <v>124</v>
      </c>
      <c r="CB17" s="201" t="s">
        <v>124</v>
      </c>
      <c r="CC17" s="202" t="s">
        <v>124</v>
      </c>
      <c r="CE17" s="987" t="s">
        <v>124</v>
      </c>
      <c r="CF17" s="988" t="s">
        <v>124</v>
      </c>
      <c r="CG17" s="988" t="s">
        <v>124</v>
      </c>
      <c r="CH17" s="988" t="s">
        <v>124</v>
      </c>
      <c r="CI17" s="988" t="s">
        <v>124</v>
      </c>
      <c r="CJ17" s="988" t="s">
        <v>124</v>
      </c>
      <c r="CK17" s="989" t="s">
        <v>124</v>
      </c>
      <c r="CM17" s="203" t="s">
        <v>124</v>
      </c>
      <c r="CN17" s="201" t="s">
        <v>124</v>
      </c>
      <c r="CO17" s="201" t="s">
        <v>124</v>
      </c>
      <c r="CP17" s="201" t="s">
        <v>124</v>
      </c>
      <c r="CQ17" s="201" t="s">
        <v>124</v>
      </c>
      <c r="CR17" s="201" t="s">
        <v>124</v>
      </c>
      <c r="CS17" s="202" t="s">
        <v>124</v>
      </c>
      <c r="CU17" s="188">
        <v>30</v>
      </c>
      <c r="CV17" s="189">
        <v>31</v>
      </c>
      <c r="CW17" s="201" t="s">
        <v>124</v>
      </c>
      <c r="CX17" s="201" t="s">
        <v>124</v>
      </c>
      <c r="CY17" s="201" t="s">
        <v>124</v>
      </c>
      <c r="CZ17" s="201" t="s">
        <v>124</v>
      </c>
      <c r="DA17" s="202" t="s">
        <v>124</v>
      </c>
      <c r="DC17" s="188"/>
      <c r="DD17" s="189"/>
      <c r="DE17" s="201" t="s">
        <v>124</v>
      </c>
      <c r="DF17" s="201" t="s">
        <v>124</v>
      </c>
      <c r="DG17" s="201" t="s">
        <v>124</v>
      </c>
      <c r="DH17" s="201" t="s">
        <v>124</v>
      </c>
      <c r="DI17" s="202" t="s">
        <v>124</v>
      </c>
    </row>
    <row r="18" spans="1:114">
      <c r="A18" s="1468"/>
      <c r="C18" s="205">
        <v>44.5</v>
      </c>
      <c r="D18" s="206" t="s">
        <v>124</v>
      </c>
      <c r="E18" s="206" t="s">
        <v>124</v>
      </c>
      <c r="F18" s="206" t="s">
        <v>124</v>
      </c>
      <c r="G18" s="206" t="s">
        <v>124</v>
      </c>
      <c r="H18" s="206" t="s">
        <v>124</v>
      </c>
      <c r="I18" s="207" t="s">
        <v>124</v>
      </c>
      <c r="J18" s="204" t="s">
        <v>124</v>
      </c>
      <c r="K18" s="208" t="s">
        <v>124</v>
      </c>
      <c r="L18" s="206" t="s">
        <v>124</v>
      </c>
      <c r="M18" s="206" t="s">
        <v>124</v>
      </c>
      <c r="N18" s="206" t="s">
        <v>124</v>
      </c>
      <c r="O18" s="206" t="s">
        <v>124</v>
      </c>
      <c r="P18" s="206" t="s">
        <v>124</v>
      </c>
      <c r="Q18" s="207" t="s">
        <v>124</v>
      </c>
      <c r="S18" s="208" t="s">
        <v>124</v>
      </c>
      <c r="T18" s="206" t="s">
        <v>124</v>
      </c>
      <c r="U18" s="206" t="s">
        <v>124</v>
      </c>
      <c r="V18" s="206" t="s">
        <v>124</v>
      </c>
      <c r="W18" s="206" t="s">
        <v>124</v>
      </c>
      <c r="X18" s="206" t="s">
        <v>124</v>
      </c>
      <c r="Y18" s="207" t="s">
        <v>124</v>
      </c>
      <c r="Z18" s="204" t="s">
        <v>124</v>
      </c>
      <c r="AA18" s="212" t="s">
        <v>1078</v>
      </c>
      <c r="AB18" s="206" t="s">
        <v>124</v>
      </c>
      <c r="AC18" s="206" t="s">
        <v>124</v>
      </c>
      <c r="AD18" s="206" t="s">
        <v>124</v>
      </c>
      <c r="AE18" s="206" t="s">
        <v>124</v>
      </c>
      <c r="AF18" s="206" t="s">
        <v>124</v>
      </c>
      <c r="AG18" s="207" t="s">
        <v>124</v>
      </c>
      <c r="AH18" s="204" t="s">
        <v>124</v>
      </c>
      <c r="AI18" s="272" t="s">
        <v>124</v>
      </c>
      <c r="AJ18" s="273" t="s">
        <v>124</v>
      </c>
      <c r="AK18" s="273" t="s">
        <v>124</v>
      </c>
      <c r="AL18" s="273" t="s">
        <v>124</v>
      </c>
      <c r="AM18" s="273" t="s">
        <v>124</v>
      </c>
      <c r="AN18" s="273" t="s">
        <v>124</v>
      </c>
      <c r="AO18" s="274" t="s">
        <v>124</v>
      </c>
      <c r="AQ18" s="208" t="s">
        <v>124</v>
      </c>
      <c r="AR18" s="206" t="s">
        <v>124</v>
      </c>
      <c r="AS18" s="206" t="s">
        <v>124</v>
      </c>
      <c r="AT18" s="206" t="s">
        <v>124</v>
      </c>
      <c r="AU18" s="206" t="s">
        <v>124</v>
      </c>
      <c r="AV18" s="206" t="s">
        <v>124</v>
      </c>
      <c r="AW18" s="207" t="s">
        <v>124</v>
      </c>
      <c r="AY18" s="208" t="s">
        <v>124</v>
      </c>
      <c r="AZ18" s="206" t="s">
        <v>124</v>
      </c>
      <c r="BA18" s="206" t="s">
        <v>124</v>
      </c>
      <c r="BB18" s="206" t="s">
        <v>124</v>
      </c>
      <c r="BC18" s="206" t="s">
        <v>124</v>
      </c>
      <c r="BD18" s="206" t="s">
        <v>124</v>
      </c>
      <c r="BE18" s="207" t="s">
        <v>124</v>
      </c>
      <c r="BG18" s="243" t="s">
        <v>124</v>
      </c>
      <c r="BH18" s="237" t="s">
        <v>124</v>
      </c>
      <c r="BI18" s="237" t="s">
        <v>124</v>
      </c>
      <c r="BJ18" s="237" t="s">
        <v>124</v>
      </c>
      <c r="BK18" s="237" t="s">
        <v>124</v>
      </c>
      <c r="BL18" s="237" t="s">
        <v>124</v>
      </c>
      <c r="BM18" s="238" t="s">
        <v>124</v>
      </c>
      <c r="BO18" s="243" t="s">
        <v>124</v>
      </c>
      <c r="BP18" s="237" t="s">
        <v>124</v>
      </c>
      <c r="BQ18" s="237" t="s">
        <v>124</v>
      </c>
      <c r="BR18" s="237" t="s">
        <v>124</v>
      </c>
      <c r="BS18" s="237" t="s">
        <v>124</v>
      </c>
      <c r="BT18" s="237" t="s">
        <v>124</v>
      </c>
      <c r="BU18" s="238" t="s">
        <v>124</v>
      </c>
      <c r="BW18" s="208" t="s">
        <v>124</v>
      </c>
      <c r="BX18" s="206" t="s">
        <v>124</v>
      </c>
      <c r="BY18" s="206" t="s">
        <v>124</v>
      </c>
      <c r="BZ18" s="206" t="s">
        <v>124</v>
      </c>
      <c r="CA18" s="206" t="s">
        <v>124</v>
      </c>
      <c r="CB18" s="206" t="s">
        <v>124</v>
      </c>
      <c r="CC18" s="207" t="s">
        <v>124</v>
      </c>
      <c r="CE18" s="990" t="s">
        <v>124</v>
      </c>
      <c r="CF18" s="991" t="s">
        <v>124</v>
      </c>
      <c r="CG18" s="991" t="s">
        <v>124</v>
      </c>
      <c r="CH18" s="991" t="s">
        <v>124</v>
      </c>
      <c r="CI18" s="991" t="s">
        <v>124</v>
      </c>
      <c r="CJ18" s="991" t="s">
        <v>124</v>
      </c>
      <c r="CK18" s="992" t="s">
        <v>124</v>
      </c>
      <c r="CM18" s="208" t="s">
        <v>124</v>
      </c>
      <c r="CN18" s="206" t="s">
        <v>124</v>
      </c>
      <c r="CO18" s="206" t="s">
        <v>124</v>
      </c>
      <c r="CP18" s="206" t="s">
        <v>124</v>
      </c>
      <c r="CQ18" s="206" t="s">
        <v>124</v>
      </c>
      <c r="CR18" s="206" t="s">
        <v>124</v>
      </c>
      <c r="CS18" s="207" t="s">
        <v>124</v>
      </c>
      <c r="CU18" s="205">
        <v>45</v>
      </c>
      <c r="CV18" s="1055">
        <v>45</v>
      </c>
      <c r="CW18" s="206" t="s">
        <v>124</v>
      </c>
      <c r="CX18" s="206" t="s">
        <v>124</v>
      </c>
      <c r="CY18" s="206" t="s">
        <v>124</v>
      </c>
      <c r="CZ18" s="206" t="s">
        <v>124</v>
      </c>
      <c r="DA18" s="207" t="s">
        <v>124</v>
      </c>
      <c r="DC18" s="205"/>
      <c r="DD18" s="1055"/>
      <c r="DE18" s="206" t="s">
        <v>124</v>
      </c>
      <c r="DF18" s="206" t="s">
        <v>124</v>
      </c>
      <c r="DG18" s="206" t="s">
        <v>124</v>
      </c>
      <c r="DH18" s="206" t="s">
        <v>124</v>
      </c>
      <c r="DI18" s="207" t="s">
        <v>124</v>
      </c>
    </row>
    <row r="19" spans="1:114">
      <c r="A19" s="1468"/>
      <c r="C19" s="88"/>
      <c r="D19" s="88"/>
      <c r="E19" s="88"/>
      <c r="F19" s="88"/>
      <c r="G19" s="88"/>
      <c r="H19" s="88"/>
      <c r="I19" s="88"/>
      <c r="J19" s="88"/>
      <c r="K19" s="88"/>
      <c r="L19" s="88"/>
      <c r="M19" s="88"/>
      <c r="N19" s="88"/>
      <c r="O19" s="88"/>
      <c r="P19" s="88"/>
      <c r="Q19" s="88"/>
      <c r="S19" s="88"/>
      <c r="T19" s="88"/>
      <c r="U19" s="88"/>
      <c r="V19" s="88"/>
      <c r="W19" s="88"/>
      <c r="X19" s="88"/>
      <c r="Y19" s="88"/>
      <c r="Z19" s="88"/>
      <c r="AA19" s="88"/>
      <c r="AB19" s="88"/>
      <c r="AC19" s="88"/>
      <c r="AD19" s="88"/>
      <c r="AE19" s="88"/>
      <c r="AF19" s="88"/>
      <c r="AG19" s="88"/>
      <c r="AH19" s="88"/>
      <c r="AI19" s="88"/>
      <c r="AJ19" s="88"/>
      <c r="AK19" s="88"/>
      <c r="AL19" s="88"/>
      <c r="AM19" s="88"/>
      <c r="AN19" s="88"/>
      <c r="AO19" s="88"/>
      <c r="AQ19" s="88"/>
      <c r="AR19" s="88"/>
      <c r="AS19" s="88"/>
      <c r="AT19" s="88"/>
      <c r="AU19" s="88"/>
      <c r="AV19" s="88"/>
      <c r="AW19" s="88"/>
      <c r="AY19" s="88"/>
      <c r="AZ19" s="88"/>
      <c r="BA19" s="88"/>
      <c r="BB19" s="88"/>
      <c r="BC19" s="88"/>
      <c r="BD19" s="88"/>
      <c r="BE19" s="88"/>
      <c r="BG19" s="88"/>
      <c r="BH19" s="88"/>
      <c r="BI19" s="88"/>
      <c r="BJ19" s="88"/>
      <c r="BK19" s="88"/>
      <c r="BL19" s="88"/>
      <c r="BM19" s="88"/>
      <c r="BO19" s="88"/>
      <c r="BP19" s="88"/>
      <c r="BQ19" s="88"/>
      <c r="BR19" s="88"/>
      <c r="BS19" s="88"/>
      <c r="BT19" s="88"/>
      <c r="BU19" s="88"/>
      <c r="BW19" s="88"/>
      <c r="BX19" s="88"/>
      <c r="BY19" s="88"/>
      <c r="BZ19" s="88"/>
      <c r="CA19" s="88"/>
      <c r="CB19" s="88"/>
      <c r="CC19" s="88"/>
      <c r="CE19" s="88"/>
      <c r="CF19" s="88"/>
      <c r="CG19" s="88"/>
      <c r="CH19" s="88"/>
      <c r="CI19" s="88"/>
      <c r="CJ19" s="88"/>
      <c r="CK19" s="88"/>
      <c r="CM19" s="88"/>
      <c r="CN19" s="88"/>
      <c r="CO19" s="88"/>
      <c r="CP19" s="88"/>
      <c r="CQ19" s="88"/>
      <c r="CR19" s="88"/>
      <c r="CS19" s="88"/>
      <c r="CU19" s="88"/>
      <c r="CV19" s="88"/>
      <c r="CW19" s="88"/>
      <c r="CX19" s="88"/>
      <c r="CY19" s="88"/>
      <c r="CZ19" s="88"/>
      <c r="DA19" s="88"/>
      <c r="DC19" s="88"/>
      <c r="DD19" s="88"/>
      <c r="DE19" s="88"/>
      <c r="DF19" s="88"/>
      <c r="DG19" s="88"/>
      <c r="DH19" s="88"/>
      <c r="DI19" s="88"/>
    </row>
    <row r="20" spans="1:114">
      <c r="A20" s="1468"/>
      <c r="C20" s="209" t="s">
        <v>1081</v>
      </c>
      <c r="D20" s="209"/>
      <c r="E20" s="209"/>
      <c r="F20" s="209"/>
      <c r="G20" s="209"/>
      <c r="H20" s="230">
        <f>COUNTIF(C8:I8,"&gt;0")+COUNTIF(C10:I10,"&gt;0")+COUNTIF(C12:I12,"&gt;0")+COUNTIF(C14:I14,"&gt;0")+COUNTIF(C16:I16,"&gt;0")+COUNTIF(C18:I18,"&gt;0")</f>
        <v>28</v>
      </c>
      <c r="I20" s="88"/>
      <c r="J20" s="88"/>
      <c r="K20" s="209" t="s">
        <v>1081</v>
      </c>
      <c r="L20" s="209"/>
      <c r="M20" s="209"/>
      <c r="N20" s="209"/>
      <c r="O20" s="209"/>
      <c r="P20" s="230">
        <f>COUNTIF(K8:Q8,"&gt;0")+COUNTIF(K10:Q10,"&gt;0")+COUNTIF(K12:Q12,"&gt;0")+COUNTIF(K14:Q14,"&gt;0")+COUNTIF(K16:Q16,"&gt;0")+COUNTIF(K18:Q18,"&gt;0")</f>
        <v>26</v>
      </c>
      <c r="Q20" s="88"/>
      <c r="S20" s="209" t="s">
        <v>1081</v>
      </c>
      <c r="T20" s="209"/>
      <c r="U20" s="209"/>
      <c r="V20" s="209"/>
      <c r="W20" s="209"/>
      <c r="X20" s="230">
        <f>COUNTIF(S8:Y8,"&gt;0")+COUNTIF(S10:Y10,"&gt;0")+COUNTIF(S12:Y12,"&gt;0")+COUNTIF(S14:Y14,"&gt;0")+COUNTIF(S16:Y16,"&gt;0")+COUNTIF(S18:Y18,"&gt;0")</f>
        <v>27</v>
      </c>
      <c r="Y20" s="88"/>
      <c r="Z20" s="88"/>
      <c r="AA20" s="209" t="s">
        <v>1081</v>
      </c>
      <c r="AB20" s="209"/>
      <c r="AC20" s="209"/>
      <c r="AD20" s="209"/>
      <c r="AE20" s="209"/>
      <c r="AF20" s="230">
        <f>COUNTIF(AA8:AG8,"&gt;0")+COUNTIF(AA10:AG10,"&gt;0")+COUNTIF(AA12:AG12,"&gt;0")+COUNTIF(AA14:AG14,"&gt;0")+COUNTIF(AA16:AG16,"&gt;0")+COUNTIF(AA18:AG18,"&gt;0")</f>
        <v>24</v>
      </c>
      <c r="AG20" s="88"/>
      <c r="AH20" s="88"/>
      <c r="AI20" s="209" t="s">
        <v>1081</v>
      </c>
      <c r="AJ20" s="209"/>
      <c r="AK20" s="209"/>
      <c r="AL20" s="209"/>
      <c r="AM20" s="209"/>
      <c r="AN20" s="230">
        <f>COUNTIF(AI8:AO8,"&gt;0")+COUNTIF(AI10:AO10,"&gt;0")+COUNTIF(AI12:AO12,"&gt;0")+COUNTIF(AI14:AO14,"&gt;0")+COUNTIF(AI16:AO16,"&gt;0")+COUNTIF(AI18:AO18,"&gt;0")</f>
        <v>26</v>
      </c>
      <c r="AO20" s="88"/>
      <c r="AQ20" s="209" t="s">
        <v>1081</v>
      </c>
      <c r="AR20" s="209"/>
      <c r="AS20" s="209"/>
      <c r="AT20" s="209"/>
      <c r="AU20" s="209"/>
      <c r="AV20" s="230">
        <f>COUNTIF(AQ8:AW8,"&gt;0")+COUNTIF(AQ10:AW10,"&gt;0")+COUNTIF(AQ12:AW12,"&gt;0")+COUNTIF(AQ14:AW14,"&gt;0")+COUNTIF(AQ16:AW16,"&gt;0")+COUNTIF(AQ18:AW18,"&gt;0")</f>
        <v>21</v>
      </c>
      <c r="AW20" s="88"/>
      <c r="AY20" s="209" t="s">
        <v>1081</v>
      </c>
      <c r="AZ20" s="209"/>
      <c r="BA20" s="209"/>
      <c r="BB20" s="209"/>
      <c r="BC20" s="209"/>
      <c r="BD20" s="230">
        <f>COUNTIF(AY8:BE8,"&gt;0")+COUNTIF(AY10:BE10,"&gt;0")+COUNTIF(AY12:BE12,"&gt;0")+COUNTIF(AY14:BE14,"&gt;0")+COUNTIF(AY16:BE16,"&gt;0")+COUNTIF(AY18:BE18,"&gt;0")</f>
        <v>24</v>
      </c>
      <c r="BE20" s="88"/>
      <c r="BG20" s="209" t="s">
        <v>1081</v>
      </c>
      <c r="BH20" s="209"/>
      <c r="BI20" s="209"/>
      <c r="BJ20" s="209"/>
      <c r="BK20" s="209"/>
      <c r="BL20" s="230">
        <f>COUNTIF(BG8:BM8,"&gt;0")+COUNTIF(BG10:BM10,"&gt;0")+COUNTIF(BG12:BM12,"&gt;0")+COUNTIF(BG14:BM14,"&gt;0")+COUNTIF(BG16:BM16,"&gt;0")+COUNTIF(BG18:BM18,"&gt;0")</f>
        <v>28</v>
      </c>
      <c r="BM20" s="88"/>
      <c r="BO20" s="209" t="s">
        <v>1081</v>
      </c>
      <c r="BP20" s="209"/>
      <c r="BQ20" s="209"/>
      <c r="BR20" s="209"/>
      <c r="BS20" s="209"/>
      <c r="BT20" s="230">
        <f>COUNTIF(BO8:BU8,"&gt;0")+COUNTIF(BO10:BU10,"&gt;0")+COUNTIF(BO12:BU12,"&gt;0")+COUNTIF(BO14:BU14,"&gt;0")+COUNTIF(BO16:BU16,"&gt;0")+COUNTIF(BO18:BU18,"&gt;0")</f>
        <v>26</v>
      </c>
      <c r="BU20" s="88"/>
      <c r="BW20" s="209" t="s">
        <v>1081</v>
      </c>
      <c r="BX20" s="209"/>
      <c r="BY20" s="209"/>
      <c r="BZ20" s="209"/>
      <c r="CA20" s="209"/>
      <c r="CB20" s="230">
        <f>COUNTIF(BW8:CC8,"&gt;0")+COUNTIF(BW10:CC10,"&gt;0")+COUNTIF(BW12:CC12,"&gt;0")+COUNTIF(BW14:CC14,"&gt;0")+COUNTIF(BW16:CC16,"&gt;0")+COUNTIF(BW18:CC18,"&gt;0")</f>
        <v>27</v>
      </c>
      <c r="CC20" s="88"/>
      <c r="CE20" s="209" t="s">
        <v>1081</v>
      </c>
      <c r="CF20" s="209"/>
      <c r="CG20" s="209"/>
      <c r="CH20" s="209"/>
      <c r="CI20" s="209"/>
      <c r="CJ20" s="230">
        <f>COUNTIF(CE8:CK8,"&gt;0")+COUNTIF(CE10:CK10,"&gt;0")+COUNTIF(CE12:CK12,"&gt;0")+COUNTIF(CE14:CK14,"&gt;0")+COUNTIF(CE16:CK16,"&gt;0")+COUNTIF(CE18:CK18,"&gt;0")</f>
        <v>25</v>
      </c>
      <c r="CK20" s="88"/>
      <c r="CM20" s="1460" t="s">
        <v>1081</v>
      </c>
      <c r="CN20" s="1460"/>
      <c r="CO20" s="1460"/>
      <c r="CP20" s="1460"/>
      <c r="CQ20" s="209"/>
      <c r="CR20" s="230">
        <f>COUNTIF(CM8:CS8,"&gt;0")+COUNTIF(CM10:CS10,"&gt;0")+COUNTIF(CM12:CS12,"&gt;0")+COUNTIF(CM14:CS14,"&gt;0")+COUNTIF(CM16:CS16,"&gt;0")+COUNTIF(CM18:CS18,"&gt;0")</f>
        <v>24</v>
      </c>
      <c r="CS20" s="88"/>
      <c r="CU20" s="209" t="s">
        <v>1081</v>
      </c>
      <c r="CV20" s="209"/>
      <c r="CW20" s="209"/>
      <c r="CX20" s="209"/>
      <c r="CY20" s="209"/>
      <c r="CZ20" s="230">
        <f>COUNTIF(CU8:DA8,"&gt;0")+COUNTIF(CU10:DA10,"&gt;0")+COUNTIF(CU12:DA12,"&gt;0")+COUNTIF(CU14:DA14,"&gt;0")+COUNTIF(CU16:DA16,"&gt;0")+COUNTIF(CU18:DA18,"&gt;0")</f>
        <v>27</v>
      </c>
      <c r="DA20" s="88"/>
      <c r="DC20" s="209" t="s">
        <v>1081</v>
      </c>
      <c r="DD20" s="209"/>
      <c r="DE20" s="209"/>
      <c r="DF20" s="209"/>
      <c r="DG20" s="209"/>
      <c r="DH20" s="230">
        <f>COUNTIF(DC8:DI8,"&gt;0")+COUNTIF(DC10:DI10,"&gt;0")+COUNTIF(DC12:DI12,"&gt;0")+COUNTIF(DC14:DI14,"&gt;0")+COUNTIF(DC16:DI16,"&gt;0")+COUNTIF(DC18:DI18,"&gt;0")</f>
        <v>26</v>
      </c>
      <c r="DI20" s="88"/>
    </row>
    <row r="21" spans="1:114">
      <c r="A21" s="1468"/>
      <c r="C21" s="209" t="s">
        <v>1082</v>
      </c>
      <c r="D21" s="209"/>
      <c r="E21" s="209"/>
      <c r="F21" s="209"/>
      <c r="G21" s="209"/>
      <c r="H21" s="209">
        <f>COUNTIF(C8:I19,"MANT")</f>
        <v>2</v>
      </c>
      <c r="I21" s="88"/>
      <c r="J21" s="88"/>
      <c r="K21" s="209" t="s">
        <v>1082</v>
      </c>
      <c r="L21" s="209"/>
      <c r="M21" s="209"/>
      <c r="N21" s="209"/>
      <c r="O21" s="209"/>
      <c r="P21" s="209">
        <f>COUNTIF(K8:Q19,"MANT")</f>
        <v>4</v>
      </c>
      <c r="Q21" s="88"/>
      <c r="S21" s="209" t="s">
        <v>1082</v>
      </c>
      <c r="T21" s="209"/>
      <c r="U21" s="209"/>
      <c r="V21" s="209"/>
      <c r="W21" s="209"/>
      <c r="X21" s="209">
        <v>3</v>
      </c>
      <c r="Y21" s="88"/>
      <c r="Z21" s="88"/>
      <c r="AA21" s="209" t="s">
        <v>1082</v>
      </c>
      <c r="AB21" s="209"/>
      <c r="AC21" s="209"/>
      <c r="AD21" s="209"/>
      <c r="AE21" s="209"/>
      <c r="AF21" s="209">
        <f>COUNTIF(AA8:AG19,"MANT")</f>
        <v>5</v>
      </c>
      <c r="AG21" s="88"/>
      <c r="AH21" s="88"/>
      <c r="AI21" s="209" t="s">
        <v>1082</v>
      </c>
      <c r="AJ21" s="209"/>
      <c r="AK21" s="209"/>
      <c r="AL21" s="209"/>
      <c r="AM21" s="209"/>
      <c r="AN21" s="209">
        <f>COUNTIF(AI8:AO19,"MANT")</f>
        <v>4</v>
      </c>
      <c r="AO21" s="88"/>
      <c r="AQ21" s="209" t="s">
        <v>1082</v>
      </c>
      <c r="AR21" s="209"/>
      <c r="AS21" s="209"/>
      <c r="AT21" s="209"/>
      <c r="AU21" s="209"/>
      <c r="AV21" s="209">
        <f>COUNTIF(AQ8:AW19,"MANT")</f>
        <v>10</v>
      </c>
      <c r="AW21" s="88"/>
      <c r="AY21" s="209" t="s">
        <v>1082</v>
      </c>
      <c r="AZ21" s="209"/>
      <c r="BA21" s="209"/>
      <c r="BB21" s="209"/>
      <c r="BC21" s="209"/>
      <c r="BD21" s="209">
        <f>COUNTIF(AY8:BE19,"MANT")</f>
        <v>6</v>
      </c>
      <c r="BE21" s="88"/>
      <c r="BG21" s="209" t="s">
        <v>1082</v>
      </c>
      <c r="BH21" s="209"/>
      <c r="BI21" s="209"/>
      <c r="BJ21" s="209"/>
      <c r="BK21" s="209"/>
      <c r="BL21" s="209">
        <f>COUNTIF(BG8:BM19,"MANT")</f>
        <v>1</v>
      </c>
      <c r="BM21" s="88"/>
      <c r="BO21" s="209" t="s">
        <v>1082</v>
      </c>
      <c r="BP21" s="209"/>
      <c r="BQ21" s="209"/>
      <c r="BR21" s="209"/>
      <c r="BS21" s="209"/>
      <c r="BT21" s="209">
        <v>3</v>
      </c>
      <c r="BU21" s="88"/>
      <c r="BW21" s="209" t="s">
        <v>1082</v>
      </c>
      <c r="BX21" s="209"/>
      <c r="BY21" s="209"/>
      <c r="BZ21" s="209"/>
      <c r="CA21" s="209"/>
      <c r="CB21" s="209">
        <v>3</v>
      </c>
      <c r="CC21" s="88"/>
      <c r="CE21" s="209" t="s">
        <v>1082</v>
      </c>
      <c r="CF21" s="209"/>
      <c r="CG21" s="209"/>
      <c r="CH21" s="209"/>
      <c r="CI21" s="209"/>
      <c r="CJ21" s="209">
        <v>5</v>
      </c>
      <c r="CK21" s="88"/>
      <c r="CM21" s="1460" t="s">
        <v>1082</v>
      </c>
      <c r="CN21" s="1460"/>
      <c r="CO21" s="1460"/>
      <c r="CP21" s="1460"/>
      <c r="CQ21" s="209"/>
      <c r="CR21" s="209">
        <v>4</v>
      </c>
      <c r="CS21" s="88"/>
      <c r="CU21" s="209" t="s">
        <v>1082</v>
      </c>
      <c r="CV21" s="209"/>
      <c r="CW21" s="209"/>
      <c r="CX21" s="209"/>
      <c r="CY21" s="209"/>
      <c r="CZ21" s="209">
        <v>4</v>
      </c>
      <c r="DA21" s="88"/>
      <c r="DC21" s="209" t="s">
        <v>1082</v>
      </c>
      <c r="DD21" s="209"/>
      <c r="DE21" s="209"/>
      <c r="DF21" s="209"/>
      <c r="DG21" s="209"/>
      <c r="DH21" s="209">
        <v>4</v>
      </c>
      <c r="DI21" s="88"/>
    </row>
    <row r="22" spans="1:114">
      <c r="A22" s="1468"/>
      <c r="C22" s="209" t="s">
        <v>1083</v>
      </c>
      <c r="D22" s="209"/>
      <c r="E22" s="209"/>
      <c r="F22" s="209"/>
      <c r="G22" s="209"/>
      <c r="H22" s="209">
        <v>1074</v>
      </c>
      <c r="I22" s="88"/>
      <c r="J22" s="88"/>
      <c r="K22" s="209" t="s">
        <v>1083</v>
      </c>
      <c r="L22" s="209"/>
      <c r="M22" s="209"/>
      <c r="N22" s="209"/>
      <c r="O22" s="209"/>
      <c r="P22" s="209">
        <v>1110</v>
      </c>
      <c r="Q22" s="88"/>
      <c r="S22" s="209" t="s">
        <v>1084</v>
      </c>
      <c r="T22" s="209"/>
      <c r="U22" s="209"/>
      <c r="V22" s="209"/>
      <c r="W22" s="209"/>
      <c r="X22" s="209">
        <v>1</v>
      </c>
      <c r="Y22" s="88"/>
      <c r="Z22" s="88"/>
      <c r="AA22" s="209" t="s">
        <v>1084</v>
      </c>
      <c r="AB22" s="209"/>
      <c r="AC22" s="209"/>
      <c r="AD22" s="209"/>
      <c r="AE22" s="209"/>
      <c r="AF22" s="209">
        <v>1</v>
      </c>
      <c r="AG22" s="88"/>
      <c r="AH22" s="88"/>
      <c r="AI22" s="209" t="s">
        <v>1085</v>
      </c>
      <c r="AJ22" s="209"/>
      <c r="AK22" s="209"/>
      <c r="AL22" s="209"/>
      <c r="AM22" s="209"/>
      <c r="AN22" s="209">
        <v>2</v>
      </c>
      <c r="AO22" s="88"/>
      <c r="AQ22" s="209"/>
      <c r="AR22" s="209"/>
      <c r="AS22" s="209"/>
      <c r="AT22" s="209"/>
      <c r="AU22" s="209"/>
      <c r="AV22" s="209"/>
      <c r="AW22" s="88"/>
      <c r="AY22" s="209"/>
      <c r="AZ22" s="209"/>
      <c r="BA22" s="209"/>
      <c r="BB22" s="209"/>
      <c r="BC22" s="209"/>
      <c r="BD22" s="209"/>
      <c r="BE22" s="88"/>
      <c r="BG22" s="209"/>
      <c r="BH22" s="209"/>
      <c r="BI22" s="209"/>
      <c r="BJ22" s="209"/>
      <c r="BK22" s="209"/>
      <c r="BL22" s="209"/>
      <c r="BM22" s="88"/>
      <c r="BO22" s="209"/>
      <c r="BP22" s="209"/>
      <c r="BQ22" s="209"/>
      <c r="BR22" s="209"/>
      <c r="BS22" s="209"/>
      <c r="BT22" s="209"/>
      <c r="BU22" s="88"/>
      <c r="BW22" s="209"/>
      <c r="BX22" s="209"/>
      <c r="BY22" s="209"/>
      <c r="BZ22" s="209"/>
      <c r="CA22" s="209"/>
      <c r="CB22" s="209"/>
      <c r="CC22" s="88"/>
      <c r="CE22" s="209" t="s">
        <v>1074</v>
      </c>
      <c r="CF22" s="209"/>
      <c r="CG22" s="209"/>
      <c r="CH22" s="209"/>
      <c r="CI22" s="209"/>
      <c r="CJ22" s="209">
        <v>1</v>
      </c>
      <c r="CK22" s="88"/>
      <c r="CM22" s="1064"/>
      <c r="CN22" s="1064"/>
      <c r="CO22" s="1064"/>
      <c r="CP22" s="1064"/>
      <c r="CQ22" s="209"/>
      <c r="CR22" s="209"/>
      <c r="CS22" s="216"/>
      <c r="CU22" s="209"/>
      <c r="CV22" s="209"/>
      <c r="CW22" s="209"/>
      <c r="CX22" s="209"/>
      <c r="CY22" s="209"/>
      <c r="CZ22" s="209"/>
      <c r="DA22" s="88"/>
      <c r="DC22" s="209"/>
      <c r="DD22" s="209"/>
      <c r="DE22" s="209"/>
      <c r="DF22" s="209"/>
      <c r="DG22" s="209"/>
      <c r="DH22" s="209"/>
      <c r="DI22" s="88"/>
      <c r="DJ22">
        <f>14*3</f>
        <v>42</v>
      </c>
    </row>
    <row r="23" spans="1:114" ht="14.5" customHeight="1">
      <c r="A23" s="1468"/>
      <c r="S23" s="209" t="s">
        <v>1083</v>
      </c>
      <c r="T23" s="209"/>
      <c r="U23" s="209"/>
      <c r="V23" s="209"/>
      <c r="W23" s="209"/>
      <c r="X23" s="230">
        <f>SUM(S10:Y10,S12:Y12,S14:Y14,S16:Y16,S18:Y18,S8:Y8)</f>
        <v>1185</v>
      </c>
      <c r="Y23" s="88"/>
      <c r="Z23" s="88"/>
      <c r="AA23" s="209" t="s">
        <v>1083</v>
      </c>
      <c r="AB23" s="209"/>
      <c r="AC23" s="209"/>
      <c r="AD23" s="209"/>
      <c r="AE23" s="209"/>
      <c r="AF23" s="355">
        <f>SUM(AA10:AG10,AA12:AG12,AA14:AG14,AA16:AG16,AA18:AG18,AA8:AG8)</f>
        <v>1045</v>
      </c>
      <c r="AG23" s="88"/>
      <c r="AH23" s="88"/>
      <c r="AI23" s="209" t="s">
        <v>1083</v>
      </c>
      <c r="AJ23" s="209"/>
      <c r="AK23" s="209"/>
      <c r="AL23" s="209"/>
      <c r="AM23" s="209"/>
      <c r="AN23" s="230">
        <f>SUM(AI10:AO10,AI12:AO12,AI14:AO14,AI16:AO16,AI18:AO18,AI8:AO8)</f>
        <v>1140</v>
      </c>
      <c r="AO23" s="88"/>
      <c r="AQ23" s="209" t="s">
        <v>1083</v>
      </c>
      <c r="AR23" s="209"/>
      <c r="AS23" s="209"/>
      <c r="AT23" s="209"/>
      <c r="AU23" s="209"/>
      <c r="AV23" s="230">
        <f>SUM(AQ10:AW10,AQ12:AW12,AQ14:AW14,AQ16:AW16,AQ18:AW18,AQ8:AW8)</f>
        <v>945</v>
      </c>
      <c r="AW23" s="88"/>
      <c r="AY23" s="209" t="s">
        <v>1083</v>
      </c>
      <c r="AZ23" s="209"/>
      <c r="BA23" s="209"/>
      <c r="BB23" s="209"/>
      <c r="BC23" s="209"/>
      <c r="BD23" s="230">
        <f>SUM(AY10:BE10,AY12:BE12,AY14:BE14,AY16:BE16,AY18:BE18,AY8:BE8)</f>
        <v>1070</v>
      </c>
      <c r="BE23" s="88"/>
      <c r="BG23" s="1460" t="s">
        <v>1083</v>
      </c>
      <c r="BH23" s="1460"/>
      <c r="BI23" s="1460"/>
      <c r="BJ23" s="1460"/>
      <c r="BK23" s="209"/>
      <c r="BL23" s="230">
        <f>SUM(BG10:BM10,BG12:BM12,BG14:BM14,BG16:BM16,BG18:BM18,BG8:BM8)</f>
        <v>1090</v>
      </c>
      <c r="BM23" s="88"/>
      <c r="BO23" s="209" t="s">
        <v>1083</v>
      </c>
      <c r="BP23" s="209"/>
      <c r="BQ23" s="209"/>
      <c r="BR23" s="209"/>
      <c r="BS23" s="209"/>
      <c r="BT23" s="230">
        <f>SUM(BO10:BU10,BO12:BU12,BO14:BU14,BO16:BU16,BO18:BU18,BO8:BU8)</f>
        <v>1015</v>
      </c>
      <c r="BU23" s="88"/>
      <c r="BW23" s="209" t="s">
        <v>1083</v>
      </c>
      <c r="BX23" s="209"/>
      <c r="BY23" s="209"/>
      <c r="BZ23" s="209"/>
      <c r="CA23" s="209"/>
      <c r="CB23" s="230">
        <f>SUM(BW10:CC10,BW12:CC12,BW14:CC14,BW16:CC16,BW18:CC18,BW8:CC8)</f>
        <v>1115</v>
      </c>
      <c r="CC23" s="88"/>
      <c r="CE23" s="209" t="s">
        <v>1083</v>
      </c>
      <c r="CF23" s="209"/>
      <c r="CG23" s="209"/>
      <c r="CH23" s="209"/>
      <c r="CI23" s="209"/>
      <c r="CJ23" s="230">
        <f>SUM(CE10:CK10,CE12:CK12,CE14:CK14,CE16:CK16,CE18:CK18,CE8:CK8)</f>
        <v>1105</v>
      </c>
      <c r="CK23" s="88"/>
      <c r="CM23" s="1460" t="s">
        <v>1083</v>
      </c>
      <c r="CN23" s="1460"/>
      <c r="CO23" s="1460"/>
      <c r="CP23" s="1460"/>
      <c r="CQ23" s="209"/>
      <c r="CR23" s="230">
        <f>SUM(CM10:CS10,CM12:CS12,CM14:CS14,CM16:CS16,CM18:CS18,CM8:CS8)</f>
        <v>1050</v>
      </c>
      <c r="CS23" s="88"/>
      <c r="CU23" s="209" t="s">
        <v>1083</v>
      </c>
      <c r="CV23" s="209"/>
      <c r="CW23" s="209"/>
      <c r="CX23" s="209"/>
      <c r="CY23" s="209"/>
      <c r="CZ23" s="230">
        <f>SUM(CU10:DA10,CU12:DA12,CU14:DA14,CU16:DA16,CU18:DA18,CU8:DA8)</f>
        <v>1185</v>
      </c>
      <c r="DA23" s="88"/>
      <c r="DC23" s="209" t="s">
        <v>1083</v>
      </c>
      <c r="DD23" s="209"/>
      <c r="DE23" s="209"/>
      <c r="DF23" s="209"/>
      <c r="DG23" s="209"/>
      <c r="DH23" s="230">
        <f>SUM(DC10:DI10,DC12:DI12,DC14:DI14,DC16:DI16,DC18:DI18,DC8:DI8)</f>
        <v>1120</v>
      </c>
      <c r="DI23" s="88"/>
    </row>
    <row r="24" spans="1:114" ht="15" customHeight="1">
      <c r="A24" s="513"/>
      <c r="S24" s="209"/>
      <c r="T24" s="209"/>
      <c r="U24" s="209"/>
      <c r="V24" s="209"/>
      <c r="W24" s="209"/>
      <c r="X24" s="230"/>
      <c r="Y24" s="88"/>
      <c r="Z24" s="88"/>
      <c r="AA24" s="209"/>
      <c r="AB24" s="209"/>
      <c r="AC24" s="209"/>
      <c r="AD24" s="209"/>
      <c r="AE24" s="209"/>
      <c r="AF24" s="230"/>
      <c r="AG24" s="88"/>
      <c r="AH24" s="88"/>
      <c r="AI24" s="209"/>
      <c r="AJ24" s="209"/>
      <c r="AK24" s="209"/>
      <c r="AL24" s="209"/>
      <c r="AM24" s="209"/>
      <c r="AN24" s="230"/>
      <c r="AO24" s="88"/>
      <c r="AQ24" s="209"/>
      <c r="AR24" s="209"/>
      <c r="AS24" s="209"/>
      <c r="AT24" s="209"/>
      <c r="AU24" s="209"/>
      <c r="AV24" s="230"/>
      <c r="AW24" s="88"/>
      <c r="AY24" s="209"/>
      <c r="AZ24" s="209"/>
      <c r="BA24" s="209"/>
      <c r="BB24" s="209"/>
      <c r="BC24" s="209"/>
      <c r="BD24" s="230"/>
      <c r="BE24" s="88"/>
      <c r="BG24" s="209"/>
      <c r="BH24" s="209"/>
      <c r="BI24" s="209"/>
      <c r="BJ24" s="209"/>
      <c r="BK24" s="209"/>
      <c r="BL24" s="230"/>
      <c r="BM24" s="88"/>
      <c r="BO24" s="209"/>
      <c r="BP24" s="209"/>
      <c r="BQ24" s="209"/>
      <c r="BR24" s="209"/>
      <c r="BS24" s="209"/>
      <c r="BT24" s="230"/>
      <c r="BU24" s="88"/>
      <c r="BW24" s="209"/>
      <c r="BX24" s="209"/>
      <c r="BY24" s="209"/>
      <c r="BZ24" s="209"/>
      <c r="CA24" s="209"/>
      <c r="CB24" s="230"/>
      <c r="CC24" s="88"/>
      <c r="CE24" s="209"/>
      <c r="CF24" s="209"/>
      <c r="CG24" s="209"/>
      <c r="CH24" s="209"/>
      <c r="CI24" s="209"/>
      <c r="CJ24" s="230"/>
      <c r="CK24" s="88"/>
      <c r="CM24" s="1460" t="s">
        <v>1086</v>
      </c>
      <c r="CN24" s="1460"/>
      <c r="CO24" s="1460"/>
      <c r="CP24" s="1460"/>
      <c r="CQ24" s="209"/>
      <c r="CR24" s="230">
        <v>1100</v>
      </c>
      <c r="CS24" s="88"/>
    </row>
    <row r="25" spans="1:114" s="210" customFormat="1"/>
    <row r="26" spans="1:114">
      <c r="A26" s="1468" t="s">
        <v>1087</v>
      </c>
    </row>
    <row r="27" spans="1:114" s="2" customFormat="1" ht="26.25" customHeight="1">
      <c r="A27" s="1468"/>
      <c r="C27" s="1450">
        <v>45717</v>
      </c>
      <c r="D27" s="1451"/>
      <c r="E27" s="1451"/>
      <c r="F27" s="1451"/>
      <c r="G27" s="1451"/>
      <c r="H27" s="1451"/>
      <c r="I27" s="1452"/>
      <c r="J27" s="512"/>
      <c r="K27" s="1450">
        <v>45748</v>
      </c>
      <c r="L27" s="1451"/>
      <c r="M27" s="1451"/>
      <c r="N27" s="1451"/>
      <c r="O27" s="1451"/>
      <c r="P27" s="1451"/>
      <c r="Q27" s="1452"/>
      <c r="S27" s="1450">
        <v>45778</v>
      </c>
      <c r="T27" s="1451"/>
      <c r="U27" s="1451"/>
      <c r="V27" s="1451"/>
      <c r="W27" s="1451"/>
      <c r="X27" s="1451"/>
      <c r="Y27" s="1452"/>
      <c r="Z27" s="512"/>
      <c r="AA27" s="1450">
        <v>45809</v>
      </c>
      <c r="AB27" s="1451"/>
      <c r="AC27" s="1451"/>
      <c r="AD27" s="1451"/>
      <c r="AE27" s="1451"/>
      <c r="AF27" s="1451"/>
      <c r="AG27" s="1452"/>
      <c r="AH27" s="512"/>
      <c r="AI27" s="1450">
        <v>45839</v>
      </c>
      <c r="AJ27" s="1451"/>
      <c r="AK27" s="1451"/>
      <c r="AL27" s="1451"/>
      <c r="AM27" s="1451"/>
      <c r="AN27" s="1451"/>
      <c r="AO27" s="1452"/>
      <c r="AQ27" s="1450">
        <v>45870</v>
      </c>
      <c r="AR27" s="1451"/>
      <c r="AS27" s="1451"/>
      <c r="AT27" s="1451"/>
      <c r="AU27" s="1451"/>
      <c r="AV27" s="1451"/>
      <c r="AW27" s="1452"/>
      <c r="AY27" s="1450">
        <v>45901</v>
      </c>
      <c r="AZ27" s="1451"/>
      <c r="BA27" s="1451"/>
      <c r="BB27" s="1451"/>
      <c r="BC27" s="1451"/>
      <c r="BD27" s="1451"/>
      <c r="BE27" s="1452"/>
      <c r="BG27" s="1453">
        <v>45931</v>
      </c>
      <c r="BH27" s="1454"/>
      <c r="BI27" s="1454"/>
      <c r="BJ27" s="1454"/>
      <c r="BK27" s="1454"/>
      <c r="BL27" s="1454"/>
      <c r="BM27" s="1455"/>
      <c r="BO27" s="1453">
        <v>45962</v>
      </c>
      <c r="BP27" s="1454"/>
      <c r="BQ27" s="1454"/>
      <c r="BR27" s="1454"/>
      <c r="BS27" s="1454"/>
      <c r="BT27" s="1454"/>
      <c r="BU27" s="1455"/>
      <c r="BW27" s="1453">
        <v>45992</v>
      </c>
      <c r="BX27" s="1454"/>
      <c r="BY27" s="1454"/>
      <c r="BZ27" s="1454"/>
      <c r="CA27" s="1454"/>
      <c r="CB27" s="1454"/>
      <c r="CC27" s="1455"/>
      <c r="CE27" s="1453">
        <v>46023</v>
      </c>
      <c r="CF27" s="1454"/>
      <c r="CG27" s="1454"/>
      <c r="CH27" s="1454"/>
      <c r="CI27" s="1454"/>
      <c r="CJ27" s="1454"/>
      <c r="CK27" s="1455"/>
      <c r="CM27" s="1453">
        <v>46054</v>
      </c>
      <c r="CN27" s="1454"/>
      <c r="CO27" s="1454"/>
      <c r="CP27" s="1454"/>
      <c r="CQ27" s="1454"/>
      <c r="CR27" s="1454"/>
      <c r="CS27" s="1455"/>
      <c r="CU27" s="1453">
        <v>46082</v>
      </c>
      <c r="CV27" s="1454"/>
      <c r="CW27" s="1454"/>
      <c r="CX27" s="1454"/>
      <c r="CY27" s="1454"/>
      <c r="CZ27" s="1454"/>
      <c r="DA27" s="1455"/>
      <c r="DC27" s="1453">
        <v>46113</v>
      </c>
      <c r="DD27" s="1454"/>
      <c r="DE27" s="1454"/>
      <c r="DF27" s="1454"/>
      <c r="DG27" s="1454"/>
      <c r="DH27" s="1454"/>
      <c r="DI27" s="1455"/>
    </row>
    <row r="28" spans="1:114">
      <c r="A28" s="1468"/>
      <c r="C28" s="183" t="s">
        <v>321</v>
      </c>
      <c r="D28" s="184" t="s">
        <v>322</v>
      </c>
      <c r="E28" s="184" t="s">
        <v>323</v>
      </c>
      <c r="F28" s="184" t="s">
        <v>324</v>
      </c>
      <c r="G28" s="184" t="s">
        <v>318</v>
      </c>
      <c r="H28" s="184" t="s">
        <v>319</v>
      </c>
      <c r="I28" s="185" t="s">
        <v>320</v>
      </c>
      <c r="J28" s="186"/>
      <c r="K28" s="183" t="s">
        <v>321</v>
      </c>
      <c r="L28" s="184" t="s">
        <v>322</v>
      </c>
      <c r="M28" s="184" t="s">
        <v>323</v>
      </c>
      <c r="N28" s="184" t="s">
        <v>324</v>
      </c>
      <c r="O28" s="184" t="s">
        <v>318</v>
      </c>
      <c r="P28" s="184" t="s">
        <v>319</v>
      </c>
      <c r="Q28" s="185" t="s">
        <v>320</v>
      </c>
      <c r="S28" s="183" t="s">
        <v>321</v>
      </c>
      <c r="T28" s="184" t="s">
        <v>322</v>
      </c>
      <c r="U28" s="184" t="s">
        <v>323</v>
      </c>
      <c r="V28" s="184" t="s">
        <v>324</v>
      </c>
      <c r="W28" s="184" t="s">
        <v>318</v>
      </c>
      <c r="X28" s="184" t="s">
        <v>319</v>
      </c>
      <c r="Y28" s="185" t="s">
        <v>320</v>
      </c>
      <c r="Z28" s="186"/>
      <c r="AA28" s="231" t="s">
        <v>321</v>
      </c>
      <c r="AB28" s="184" t="s">
        <v>322</v>
      </c>
      <c r="AC28" s="184" t="s">
        <v>323</v>
      </c>
      <c r="AD28" s="184" t="s">
        <v>324</v>
      </c>
      <c r="AE28" s="184" t="s">
        <v>318</v>
      </c>
      <c r="AF28" s="184" t="s">
        <v>319</v>
      </c>
      <c r="AG28" s="232" t="s">
        <v>320</v>
      </c>
      <c r="AH28" s="186"/>
      <c r="AI28" s="183" t="s">
        <v>321</v>
      </c>
      <c r="AJ28" s="184" t="s">
        <v>322</v>
      </c>
      <c r="AK28" s="184" t="s">
        <v>323</v>
      </c>
      <c r="AL28" s="184" t="s">
        <v>324</v>
      </c>
      <c r="AM28" s="184" t="s">
        <v>318</v>
      </c>
      <c r="AN28" s="184" t="s">
        <v>319</v>
      </c>
      <c r="AO28" s="185" t="s">
        <v>320</v>
      </c>
      <c r="AQ28" s="231" t="s">
        <v>321</v>
      </c>
      <c r="AR28" s="184" t="s">
        <v>322</v>
      </c>
      <c r="AS28" s="184" t="s">
        <v>323</v>
      </c>
      <c r="AT28" s="184" t="s">
        <v>324</v>
      </c>
      <c r="AU28" s="184" t="s">
        <v>318</v>
      </c>
      <c r="AV28" s="184" t="s">
        <v>319</v>
      </c>
      <c r="AW28" s="232" t="s">
        <v>320</v>
      </c>
      <c r="AY28" s="183" t="s">
        <v>321</v>
      </c>
      <c r="AZ28" s="184" t="s">
        <v>322</v>
      </c>
      <c r="BA28" s="184" t="s">
        <v>323</v>
      </c>
      <c r="BB28" s="184" t="s">
        <v>324</v>
      </c>
      <c r="BC28" s="184" t="s">
        <v>318</v>
      </c>
      <c r="BD28" s="184" t="s">
        <v>319</v>
      </c>
      <c r="BE28" s="185" t="s">
        <v>320</v>
      </c>
      <c r="BG28" s="231" t="s">
        <v>321</v>
      </c>
      <c r="BH28" s="184" t="s">
        <v>322</v>
      </c>
      <c r="BI28" s="184" t="s">
        <v>323</v>
      </c>
      <c r="BJ28" s="184" t="s">
        <v>324</v>
      </c>
      <c r="BK28" s="184" t="s">
        <v>318</v>
      </c>
      <c r="BL28" s="184" t="s">
        <v>319</v>
      </c>
      <c r="BM28" s="232" t="s">
        <v>320</v>
      </c>
      <c r="BO28" s="628" t="s">
        <v>321</v>
      </c>
      <c r="BP28" s="629" t="s">
        <v>322</v>
      </c>
      <c r="BQ28" s="629" t="s">
        <v>323</v>
      </c>
      <c r="BR28" s="629" t="s">
        <v>324</v>
      </c>
      <c r="BS28" s="629" t="s">
        <v>318</v>
      </c>
      <c r="BT28" s="629" t="s">
        <v>319</v>
      </c>
      <c r="BU28" s="630" t="s">
        <v>320</v>
      </c>
      <c r="BW28" s="628" t="s">
        <v>321</v>
      </c>
      <c r="BX28" s="629" t="s">
        <v>322</v>
      </c>
      <c r="BY28" s="629" t="s">
        <v>323</v>
      </c>
      <c r="BZ28" s="629" t="s">
        <v>324</v>
      </c>
      <c r="CA28" s="629" t="s">
        <v>318</v>
      </c>
      <c r="CB28" s="629" t="s">
        <v>319</v>
      </c>
      <c r="CC28" s="630" t="s">
        <v>320</v>
      </c>
      <c r="CE28" s="628" t="s">
        <v>321</v>
      </c>
      <c r="CF28" s="629" t="s">
        <v>322</v>
      </c>
      <c r="CG28" s="629" t="s">
        <v>323</v>
      </c>
      <c r="CH28" s="629" t="s">
        <v>324</v>
      </c>
      <c r="CI28" s="629" t="s">
        <v>318</v>
      </c>
      <c r="CJ28" s="629" t="s">
        <v>319</v>
      </c>
      <c r="CK28" s="630" t="s">
        <v>320</v>
      </c>
      <c r="CL28" s="3"/>
      <c r="CM28" s="628" t="s">
        <v>321</v>
      </c>
      <c r="CN28" s="629" t="s">
        <v>322</v>
      </c>
      <c r="CO28" s="629" t="s">
        <v>323</v>
      </c>
      <c r="CP28" s="629" t="s">
        <v>324</v>
      </c>
      <c r="CQ28" s="629" t="s">
        <v>318</v>
      </c>
      <c r="CR28" s="629" t="s">
        <v>319</v>
      </c>
      <c r="CS28" s="630" t="s">
        <v>320</v>
      </c>
      <c r="CU28" s="628" t="s">
        <v>321</v>
      </c>
      <c r="CV28" s="629" t="s">
        <v>322</v>
      </c>
      <c r="CW28" s="629" t="s">
        <v>323</v>
      </c>
      <c r="CX28" s="629" t="s">
        <v>324</v>
      </c>
      <c r="CY28" s="629" t="s">
        <v>318</v>
      </c>
      <c r="CZ28" s="629" t="s">
        <v>319</v>
      </c>
      <c r="DA28" s="630" t="s">
        <v>320</v>
      </c>
      <c r="DC28" s="628" t="s">
        <v>321</v>
      </c>
      <c r="DD28" s="629" t="s">
        <v>322</v>
      </c>
      <c r="DE28" s="629" t="s">
        <v>323</v>
      </c>
      <c r="DF28" s="629" t="s">
        <v>324</v>
      </c>
      <c r="DG28" s="629" t="s">
        <v>318</v>
      </c>
      <c r="DH28" s="629" t="s">
        <v>319</v>
      </c>
      <c r="DI28" s="630" t="s">
        <v>320</v>
      </c>
    </row>
    <row r="29" spans="1:114">
      <c r="A29" s="1468"/>
      <c r="C29" s="188" t="s">
        <v>124</v>
      </c>
      <c r="D29" s="189" t="s">
        <v>124</v>
      </c>
      <c r="E29" s="189" t="s">
        <v>124</v>
      </c>
      <c r="F29" s="189" t="s">
        <v>124</v>
      </c>
      <c r="G29" s="189" t="s">
        <v>124</v>
      </c>
      <c r="H29" s="189">
        <v>1</v>
      </c>
      <c r="I29" s="190">
        <v>2</v>
      </c>
      <c r="J29" s="187"/>
      <c r="K29" s="188" t="s">
        <v>124</v>
      </c>
      <c r="L29" s="189">
        <v>1</v>
      </c>
      <c r="M29" s="189">
        <v>2</v>
      </c>
      <c r="N29" s="189">
        <v>3</v>
      </c>
      <c r="O29" s="189">
        <v>4</v>
      </c>
      <c r="P29" s="189">
        <v>5</v>
      </c>
      <c r="Q29" s="190">
        <v>6</v>
      </c>
      <c r="R29" s="187"/>
      <c r="S29" s="188" t="s">
        <v>124</v>
      </c>
      <c r="T29" s="189" t="s">
        <v>124</v>
      </c>
      <c r="U29" s="189" t="s">
        <v>124</v>
      </c>
      <c r="V29" s="189">
        <v>1</v>
      </c>
      <c r="W29" s="189">
        <v>2</v>
      </c>
      <c r="X29" s="189">
        <v>3</v>
      </c>
      <c r="Y29" s="190">
        <v>4</v>
      </c>
      <c r="Z29" s="187"/>
      <c r="AA29" s="247" t="s">
        <v>124</v>
      </c>
      <c r="AB29" s="248" t="s">
        <v>124</v>
      </c>
      <c r="AC29" s="248" t="s">
        <v>124</v>
      </c>
      <c r="AD29" s="248" t="s">
        <v>124</v>
      </c>
      <c r="AE29" s="248" t="s">
        <v>124</v>
      </c>
      <c r="AF29" s="248" t="s">
        <v>124</v>
      </c>
      <c r="AG29" s="249">
        <v>1</v>
      </c>
      <c r="AH29" s="187"/>
      <c r="AI29" s="188" t="s">
        <v>124</v>
      </c>
      <c r="AJ29" s="189">
        <v>1</v>
      </c>
      <c r="AK29" s="189">
        <v>2</v>
      </c>
      <c r="AL29" s="189">
        <v>3</v>
      </c>
      <c r="AM29" s="189">
        <v>4</v>
      </c>
      <c r="AN29" s="189">
        <v>5</v>
      </c>
      <c r="AO29" s="190">
        <v>6</v>
      </c>
      <c r="AP29" s="187"/>
      <c r="AQ29" s="233" t="s">
        <v>124</v>
      </c>
      <c r="AR29" s="189"/>
      <c r="AS29" s="189"/>
      <c r="AT29" s="189"/>
      <c r="AU29" s="189">
        <v>1</v>
      </c>
      <c r="AV29" s="189">
        <f t="shared" ref="AV29:AW29" si="177">+AU29+1</f>
        <v>2</v>
      </c>
      <c r="AW29" s="234">
        <f t="shared" si="177"/>
        <v>3</v>
      </c>
      <c r="AY29" s="188">
        <v>1</v>
      </c>
      <c r="AZ29" s="189">
        <f t="shared" ref="AZ29:BE37" si="178">+AY29+1</f>
        <v>2</v>
      </c>
      <c r="BA29" s="189">
        <f t="shared" si="178"/>
        <v>3</v>
      </c>
      <c r="BB29" s="189">
        <f t="shared" si="178"/>
        <v>4</v>
      </c>
      <c r="BC29" s="189">
        <f t="shared" si="178"/>
        <v>5</v>
      </c>
      <c r="BD29" s="189">
        <f t="shared" si="178"/>
        <v>6</v>
      </c>
      <c r="BE29" s="190">
        <f t="shared" si="178"/>
        <v>7</v>
      </c>
      <c r="BG29" s="233"/>
      <c r="BH29" s="189"/>
      <c r="BI29" s="189">
        <v>1</v>
      </c>
      <c r="BJ29" s="189">
        <f t="shared" ref="BJ29" si="179">+BI29+1</f>
        <v>2</v>
      </c>
      <c r="BK29" s="189">
        <f t="shared" ref="BK29" si="180">+BJ29+1</f>
        <v>3</v>
      </c>
      <c r="BL29" s="189">
        <f t="shared" ref="BL29" si="181">+BK29+1</f>
        <v>4</v>
      </c>
      <c r="BM29" s="234">
        <f t="shared" ref="BM29" si="182">+BL29+1</f>
        <v>5</v>
      </c>
      <c r="BO29" s="233"/>
      <c r="BP29" s="189"/>
      <c r="BQ29" s="189"/>
      <c r="BR29" s="189"/>
      <c r="BS29" s="189"/>
      <c r="BT29" s="189">
        <v>1</v>
      </c>
      <c r="BU29" s="234">
        <f t="shared" ref="BU29" si="183">+BT29+1</f>
        <v>2</v>
      </c>
      <c r="BW29" s="233">
        <v>1</v>
      </c>
      <c r="BX29" s="189">
        <f t="shared" ref="BX29" si="184">+BW29+1</f>
        <v>2</v>
      </c>
      <c r="BY29" s="189">
        <f t="shared" ref="BY29" si="185">+BX29+1</f>
        <v>3</v>
      </c>
      <c r="BZ29" s="189">
        <f t="shared" ref="BZ29" si="186">+BY29+1</f>
        <v>4</v>
      </c>
      <c r="CA29" s="189">
        <f t="shared" ref="CA29" si="187">+BZ29+1</f>
        <v>5</v>
      </c>
      <c r="CB29" s="189">
        <f t="shared" ref="CB29" si="188">+CA29+1</f>
        <v>6</v>
      </c>
      <c r="CC29" s="234">
        <f t="shared" ref="CC29" si="189">+CB29+1</f>
        <v>7</v>
      </c>
      <c r="CE29" s="233"/>
      <c r="CF29" s="189"/>
      <c r="CG29" s="189"/>
      <c r="CH29" s="189">
        <f t="shared" ref="CH29" si="190">+CG29+1</f>
        <v>1</v>
      </c>
      <c r="CI29" s="189">
        <f t="shared" ref="CI29" si="191">+CH29+1</f>
        <v>2</v>
      </c>
      <c r="CJ29" s="189">
        <f t="shared" ref="CJ29" si="192">+CI29+1</f>
        <v>3</v>
      </c>
      <c r="CK29" s="234">
        <f t="shared" ref="CK29" si="193">+CJ29+1</f>
        <v>4</v>
      </c>
      <c r="CM29" s="233"/>
      <c r="CN29" s="189"/>
      <c r="CO29" s="189"/>
      <c r="CP29" s="189"/>
      <c r="CQ29" s="189"/>
      <c r="CR29" s="189"/>
      <c r="CS29" s="234">
        <v>1</v>
      </c>
      <c r="CU29" s="233"/>
      <c r="CV29" s="189"/>
      <c r="CW29" s="189"/>
      <c r="CX29" s="189"/>
      <c r="CY29" s="189"/>
      <c r="CZ29" s="189"/>
      <c r="DA29" s="234">
        <v>1</v>
      </c>
      <c r="DC29" s="233"/>
      <c r="DD29" s="189"/>
      <c r="DE29" s="189">
        <v>1</v>
      </c>
      <c r="DF29" s="189">
        <f>+DE29+1</f>
        <v>2</v>
      </c>
      <c r="DG29" s="189">
        <f t="shared" ref="DG29:DI29" si="194">+DF29+1</f>
        <v>3</v>
      </c>
      <c r="DH29" s="189">
        <f t="shared" si="194"/>
        <v>4</v>
      </c>
      <c r="DI29" s="234">
        <f t="shared" si="194"/>
        <v>5</v>
      </c>
    </row>
    <row r="30" spans="1:114">
      <c r="A30" s="1468"/>
      <c r="C30" s="191" t="s">
        <v>124</v>
      </c>
      <c r="D30" s="88"/>
      <c r="E30" s="88"/>
      <c r="F30" s="88"/>
      <c r="G30" s="88"/>
      <c r="H30" s="192">
        <v>0</v>
      </c>
      <c r="I30" s="228">
        <f>HLOOKUP(DATE(2025,MONTH($C$27),I29),'TABLERO DIARIO'!$CO$2:$PU$6,5,FALSE)/1000</f>
        <v>18.000400000000003</v>
      </c>
      <c r="J30" s="229"/>
      <c r="K30" s="191" t="s">
        <v>124</v>
      </c>
      <c r="L30" s="216">
        <f>HLOOKUP(DATE(2025,MONTH($K$27),L29),'TABLERO DIARIO'!$CO$2:$PU$6,5,FALSE)/1000</f>
        <v>42.984099999999998</v>
      </c>
      <c r="M30" s="221">
        <f>HLOOKUP(DATE(2025,MONTH($K$27),M29),'TABLERO DIARIO'!$CO$2:$PU$6,5,FALSE)/1000</f>
        <v>51.975300000000004</v>
      </c>
      <c r="N30" s="216">
        <f>HLOOKUP(DATE(2025,MONTH($K$27),N29),'TABLERO DIARIO'!$CO$2:$PU$6,5,FALSE)/1000</f>
        <v>46.294499999999999</v>
      </c>
      <c r="O30" s="216">
        <f>HLOOKUP(DATE(2025,MONTH($K$27),O29),'TABLERO DIARIO'!$CO$2:$PU$6,5,FALSE)/1000</f>
        <v>44.551300000000005</v>
      </c>
      <c r="P30" s="222">
        <f>HLOOKUP(DATE(2025,MONTH($K$27),P29),'TABLERO DIARIO'!$CO$2:$PU$6,5,FALSE)/1000</f>
        <v>0</v>
      </c>
      <c r="Q30" s="219">
        <f>HLOOKUP(DATE(2025,MONTH($K$27),Q29),'TABLERO DIARIO'!$CO$2:$PU$6,5,FALSE)/1000</f>
        <v>20.425999999999998</v>
      </c>
      <c r="R30" s="229"/>
      <c r="S30" s="218" t="s">
        <v>124</v>
      </c>
      <c r="T30" s="216"/>
      <c r="U30" s="216"/>
      <c r="V30" s="226">
        <f>HLOOKUP(DATE(2025,MONTH($S$27),V29),'TABLERO DIARIO'!$CO$2:$PU$6,5,FALSE)/1000</f>
        <v>0</v>
      </c>
      <c r="W30" s="216">
        <f>HLOOKUP(DATE(2025,MONTH($S$27),W29),'TABLERO DIARIO'!$CO$2:$PU$6,5,FALSE)/1000</f>
        <v>45.71</v>
      </c>
      <c r="X30" s="216">
        <f>HLOOKUP(DATE(2025,MONTH($S$27),X29),'TABLERO DIARIO'!$CO$2:$PU$6,5,FALSE)/1000</f>
        <v>40.247900000000001</v>
      </c>
      <c r="Y30" s="217" t="s">
        <v>1078</v>
      </c>
      <c r="Z30" s="229"/>
      <c r="AA30" s="250" t="s">
        <v>124</v>
      </c>
      <c r="AB30" s="245"/>
      <c r="AC30" s="245"/>
      <c r="AD30" s="245"/>
      <c r="AE30" s="245"/>
      <c r="AF30" s="245"/>
      <c r="AG30" s="251" t="s">
        <v>1078</v>
      </c>
      <c r="AH30" s="229"/>
      <c r="AI30" s="191" t="s">
        <v>124</v>
      </c>
      <c r="AJ30" s="358">
        <f>HLOOKUP(DATE(2025,MONTH($AI$27),AJ29),'TABLERO DIARIO'!$CO$2:$UE$6,5,FALSE)/1000</f>
        <v>44.814</v>
      </c>
      <c r="AK30" s="358">
        <f>HLOOKUP(DATE(2025,MONTH($AI$27),AK29),'TABLERO DIARIO'!$CO$2:$UE$6,5,FALSE)/1000</f>
        <v>43.458800000000004</v>
      </c>
      <c r="AL30" s="358">
        <f>HLOOKUP(DATE(2025,MONTH($AI$27),AL29),'TABLERO DIARIO'!$CO$2:$UE$6,5,FALSE)/1000</f>
        <v>43.272300000000001</v>
      </c>
      <c r="AM30" s="358">
        <f>HLOOKUP(DATE(2025,MONTH($AI$27),AM29),'TABLERO DIARIO'!$CO$2:$UE$6,5,FALSE)/1000</f>
        <v>47.844000000000001</v>
      </c>
      <c r="AN30" s="240" t="s">
        <v>1078</v>
      </c>
      <c r="AO30" s="244" t="s">
        <v>1078</v>
      </c>
      <c r="AP30" s="229"/>
      <c r="AQ30" s="235" t="s">
        <v>124</v>
      </c>
      <c r="AR30" s="88"/>
      <c r="AS30" s="88"/>
      <c r="AT30" s="88"/>
      <c r="AU30" s="358">
        <f>HLOOKUP(DATE(2025,MONTH($AQ$27),AU29),'TABLERO DIARIO'!$CO$2:$ZZ$6,5,FALSE)/1000</f>
        <v>45.027000000000001</v>
      </c>
      <c r="AV30" s="240" t="s">
        <v>1078</v>
      </c>
      <c r="AW30" s="241" t="s">
        <v>1078</v>
      </c>
      <c r="AY30" s="562">
        <f>HLOOKUP(DATE(2025,MONTH($AY$27),AY29),'TABLERO DIARIO'!$CO$2:$ABZ$6,5,FALSE)/1000</f>
        <v>46.289000000000001</v>
      </c>
      <c r="AZ30" s="562">
        <f>HLOOKUP(DATE(2025,MONTH($AY$27),AZ29),'TABLERO DIARIO'!$CO$2:$ABZ$6,5,FALSE)/1000</f>
        <v>46.852800000000002</v>
      </c>
      <c r="BA30" s="562">
        <f>HLOOKUP(DATE(2025,MONTH($AY$27),BA29),'TABLERO DIARIO'!$CO$2:$ABZ$6,5,FALSE)/1000</f>
        <v>45.897100000000002</v>
      </c>
      <c r="BB30" s="562">
        <f>HLOOKUP(DATE(2025,MONTH($AY$27),BB29),'TABLERO DIARIO'!$CO$2:$ABZ$6,5,FALSE)/1000</f>
        <v>42.075800000000001</v>
      </c>
      <c r="BC30" s="562">
        <f>HLOOKUP(DATE(2025,MONTH($AY$27),BC29),'TABLERO DIARIO'!$CO$2:$ABZ$6,5,FALSE)/1000</f>
        <v>48.819300000000005</v>
      </c>
      <c r="BD30" s="562" t="s">
        <v>1078</v>
      </c>
      <c r="BE30" s="563" t="s">
        <v>1078</v>
      </c>
      <c r="BG30" s="561"/>
      <c r="BH30" s="562"/>
      <c r="BI30" s="562">
        <f>HLOOKUP(DATE(2025,MONTH($BG$27),BI29),'TABLERO DIARIO'!$CO$2:$AFA$6,5,FALSE)/1000</f>
        <v>42.747900000000001</v>
      </c>
      <c r="BJ30" s="562">
        <f>HLOOKUP(DATE(2025,MONTH($BG$27),BJ29),'TABLERO DIARIO'!$CO$2:$AFA$6,5,FALSE)/1000</f>
        <v>35.140999999999998</v>
      </c>
      <c r="BK30" s="562">
        <f>HLOOKUP(DATE(2025,MONTH($BG$27),BK29),'TABLERO DIARIO'!$CO$2:$AFA$6,5,FALSE)/1000</f>
        <v>46.582999999999998</v>
      </c>
      <c r="BL30" s="562">
        <f>HLOOKUP(DATE(2025,MONTH($BG$27),BL29),'TABLERO DIARIO'!$CO$2:$AFA$6,5,FALSE)/1000</f>
        <v>39.828000000000003</v>
      </c>
      <c r="BM30" s="595" t="s">
        <v>1078</v>
      </c>
      <c r="BO30" s="561"/>
      <c r="BP30" s="562"/>
      <c r="BQ30" s="562"/>
      <c r="BR30" s="562"/>
      <c r="BS30" s="562"/>
      <c r="BT30" s="562">
        <f>HLOOKUP(DATE(2025,MONTH($BO$27),BT29),'TABLERO DIARIO'!$ABA$2:$AIG$6,5,FALSE)/1000</f>
        <v>17.241299999999999</v>
      </c>
      <c r="BU30" s="594">
        <f>HLOOKUP(DATE(2025,MONTH($BO$27),BU29),'TABLERO DIARIO'!$ABA$2:$AIG$6,5,FALSE)/1000</f>
        <v>18.510000000000002</v>
      </c>
      <c r="BW30" s="993">
        <f>HLOOKUP(DATE(2025,MONTH($BW$27),BW29),'TABLERO DIARIO'!$AIA$2:$AMA$6,5,FALSE)/1000</f>
        <v>39.998899999999999</v>
      </c>
      <c r="BX30" s="994">
        <f>HLOOKUP(DATE(2025,MONTH($BW$27),BX29),'TABLERO DIARIO'!$AIA$2:$AMA$6,5,FALSE)/1000</f>
        <v>45.6785</v>
      </c>
      <c r="BY30" s="994">
        <f>HLOOKUP(DATE(2025,MONTH($BW$27),BY29),'TABLERO DIARIO'!$AIA$2:$AMA$6,5,FALSE)/1000</f>
        <v>44.754899999999992</v>
      </c>
      <c r="BZ30" s="994">
        <f>HLOOKUP(DATE(2025,MONTH($BW$27),BZ29),'TABLERO DIARIO'!$AIA$2:$AMA$6,5,FALSE)/1000</f>
        <v>46.438800000000001</v>
      </c>
      <c r="CA30" s="994">
        <f>HLOOKUP(DATE(2025,MONTH($BW$27),CA29),'TABLERO DIARIO'!$AIA$2:$AMA$6,5,FALSE)/1000</f>
        <v>46.4968</v>
      </c>
      <c r="CB30" s="994">
        <f>HLOOKUP(DATE(2025,MONTH($BW$27),CB29),'TABLERO DIARIO'!$AIA$2:$AMA$6,5,FALSE)/1000</f>
        <v>31.609600000000004</v>
      </c>
      <c r="CC30" s="998" t="s">
        <v>1078</v>
      </c>
      <c r="CE30" s="993"/>
      <c r="CF30" s="994"/>
      <c r="CG30" s="994"/>
      <c r="CH30" s="1007">
        <f>IFERROR(HLOOKUP(DATE(2026,MONTH($CE$27),CH29),'TABLERO DIARIO'!$ALQ$2:$APO$6,5,FALSE)/1000,0)</f>
        <v>0</v>
      </c>
      <c r="CI30" s="994">
        <f>IFERROR(HLOOKUP(DATE(2026,MONTH($CE$27),CI29),'TABLERO DIARIO'!$ALQ$2:$APO$6,5,FALSE)/1000,0)</f>
        <v>43.671199999999999</v>
      </c>
      <c r="CJ30" s="994">
        <f>IFERROR(HLOOKUP(DATE(2026,MONTH($CE$27),CJ29),'TABLERO DIARIO'!$ALQ$2:$APO$6,5,FALSE)/1000,0)</f>
        <v>39.910199999999996</v>
      </c>
      <c r="CK30" s="998" t="s">
        <v>1078</v>
      </c>
      <c r="CM30" s="999"/>
      <c r="CN30" s="1000"/>
      <c r="CO30" s="1000"/>
      <c r="CP30" s="1000"/>
      <c r="CQ30" s="1000"/>
      <c r="CR30" s="1000"/>
      <c r="CS30" s="998" t="s">
        <v>1078</v>
      </c>
      <c r="CU30" s="999"/>
      <c r="CV30" s="1000"/>
      <c r="CW30" s="1000"/>
      <c r="CX30" s="1000"/>
      <c r="CY30" s="1000"/>
      <c r="CZ30" s="1000"/>
      <c r="DA30" s="1105">
        <f>IFERROR(HLOOKUP(DATE(2026,MONTH($CU$27),DA29),'TABLERO DIARIO'!$ASF$2:$AWF$6,5,FALSE)/1000,0)</f>
        <v>0</v>
      </c>
      <c r="DC30" s="999"/>
      <c r="DD30" s="1000"/>
      <c r="DE30" s="1000">
        <f>IFERROR(HLOOKUP(DATE(2026,MONTH($DC$27),DE29),'TABLERO DIARIO'!$ASF$2:$AZZ$6,5,FALSE)/1000,0)</f>
        <v>0</v>
      </c>
      <c r="DF30" s="1000">
        <f>IFERROR(HLOOKUP(DATE(2026,MONTH($DC$27),DF29),'TABLERO DIARIO'!$ASF$2:$AZZ$6,5,FALSE)/1000,0)</f>
        <v>0</v>
      </c>
      <c r="DG30" s="1000">
        <f>IFERROR(HLOOKUP(DATE(2026,MONTH($DC$27),DG29),'TABLERO DIARIO'!$ASF$2:$AZZ$6,5,FALSE)/1000,0)</f>
        <v>0</v>
      </c>
      <c r="DH30" s="1000">
        <f>IFERROR(HLOOKUP(DATE(2026,MONTH($DC$27),DH29),'TABLERO DIARIO'!$ASF$2:$AZZ$6,5,FALSE)/1000,0)</f>
        <v>0</v>
      </c>
      <c r="DI30" s="1105">
        <f>IFERROR(HLOOKUP(DATE(2026,MONTH($DC$27),DI29),'TABLERO DIARIO'!$ASF$2:$AZZ$6,5,FALSE)/1000,0)</f>
        <v>0</v>
      </c>
    </row>
    <row r="31" spans="1:114">
      <c r="A31" s="1468"/>
      <c r="C31" s="188">
        <v>3</v>
      </c>
      <c r="D31" s="189">
        <v>4</v>
      </c>
      <c r="E31" s="189">
        <v>5</v>
      </c>
      <c r="F31" s="189">
        <v>6</v>
      </c>
      <c r="G31" s="189">
        <v>7</v>
      </c>
      <c r="H31" s="189">
        <v>8</v>
      </c>
      <c r="I31" s="190">
        <v>9</v>
      </c>
      <c r="J31" s="187"/>
      <c r="K31" s="223">
        <v>7</v>
      </c>
      <c r="L31" s="224">
        <v>8</v>
      </c>
      <c r="M31" s="224">
        <v>9</v>
      </c>
      <c r="N31" s="224">
        <v>10</v>
      </c>
      <c r="O31" s="224">
        <v>11</v>
      </c>
      <c r="P31" s="224">
        <v>12</v>
      </c>
      <c r="Q31" s="225">
        <v>13</v>
      </c>
      <c r="R31" s="187"/>
      <c r="S31" s="188">
        <v>5</v>
      </c>
      <c r="T31" s="189">
        <v>6</v>
      </c>
      <c r="U31" s="189">
        <v>7</v>
      </c>
      <c r="V31" s="189">
        <v>8</v>
      </c>
      <c r="W31" s="189">
        <v>9</v>
      </c>
      <c r="X31" s="189">
        <v>10</v>
      </c>
      <c r="Y31" s="190">
        <v>11</v>
      </c>
      <c r="Z31" s="187"/>
      <c r="AA31" s="247">
        <v>2</v>
      </c>
      <c r="AB31" s="248">
        <v>3</v>
      </c>
      <c r="AC31" s="248">
        <v>4</v>
      </c>
      <c r="AD31" s="248">
        <v>5</v>
      </c>
      <c r="AE31" s="248">
        <v>6</v>
      </c>
      <c r="AF31" s="248">
        <v>7</v>
      </c>
      <c r="AG31" s="249">
        <v>8</v>
      </c>
      <c r="AH31" s="187"/>
      <c r="AI31" s="188">
        <v>7</v>
      </c>
      <c r="AJ31" s="189">
        <v>8</v>
      </c>
      <c r="AK31" s="189">
        <v>9</v>
      </c>
      <c r="AL31" s="189">
        <v>10</v>
      </c>
      <c r="AM31" s="189">
        <v>11</v>
      </c>
      <c r="AN31" s="189">
        <v>12</v>
      </c>
      <c r="AO31" s="190">
        <v>13</v>
      </c>
      <c r="AP31" s="187"/>
      <c r="AQ31" s="233">
        <v>4</v>
      </c>
      <c r="AR31" s="189">
        <f t="shared" ref="AR31:AW31" si="195">+AQ31+1</f>
        <v>5</v>
      </c>
      <c r="AS31" s="189">
        <f t="shared" si="195"/>
        <v>6</v>
      </c>
      <c r="AT31" s="189">
        <f t="shared" si="195"/>
        <v>7</v>
      </c>
      <c r="AU31" s="189">
        <f t="shared" si="195"/>
        <v>8</v>
      </c>
      <c r="AV31" s="189">
        <f t="shared" si="195"/>
        <v>9</v>
      </c>
      <c r="AW31" s="234">
        <f t="shared" si="195"/>
        <v>10</v>
      </c>
      <c r="AY31" s="188">
        <v>8</v>
      </c>
      <c r="AZ31" s="189">
        <f t="shared" si="178"/>
        <v>9</v>
      </c>
      <c r="BA31" s="189">
        <f t="shared" si="178"/>
        <v>10</v>
      </c>
      <c r="BB31" s="189">
        <f t="shared" si="178"/>
        <v>11</v>
      </c>
      <c r="BC31" s="189">
        <f t="shared" si="178"/>
        <v>12</v>
      </c>
      <c r="BD31" s="189">
        <f t="shared" si="178"/>
        <v>13</v>
      </c>
      <c r="BE31" s="190">
        <f t="shared" si="178"/>
        <v>14</v>
      </c>
      <c r="BG31" s="233">
        <v>6</v>
      </c>
      <c r="BH31" s="189">
        <f t="shared" ref="BH31" si="196">+BG31+1</f>
        <v>7</v>
      </c>
      <c r="BI31" s="189">
        <f t="shared" ref="BI31" si="197">+BH31+1</f>
        <v>8</v>
      </c>
      <c r="BJ31" s="189">
        <f t="shared" ref="BJ31" si="198">+BI31+1</f>
        <v>9</v>
      </c>
      <c r="BK31" s="189">
        <f t="shared" ref="BK31" si="199">+BJ31+1</f>
        <v>10</v>
      </c>
      <c r="BL31" s="189">
        <f t="shared" ref="BL31" si="200">+BK31+1</f>
        <v>11</v>
      </c>
      <c r="BM31" s="234">
        <f t="shared" ref="BM31" si="201">+BL31+1</f>
        <v>12</v>
      </c>
      <c r="BO31" s="233">
        <v>3</v>
      </c>
      <c r="BP31" s="189">
        <f t="shared" ref="BP31" si="202">+BO31+1</f>
        <v>4</v>
      </c>
      <c r="BQ31" s="189">
        <f t="shared" ref="BQ31" si="203">+BP31+1</f>
        <v>5</v>
      </c>
      <c r="BR31" s="189">
        <f t="shared" ref="BR31" si="204">+BQ31+1</f>
        <v>6</v>
      </c>
      <c r="BS31" s="189">
        <f t="shared" ref="BS31" si="205">+BR31+1</f>
        <v>7</v>
      </c>
      <c r="BT31" s="189">
        <f t="shared" ref="BT31" si="206">+BS31+1</f>
        <v>8</v>
      </c>
      <c r="BU31" s="234">
        <f t="shared" ref="BU31" si="207">+BT31+1</f>
        <v>9</v>
      </c>
      <c r="BW31" s="233">
        <v>8</v>
      </c>
      <c r="BX31" s="189">
        <f t="shared" ref="BX31" si="208">+BW31+1</f>
        <v>9</v>
      </c>
      <c r="BY31" s="189">
        <f t="shared" ref="BY31" si="209">+BX31+1</f>
        <v>10</v>
      </c>
      <c r="BZ31" s="189">
        <f t="shared" ref="BZ31" si="210">+BY31+1</f>
        <v>11</v>
      </c>
      <c r="CA31" s="189">
        <f t="shared" ref="CA31" si="211">+BZ31+1</f>
        <v>12</v>
      </c>
      <c r="CB31" s="189">
        <f t="shared" ref="CB31" si="212">+CA31+1</f>
        <v>13</v>
      </c>
      <c r="CC31" s="234">
        <f t="shared" ref="CC31" si="213">+CB31+1</f>
        <v>14</v>
      </c>
      <c r="CE31" s="233">
        <v>5</v>
      </c>
      <c r="CF31" s="189">
        <f t="shared" ref="CF31" si="214">+CE31+1</f>
        <v>6</v>
      </c>
      <c r="CG31" s="189">
        <f t="shared" ref="CG31" si="215">+CF31+1</f>
        <v>7</v>
      </c>
      <c r="CH31" s="189">
        <f t="shared" ref="CH31" si="216">+CG31+1</f>
        <v>8</v>
      </c>
      <c r="CI31" s="189">
        <f t="shared" ref="CI31" si="217">+CH31+1</f>
        <v>9</v>
      </c>
      <c r="CJ31" s="189">
        <f t="shared" ref="CJ31" si="218">+CI31+1</f>
        <v>10</v>
      </c>
      <c r="CK31" s="234">
        <f t="shared" ref="CK31" si="219">+CJ31+1</f>
        <v>11</v>
      </c>
      <c r="CM31" s="233">
        <v>2</v>
      </c>
      <c r="CN31" s="189">
        <f t="shared" ref="CN31:CS31" si="220">+CM31+1</f>
        <v>3</v>
      </c>
      <c r="CO31" s="189">
        <f t="shared" si="220"/>
        <v>4</v>
      </c>
      <c r="CP31" s="189">
        <f t="shared" si="220"/>
        <v>5</v>
      </c>
      <c r="CQ31" s="189">
        <f t="shared" si="220"/>
        <v>6</v>
      </c>
      <c r="CR31" s="189">
        <f t="shared" si="220"/>
        <v>7</v>
      </c>
      <c r="CS31" s="234">
        <f t="shared" si="220"/>
        <v>8</v>
      </c>
      <c r="CU31" s="233">
        <v>2</v>
      </c>
      <c r="CV31" s="189">
        <f t="shared" ref="CV31" si="221">+CU31+1</f>
        <v>3</v>
      </c>
      <c r="CW31" s="189">
        <f t="shared" ref="CW31" si="222">+CV31+1</f>
        <v>4</v>
      </c>
      <c r="CX31" s="189">
        <f t="shared" ref="CX31" si="223">+CW31+1</f>
        <v>5</v>
      </c>
      <c r="CY31" s="189">
        <f t="shared" ref="CY31" si="224">+CX31+1</f>
        <v>6</v>
      </c>
      <c r="CZ31" s="189">
        <f t="shared" ref="CZ31" si="225">+CY31+1</f>
        <v>7</v>
      </c>
      <c r="DA31" s="234">
        <f t="shared" ref="DA31" si="226">+CZ31+1</f>
        <v>8</v>
      </c>
      <c r="DC31" s="233">
        <v>6</v>
      </c>
      <c r="DD31" s="189">
        <f t="shared" ref="DD31" si="227">+DC31+1</f>
        <v>7</v>
      </c>
      <c r="DE31" s="189">
        <f t="shared" ref="DE31" si="228">+DD31+1</f>
        <v>8</v>
      </c>
      <c r="DF31" s="189">
        <f t="shared" ref="DF31" si="229">+DE31+1</f>
        <v>9</v>
      </c>
      <c r="DG31" s="189">
        <f t="shared" ref="DG31" si="230">+DF31+1</f>
        <v>10</v>
      </c>
      <c r="DH31" s="189">
        <f t="shared" ref="DH31" si="231">+DG31+1</f>
        <v>11</v>
      </c>
      <c r="DI31" s="234">
        <f t="shared" ref="DI31" si="232">+DH31+1</f>
        <v>12</v>
      </c>
    </row>
    <row r="32" spans="1:114">
      <c r="A32" s="1468"/>
      <c r="C32" s="214">
        <f>HLOOKUP(DATE(2025,MONTH($C$27),C31),'TABLERO DIARIO'!$CO$2:$PU$6,5,FALSE)/1000</f>
        <v>37.408000000000001</v>
      </c>
      <c r="D32" s="215">
        <f>HLOOKUP(DATE(2025,MONTH($C$27),D31),'TABLERO DIARIO'!$CO$2:$PU$6,5,FALSE)/1000</f>
        <v>33.173199999999994</v>
      </c>
      <c r="E32" s="216">
        <f>HLOOKUP(DATE(2025,MONTH($C$27),E31),'TABLERO DIARIO'!$CO$2:$PU$6,5,FALSE)/1000</f>
        <v>41.925899999999999</v>
      </c>
      <c r="F32" s="216">
        <f>HLOOKUP(DATE(2025,MONTH($C$27),F31),'TABLERO DIARIO'!$CO$2:$PU$6,5,FALSE)/1000</f>
        <v>24.216999999999999</v>
      </c>
      <c r="G32" s="216">
        <f>HLOOKUP(DATE(2025,MONTH($C$27),G31),'TABLERO DIARIO'!$CO$2:$PU$6,5,FALSE)/1000</f>
        <v>42.917000000000002</v>
      </c>
      <c r="H32" s="216">
        <f>HLOOKUP(DATE(2025,MONTH($C$27),H31),'TABLERO DIARIO'!$CO$2:$PU$6,5,FALSE)/1000</f>
        <v>39.045000000000002</v>
      </c>
      <c r="I32" s="217" t="s">
        <v>1078</v>
      </c>
      <c r="J32" s="229"/>
      <c r="K32" s="218">
        <f>HLOOKUP(DATE(2025,MONTH($K$27),K31),'TABLERO DIARIO'!$CO$2:$PU$6,5,FALSE)/1000</f>
        <v>40.201999999999998</v>
      </c>
      <c r="L32" s="216">
        <f>HLOOKUP(DATE(2025,MONTH($K$27),L31),'TABLERO DIARIO'!$CO$2:$PU$6,5,FALSE)/1000</f>
        <v>47.709199999999996</v>
      </c>
      <c r="M32" s="216">
        <f>HLOOKUP(DATE(2025,MONTH($K$27),M31),'TABLERO DIARIO'!$CO$2:$PU$6,5,FALSE)/1000</f>
        <v>46.817999999999998</v>
      </c>
      <c r="N32" s="216">
        <f>HLOOKUP(DATE(2025,MONTH($K$27),N31),'TABLERO DIARIO'!$CO$2:$PU$6,5,FALSE)/1000</f>
        <v>48.856000000000002</v>
      </c>
      <c r="O32" s="216">
        <f>HLOOKUP(DATE(2025,MONTH($K$27),O31),'TABLERO DIARIO'!$CO$2:$PU$6,5,FALSE)/1000</f>
        <v>47.462000000000003</v>
      </c>
      <c r="P32" s="216">
        <f>HLOOKUP(DATE(2025,MONTH($K$27),P31),'TABLERO DIARIO'!$CO$2:$PU$6,5,FALSE)/1000</f>
        <v>41.863</v>
      </c>
      <c r="Q32" s="213">
        <f>HLOOKUP(DATE(2025,MONTH($K$27),Q31),'TABLERO DIARIO'!$CO$2:$PU$6,5,FALSE)/1000</f>
        <v>31.503</v>
      </c>
      <c r="R32" s="229"/>
      <c r="S32" s="218">
        <f>HLOOKUP(DATE(2025,MONTH($S$27),S31),'TABLERO DIARIO'!$CO$2:$PU$6,5,FALSE)/1000</f>
        <v>42.286999999999999</v>
      </c>
      <c r="T32" s="216">
        <f>HLOOKUP(DATE(2025,MONTH($S$27),T31),'TABLERO DIARIO'!$CO$2:$PU$6,5,FALSE)/1000</f>
        <v>39.279000000000003</v>
      </c>
      <c r="U32" s="216">
        <f>HLOOKUP(DATE(2025,MONTH($S$27),U31),'TABLERO DIARIO'!$CO$2:$PU$6,5,FALSE)/1000</f>
        <v>37.995100000000001</v>
      </c>
      <c r="V32" s="216">
        <f>HLOOKUP(DATE(2025,MONTH($S$27),V31),'TABLERO DIARIO'!$CO$2:$PU$6,5,FALSE)/1000</f>
        <v>48.110600000000005</v>
      </c>
      <c r="W32" s="216">
        <f>HLOOKUP(DATE(2025,MONTH($S$27),W31),'TABLERO DIARIO'!$CO$2:$PU$6,5,FALSE)/1000</f>
        <v>49.694000000000003</v>
      </c>
      <c r="X32" s="216">
        <f>HLOOKUP(DATE(2025,MONTH($S$27),X31),'TABLERO DIARIO'!$CO$2:$PU$6,5,FALSE)/1000</f>
        <v>39.961199999999998</v>
      </c>
      <c r="Y32" s="213">
        <f>HLOOKUP(DATE(2025,MONTH($S$27),Y31),'TABLERO DIARIO'!$CO$2:$PU$6,5,FALSE)/1000</f>
        <v>39.155999999999999</v>
      </c>
      <c r="Z32" s="229"/>
      <c r="AA32" s="252">
        <f>HLOOKUP(DATE(2025,MONTH($AA$27),AA31),'TABLERO DIARIO'!$CO$2:$PU$6,5,FALSE)/1000</f>
        <v>48.132800000000003</v>
      </c>
      <c r="AB32" s="253">
        <f>HLOOKUP(DATE(2025,MONTH($AA$27),AB31),'TABLERO DIARIO'!$CO$2:$PU$6,5,FALSE)/1000</f>
        <v>50.066100000000006</v>
      </c>
      <c r="AC32" s="253">
        <f>HLOOKUP(DATE(2025,MONTH($AA$27),AC31),'TABLERO DIARIO'!$CO$2:$PU$6,5,FALSE)/1000</f>
        <v>47.338300000000004</v>
      </c>
      <c r="AD32" s="253">
        <f>HLOOKUP(DATE(2025,MONTH($AA$27),AD31),'TABLERO DIARIO'!$CO$2:$PU$6,5,FALSE)/1000</f>
        <v>47.39</v>
      </c>
      <c r="AE32" s="253">
        <f>HLOOKUP(DATE(2025,MONTH($AA$27),AE31),'TABLERO DIARIO'!$CO$2:$PU$6,5,FALSE)/1000</f>
        <v>47.104399999999998</v>
      </c>
      <c r="AF32" s="254" t="s">
        <v>1078</v>
      </c>
      <c r="AG32" s="251" t="s">
        <v>1078</v>
      </c>
      <c r="AH32" s="229"/>
      <c r="AI32" s="359">
        <f>HLOOKUP(DATE(2025,MONTH($AI$27),AI31),'TABLERO DIARIO'!$CO$2:$UE$6,5,FALSE)/1000</f>
        <v>42.494900000000001</v>
      </c>
      <c r="AJ32" s="358">
        <f>HLOOKUP(DATE(2025,MONTH($AI$27),AJ31),'TABLERO DIARIO'!$CO$2:$UE$6,5,FALSE)/1000</f>
        <v>47.778400000000005</v>
      </c>
      <c r="AK32" s="358">
        <f>HLOOKUP(DATE(2025,MONTH($AI$27),AK31),'TABLERO DIARIO'!$CO$2:$UE$6,5,FALSE)/1000</f>
        <v>47.588399999999993</v>
      </c>
      <c r="AL32" s="358">
        <f>HLOOKUP(DATE(2025,MONTH($AI$27),AL31),'TABLERO DIARIO'!$CO$2:$UE$6,5,FALSE)/1000</f>
        <v>42.476300000000002</v>
      </c>
      <c r="AM32" s="358">
        <f>HLOOKUP(DATE(2025,MONTH($AI$27),AM31),'TABLERO DIARIO'!$CO$2:$UE$6,5,FALSE)/1000</f>
        <v>44.108199999999997</v>
      </c>
      <c r="AN32" s="240" t="s">
        <v>1078</v>
      </c>
      <c r="AO32" s="244" t="s">
        <v>1078</v>
      </c>
      <c r="AP32" s="229"/>
      <c r="AQ32" s="392">
        <f>HLOOKUP(DATE(2025,MONTH($AQ$27),AQ31),'TABLERO DIARIO'!$CO$2:$ZZ$6,5,FALSE)/1000</f>
        <v>45.405300000000004</v>
      </c>
      <c r="AR32" s="358">
        <f>HLOOKUP(DATE(2025,MONTH($AQ$27),AR31),'TABLERO DIARIO'!$CO$2:$ZZ$6,5,FALSE)/1000</f>
        <v>42.867199999999997</v>
      </c>
      <c r="AS32" s="358">
        <f>HLOOKUP(DATE(2025,MONTH($AQ$27),AS31),'TABLERO DIARIO'!$CO$2:$ZZ$6,5,FALSE)/1000</f>
        <v>47.119300000000003</v>
      </c>
      <c r="AT32" s="358">
        <f>HLOOKUP(DATE(2025,MONTH($AQ$27),AT31),'TABLERO DIARIO'!$CO$2:$ZZ$6,5,FALSE)/1000</f>
        <v>45.908300000000004</v>
      </c>
      <c r="AU32" s="358">
        <f>HLOOKUP(DATE(2025,MONTH($AQ$27),AU31),'TABLERO DIARIO'!$CO$2:$ZZ$6,5,FALSE)/1000</f>
        <v>48.765699999999995</v>
      </c>
      <c r="AV32" s="240" t="s">
        <v>1078</v>
      </c>
      <c r="AW32" s="241" t="s">
        <v>1078</v>
      </c>
      <c r="AY32" s="564">
        <f>HLOOKUP(DATE(2025,MONTH($AY$27),AY31),'TABLERO DIARIO'!$CO$2:$ABZ$6,5,FALSE)/1000</f>
        <v>47.918500000000002</v>
      </c>
      <c r="AZ32" s="562">
        <f>HLOOKUP(DATE(2025,MONTH($AY$27),AZ31),'TABLERO DIARIO'!$CO$2:$ABZ$6,5,FALSE)/1000</f>
        <v>44.203800000000001</v>
      </c>
      <c r="BA32" s="562">
        <f>HLOOKUP(DATE(2025,MONTH($AY$27),BA31),'TABLERO DIARIO'!$CO$2:$ABZ$6,5,FALSE)/1000</f>
        <v>47.139499999999998</v>
      </c>
      <c r="BB32" s="562">
        <f>HLOOKUP(DATE(2025,MONTH($AY$27),BB31),'TABLERO DIARIO'!$CO$2:$ABZ$6,5,FALSE)/1000</f>
        <v>46.011099999999999</v>
      </c>
      <c r="BC32" s="562">
        <f>HLOOKUP(DATE(2025,MONTH($AY$27),BC31),'TABLERO DIARIO'!$CO$2:$ABZ$6,5,FALSE)/1000</f>
        <v>46.668599999999998</v>
      </c>
      <c r="BD32" s="565" t="s">
        <v>1078</v>
      </c>
      <c r="BE32" s="566" t="s">
        <v>1078</v>
      </c>
      <c r="BG32" s="561">
        <f>HLOOKUP(DATE(2025,MONTH($BG$27),BG31),'TABLERO DIARIO'!$CO$2:$AFA$6,5,FALSE)/1000</f>
        <v>41.425800000000002</v>
      </c>
      <c r="BH32" s="562">
        <f>HLOOKUP(DATE(2025,MONTH($BG$27),BH31),'TABLERO DIARIO'!$CO$2:$AFA$6,5,FALSE)/1000</f>
        <v>44.998100000000001</v>
      </c>
      <c r="BI32" s="562">
        <f>HLOOKUP(DATE(2025,MONTH($BG$27),BI31),'TABLERO DIARIO'!$CO$2:$AFA$6,5,FALSE)/1000</f>
        <v>46.701600000000006</v>
      </c>
      <c r="BJ32" s="562">
        <f>HLOOKUP(DATE(2025,MONTH($BG$27),BJ31),'TABLERO DIARIO'!$CO$2:$AFA$6,5,FALSE)/1000</f>
        <v>39.366199999999999</v>
      </c>
      <c r="BK32" s="562">
        <f>HLOOKUP(DATE(2025,MONTH($BG$27),BK31),'TABLERO DIARIO'!$CO$2:$AFA$6,5,FALSE)/1000</f>
        <v>35.397400000000005</v>
      </c>
      <c r="BL32" s="565" t="s">
        <v>1078</v>
      </c>
      <c r="BM32" s="595" t="s">
        <v>1078</v>
      </c>
      <c r="BO32" s="561">
        <f>HLOOKUP(DATE(2025,MONTH($BO$27),BO31),'TABLERO DIARIO'!$ABA$2:$AIG$6,5,FALSE)/1000</f>
        <v>48.271500000000003</v>
      </c>
      <c r="BP32" s="562">
        <f>HLOOKUP(DATE(2025,MONTH($BO$27),BP31),'TABLERO DIARIO'!$ABA$2:$AIG$6,5,FALSE)/1000</f>
        <v>45.296399999999998</v>
      </c>
      <c r="BQ32" s="562">
        <f>HLOOKUP(DATE(2025,MONTH($BO$27),BQ31),'TABLERO DIARIO'!$ABA$2:$AIG$6,5,FALSE)/1000</f>
        <v>38.697800000000001</v>
      </c>
      <c r="BR32" s="562">
        <f>HLOOKUP(DATE(2025,MONTH($BO$27),BR31),'TABLERO DIARIO'!$ABA$2:$AIG$6,5,FALSE)/1000</f>
        <v>45.988399999999992</v>
      </c>
      <c r="BS32" s="562">
        <f>HLOOKUP(DATE(2025,MONTH($BO$27),BS31),'TABLERO DIARIO'!$ABA$2:$AIG$6,5,FALSE)/1000</f>
        <v>46.433699999999995</v>
      </c>
      <c r="BT32" s="565" t="s">
        <v>1078</v>
      </c>
      <c r="BU32" s="595" t="s">
        <v>1078</v>
      </c>
      <c r="BW32" s="1006" t="s">
        <v>1078</v>
      </c>
      <c r="BX32" s="994">
        <f>HLOOKUP(DATE(2025,MONTH($BW$27),BX31),'TABLERO DIARIO'!$AIA$2:$AMA$6,5,FALSE)/1000</f>
        <v>42.731300000000005</v>
      </c>
      <c r="BY32" s="994">
        <f>HLOOKUP(DATE(2025,MONTH($BW$27),BY31),'TABLERO DIARIO'!$AIA$2:$AMA$6,5,FALSE)/1000</f>
        <v>45.494899999999994</v>
      </c>
      <c r="BZ32" s="994">
        <f>HLOOKUP(DATE(2025,MONTH($BW$27),BZ31),'TABLERO DIARIO'!$AIA$2:$AMA$6,5,FALSE)/1000</f>
        <v>36.868899999999996</v>
      </c>
      <c r="CA32" s="994">
        <f>HLOOKUP(DATE(2025,MONTH($BW$27),CA31),'TABLERO DIARIO'!$AIA$2:$AMA$6,5,FALSE)/1000</f>
        <v>44.242199999999997</v>
      </c>
      <c r="CB32" s="996">
        <f>HLOOKUP(DATE(2025,MONTH($BW$27),CB31),'TABLERO DIARIO'!$AIA$2:$AMA$6,5,FALSE)/1000</f>
        <v>39.039499999999997</v>
      </c>
      <c r="CC32" s="997">
        <f>HLOOKUP(DATE(2025,MONTH($BW$27),CC31),'TABLERO DIARIO'!$AIA$2:$AMA$6,5,FALSE)/1000</f>
        <v>41.424800000000005</v>
      </c>
      <c r="CE32" s="993">
        <f>IFERROR(HLOOKUP(DATE(2026,MONTH($CE$27),CE31),'TABLERO DIARIO'!$ALQ$2:$APO$6,5,FALSE)/1000,0)</f>
        <v>41.390999999999998</v>
      </c>
      <c r="CF32" s="994">
        <f>IFERROR(HLOOKUP(DATE(2026,MONTH($CE$27),CF31),'TABLERO DIARIO'!$ALQ$2:$APO$6,5,FALSE)/1000,0)</f>
        <v>42.478399999999993</v>
      </c>
      <c r="CG32" s="994">
        <f>IFERROR(HLOOKUP(DATE(2026,MONTH($CE$27),CG31),'TABLERO DIARIO'!$ALQ$2:$APO$6,5,FALSE)/1000,0)</f>
        <v>43.901800000000001</v>
      </c>
      <c r="CH32" s="994">
        <f>IFERROR(HLOOKUP(DATE(2026,MONTH($CE$27),CH31),'TABLERO DIARIO'!$ALQ$2:$APO$6,5,FALSE)/1000,0)</f>
        <v>44.2042</v>
      </c>
      <c r="CI32" s="994">
        <f>IFERROR(HLOOKUP(DATE(2026,MONTH($CE$27),CI31),'TABLERO DIARIO'!$ALQ$2:$APO$6,5,FALSE)/1000,0)</f>
        <v>41.316800000000001</v>
      </c>
      <c r="CJ32" s="996">
        <f>IFERROR(HLOOKUP(DATE(2026,MONTH($CE$27),CJ31),'TABLERO DIARIO'!$ALQ$2:$APO$6,5,FALSE)/1000,0)</f>
        <v>37.019100000000002</v>
      </c>
      <c r="CK32" s="997">
        <f>IFERROR(HLOOKUP(DATE(2026,MONTH($CE$27),CK31),'TABLERO DIARIO'!$ALQ$2:$APO$6,5,FALSE)/1000,0)</f>
        <v>38.7577</v>
      </c>
      <c r="CM32" s="1000">
        <f>IFERROR(HLOOKUP(DATE(2026,MONTH($CM$27),CM31),'TABLERO DIARIO'!$APL$2:$ATL$6,5,FALSE)/1000,0)</f>
        <v>42.284500000000001</v>
      </c>
      <c r="CN32" s="1000">
        <f>IFERROR(HLOOKUP(DATE(2026,MONTH($CM$27),CN31),'TABLERO DIARIO'!$APL$2:$ATL$6,5,FALSE)/1000,0)</f>
        <v>48.061300000000003</v>
      </c>
      <c r="CO32" s="1000">
        <f>IFERROR(HLOOKUP(DATE(2026,MONTH($CM$27),CO31),'TABLERO DIARIO'!$APL$2:$ATL$6,5,FALSE)/1000,0)</f>
        <v>47.0625</v>
      </c>
      <c r="CP32" s="1000">
        <f>IFERROR(HLOOKUP(DATE(2026,MONTH($CM$27),CP31),'TABLERO DIARIO'!$APL$2:$ATL$6,5,FALSE)/1000,0)</f>
        <v>42.822400000000002</v>
      </c>
      <c r="CQ32" s="1000">
        <f>IFERROR(HLOOKUP(DATE(2026,MONTH($CM$27),CQ31),'TABLERO DIARIO'!$APL$2:$ATL$6,5,FALSE)/1000,0)</f>
        <v>45.805699999999995</v>
      </c>
      <c r="CR32" s="1001">
        <f>IFERROR(HLOOKUP(DATE(2026,MONTH($CM$27),CR31),'TABLERO DIARIO'!$APL$2:$ATL$6,5,FALSE)/1000,0)</f>
        <v>42.3277</v>
      </c>
      <c r="CS32" s="1002">
        <f>IFERROR(HLOOKUP(DATE(2026,MONTH($CM$27),CS31),'TABLERO DIARIO'!$APL$2:$ATL$6,5,FALSE)/1000,0)</f>
        <v>42.183</v>
      </c>
      <c r="CU32" s="1108">
        <f>IFERROR(HLOOKUP(DATE(2026,MONTH($CU$27),CU31),'TABLERO DIARIO'!$ASF$2:$AWF$6,5,FALSE)/1000,0)</f>
        <v>45.3399</v>
      </c>
      <c r="CV32" s="1000">
        <f>IFERROR(HLOOKUP(DATE(2026,MONTH($CU$27),CV31),'TABLERO DIARIO'!$ASF$2:$AWF$6,5,FALSE)/1000,0)</f>
        <v>47.127000000000002</v>
      </c>
      <c r="CW32" s="1000">
        <f>IFERROR(HLOOKUP(DATE(2026,MONTH($CU$27),CW31),'TABLERO DIARIO'!$ASF$2:$AWF$6,5,FALSE)/1000,0)</f>
        <v>49.33</v>
      </c>
      <c r="CX32" s="1000">
        <f>IFERROR(HLOOKUP(DATE(2026,MONTH($CU$27),CX31),'TABLERO DIARIO'!$ASF$2:$AWF$6,5,FALSE)/1000,0)</f>
        <v>47.708399999999997</v>
      </c>
      <c r="CY32" s="1000">
        <f>IFERROR(HLOOKUP(DATE(2026,MONTH($CU$27),CY31),'TABLERO DIARIO'!$ASF$2:$AWF$6,5,FALSE)/1000,0)</f>
        <v>45.6128</v>
      </c>
      <c r="CZ32" s="1001">
        <f>IFERROR(HLOOKUP(DATE(2026,MONTH($CU$27),CZ31),'TABLERO DIARIO'!$ASF$2:$AWF$6,5,FALSE)/1000,0)</f>
        <v>17.7182</v>
      </c>
      <c r="DA32" s="1002">
        <f>IFERROR(HLOOKUP(DATE(2026,MONTH($CU$27),DA31),'TABLERO DIARIO'!$ASF$2:$AWF$6,5,FALSE)/1000,0)</f>
        <v>24.130099999999999</v>
      </c>
      <c r="DC32" s="1108">
        <f>IFERROR(HLOOKUP(DATE(2026,MONTH($DC$27),DC31),'TABLERO DIARIO'!$ASF$2:$AZZ$6,5,FALSE)/1000,0)</f>
        <v>0</v>
      </c>
      <c r="DD32" s="1000">
        <f>IFERROR(HLOOKUP(DATE(2026,MONTH($DC$27),DD31),'TABLERO DIARIO'!$ASF$2:$AZZ$6,5,FALSE)/1000,0)</f>
        <v>0</v>
      </c>
      <c r="DE32" s="1000">
        <f>IFERROR(HLOOKUP(DATE(2026,MONTH($DC$27),DE31),'TABLERO DIARIO'!$ASF$2:$AZZ$6,5,FALSE)/1000,0)</f>
        <v>0</v>
      </c>
      <c r="DF32" s="1000">
        <f>IFERROR(HLOOKUP(DATE(2026,MONTH($DC$27),DF31),'TABLERO DIARIO'!$ASF$2:$AZZ$6,5,FALSE)/1000,0)</f>
        <v>0</v>
      </c>
      <c r="DG32" s="1000">
        <f>IFERROR(HLOOKUP(DATE(2026,MONTH($DC$27),DG31),'TABLERO DIARIO'!$ASF$2:$AZZ$6,5,FALSE)/1000,0)</f>
        <v>0</v>
      </c>
      <c r="DH32" s="1001">
        <f>IFERROR(HLOOKUP(DATE(2026,MONTH($DC$27),DH31),'TABLERO DIARIO'!$ASF$2:$AZZ$6,5,FALSE)/1000,0)</f>
        <v>0</v>
      </c>
      <c r="DI32" s="1002">
        <f>IFERROR(HLOOKUP(DATE(2026,MONTH($DC$27),DI31),'TABLERO DIARIO'!$ASF$2:$AZZ$6,5,FALSE)/1000,0)</f>
        <v>0</v>
      </c>
    </row>
    <row r="33" spans="1:113">
      <c r="A33" s="1468"/>
      <c r="C33" s="188">
        <v>10</v>
      </c>
      <c r="D33" s="189">
        <v>11</v>
      </c>
      <c r="E33" s="189">
        <v>12</v>
      </c>
      <c r="F33" s="189">
        <v>13</v>
      </c>
      <c r="G33" s="189">
        <v>14</v>
      </c>
      <c r="H33" s="189">
        <v>15</v>
      </c>
      <c r="I33" s="190">
        <v>16</v>
      </c>
      <c r="J33" s="187"/>
      <c r="K33" s="188">
        <v>14</v>
      </c>
      <c r="L33" s="189">
        <v>15</v>
      </c>
      <c r="M33" s="189">
        <v>16</v>
      </c>
      <c r="N33" s="189">
        <v>17</v>
      </c>
      <c r="O33" s="189">
        <v>18</v>
      </c>
      <c r="P33" s="189">
        <v>19</v>
      </c>
      <c r="Q33" s="190">
        <v>20</v>
      </c>
      <c r="R33" s="187"/>
      <c r="S33" s="188">
        <v>12</v>
      </c>
      <c r="T33" s="189">
        <v>13</v>
      </c>
      <c r="U33" s="189">
        <v>14</v>
      </c>
      <c r="V33" s="189">
        <v>15</v>
      </c>
      <c r="W33" s="189">
        <v>16</v>
      </c>
      <c r="X33" s="189">
        <v>17</v>
      </c>
      <c r="Y33" s="190">
        <v>18</v>
      </c>
      <c r="Z33" s="187"/>
      <c r="AA33" s="247">
        <v>9</v>
      </c>
      <c r="AB33" s="248">
        <v>10</v>
      </c>
      <c r="AC33" s="248">
        <v>11</v>
      </c>
      <c r="AD33" s="248">
        <v>12</v>
      </c>
      <c r="AE33" s="248">
        <v>13</v>
      </c>
      <c r="AF33" s="248">
        <v>14</v>
      </c>
      <c r="AG33" s="249">
        <v>15</v>
      </c>
      <c r="AH33" s="187"/>
      <c r="AI33" s="188">
        <v>14</v>
      </c>
      <c r="AJ33" s="189">
        <v>15</v>
      </c>
      <c r="AK33" s="189">
        <v>16</v>
      </c>
      <c r="AL33" s="189">
        <v>17</v>
      </c>
      <c r="AM33" s="189">
        <v>18</v>
      </c>
      <c r="AN33" s="189">
        <v>19</v>
      </c>
      <c r="AO33" s="190">
        <v>20</v>
      </c>
      <c r="AP33" s="187"/>
      <c r="AQ33" s="233">
        <v>11</v>
      </c>
      <c r="AR33" s="189">
        <f t="shared" ref="AR33:AW33" si="233">+AQ33+1</f>
        <v>12</v>
      </c>
      <c r="AS33" s="189">
        <f t="shared" si="233"/>
        <v>13</v>
      </c>
      <c r="AT33" s="189">
        <f t="shared" si="233"/>
        <v>14</v>
      </c>
      <c r="AU33" s="189">
        <f t="shared" si="233"/>
        <v>15</v>
      </c>
      <c r="AV33" s="189">
        <f t="shared" si="233"/>
        <v>16</v>
      </c>
      <c r="AW33" s="234">
        <f t="shared" si="233"/>
        <v>17</v>
      </c>
      <c r="AY33" s="188">
        <v>15</v>
      </c>
      <c r="AZ33" s="189">
        <f t="shared" si="178"/>
        <v>16</v>
      </c>
      <c r="BA33" s="189">
        <f t="shared" si="178"/>
        <v>17</v>
      </c>
      <c r="BB33" s="189">
        <f t="shared" si="178"/>
        <v>18</v>
      </c>
      <c r="BC33" s="189">
        <f t="shared" si="178"/>
        <v>19</v>
      </c>
      <c r="BD33" s="189">
        <f t="shared" si="178"/>
        <v>20</v>
      </c>
      <c r="BE33" s="190">
        <f t="shared" si="178"/>
        <v>21</v>
      </c>
      <c r="BG33" s="233">
        <v>13</v>
      </c>
      <c r="BH33" s="189">
        <f t="shared" ref="BH33" si="234">+BG33+1</f>
        <v>14</v>
      </c>
      <c r="BI33" s="189">
        <f t="shared" ref="BI33" si="235">+BH33+1</f>
        <v>15</v>
      </c>
      <c r="BJ33" s="189">
        <f t="shared" ref="BJ33" si="236">+BI33+1</f>
        <v>16</v>
      </c>
      <c r="BK33" s="189">
        <f t="shared" ref="BK33" si="237">+BJ33+1</f>
        <v>17</v>
      </c>
      <c r="BL33" s="189">
        <f t="shared" ref="BL33" si="238">+BK33+1</f>
        <v>18</v>
      </c>
      <c r="BM33" s="234">
        <f t="shared" ref="BM33" si="239">+BL33+1</f>
        <v>19</v>
      </c>
      <c r="BO33" s="233">
        <v>10</v>
      </c>
      <c r="BP33" s="189">
        <f t="shared" ref="BP33" si="240">+BO33+1</f>
        <v>11</v>
      </c>
      <c r="BQ33" s="189">
        <f t="shared" ref="BQ33" si="241">+BP33+1</f>
        <v>12</v>
      </c>
      <c r="BR33" s="189">
        <f t="shared" ref="BR33" si="242">+BQ33+1</f>
        <v>13</v>
      </c>
      <c r="BS33" s="189">
        <f t="shared" ref="BS33" si="243">+BR33+1</f>
        <v>14</v>
      </c>
      <c r="BT33" s="189">
        <f t="shared" ref="BT33" si="244">+BS33+1</f>
        <v>15</v>
      </c>
      <c r="BU33" s="234">
        <f t="shared" ref="BU33" si="245">+BT33+1</f>
        <v>16</v>
      </c>
      <c r="BW33" s="233">
        <v>15</v>
      </c>
      <c r="BX33" s="189">
        <f t="shared" ref="BX33" si="246">+BW33+1</f>
        <v>16</v>
      </c>
      <c r="BY33" s="189">
        <f t="shared" ref="BY33" si="247">+BX33+1</f>
        <v>17</v>
      </c>
      <c r="BZ33" s="189">
        <f t="shared" ref="BZ33" si="248">+BY33+1</f>
        <v>18</v>
      </c>
      <c r="CA33" s="189">
        <f t="shared" ref="CA33" si="249">+BZ33+1</f>
        <v>19</v>
      </c>
      <c r="CB33" s="189">
        <f t="shared" ref="CB33" si="250">+CA33+1</f>
        <v>20</v>
      </c>
      <c r="CC33" s="234">
        <f t="shared" ref="CC33" si="251">+CB33+1</f>
        <v>21</v>
      </c>
      <c r="CE33" s="233">
        <v>12</v>
      </c>
      <c r="CF33" s="189">
        <f t="shared" ref="CF33" si="252">+CE33+1</f>
        <v>13</v>
      </c>
      <c r="CG33" s="189">
        <f t="shared" ref="CG33" si="253">+CF33+1</f>
        <v>14</v>
      </c>
      <c r="CH33" s="189">
        <f t="shared" ref="CH33" si="254">+CG33+1</f>
        <v>15</v>
      </c>
      <c r="CI33" s="189">
        <f t="shared" ref="CI33" si="255">+CH33+1</f>
        <v>16</v>
      </c>
      <c r="CJ33" s="189">
        <f t="shared" ref="CJ33" si="256">+CI33+1</f>
        <v>17</v>
      </c>
      <c r="CK33" s="234">
        <f t="shared" ref="CK33" si="257">+CJ33+1</f>
        <v>18</v>
      </c>
      <c r="CM33" s="233">
        <v>9</v>
      </c>
      <c r="CN33" s="189">
        <f t="shared" ref="CN33:CS33" si="258">+CM33+1</f>
        <v>10</v>
      </c>
      <c r="CO33" s="189">
        <f t="shared" si="258"/>
        <v>11</v>
      </c>
      <c r="CP33" s="189">
        <f t="shared" si="258"/>
        <v>12</v>
      </c>
      <c r="CQ33" s="189">
        <f t="shared" si="258"/>
        <v>13</v>
      </c>
      <c r="CR33" s="189">
        <f t="shared" si="258"/>
        <v>14</v>
      </c>
      <c r="CS33" s="234">
        <f t="shared" si="258"/>
        <v>15</v>
      </c>
      <c r="CU33" s="233">
        <v>9</v>
      </c>
      <c r="CV33" s="189">
        <f t="shared" ref="CV33" si="259">+CU33+1</f>
        <v>10</v>
      </c>
      <c r="CW33" s="189">
        <f t="shared" ref="CW33" si="260">+CV33+1</f>
        <v>11</v>
      </c>
      <c r="CX33" s="189">
        <f t="shared" ref="CX33" si="261">+CW33+1</f>
        <v>12</v>
      </c>
      <c r="CY33" s="189">
        <f t="shared" ref="CY33" si="262">+CX33+1</f>
        <v>13</v>
      </c>
      <c r="CZ33" s="189">
        <f t="shared" ref="CZ33" si="263">+CY33+1</f>
        <v>14</v>
      </c>
      <c r="DA33" s="234">
        <f t="shared" ref="DA33" si="264">+CZ33+1</f>
        <v>15</v>
      </c>
      <c r="DC33" s="233">
        <v>13</v>
      </c>
      <c r="DD33" s="189">
        <f t="shared" ref="DD33" si="265">+DC33+1</f>
        <v>14</v>
      </c>
      <c r="DE33" s="189">
        <f t="shared" ref="DE33" si="266">+DD33+1</f>
        <v>15</v>
      </c>
      <c r="DF33" s="189">
        <f t="shared" ref="DF33" si="267">+DE33+1</f>
        <v>16</v>
      </c>
      <c r="DG33" s="189">
        <f t="shared" ref="DG33" si="268">+DF33+1</f>
        <v>17</v>
      </c>
      <c r="DH33" s="189">
        <f t="shared" ref="DH33" si="269">+DG33+1</f>
        <v>18</v>
      </c>
      <c r="DI33" s="234">
        <f t="shared" ref="DI33" si="270">+DH33+1</f>
        <v>19</v>
      </c>
    </row>
    <row r="34" spans="1:113">
      <c r="A34" s="1468"/>
      <c r="C34" s="218">
        <f>HLOOKUP(DATE(2025,MONTH($C$27),C33),'TABLERO DIARIO'!$CO$2:$PU$6,5,FALSE)/1000</f>
        <v>44.914000000000001</v>
      </c>
      <c r="D34" s="216">
        <f>HLOOKUP(DATE(2025,MONTH($C$27),D33),'TABLERO DIARIO'!$CO$2:$PU$6,5,FALSE)/1000</f>
        <v>36.6798</v>
      </c>
      <c r="E34" s="216">
        <f>HLOOKUP(DATE(2025,MONTH($C$27),E33),'TABLERO DIARIO'!$CO$2:$PU$6,5,FALSE)/1000</f>
        <v>46.606000000000002</v>
      </c>
      <c r="F34" s="216">
        <f>HLOOKUP(DATE(2025,MONTH($C$27),F33),'TABLERO DIARIO'!$CO$2:$PU$6,5,FALSE)/1000</f>
        <v>45.453400000000002</v>
      </c>
      <c r="G34" s="216">
        <f>HLOOKUP(DATE(2025,MONTH($C$27),G33),'TABLERO DIARIO'!$CO$2:$PU$6,5,FALSE)/1000</f>
        <v>44.408999999999999</v>
      </c>
      <c r="H34" s="216">
        <f>HLOOKUP(DATE(2025,MONTH($C$27),H33),'TABLERO DIARIO'!$CO$2:$PU$6,5,FALSE)/1000</f>
        <v>42.5837</v>
      </c>
      <c r="I34" s="217" t="s">
        <v>1078</v>
      </c>
      <c r="J34" s="229"/>
      <c r="K34" s="218">
        <f>HLOOKUP(DATE(2025,MONTH($K$27),K33),'TABLERO DIARIO'!$CO$2:$PU$6,5,FALSE)/1000</f>
        <v>47.538699999999999</v>
      </c>
      <c r="L34" s="216">
        <f>HLOOKUP(DATE(2025,MONTH($K$27),L33),'TABLERO DIARIO'!$CO$2:$PU$6,5,FALSE)/1000</f>
        <v>41.688000000000002</v>
      </c>
      <c r="M34" s="216">
        <f>HLOOKUP(DATE(2025,MONTH($K$27),M33),'TABLERO DIARIO'!$CO$2:$PU$6,5,FALSE)/1000</f>
        <v>46.511000000000003</v>
      </c>
      <c r="N34" s="216">
        <f>HLOOKUP(DATE(2025,MONTH($K$27),N33),'TABLERO DIARIO'!$CO$2:$PU$6,5,FALSE)/1000</f>
        <v>48.768999999999998</v>
      </c>
      <c r="O34" s="221" t="s">
        <v>1078</v>
      </c>
      <c r="P34" s="222" t="s">
        <v>1078</v>
      </c>
      <c r="Q34" s="198" t="s">
        <v>1078</v>
      </c>
      <c r="R34" s="229"/>
      <c r="S34" s="218">
        <f>HLOOKUP(DATE(2025,MONTH($S$27),S33),'TABLERO DIARIO'!$CO$2:$PU$6,5,FALSE)/1000</f>
        <v>39.877000000000002</v>
      </c>
      <c r="T34" s="216">
        <f>HLOOKUP(DATE(2025,MONTH($S$27),T33),'TABLERO DIARIO'!$CO$2:$PU$6,5,FALSE)/1000</f>
        <v>48.133800000000001</v>
      </c>
      <c r="U34" s="216">
        <f>HLOOKUP(DATE(2025,MONTH($S$27),U33),'TABLERO DIARIO'!$CO$2:$PU$6,5,FALSE)/1000</f>
        <v>50.027000000000001</v>
      </c>
      <c r="V34" s="216">
        <f>HLOOKUP(DATE(2025,MONTH($S$27),V33),'TABLERO DIARIO'!$CO$2:$PU$6,5,FALSE)/1000</f>
        <v>50.171500000000002</v>
      </c>
      <c r="W34" s="216">
        <f>HLOOKUP(DATE(2025,MONTH($S$27),W33),'TABLERO DIARIO'!$CO$2:$PU$6,5,FALSE)/1000</f>
        <v>46.633400000000002</v>
      </c>
      <c r="X34" s="222" t="s">
        <v>1078</v>
      </c>
      <c r="Y34" s="217" t="s">
        <v>1078</v>
      </c>
      <c r="Z34" s="229"/>
      <c r="AA34" s="255" t="s">
        <v>1078</v>
      </c>
      <c r="AB34" s="253">
        <f>HLOOKUP(DATE(2025,MONTH($AA$27),AB33),'TABLERO DIARIO'!$CO$2:$PU$6,5,FALSE)/1000</f>
        <v>50.189800000000005</v>
      </c>
      <c r="AC34" s="253">
        <f>HLOOKUP(DATE(2025,MONTH($AA$27),AC33),'TABLERO DIARIO'!$CO$2:$PU$6,5,FALSE)/1000</f>
        <v>43.032499999999999</v>
      </c>
      <c r="AD34" s="253">
        <f>HLOOKUP(DATE(2025,MONTH($AA$27),AD33),'TABLERO DIARIO'!$CO$2:$PU$6,5,FALSE)/1000</f>
        <v>47.961800000000004</v>
      </c>
      <c r="AE34" s="253">
        <f>HLOOKUP(DATE(2025,MONTH($AA$27),AE33),'TABLERO DIARIO'!$CO$2:$PU$6,5,FALSE)/1000</f>
        <v>37.779199999999996</v>
      </c>
      <c r="AF34" s="256" t="s">
        <v>1078</v>
      </c>
      <c r="AG34" s="251" t="s">
        <v>1078</v>
      </c>
      <c r="AH34" s="229"/>
      <c r="AI34" s="246" t="s">
        <v>1079</v>
      </c>
      <c r="AJ34" s="360">
        <f>HLOOKUP(DATE(2025,MONTH($AI$27),AJ33),'TABLERO DIARIO'!$CO$2:$UE$6,5,FALSE)/1000</f>
        <v>33.203199999999995</v>
      </c>
      <c r="AK34" s="360">
        <f>HLOOKUP(DATE(2025,MONTH($AI$27),AK33),'TABLERO DIARIO'!$CO$2:$UE$6,5,FALSE)/1000</f>
        <v>41.659300000000002</v>
      </c>
      <c r="AL34" s="360">
        <f>HLOOKUP(DATE(2025,MONTH($AI$27),AL33),'TABLERO DIARIO'!$CO$2:$UE$6,5,FALSE)/1000</f>
        <v>46.622</v>
      </c>
      <c r="AM34" s="358">
        <f>HLOOKUP(DATE(2025,MONTH($AI$27),AM33),'TABLERO DIARIO'!$CO$2:$UE$6,5,FALSE)/1000</f>
        <v>44.269500000000001</v>
      </c>
      <c r="AN34" s="361">
        <f>HLOOKUP(DATE(2025,MONTH($AI$27),AN33),'TABLERO DIARIO'!$CO$2:$UE$6,5,FALSE)/1000</f>
        <v>38.113099999999996</v>
      </c>
      <c r="AO34" s="362">
        <f>HLOOKUP(DATE(2025,MONTH($AI$27),AO33),'TABLERO DIARIO'!$CO$2:$UE$6,5,FALSE)/1000</f>
        <v>40.413400000000003</v>
      </c>
      <c r="AP34" s="229"/>
      <c r="AQ34" s="392">
        <f>HLOOKUP(DATE(2025,MONTH($AQ$27),AQ33),'TABLERO DIARIO'!$CO$2:$ZZ$6,5,FALSE)/1000</f>
        <v>26.390999999999998</v>
      </c>
      <c r="AR34" s="358">
        <f>HLOOKUP(DATE(2025,MONTH($AQ$27),AR33),'TABLERO DIARIO'!$CO$2:$ZZ$6,5,FALSE)/1000</f>
        <v>43.737899999999996</v>
      </c>
      <c r="AS34" s="358">
        <f>HLOOKUP(DATE(2025,MONTH($AQ$27),AS33),'TABLERO DIARIO'!$CO$2:$ZZ$6,5,FALSE)/1000</f>
        <v>43.790199999999999</v>
      </c>
      <c r="AT34" s="358">
        <f>HLOOKUP(DATE(2025,MONTH($AQ$27),AT33),'TABLERO DIARIO'!$CO$2:$ZZ$6,5,FALSE)/1000</f>
        <v>48.520100000000006</v>
      </c>
      <c r="AU34" s="358">
        <f>HLOOKUP(DATE(2025,MONTH($AQ$27),AU33),'TABLERO DIARIO'!$CO$2:$ZZ$6,5,FALSE)/1000</f>
        <v>47.462100000000007</v>
      </c>
      <c r="AV34" s="240" t="s">
        <v>1078</v>
      </c>
      <c r="AW34" s="241" t="s">
        <v>1078</v>
      </c>
      <c r="AY34" s="564">
        <f>HLOOKUP(DATE(2025,MONTH($AY$27),AY33),'TABLERO DIARIO'!$CO$2:$ABZ$6,5,FALSE)/1000</f>
        <v>40.726399999999991</v>
      </c>
      <c r="AZ34" s="562">
        <f>HLOOKUP(DATE(2025,MONTH($AY$27),AZ33),'TABLERO DIARIO'!$CO$2:$ABZ$6,5,FALSE)/1000</f>
        <v>41.503999999999998</v>
      </c>
      <c r="BA34" s="562">
        <f>HLOOKUP(DATE(2025,MONTH($AY$27),BA33),'TABLERO DIARIO'!$CO$2:$ABZ$6,5,FALSE)/1000</f>
        <v>38.077599999999997</v>
      </c>
      <c r="BB34" s="562">
        <f>HLOOKUP(DATE(2025,MONTH($AY$27),BB33),'TABLERO DIARIO'!$CO$2:$ABZ$6,5,FALSE)/1000</f>
        <v>39.439</v>
      </c>
      <c r="BC34" s="562">
        <f>HLOOKUP(DATE(2025,MONTH($AY$27),BC33),'TABLERO DIARIO'!$CO$2:$ABZ$6,5,FALSE)/1000</f>
        <v>41.3095</v>
      </c>
      <c r="BD34" s="562">
        <f>HLOOKUP(DATE(2025,MONTH($AY$27),BD33),'TABLERO DIARIO'!$CO$2:$ABZ$6,5,FALSE)/1000</f>
        <v>34.236400000000003</v>
      </c>
      <c r="BE34" s="566" t="s">
        <v>1078</v>
      </c>
      <c r="BG34" s="561">
        <f>HLOOKUP(DATE(2025,MONTH($BG$27),BG33),'TABLERO DIARIO'!$CO$2:$AFA$6,5,FALSE)/1000</f>
        <v>38.636000000000003</v>
      </c>
      <c r="BH34" s="562">
        <f>HLOOKUP(DATE(2025,MONTH($BG$27),BH33),'TABLERO DIARIO'!$CO$2:$AFA$6,5,FALSE)/1000</f>
        <v>41.874099999999999</v>
      </c>
      <c r="BI34" s="562">
        <f>HLOOKUP(DATE(2025,MONTH($BG$27),BI33),'TABLERO DIARIO'!$CO$2:$AFA$6,5,FALSE)/1000</f>
        <v>43.340800000000002</v>
      </c>
      <c r="BJ34" s="562">
        <f>HLOOKUP(DATE(2025,MONTH($BG$27),BJ33),'TABLERO DIARIO'!$CO$2:$AFA$6,5,FALSE)/1000</f>
        <v>42.142499999999998</v>
      </c>
      <c r="BK34" s="562">
        <f>HLOOKUP(DATE(2025,MONTH($BG$27),BK33),'TABLERO DIARIO'!$CO$2:$AFA$6,5,FALSE)/1000</f>
        <v>44.172499999999999</v>
      </c>
      <c r="BL34" s="562">
        <f>HLOOKUP(DATE(2025,MONTH($BG$27),BL33),'TABLERO DIARIO'!$CO$2:$AFA$6,5,FALSE)/1000</f>
        <v>20.845800000000001</v>
      </c>
      <c r="BM34" s="595">
        <f>HLOOKUP(DATE(2025,MONTH($BG$27),BM33),'TABLERO DIARIO'!$CO$2:$AFA$6,5,FALSE)/1000</f>
        <v>19.659200000000002</v>
      </c>
      <c r="BO34" s="561">
        <f>HLOOKUP(DATE(2025,MONTH($BO$27),BO33),'TABLERO DIARIO'!$ABA$2:$AIG$6,5,FALSE)/1000</f>
        <v>42.515300000000003</v>
      </c>
      <c r="BP34" s="562">
        <f>HLOOKUP(DATE(2025,MONTH($BO$27),BP33),'TABLERO DIARIO'!$ABA$2:$AIG$6,5,FALSE)/1000</f>
        <v>41.777300000000004</v>
      </c>
      <c r="BQ34" s="562">
        <f>HLOOKUP(DATE(2025,MONTH($BO$27),BQ33),'TABLERO DIARIO'!$ABA$2:$AIG$6,5,FALSE)/1000</f>
        <v>43.518899999999995</v>
      </c>
      <c r="BR34" s="562">
        <f>HLOOKUP(DATE(2025,MONTH($BO$27),BR33),'TABLERO DIARIO'!$ABA$2:$AIG$6,5,FALSE)/1000</f>
        <v>43.385899999999999</v>
      </c>
      <c r="BS34" s="562">
        <f>HLOOKUP(DATE(2025,MONTH($BO$27),BS33),'TABLERO DIARIO'!$ABA$2:$AIG$6,5,FALSE)/1000</f>
        <v>36.714800000000004</v>
      </c>
      <c r="BT34" s="562">
        <f>HLOOKUP(DATE(2025,MONTH($BO$27),BT33),'TABLERO DIARIO'!$ABA$2:$AIG$6,5,FALSE)/1000</f>
        <v>19.370099999999997</v>
      </c>
      <c r="BU34" s="595">
        <f>HLOOKUP(DATE(2025,MONTH($BO$27),BU33),'TABLERO DIARIO'!$ABA$2:$AIG$6,5,FALSE)/1000</f>
        <v>19.652900000000002</v>
      </c>
      <c r="BW34" s="993">
        <f>HLOOKUP(DATE(2025,MONTH($BW$27),BW33),'TABLERO DIARIO'!$AIA$2:$AMA$6,5,FALSE)/1000</f>
        <v>41.931400000000004</v>
      </c>
      <c r="BX34" s="994">
        <f>HLOOKUP(DATE(2025,MONTH($BW$27),BX33),'TABLERO DIARIO'!$AIA$2:$AMA$6,5,FALSE)/1000</f>
        <v>41.715400000000002</v>
      </c>
      <c r="BY34" s="994">
        <f>HLOOKUP(DATE(2025,MONTH($BW$27),BY33),'TABLERO DIARIO'!$AIA$2:$AMA$6,5,FALSE)/1000</f>
        <v>36.455100000000009</v>
      </c>
      <c r="BZ34" s="994">
        <f>HLOOKUP(DATE(2025,MONTH($BW$27),BZ33),'TABLERO DIARIO'!$AIA$2:$AMA$6,5,FALSE)/1000</f>
        <v>44.243199999999995</v>
      </c>
      <c r="CA34" s="994">
        <f>HLOOKUP(DATE(2025,MONTH($BW$27),CA33),'TABLERO DIARIO'!$AIA$2:$AMA$6,5,FALSE)/1000</f>
        <v>46.3172</v>
      </c>
      <c r="CB34" s="994">
        <f>HLOOKUP(DATE(2025,MONTH($BW$27),CB33),'TABLERO DIARIO'!$AIA$2:$AMA$6,5,FALSE)/1000</f>
        <v>29.046299999999999</v>
      </c>
      <c r="CC34" s="1005">
        <f>HLOOKUP(DATE(2025,MONTH($BW$27),CC33),'TABLERO DIARIO'!$AIA$2:$AMA$6,5,FALSE)/1000</f>
        <v>19.6843</v>
      </c>
      <c r="CE34" s="993">
        <f>IFERROR(HLOOKUP(DATE(2026,MONTH($CE$27),CE33),'TABLERO DIARIO'!$ALQ$2:$APO$6,5,FALSE)/1000,0)</f>
        <v>37.443300000000001</v>
      </c>
      <c r="CF34" s="994">
        <f>IFERROR(HLOOKUP(DATE(2026,MONTH($CE$27),CF33),'TABLERO DIARIO'!$ALQ$2:$APO$6,5,FALSE)/1000,0)</f>
        <v>38.487000000000002</v>
      </c>
      <c r="CG34" s="994">
        <f>IFERROR(HLOOKUP(DATE(2026,MONTH($CE$27),CG33),'TABLERO DIARIO'!$ALQ$2:$APO$6,5,FALSE)/1000,0)</f>
        <v>43.897899999999993</v>
      </c>
      <c r="CH34" s="994">
        <f>IFERROR(HLOOKUP(DATE(2026,MONTH($CE$27),CH33),'TABLERO DIARIO'!$ALQ$2:$APO$6,5,FALSE)/1000,0)</f>
        <v>46.252300000000005</v>
      </c>
      <c r="CI34" s="994">
        <f>IFERROR(HLOOKUP(DATE(2026,MONTH($CE$27),CI33),'TABLERO DIARIO'!$ALQ$2:$APO$6,5,FALSE)/1000,0)</f>
        <v>45.726900000000001</v>
      </c>
      <c r="CJ34" s="994">
        <f>IFERROR(HLOOKUP(DATE(2026,MONTH($CE$27),CJ33),'TABLERO DIARIO'!$ALQ$2:$APO$6,5,FALSE)/1000,0)</f>
        <v>42.192899999999995</v>
      </c>
      <c r="CK34" s="998" t="s">
        <v>1078</v>
      </c>
      <c r="CM34" s="999">
        <f>IFERROR(HLOOKUP(DATE(2026,MONTH($CM$27),CM33),'TABLERO DIARIO'!$APL$2:$ATL$6,5,FALSE)/1000,0)</f>
        <v>46.145000000000003</v>
      </c>
      <c r="CN34" s="1000">
        <f>IFERROR(HLOOKUP(DATE(2026,MONTH($CM$27),CN33),'TABLERO DIARIO'!$APL$2:$ATL$6,5,FALSE)/1000,0)</f>
        <v>48.183699999999995</v>
      </c>
      <c r="CO34" s="1000">
        <f>IFERROR(HLOOKUP(DATE(2026,MONTH($CM$27),CO33),'TABLERO DIARIO'!$APL$2:$ATL$6,5,FALSE)/1000,0)</f>
        <v>46.069600000000008</v>
      </c>
      <c r="CP34" s="1000">
        <f>IFERROR(HLOOKUP(DATE(2026,MONTH($CM$27),CP33),'TABLERO DIARIO'!$APL$2:$ATL$6,5,FALSE)/1000,0)</f>
        <v>49.186500000000002</v>
      </c>
      <c r="CQ34" s="1000">
        <f>IFERROR(HLOOKUP(DATE(2026,MONTH($CM$27),CQ33),'TABLERO DIARIO'!$APL$2:$ATL$6,5,FALSE)/1000,0)</f>
        <v>47.265900000000002</v>
      </c>
      <c r="CR34" s="1000">
        <f>IFERROR(HLOOKUP(DATE(2026,MONTH($CM$27),CR33),'TABLERO DIARIO'!$APL$2:$ATL$6,5,FALSE)/1000,0)</f>
        <v>36.9116</v>
      </c>
      <c r="CS34" s="998" t="s">
        <v>1078</v>
      </c>
      <c r="CU34" s="999">
        <f>IFERROR(HLOOKUP(DATE(2026,MONTH($CU$27),CU33),'TABLERO DIARIO'!$ASF$2:$AWF$6,5,FALSE)/1000,0)</f>
        <v>48.267199999999995</v>
      </c>
      <c r="CV34" s="1000">
        <f>IFERROR(HLOOKUP(DATE(2026,MONTH($CU$27),CV33),'TABLERO DIARIO'!$ASF$2:$AWF$6,5,FALSE)/1000,0)</f>
        <v>43.6462</v>
      </c>
      <c r="CW34" s="1000">
        <f>IFERROR(HLOOKUP(DATE(2026,MONTH($CU$27),CW33),'TABLERO DIARIO'!$ASF$2:$AWF$6,5,FALSE)/1000,0)</f>
        <v>49.471899999999998</v>
      </c>
      <c r="CX34" s="1000">
        <f>IFERROR(HLOOKUP(DATE(2026,MONTH($CU$27),CX33),'TABLERO DIARIO'!$ASF$2:$AWF$6,5,FALSE)/1000,0)</f>
        <v>44.024500000000003</v>
      </c>
      <c r="CY34" s="1000">
        <f>IFERROR(HLOOKUP(DATE(2026,MONTH($CU$27),CY33),'TABLERO DIARIO'!$ASF$2:$AWF$6,5,FALSE)/1000,0)</f>
        <v>51.521399999999993</v>
      </c>
      <c r="CZ34" s="1065">
        <f>IFERROR(HLOOKUP(DATE(2026,MONTH($CU$27),CZ33),'TABLERO DIARIO'!$ASF$2:$AWF$6,5,FALSE)/1000,0)</f>
        <v>0</v>
      </c>
      <c r="DA34" s="1105">
        <f>IFERROR(HLOOKUP(DATE(2026,MONTH($CU$27),DA33),'TABLERO DIARIO'!$ASF$2:$AWF$6,5,FALSE)/1000,0)</f>
        <v>20.463263999999999</v>
      </c>
      <c r="DC34" s="999">
        <f>IFERROR(HLOOKUP(DATE(2026,MONTH($DC$27),DC33),'TABLERO DIARIO'!$ASF$2:$AZZ$6,5,FALSE)/1000,0)</f>
        <v>0</v>
      </c>
      <c r="DD34" s="1000">
        <f>IFERROR(HLOOKUP(DATE(2026,MONTH($DC$27),DD33),'TABLERO DIARIO'!$ASF$2:$AZZ$6,5,FALSE)/1000,0)</f>
        <v>0</v>
      </c>
      <c r="DE34" s="1000">
        <f>IFERROR(HLOOKUP(DATE(2026,MONTH($DC$27),DE33),'TABLERO DIARIO'!$ASF$2:$AZZ$6,5,FALSE)/1000,0)</f>
        <v>0</v>
      </c>
      <c r="DF34" s="1000">
        <f>IFERROR(HLOOKUP(DATE(2026,MONTH($DC$27),DF33),'TABLERO DIARIO'!$ASF$2:$AZZ$6,5,FALSE)/1000,0)</f>
        <v>0</v>
      </c>
      <c r="DG34" s="1000">
        <f>IFERROR(HLOOKUP(DATE(2026,MONTH($DC$27),DG33),'TABLERO DIARIO'!$ASF$2:$AZZ$6,5,FALSE)/1000,0)</f>
        <v>0</v>
      </c>
      <c r="DH34" s="1065">
        <f>IFERROR(HLOOKUP(DATE(2026,MONTH($DC$27),DH33),'TABLERO DIARIO'!$ASF$2:$AZZ$6,5,FALSE)/1000,0)</f>
        <v>0</v>
      </c>
      <c r="DI34" s="1105">
        <f>IFERROR(HLOOKUP(DATE(2026,MONTH($DC$27),DI33),'TABLERO DIARIO'!$ASF$2:$AZZ$6,5,FALSE)/1000,0)</f>
        <v>0</v>
      </c>
    </row>
    <row r="35" spans="1:113">
      <c r="A35" s="1468"/>
      <c r="C35" s="188">
        <v>17</v>
      </c>
      <c r="D35" s="189">
        <v>18</v>
      </c>
      <c r="E35" s="189">
        <v>19</v>
      </c>
      <c r="F35" s="189">
        <v>20</v>
      </c>
      <c r="G35" s="189">
        <v>21</v>
      </c>
      <c r="H35" s="189">
        <v>22</v>
      </c>
      <c r="I35" s="190">
        <v>23</v>
      </c>
      <c r="J35" s="187"/>
      <c r="K35" s="188">
        <v>21</v>
      </c>
      <c r="L35" s="189">
        <v>22</v>
      </c>
      <c r="M35" s="189">
        <v>23</v>
      </c>
      <c r="N35" s="189">
        <v>24</v>
      </c>
      <c r="O35" s="189">
        <v>25</v>
      </c>
      <c r="P35" s="189">
        <v>26</v>
      </c>
      <c r="Q35" s="190">
        <v>27</v>
      </c>
      <c r="R35" s="187"/>
      <c r="S35" s="188">
        <v>19</v>
      </c>
      <c r="T35" s="189">
        <v>20</v>
      </c>
      <c r="U35" s="189">
        <v>21</v>
      </c>
      <c r="V35" s="189">
        <v>22</v>
      </c>
      <c r="W35" s="189">
        <v>23</v>
      </c>
      <c r="X35" s="189">
        <v>24</v>
      </c>
      <c r="Y35" s="190">
        <v>25</v>
      </c>
      <c r="Z35" s="187"/>
      <c r="AA35" s="247">
        <v>16</v>
      </c>
      <c r="AB35" s="248">
        <v>17</v>
      </c>
      <c r="AC35" s="248">
        <v>18</v>
      </c>
      <c r="AD35" s="248">
        <v>19</v>
      </c>
      <c r="AE35" s="248">
        <v>20</v>
      </c>
      <c r="AF35" s="248">
        <v>21</v>
      </c>
      <c r="AG35" s="249">
        <v>22</v>
      </c>
      <c r="AH35" s="187"/>
      <c r="AI35" s="188">
        <v>21</v>
      </c>
      <c r="AJ35" s="189">
        <v>22</v>
      </c>
      <c r="AK35" s="189">
        <v>23</v>
      </c>
      <c r="AL35" s="189">
        <v>24</v>
      </c>
      <c r="AM35" s="189">
        <v>25</v>
      </c>
      <c r="AN35" s="189">
        <v>26</v>
      </c>
      <c r="AO35" s="190">
        <v>27</v>
      </c>
      <c r="AP35" s="187"/>
      <c r="AQ35" s="233">
        <v>18</v>
      </c>
      <c r="AR35" s="189">
        <f t="shared" ref="AR35:AW35" si="271">+AQ35+1</f>
        <v>19</v>
      </c>
      <c r="AS35" s="189">
        <f t="shared" si="271"/>
        <v>20</v>
      </c>
      <c r="AT35" s="189">
        <f t="shared" si="271"/>
        <v>21</v>
      </c>
      <c r="AU35" s="189">
        <f t="shared" si="271"/>
        <v>22</v>
      </c>
      <c r="AV35" s="189">
        <f t="shared" si="271"/>
        <v>23</v>
      </c>
      <c r="AW35" s="234">
        <f t="shared" si="271"/>
        <v>24</v>
      </c>
      <c r="AY35" s="188">
        <v>22</v>
      </c>
      <c r="AZ35" s="189">
        <f t="shared" si="178"/>
        <v>23</v>
      </c>
      <c r="BA35" s="189">
        <f t="shared" si="178"/>
        <v>24</v>
      </c>
      <c r="BB35" s="189">
        <f t="shared" si="178"/>
        <v>25</v>
      </c>
      <c r="BC35" s="189">
        <f t="shared" si="178"/>
        <v>26</v>
      </c>
      <c r="BD35" s="189">
        <f t="shared" si="178"/>
        <v>27</v>
      </c>
      <c r="BE35" s="190">
        <f t="shared" si="178"/>
        <v>28</v>
      </c>
      <c r="BG35" s="233">
        <v>20</v>
      </c>
      <c r="BH35" s="189">
        <f t="shared" ref="BH35" si="272">+BG35+1</f>
        <v>21</v>
      </c>
      <c r="BI35" s="189">
        <f t="shared" ref="BI35" si="273">+BH35+1</f>
        <v>22</v>
      </c>
      <c r="BJ35" s="189">
        <f t="shared" ref="BJ35" si="274">+BI35+1</f>
        <v>23</v>
      </c>
      <c r="BK35" s="189">
        <f t="shared" ref="BK35" si="275">+BJ35+1</f>
        <v>24</v>
      </c>
      <c r="BL35" s="189">
        <f t="shared" ref="BL35" si="276">+BK35+1</f>
        <v>25</v>
      </c>
      <c r="BM35" s="234">
        <f t="shared" ref="BM35" si="277">+BL35+1</f>
        <v>26</v>
      </c>
      <c r="BO35" s="233">
        <v>17</v>
      </c>
      <c r="BP35" s="189">
        <f t="shared" ref="BP35" si="278">+BO35+1</f>
        <v>18</v>
      </c>
      <c r="BQ35" s="189">
        <f t="shared" ref="BQ35" si="279">+BP35+1</f>
        <v>19</v>
      </c>
      <c r="BR35" s="189">
        <f t="shared" ref="BR35" si="280">+BQ35+1</f>
        <v>20</v>
      </c>
      <c r="BS35" s="189">
        <f t="shared" ref="BS35" si="281">+BR35+1</f>
        <v>21</v>
      </c>
      <c r="BT35" s="189">
        <f t="shared" ref="BT35" si="282">+BS35+1</f>
        <v>22</v>
      </c>
      <c r="BU35" s="234">
        <f t="shared" ref="BU35" si="283">+BT35+1</f>
        <v>23</v>
      </c>
      <c r="BW35" s="233">
        <v>22</v>
      </c>
      <c r="BX35" s="189">
        <f t="shared" ref="BX35" si="284">+BW35+1</f>
        <v>23</v>
      </c>
      <c r="BY35" s="189">
        <f t="shared" ref="BY35" si="285">+BX35+1</f>
        <v>24</v>
      </c>
      <c r="BZ35" s="189">
        <f t="shared" ref="BZ35" si="286">+BY35+1</f>
        <v>25</v>
      </c>
      <c r="CA35" s="189">
        <f t="shared" ref="CA35" si="287">+BZ35+1</f>
        <v>26</v>
      </c>
      <c r="CB35" s="189">
        <f t="shared" ref="CB35" si="288">+CA35+1</f>
        <v>27</v>
      </c>
      <c r="CC35" s="234">
        <f t="shared" ref="CC35" si="289">+CB35+1</f>
        <v>28</v>
      </c>
      <c r="CE35" s="233">
        <v>19</v>
      </c>
      <c r="CF35" s="189">
        <f t="shared" ref="CF35" si="290">+CE35+1</f>
        <v>20</v>
      </c>
      <c r="CG35" s="189">
        <f t="shared" ref="CG35" si="291">+CF35+1</f>
        <v>21</v>
      </c>
      <c r="CH35" s="189">
        <f t="shared" ref="CH35" si="292">+CG35+1</f>
        <v>22</v>
      </c>
      <c r="CI35" s="189">
        <f t="shared" ref="CI35" si="293">+CH35+1</f>
        <v>23</v>
      </c>
      <c r="CJ35" s="189">
        <f t="shared" ref="CJ35" si="294">+CI35+1</f>
        <v>24</v>
      </c>
      <c r="CK35" s="234">
        <f t="shared" ref="CK35" si="295">+CJ35+1</f>
        <v>25</v>
      </c>
      <c r="CM35" s="233">
        <v>16</v>
      </c>
      <c r="CN35" s="189">
        <f t="shared" ref="CN35:CS35" si="296">+CM35+1</f>
        <v>17</v>
      </c>
      <c r="CO35" s="189">
        <f t="shared" si="296"/>
        <v>18</v>
      </c>
      <c r="CP35" s="189">
        <f t="shared" si="296"/>
        <v>19</v>
      </c>
      <c r="CQ35" s="189">
        <f t="shared" si="296"/>
        <v>20</v>
      </c>
      <c r="CR35" s="189">
        <f t="shared" si="296"/>
        <v>21</v>
      </c>
      <c r="CS35" s="234">
        <f t="shared" si="296"/>
        <v>22</v>
      </c>
      <c r="CU35" s="233">
        <v>16</v>
      </c>
      <c r="CV35" s="189">
        <f t="shared" ref="CV35" si="297">+CU35+1</f>
        <v>17</v>
      </c>
      <c r="CW35" s="189">
        <f t="shared" ref="CW35" si="298">+CV35+1</f>
        <v>18</v>
      </c>
      <c r="CX35" s="189">
        <f t="shared" ref="CX35" si="299">+CW35+1</f>
        <v>19</v>
      </c>
      <c r="CY35" s="189">
        <f t="shared" ref="CY35" si="300">+CX35+1</f>
        <v>20</v>
      </c>
      <c r="CZ35" s="189">
        <f t="shared" ref="CZ35" si="301">+CY35+1</f>
        <v>21</v>
      </c>
      <c r="DA35" s="234">
        <f t="shared" ref="DA35" si="302">+CZ35+1</f>
        <v>22</v>
      </c>
      <c r="DC35" s="233">
        <v>20</v>
      </c>
      <c r="DD35" s="189">
        <f t="shared" ref="DD35" si="303">+DC35+1</f>
        <v>21</v>
      </c>
      <c r="DE35" s="189">
        <f t="shared" ref="DE35" si="304">+DD35+1</f>
        <v>22</v>
      </c>
      <c r="DF35" s="189">
        <f t="shared" ref="DF35" si="305">+DE35+1</f>
        <v>23</v>
      </c>
      <c r="DG35" s="189">
        <f t="shared" ref="DG35" si="306">+DF35+1</f>
        <v>24</v>
      </c>
      <c r="DH35" s="189">
        <f t="shared" ref="DH35" si="307">+DG35+1</f>
        <v>25</v>
      </c>
      <c r="DI35" s="234">
        <f t="shared" ref="DI35" si="308">+DH35+1</f>
        <v>26</v>
      </c>
    </row>
    <row r="36" spans="1:113">
      <c r="A36" s="1468"/>
      <c r="C36" s="218">
        <f>HLOOKUP(DATE(2025,MONTH($C$27),C35),'TABLERO DIARIO'!$CO$2:$PU$6,5,FALSE)/1000</f>
        <v>43.448</v>
      </c>
      <c r="D36" s="216">
        <f>HLOOKUP(DATE(2025,MONTH($C$27),D35),'TABLERO DIARIO'!$CO$2:$PU$6,5,FALSE)/1000</f>
        <v>45.762</v>
      </c>
      <c r="E36" s="216">
        <f>HLOOKUP(DATE(2025,MONTH($C$27),E35),'TABLERO DIARIO'!$CO$2:$PU$6,5,FALSE)/1000</f>
        <v>46.856000000000002</v>
      </c>
      <c r="F36" s="216">
        <f>HLOOKUP(DATE(2025,MONTH($C$27),F35),'TABLERO DIARIO'!$CO$2:$PU$6,5,FALSE)/1000</f>
        <v>47.9452</v>
      </c>
      <c r="G36" s="216">
        <f>HLOOKUP(DATE(2025,MONTH($C$27),G35),'TABLERO DIARIO'!$CO$2:$PU$6,5,FALSE)/1000</f>
        <v>48.011000000000003</v>
      </c>
      <c r="H36" s="216">
        <f>HLOOKUP(DATE(2025,MONTH($C$27),H35),'TABLERO DIARIO'!$CO$2:$PU$6,5,FALSE)/1000</f>
        <v>40.453000000000003</v>
      </c>
      <c r="I36" s="213">
        <f>HLOOKUP(DATE(2025,MONTH($C$27),I35),'TABLERO DIARIO'!$CO$2:$PU$6,5,FALSE)/1000</f>
        <v>45.454000000000001</v>
      </c>
      <c r="J36" s="229"/>
      <c r="K36" s="218">
        <f>HLOOKUP(DATE(2025,MONTH($K$27),K35),'TABLERO DIARIO'!$CO$2:$PU$6,5,FALSE)/1000</f>
        <v>36.904000000000003</v>
      </c>
      <c r="L36" s="216">
        <f>HLOOKUP(DATE(2025,MONTH($K$27),L35),'TABLERO DIARIO'!$CO$2:$PU$6,5,FALSE)/1000</f>
        <v>43.59</v>
      </c>
      <c r="M36" s="216">
        <f>HLOOKUP(DATE(2025,MONTH($K$27),M35),'TABLERO DIARIO'!$CO$2:$PU$6,5,FALSE)/1000</f>
        <v>47.043599999999998</v>
      </c>
      <c r="N36" s="216">
        <f>HLOOKUP(DATE(2025,MONTH($K$27),N35),'TABLERO DIARIO'!$CO$2:$PU$6,5,FALSE)/1000</f>
        <v>49.686199999999999</v>
      </c>
      <c r="O36" s="216">
        <f>HLOOKUP(DATE(2025,MONTH($K$27),O35),'TABLERO DIARIO'!$CO$2:$PU$6,5,FALSE)/1000</f>
        <v>50.166899999999998</v>
      </c>
      <c r="P36" s="216">
        <f>HLOOKUP(DATE(2025,MONTH($K$27),P35),'TABLERO DIARIO'!$CO$2:$PU$6,5,FALSE)/1000</f>
        <v>43.653399999999991</v>
      </c>
      <c r="Q36" s="213">
        <f>HLOOKUP(DATE(2025,MONTH($K$27),Q35),'TABLERO DIARIO'!$CO$2:$PU$6,5,FALSE)/1000</f>
        <v>24.575800000000005</v>
      </c>
      <c r="R36" s="229"/>
      <c r="S36" s="218">
        <f>HLOOKUP(DATE(2025,MONTH($S$27),S35),'TABLERO DIARIO'!$CO$2:$PU$6,5,FALSE)/1000</f>
        <v>42.841999999999999</v>
      </c>
      <c r="T36" s="216">
        <f>HLOOKUP(DATE(2025,MONTH($S$27),T35),'TABLERO DIARIO'!$CO$2:$PU$6,5,FALSE)/1000</f>
        <v>43.874000000000002</v>
      </c>
      <c r="U36" s="216">
        <f>HLOOKUP(DATE(2025,MONTH($S$27),U35),'TABLERO DIARIO'!$CO$2:$PU$6,5,FALSE)/1000</f>
        <v>47.1676</v>
      </c>
      <c r="V36" s="216">
        <f>HLOOKUP(DATE(2025,MONTH($S$27),V35),'TABLERO DIARIO'!$CO$2:$PU$6,5,FALSE)/1000</f>
        <v>49.305999999999997</v>
      </c>
      <c r="W36" s="216">
        <f>HLOOKUP(DATE(2025,MONTH($S$27),W35),'TABLERO DIARIO'!$CO$2:$PU$6,5,FALSE)/1000</f>
        <v>50.289000000000001</v>
      </c>
      <c r="X36" s="216">
        <f>HLOOKUP(DATE(2025,MONTH($S$27),X35),'TABLERO DIARIO'!$CO$2:$PU$6,5,FALSE)/1000</f>
        <v>45.065599999999996</v>
      </c>
      <c r="Y36" s="227" t="s">
        <v>1078</v>
      </c>
      <c r="Z36" s="229"/>
      <c r="AA36" s="255" t="s">
        <v>1078</v>
      </c>
      <c r="AB36" s="253">
        <f>HLOOKUP(DATE(2025,MONTH($AA$27),AB35),'TABLERO DIARIO'!$CO$2:$PU$6,5,FALSE)/1000</f>
        <v>44.309899999999992</v>
      </c>
      <c r="AC36" s="253">
        <f>HLOOKUP(DATE(2025,MONTH($AA$27),AC35),'TABLERO DIARIO'!$CO$2:$PU$6,5,FALSE)/1000</f>
        <v>40.7986</v>
      </c>
      <c r="AD36" s="253">
        <f>HLOOKUP(DATE(2025,MONTH($AA$27),AD35),'TABLERO DIARIO'!$CO$2:$PU$6,5,FALSE)/1000</f>
        <v>45.819800000000001</v>
      </c>
      <c r="AE36" s="257" t="s">
        <v>1078</v>
      </c>
      <c r="AF36" s="258" t="s">
        <v>1078</v>
      </c>
      <c r="AG36" s="259" t="s">
        <v>1078</v>
      </c>
      <c r="AH36" s="229"/>
      <c r="AI36" s="359">
        <f>HLOOKUP(DATE(2025,MONTH($AI$27),AI35),'TABLERO DIARIO'!$CO$2:$UE$6,5,FALSE)/1000</f>
        <v>39.1706</v>
      </c>
      <c r="AJ36" s="358">
        <f>HLOOKUP(DATE(2025,MONTH($AI$27),AJ35),'TABLERO DIARIO'!$CO$2:$UE$6,5,FALSE)/1000</f>
        <v>46.949899999999992</v>
      </c>
      <c r="AK36" s="358">
        <f>HLOOKUP(DATE(2025,MONTH($AI$27),AK35),'TABLERO DIARIO'!$CO$2:$UE$6,5,FALSE)/1000</f>
        <v>45.506100000000004</v>
      </c>
      <c r="AL36" s="358">
        <f>HLOOKUP(DATE(2025,MONTH($AI$27),AL35),'TABLERO DIARIO'!$CO$2:$UE$6,5,FALSE)/1000</f>
        <v>44.724899999999998</v>
      </c>
      <c r="AM36" s="358">
        <f>HLOOKUP(DATE(2025,MONTH($AI$27),AM35),'TABLERO DIARIO'!$CO$2:$UE$6,5,FALSE)/1000</f>
        <v>46.045100000000005</v>
      </c>
      <c r="AN36" s="358">
        <f>HLOOKUP(DATE(2025,MONTH($AI$27),AN35),'TABLERO DIARIO'!$CO$2:$UE$6,5,FALSE)/1000</f>
        <v>36.809100000000008</v>
      </c>
      <c r="AO36" s="385">
        <f>HLOOKUP(DATE(2025,MONTH($AI$27),AO35),'TABLERO DIARIO'!$CO$2:$UE$6,5,FALSE)/1000</f>
        <v>36.826999999999998</v>
      </c>
      <c r="AP36" s="229"/>
      <c r="AQ36" s="392">
        <f>HLOOKUP(DATE(2025,MONTH($AQ$27),AQ35),'TABLERO DIARIO'!$CO$2:$ZZ$6,5,FALSE)/1000</f>
        <v>43.607599999999998</v>
      </c>
      <c r="AR36" s="358">
        <f>HLOOKUP(DATE(2025,MONTH($AQ$27),AR35),'TABLERO DIARIO'!$CO$2:$ZZ$6,5,FALSE)/1000</f>
        <v>47.644800000000004</v>
      </c>
      <c r="AS36" s="358">
        <f>HLOOKUP(DATE(2025,MONTH($AQ$27),AS35),'TABLERO DIARIO'!$CO$2:$ZZ$6,5,FALSE)/1000</f>
        <v>48.189</v>
      </c>
      <c r="AT36" s="358">
        <f>HLOOKUP(DATE(2025,MONTH($AQ$27),AT35),'TABLERO DIARIO'!$CO$2:$ZZ$6,5,FALSE)/1000</f>
        <v>46.027500000000003</v>
      </c>
      <c r="AU36" s="358">
        <f>HLOOKUP(DATE(2025,MONTH($AQ$27),AU35),'TABLERO DIARIO'!$CO$2:$ZZ$6,5,FALSE)/1000</f>
        <v>47.568899999999999</v>
      </c>
      <c r="AV36" s="240" t="s">
        <v>1078</v>
      </c>
      <c r="AW36" s="241" t="s">
        <v>1078</v>
      </c>
      <c r="AY36" s="564">
        <f>HLOOKUP(DATE(2025,MONTH($AY$27),AY35),'TABLERO DIARIO'!$CO$2:$ABZ$6,5,FALSE)/1000</f>
        <v>38.041499999999999</v>
      </c>
      <c r="AZ36" s="562">
        <f>HLOOKUP(DATE(2025,MONTH($AY$27),AZ35),'TABLERO DIARIO'!$CO$2:$ABZ$6,5,FALSE)/1000</f>
        <v>43.330599999999997</v>
      </c>
      <c r="BA36" s="562">
        <f>HLOOKUP(DATE(2025,MONTH($AY$27),BA35),'TABLERO DIARIO'!$CO$2:$ABZ$6,5,FALSE)/1000</f>
        <v>35.262300000000003</v>
      </c>
      <c r="BB36" s="562">
        <f>HLOOKUP(DATE(2025,MONTH($AY$27),BB35),'TABLERO DIARIO'!$CO$2:$ABZ$6,5,FALSE)/1000</f>
        <v>40.904600000000002</v>
      </c>
      <c r="BC36" s="562">
        <f>HLOOKUP(DATE(2025,MONTH($AY$27),BC35),'TABLERO DIARIO'!$CO$2:$ABZ$6,5,FALSE)/1000</f>
        <v>39.387999999999998</v>
      </c>
      <c r="BD36" s="562">
        <f>HLOOKUP(DATE(2025,MONTH($AY$27),BD35),'TABLERO DIARIO'!$CO$2:$ABZ$6,5,FALSE)/1000</f>
        <v>40.64</v>
      </c>
      <c r="BE36" s="563" t="s">
        <v>1078</v>
      </c>
      <c r="BG36" s="561">
        <f>HLOOKUP(DATE(2025,MONTH($BG$27),BG35),'TABLERO DIARIO'!$CO$2:$AFA$6,5,FALSE)/1000</f>
        <v>40.700400000000002</v>
      </c>
      <c r="BH36" s="562">
        <f>HLOOKUP(DATE(2025,MONTH($BG$27),BH35),'TABLERO DIARIO'!$CO$2:$AFA$6,5,FALSE)/1000</f>
        <v>43.271599999999999</v>
      </c>
      <c r="BI36" s="562">
        <f>HLOOKUP(DATE(2025,MONTH($BG$27),BI35),'TABLERO DIARIO'!$CO$2:$AFA$6,5,FALSE)/1000</f>
        <v>43.335300000000004</v>
      </c>
      <c r="BJ36" s="562">
        <f>HLOOKUP(DATE(2025,MONTH($BG$27),BJ35),'TABLERO DIARIO'!$CO$2:$AFA$6,5,FALSE)/1000</f>
        <v>44.779000000000003</v>
      </c>
      <c r="BK36" s="562">
        <f>HLOOKUP(DATE(2025,MONTH($BG$27),BK35),'TABLERO DIARIO'!$CO$2:$AFA$6,5,FALSE)/1000</f>
        <v>41.3857</v>
      </c>
      <c r="BL36" s="562">
        <f>HLOOKUP(DATE(2025,MONTH($BG$27),BL35),'TABLERO DIARIO'!$CO$2:$AFA$6,5,FALSE)/1000</f>
        <v>14.673</v>
      </c>
      <c r="BM36" s="594">
        <f>HLOOKUP(DATE(2025,MONTH($BG$27),BM35),'TABLERO DIARIO'!$CO$2:$AFA$6,5,FALSE)/1000</f>
        <v>19.740599999999997</v>
      </c>
      <c r="BO36" s="561">
        <f>HLOOKUP(DATE(2025,MONTH($BO$27),BO35),'TABLERO DIARIO'!$ABA$2:$AIG$6,5,FALSE)/1000</f>
        <v>40.9572</v>
      </c>
      <c r="BP36" s="562">
        <f>HLOOKUP(DATE(2025,MONTH($BO$27),BP35),'TABLERO DIARIO'!$ABA$2:$AIG$6,5,FALSE)/1000</f>
        <v>42.414199999999994</v>
      </c>
      <c r="BQ36" s="562">
        <f>HLOOKUP(DATE(2025,MONTH($BO$27),BQ35),'TABLERO DIARIO'!$ABA$2:$AIG$6,5,FALSE)/1000</f>
        <v>46.330199999999998</v>
      </c>
      <c r="BR36" s="562">
        <f>HLOOKUP(DATE(2025,MONTH($BO$27),BR35),'TABLERO DIARIO'!$ABA$2:$AIG$6,5,FALSE)/1000</f>
        <v>46.665300000000002</v>
      </c>
      <c r="BS36" s="562">
        <f>HLOOKUP(DATE(2025,MONTH($BO$27),BS35),'TABLERO DIARIO'!$ABA$2:$AIG$6,5,FALSE)/1000</f>
        <v>45.278300000000002</v>
      </c>
      <c r="BT36" s="562">
        <f>HLOOKUP(DATE(2025,MONTH($BO$27),BT35),'TABLERO DIARIO'!$ABA$2:$AIG$6,5,FALSE)/1000</f>
        <v>40.932400000000001</v>
      </c>
      <c r="BU36" s="594" t="s">
        <v>1078</v>
      </c>
      <c r="BW36" s="993">
        <f>HLOOKUP(DATE(2025,MONTH($BW$27),BW35),'TABLERO DIARIO'!$AIA$2:$AMA$6,5,FALSE)/1000</f>
        <v>46.197400000000002</v>
      </c>
      <c r="BX36" s="994">
        <f>HLOOKUP(DATE(2025,MONTH($BW$27),BX35),'TABLERO DIARIO'!$AIA$2:$AMA$6,5,FALSE)/1000</f>
        <v>42.047400000000003</v>
      </c>
      <c r="BY36" s="1007">
        <f>HLOOKUP(DATE(2025,MONTH($BW$27),BY35),'TABLERO DIARIO'!$AIA$2:$AMA$6,5,FALSE)/1000</f>
        <v>17.395400000000002</v>
      </c>
      <c r="BZ36" s="1007">
        <f>HLOOKUP(DATE(2025,MONTH($BW$27),BZ35),'TABLERO DIARIO'!$AIA$2:$AMA$6,5,FALSE)/1000</f>
        <v>0</v>
      </c>
      <c r="CA36" s="994">
        <f>HLOOKUP(DATE(2025,MONTH($BW$27),CA35),'TABLERO DIARIO'!$AIA$2:$AMA$6,5,FALSE)/1000</f>
        <v>40.778599999999997</v>
      </c>
      <c r="CB36" s="994">
        <f>HLOOKUP(DATE(2025,MONTH($BW$27),CB35),'TABLERO DIARIO'!$AIA$2:$AMA$6,5,FALSE)/1000</f>
        <v>39.159999999999997</v>
      </c>
      <c r="CC36" s="995">
        <f>HLOOKUP(DATE(2025,MONTH($BW$27),CC35),'TABLERO DIARIO'!$AIA$2:$AMA$6,5,FALSE)/1000</f>
        <v>34.3294</v>
      </c>
      <c r="CE36" s="993">
        <f>IFERROR(HLOOKUP(DATE(2026,MONTH($CE$27),CE35),'TABLERO DIARIO'!$ALQ$2:$APO$6,5,FALSE)/1000,0)</f>
        <v>45.336300000000001</v>
      </c>
      <c r="CF36" s="994">
        <f>IFERROR(HLOOKUP(DATE(2026,MONTH($CE$27),CF35),'TABLERO DIARIO'!$ALQ$2:$APO$6,5,FALSE)/1000,0)</f>
        <v>47.639399999999995</v>
      </c>
      <c r="CG36" s="994">
        <f>IFERROR(HLOOKUP(DATE(2026,MONTH($CE$27),CG35),'TABLERO DIARIO'!$ALQ$2:$APO$6,5,FALSE)/1000,0)</f>
        <v>41.8703</v>
      </c>
      <c r="CH36" s="994">
        <f>IFERROR(HLOOKUP(DATE(2026,MONTH($CE$27),CH35),'TABLERO DIARIO'!$ALQ$2:$APO$6,5,FALSE)/1000,0)</f>
        <v>47.130600000000008</v>
      </c>
      <c r="CI36" s="994">
        <f>IFERROR(HLOOKUP(DATE(2026,MONTH($CE$27),CI35),'TABLERO DIARIO'!$ALQ$2:$APO$6,5,FALSE)/1000,0)</f>
        <v>49.985599999999998</v>
      </c>
      <c r="CJ36" s="994">
        <f>IFERROR(HLOOKUP(DATE(2026,MONTH($CE$27),CJ35),'TABLERO DIARIO'!$ALQ$2:$APO$6,5,FALSE)/1000,0)</f>
        <v>40.528300000000002</v>
      </c>
      <c r="CK36" s="995">
        <f>IFERROR(HLOOKUP(DATE(2026,MONTH($CE$27),CK35),'TABLERO DIARIO'!$ALQ$2:$APO$6,5,FALSE)/1000,0)</f>
        <v>37.952585999999997</v>
      </c>
      <c r="CM36" s="1102">
        <f>IFERROR(HLOOKUP(DATE(2026,MONTH($CM$27),CM35),'TABLERO DIARIO'!$APL$2:$ATL$6,5,FALSE)/1000,0)</f>
        <v>0</v>
      </c>
      <c r="CN36" s="1103">
        <f>IFERROR(HLOOKUP(DATE(2026,MONTH($CM$27),CN35),'TABLERO DIARIO'!$APL$2:$ATL$6,5,FALSE)/1000,0)</f>
        <v>38.758699999999997</v>
      </c>
      <c r="CO36" s="1000">
        <f>IFERROR(HLOOKUP(DATE(2026,MONTH($CM$27),CO35),'TABLERO DIARIO'!$APL$2:$ATL$6,5,FALSE)/1000,0)</f>
        <v>42.056699999999999</v>
      </c>
      <c r="CP36" s="1000">
        <f>IFERROR(HLOOKUP(DATE(2026,MONTH($CM$27),CP35),'TABLERO DIARIO'!$APL$2:$ATL$6,5,FALSE)/1000,0)</f>
        <v>44.882199999999997</v>
      </c>
      <c r="CQ36" s="1000">
        <f>IFERROR(HLOOKUP(DATE(2026,MONTH($CM$27),CQ35),'TABLERO DIARIO'!$APL$2:$ATL$6,5,FALSE)/1000,0)</f>
        <v>45.672899999999998</v>
      </c>
      <c r="CR36" s="1000">
        <f>IFERROR(HLOOKUP(DATE(2026,MONTH($CM$27),CR35),'TABLERO DIARIO'!$APL$2:$ATL$6,5,FALSE)/1000,0)</f>
        <v>40.579500000000003</v>
      </c>
      <c r="CS36" s="1003">
        <f>IFERROR(HLOOKUP(DATE(2026,MONTH($CM$27),CS35),'TABLERO DIARIO'!$APL$2:$ATL$6,5,FALSE)/1000,0)</f>
        <v>41.837899999999998</v>
      </c>
      <c r="CU36" s="999">
        <f>IFERROR(HLOOKUP(DATE(2026,MONTH($CU$27),CU35),'TABLERO DIARIO'!$ASF$2:$AWF$6,5,FALSE)/1000,0)</f>
        <v>48.009899999999995</v>
      </c>
      <c r="CV36" s="1000">
        <f>IFERROR(HLOOKUP(DATE(2026,MONTH($CU$27),CV35),'TABLERO DIARIO'!$ASF$2:$AWF$6,5,FALSE)/1000,0)</f>
        <v>47.761600000000001</v>
      </c>
      <c r="CW36" s="1000">
        <f>IFERROR(HLOOKUP(DATE(2026,MONTH($CU$27),CW35),'TABLERO DIARIO'!$ASF$2:$AWF$6,5,FALSE)/1000,0)</f>
        <v>47.975100000000005</v>
      </c>
      <c r="CX36" s="1000">
        <f>IFERROR(HLOOKUP(DATE(2026,MONTH($CU$27),CX35),'TABLERO DIARIO'!$ASF$2:$AWF$6,5,FALSE)/1000,0)</f>
        <v>45.886600000000008</v>
      </c>
      <c r="CY36" s="1000">
        <f>IFERROR(HLOOKUP(DATE(2026,MONTH($CU$27),CY35),'TABLERO DIARIO'!$ASF$2:$AWF$6,5,FALSE)/1000,0)</f>
        <v>50.0105</v>
      </c>
      <c r="CZ36" s="1000">
        <f>IFERROR(HLOOKUP(DATE(2026,MONTH($CU$27),CZ35),'TABLERO DIARIO'!$ASF$2:$AWF$6,5,FALSE)/1000,0)</f>
        <v>39.407400000000003</v>
      </c>
      <c r="DA36" s="1003">
        <f>IFERROR(HLOOKUP(DATE(2026,MONTH($CU$27),DA35),'TABLERO DIARIO'!$ASF$2:$AWF$6,5,FALSE)/1000,0)</f>
        <v>44.4833</v>
      </c>
      <c r="DC36" s="999">
        <f>IFERROR(HLOOKUP(DATE(2026,MONTH($DC$27),DC35),'TABLERO DIARIO'!$ASF$2:$AZZ$6,5,FALSE)/1000,0)</f>
        <v>0</v>
      </c>
      <c r="DD36" s="1000">
        <f>IFERROR(HLOOKUP(DATE(2026,MONTH($DC$27),DD35),'TABLERO DIARIO'!$ASF$2:$AZZ$6,5,FALSE)/1000,0)</f>
        <v>0</v>
      </c>
      <c r="DE36" s="1000">
        <f>IFERROR(HLOOKUP(DATE(2026,MONTH($DC$27),DE35),'TABLERO DIARIO'!$ASF$2:$AZZ$6,5,FALSE)/1000,0)</f>
        <v>0</v>
      </c>
      <c r="DF36" s="1000">
        <f>IFERROR(HLOOKUP(DATE(2026,MONTH($DC$27),DF35),'TABLERO DIARIO'!$ASF$2:$AZZ$6,5,FALSE)/1000,0)</f>
        <v>0</v>
      </c>
      <c r="DG36" s="1000">
        <f>IFERROR(HLOOKUP(DATE(2026,MONTH($DC$27),DG35),'TABLERO DIARIO'!$ASF$2:$AZZ$6,5,FALSE)/1000,0)</f>
        <v>0</v>
      </c>
      <c r="DH36" s="1000">
        <f>IFERROR(HLOOKUP(DATE(2026,MONTH($DC$27),DH35),'TABLERO DIARIO'!$ASF$2:$AZZ$6,5,FALSE)/1000,0)</f>
        <v>0</v>
      </c>
      <c r="DI36" s="1003">
        <f>IFERROR(HLOOKUP(DATE(2026,MONTH($DC$27),DI35),'TABLERO DIARIO'!$ASF$2:$AZZ$6,5,FALSE)/1000,0)</f>
        <v>0</v>
      </c>
    </row>
    <row r="37" spans="1:113">
      <c r="A37" s="1468"/>
      <c r="C37" s="188">
        <v>24</v>
      </c>
      <c r="D37" s="189">
        <v>25</v>
      </c>
      <c r="E37" s="189">
        <v>26</v>
      </c>
      <c r="F37" s="189">
        <v>27</v>
      </c>
      <c r="G37" s="189">
        <v>28</v>
      </c>
      <c r="H37" s="189">
        <v>29</v>
      </c>
      <c r="I37" s="190">
        <v>30</v>
      </c>
      <c r="J37" s="187"/>
      <c r="K37" s="188">
        <v>28</v>
      </c>
      <c r="L37" s="189">
        <v>29</v>
      </c>
      <c r="M37" s="189">
        <v>30</v>
      </c>
      <c r="N37" s="189" t="s">
        <v>124</v>
      </c>
      <c r="O37" s="189" t="s">
        <v>124</v>
      </c>
      <c r="P37" s="189" t="s">
        <v>124</v>
      </c>
      <c r="Q37" s="190" t="s">
        <v>124</v>
      </c>
      <c r="R37" s="187"/>
      <c r="S37" s="188">
        <v>26</v>
      </c>
      <c r="T37" s="189">
        <v>27</v>
      </c>
      <c r="U37" s="189">
        <v>28</v>
      </c>
      <c r="V37" s="189">
        <v>29</v>
      </c>
      <c r="W37" s="189">
        <v>30</v>
      </c>
      <c r="X37" s="189">
        <v>31</v>
      </c>
      <c r="Y37" s="190" t="s">
        <v>124</v>
      </c>
      <c r="Z37" s="187"/>
      <c r="AA37" s="247">
        <v>23</v>
      </c>
      <c r="AB37" s="248">
        <v>24</v>
      </c>
      <c r="AC37" s="248">
        <v>25</v>
      </c>
      <c r="AD37" s="248">
        <v>26</v>
      </c>
      <c r="AE37" s="248">
        <v>27</v>
      </c>
      <c r="AF37" s="248">
        <v>28</v>
      </c>
      <c r="AG37" s="249">
        <v>29</v>
      </c>
      <c r="AH37" s="187"/>
      <c r="AI37" s="188">
        <v>28</v>
      </c>
      <c r="AJ37" s="189">
        <v>29</v>
      </c>
      <c r="AK37" s="189">
        <v>30</v>
      </c>
      <c r="AL37" s="189">
        <v>31</v>
      </c>
      <c r="AM37" s="189" t="s">
        <v>124</v>
      </c>
      <c r="AN37" s="189" t="s">
        <v>124</v>
      </c>
      <c r="AO37" s="190" t="s">
        <v>124</v>
      </c>
      <c r="AP37" s="187"/>
      <c r="AQ37" s="233">
        <v>25</v>
      </c>
      <c r="AR37" s="189">
        <f t="shared" ref="AR37:AW37" si="309">+AQ37+1</f>
        <v>26</v>
      </c>
      <c r="AS37" s="189">
        <f t="shared" si="309"/>
        <v>27</v>
      </c>
      <c r="AT37" s="189">
        <f t="shared" si="309"/>
        <v>28</v>
      </c>
      <c r="AU37" s="189">
        <f t="shared" si="309"/>
        <v>29</v>
      </c>
      <c r="AV37" s="189">
        <f t="shared" si="309"/>
        <v>30</v>
      </c>
      <c r="AW37" s="234">
        <f t="shared" si="309"/>
        <v>31</v>
      </c>
      <c r="AY37" s="188">
        <v>29</v>
      </c>
      <c r="AZ37" s="189">
        <f t="shared" si="178"/>
        <v>30</v>
      </c>
      <c r="BA37" s="189"/>
      <c r="BB37" s="189"/>
      <c r="BC37" s="189"/>
      <c r="BD37" s="189" t="s">
        <v>124</v>
      </c>
      <c r="BE37" s="190" t="s">
        <v>124</v>
      </c>
      <c r="BG37" s="233">
        <v>27</v>
      </c>
      <c r="BH37" s="189">
        <f t="shared" ref="BH37" si="310">+BG37+1</f>
        <v>28</v>
      </c>
      <c r="BI37" s="189">
        <f t="shared" ref="BI37" si="311">+BH37+1</f>
        <v>29</v>
      </c>
      <c r="BJ37" s="189">
        <f t="shared" ref="BJ37" si="312">+BI37+1</f>
        <v>30</v>
      </c>
      <c r="BK37" s="189">
        <f t="shared" ref="BK37" si="313">+BJ37+1</f>
        <v>31</v>
      </c>
      <c r="BL37" s="189" t="s">
        <v>124</v>
      </c>
      <c r="BM37" s="234" t="s">
        <v>124</v>
      </c>
      <c r="BO37" s="233">
        <v>24</v>
      </c>
      <c r="BP37" s="189">
        <f t="shared" ref="BP37" si="314">+BO37+1</f>
        <v>25</v>
      </c>
      <c r="BQ37" s="189">
        <f t="shared" ref="BQ37" si="315">+BP37+1</f>
        <v>26</v>
      </c>
      <c r="BR37" s="189">
        <f t="shared" ref="BR37" si="316">+BQ37+1</f>
        <v>27</v>
      </c>
      <c r="BS37" s="189">
        <f t="shared" ref="BS37" si="317">+BR37+1</f>
        <v>28</v>
      </c>
      <c r="BT37" s="189">
        <f t="shared" ref="BT37" si="318">+BS37+1</f>
        <v>29</v>
      </c>
      <c r="BU37" s="234">
        <f t="shared" ref="BU37" si="319">+BT37+1</f>
        <v>30</v>
      </c>
      <c r="BW37" s="233">
        <v>29</v>
      </c>
      <c r="BX37" s="189">
        <v>30</v>
      </c>
      <c r="BY37" s="189">
        <v>31</v>
      </c>
      <c r="BZ37" s="189"/>
      <c r="CA37" s="189"/>
      <c r="CB37" s="189" t="s">
        <v>124</v>
      </c>
      <c r="CC37" s="234" t="s">
        <v>124</v>
      </c>
      <c r="CE37" s="233">
        <v>26</v>
      </c>
      <c r="CF37" s="189">
        <f>+CE37+1</f>
        <v>27</v>
      </c>
      <c r="CG37" s="189">
        <f>+CF37+1</f>
        <v>28</v>
      </c>
      <c r="CH37" s="189">
        <f>+CG37+1</f>
        <v>29</v>
      </c>
      <c r="CI37" s="189">
        <f>+CH37+1</f>
        <v>30</v>
      </c>
      <c r="CJ37" s="189">
        <f>+CI37+1</f>
        <v>31</v>
      </c>
      <c r="CK37" s="234" t="s">
        <v>124</v>
      </c>
      <c r="CM37" s="233">
        <v>23</v>
      </c>
      <c r="CN37" s="189">
        <f>1+CM37</f>
        <v>24</v>
      </c>
      <c r="CO37" s="189">
        <f>1+CN37</f>
        <v>25</v>
      </c>
      <c r="CP37" s="189">
        <f>1+CO37</f>
        <v>26</v>
      </c>
      <c r="CQ37" s="189">
        <f>1+CP37</f>
        <v>27</v>
      </c>
      <c r="CR37" s="189">
        <f>1+CQ37</f>
        <v>28</v>
      </c>
      <c r="CS37" s="234" t="s">
        <v>124</v>
      </c>
      <c r="CU37" s="233">
        <v>23</v>
      </c>
      <c r="CV37" s="189">
        <f t="shared" ref="CV37:DA37" si="320">1+CU37</f>
        <v>24</v>
      </c>
      <c r="CW37" s="189">
        <f t="shared" si="320"/>
        <v>25</v>
      </c>
      <c r="CX37" s="189">
        <f t="shared" si="320"/>
        <v>26</v>
      </c>
      <c r="CY37" s="189">
        <f t="shared" si="320"/>
        <v>27</v>
      </c>
      <c r="CZ37" s="189">
        <f t="shared" si="320"/>
        <v>28</v>
      </c>
      <c r="DA37" s="234">
        <f t="shared" si="320"/>
        <v>29</v>
      </c>
      <c r="DC37" s="233">
        <v>27</v>
      </c>
      <c r="DD37" s="189">
        <f>1+DC37</f>
        <v>28</v>
      </c>
      <c r="DE37" s="189">
        <f>1+DD37</f>
        <v>29</v>
      </c>
      <c r="DF37" s="189">
        <f>1+DE37</f>
        <v>30</v>
      </c>
      <c r="DG37" s="189"/>
      <c r="DH37" s="189"/>
      <c r="DI37" s="234"/>
    </row>
    <row r="38" spans="1:113">
      <c r="A38" s="1468"/>
      <c r="C38" s="214">
        <f>HLOOKUP(DATE(2025,MONTH($C$27),C37),'TABLERO DIARIO'!$CO$2:$PU$6,5,FALSE)/1000</f>
        <v>38.736199999999997</v>
      </c>
      <c r="D38" s="216">
        <f>HLOOKUP(DATE(2025,MONTH($C$27),D37),'TABLERO DIARIO'!$CO$2:$PU$6,5,FALSE)/1000</f>
        <v>42.476099999999995</v>
      </c>
      <c r="E38" s="216">
        <f>HLOOKUP(DATE(2025,MONTH($C$27),E37),'TABLERO DIARIO'!$CO$2:$PU$6,5,FALSE)/1000</f>
        <v>44.07</v>
      </c>
      <c r="F38" s="216">
        <f>HLOOKUP(DATE(2025,MONTH($C$27),F37),'TABLERO DIARIO'!$CO$2:$PU$6,5,FALSE)/1000</f>
        <v>44.451699999999995</v>
      </c>
      <c r="G38" s="216">
        <f>HLOOKUP(DATE(2025,MONTH($C$27),G37),'TABLERO DIARIO'!$CO$2:$PU$6,5,FALSE)/1000</f>
        <v>46.454000000000001</v>
      </c>
      <c r="H38" s="216">
        <f>HLOOKUP(DATE(2025,MONTH($C$27),H37),'TABLERO DIARIO'!$CO$2:$PU$6,5,FALSE)/1000</f>
        <v>43.806899999999999</v>
      </c>
      <c r="I38" s="219">
        <f>HLOOKUP(DATE(2025,MONTH($C$27),I37),'TABLERO DIARIO'!$CO$2:$PU$6,5,FALSE)/1000</f>
        <v>19.066310000000001</v>
      </c>
      <c r="J38" s="229"/>
      <c r="K38" s="218">
        <f>HLOOKUP(DATE(2025,MONTH($K$27),K37),'TABLERO DIARIO'!$CO$2:$PU$6,5,FALSE)/1000</f>
        <v>45.5274</v>
      </c>
      <c r="L38" s="216">
        <f>HLOOKUP(DATE(2025,MONTH($K$27),L37),'TABLERO DIARIO'!$CO$2:$PU$6,5,FALSE)/1000</f>
        <v>43.783000000000001</v>
      </c>
      <c r="M38" s="216">
        <f>HLOOKUP(DATE(2025,MONTH($K$27),M37),'TABLERO DIARIO'!$CO$2:$PU$6,5,FALSE)/1000</f>
        <v>46.164699999999996</v>
      </c>
      <c r="N38" s="88"/>
      <c r="O38" s="88"/>
      <c r="P38" s="88"/>
      <c r="Q38" s="193" t="s">
        <v>124</v>
      </c>
      <c r="R38" s="229"/>
      <c r="S38" s="218">
        <f>HLOOKUP(DATE(2025,MONTH($S$27),S37),'TABLERO DIARIO'!$CO$2:$PU$6,5,FALSE)/1000</f>
        <v>43.436999999999998</v>
      </c>
      <c r="T38" s="216">
        <f>HLOOKUP(DATE(2025,MONTH($S$27),T37),'TABLERO DIARIO'!$CO$2:$PU$6,5,FALSE)/1000</f>
        <v>49.795999999999999</v>
      </c>
      <c r="U38" s="216">
        <f>HLOOKUP(DATE(2025,MONTH($S$27),U37),'TABLERO DIARIO'!$CO$2:$PU$6,5,FALSE)/1000</f>
        <v>44.490099999999998</v>
      </c>
      <c r="V38" s="216">
        <f>HLOOKUP(DATE(2025,MONTH($S$27),V37),'TABLERO DIARIO'!$CO$2:$PU$6,5,FALSE)/1000</f>
        <v>47.989100000000001</v>
      </c>
      <c r="W38" s="216">
        <f>HLOOKUP(DATE(2025,MONTH($S$27),W37),'TABLERO DIARIO'!$CO$2:$PU$6,5,FALSE)/1000</f>
        <v>46.143600000000006</v>
      </c>
      <c r="X38" s="222" t="s">
        <v>1078</v>
      </c>
      <c r="Y38" s="213" t="s">
        <v>124</v>
      </c>
      <c r="Z38" s="229"/>
      <c r="AA38" s="252">
        <f>HLOOKUP(DATE(2025,MONTH($AA$27),AA37),'TABLERO DIARIO'!$CO$2:$PU$6,5,FALSE)/1000</f>
        <v>46.880399999999995</v>
      </c>
      <c r="AB38" s="253">
        <f>HLOOKUP(DATE(2025,MONTH($AA$27),AB37),'TABLERO DIARIO'!$CO$2:$UE$6,5,FALSE)/1000</f>
        <v>17.420300000000001</v>
      </c>
      <c r="AC38" s="253">
        <f>HLOOKUP(DATE(2025,MONTH($AA$27),AC37),'TABLERO DIARIO'!$CO$2:$UE$6,5,FALSE)/1000</f>
        <v>23.110700000000001</v>
      </c>
      <c r="AD38" s="253">
        <f>HLOOKUP(DATE(2025,MONTH($AA$27),AD37),'TABLERO DIARIO'!$CO$2:$UE$6,5,FALSE)/1000</f>
        <v>46.99</v>
      </c>
      <c r="AE38" s="253">
        <f>HLOOKUP(DATE(2025,MONTH($AA$27),AE37),'TABLERO DIARIO'!$CO$2:$UE$6,5,FALSE)/1000</f>
        <v>43.720999999999997</v>
      </c>
      <c r="AF38" s="253">
        <f>HLOOKUP(DATE(2025,MONTH($AA$27),AF37),'TABLERO DIARIO'!$CO$2:$UE$6,5,FALSE)/1000</f>
        <v>42.125999999999998</v>
      </c>
      <c r="AG38" s="251" t="s">
        <v>1078</v>
      </c>
      <c r="AH38" s="229"/>
      <c r="AI38" s="359">
        <f>HLOOKUP(DATE(2025,MONTH($AI$27),AI37),'TABLERO DIARIO'!$CO$2:$UE$6,5,FALSE)/1000</f>
        <v>46.058300000000003</v>
      </c>
      <c r="AJ38" s="358">
        <f>HLOOKUP(DATE(2025,MONTH($AI$27),AJ37),'TABLERO DIARIO'!$CO$2:$UE$6,5,FALSE)/1000</f>
        <v>42.3005</v>
      </c>
      <c r="AK38" s="358">
        <f>HLOOKUP(DATE(2025,MONTH($AI$27),AK37),'TABLERO DIARIO'!$CO$2:$UE$6,5,FALSE)/1000</f>
        <v>42.988600000000005</v>
      </c>
      <c r="AL38" s="358">
        <f>HLOOKUP(DATE(2025,MONTH($AI$27),AL37),'TABLERO DIARIO'!$CO$2:$UE$6,5,FALSE)/1000</f>
        <v>43.9649</v>
      </c>
      <c r="AM38" s="88"/>
      <c r="AN38" s="88"/>
      <c r="AO38" s="193" t="s">
        <v>124</v>
      </c>
      <c r="AP38" s="229"/>
      <c r="AQ38" s="561">
        <f>HLOOKUP(DATE(2025,MONTH($AQ$27),AQ37),'TABLERO DIARIO'!$CO$2:$ZZ$6,5,FALSE)/1000</f>
        <v>43.821199999999997</v>
      </c>
      <c r="AR38" s="562">
        <f>HLOOKUP(DATE(2025,MONTH($AQ$27),AR37),'TABLERO DIARIO'!$CO$2:$ZZ$6,5,FALSE)/1000</f>
        <v>48.350199999999994</v>
      </c>
      <c r="AS38" s="562">
        <f>HLOOKUP(DATE(2025,MONTH($AQ$27),AS37),'TABLERO DIARIO'!$CO$2:$ZZ$6,5,FALSE)/1000</f>
        <v>48.145600000000009</v>
      </c>
      <c r="AT38" s="562">
        <f>HLOOKUP(DATE(2025,MONTH($AQ$27),AT37),'TABLERO DIARIO'!$CO$2:$ZZ$6,5,FALSE)/1000</f>
        <v>44.28</v>
      </c>
      <c r="AU38" s="562">
        <f>HLOOKUP(DATE(2025,MONTH($AQ$27),AU37),'TABLERO DIARIO'!$CO$2:$ZZ$6,5,FALSE)/1000</f>
        <v>44.455300000000001</v>
      </c>
      <c r="AV38" s="240" t="s">
        <v>1078</v>
      </c>
      <c r="AW38" s="241" t="s">
        <v>1078</v>
      </c>
      <c r="AY38" s="564">
        <f>HLOOKUP(DATE(2025,MONTH($AY$27),AY37),'TABLERO DIARIO'!$CO$2:$ABZ$6,5,FALSE)/1000</f>
        <v>39.859300000000005</v>
      </c>
      <c r="AZ38" s="562">
        <f>HLOOKUP(DATE(2025,MONTH($AY$27),AZ37),'TABLERO DIARIO'!$CO$2:$ABZ$6,5,FALSE)/1000</f>
        <v>34.730599999999995</v>
      </c>
      <c r="BA38" s="562"/>
      <c r="BB38" s="562"/>
      <c r="BC38" s="562"/>
      <c r="BD38" s="562"/>
      <c r="BE38" s="563" t="s">
        <v>124</v>
      </c>
      <c r="BG38" s="561">
        <f>HLOOKUP(DATE(2025,MONTH($BG$27),BG37),'TABLERO DIARIO'!$CO$2:$AFA$6,5,FALSE)/1000</f>
        <v>40.740900000000003</v>
      </c>
      <c r="BH38" s="562">
        <f>HLOOKUP(DATE(2025,MONTH($BG$27),BH37),'TABLERO DIARIO'!$CO$2:$AFA$6,5,FALSE)/1000</f>
        <v>42.856399999999994</v>
      </c>
      <c r="BI38" s="562">
        <f>HLOOKUP(DATE(2025,MONTH($BG$27),BI37),'TABLERO DIARIO'!$CO$2:$AFA$6,5,FALSE)/1000</f>
        <v>43.416899999999998</v>
      </c>
      <c r="BJ38" s="562">
        <f>HLOOKUP(DATE(2025,MONTH($BG$27),BJ37),'TABLERO DIARIO'!$CO$2:$AFA$6,5,FALSE)/1000</f>
        <v>40.174699999999994</v>
      </c>
      <c r="BK38" s="562">
        <f>HLOOKUP(DATE(2025,MONTH($BG$27),BK37),'TABLERO DIARIO'!$CO$2:$AFA$6,5,FALSE)/1000</f>
        <v>41.955800000000004</v>
      </c>
      <c r="BL38" s="562"/>
      <c r="BM38" s="594" t="s">
        <v>124</v>
      </c>
      <c r="BO38" s="561" t="s">
        <v>1078</v>
      </c>
      <c r="BP38" s="562">
        <f>HLOOKUP(DATE(2025,MONTH($BO$27),BP37),'TABLERO DIARIO'!$ABA$2:$AIG$6,5,FALSE)/1000</f>
        <v>41.256699999999995</v>
      </c>
      <c r="BQ38" s="562">
        <f>HLOOKUP(DATE(2025,MONTH($BO$27),BQ37),'TABLERO DIARIO'!$ABA$2:$AIG$6,5,FALSE)/1000</f>
        <v>46.929000000000002</v>
      </c>
      <c r="BR38" s="562">
        <f>HLOOKUP(DATE(2025,MONTH($BO$27),BR37),'TABLERO DIARIO'!$ABA$2:$AIG$6,5,FALSE)/1000</f>
        <v>45.358800000000002</v>
      </c>
      <c r="BS38" s="562">
        <f>HLOOKUP(DATE(2025,MONTH($BO$27),BS37),'TABLERO DIARIO'!$ABA$2:$AIG$6,5,FALSE)/1000</f>
        <v>43.238399999999992</v>
      </c>
      <c r="BT38" s="562">
        <f>HLOOKUP(DATE(2025,MONTH($BO$27),BT37),'TABLERO DIARIO'!$ABA$2:$AIG$6,5,FALSE)/1000</f>
        <v>20.549900000000001</v>
      </c>
      <c r="BU38" s="594">
        <f>HLOOKUP(DATE(2025,MONTH($BO$27),BU37),'TABLERO DIARIO'!$ABA$2:$AIG$6,5,FALSE)/1000</f>
        <v>17.489999999999998</v>
      </c>
      <c r="BW38" s="993">
        <f>HLOOKUP(DATE(2025,MONTH($BW$27),BW37),'TABLERO DIARIO'!$AIA$2:$AMA$6,5,FALSE)/1000</f>
        <v>42.617199999999997</v>
      </c>
      <c r="BX38" s="994">
        <f>HLOOKUP(DATE(2025,MONTH($BW$27),BX37),'TABLERO DIARIO'!$AIA$2:$AMA$6,5,FALSE)/1000</f>
        <v>43.947499999999998</v>
      </c>
      <c r="BY38" s="1007">
        <f>HLOOKUP(DATE(2025,MONTH($BW$27),BY37),'TABLERO DIARIO'!$AIA$2:$AMA$6,5,FALSE)/1000</f>
        <v>18.994</v>
      </c>
      <c r="BZ38" s="562"/>
      <c r="CA38" s="562"/>
      <c r="CB38" s="562"/>
      <c r="CC38" s="594" t="s">
        <v>124</v>
      </c>
      <c r="CE38" s="993">
        <f>IFERROR(HLOOKUP(DATE(2026,MONTH($CE$27),CE37),'TABLERO DIARIO'!$ALQ$2:$APO$6,5,FALSE)/1000,0)</f>
        <v>45.782699999999998</v>
      </c>
      <c r="CF38" s="994">
        <f>IFERROR(HLOOKUP(DATE(2026,MONTH($CE$27),CF37),'TABLERO DIARIO'!$ALQ$2:$APO$6,5,FALSE)/1000,0)</f>
        <v>39.615000000000002</v>
      </c>
      <c r="CG38" s="994">
        <f>IFERROR(HLOOKUP(DATE(2026,MONTH($CE$27),CG37),'TABLERO DIARIO'!$ALQ$2:$APO$6,5,FALSE)/1000,0)</f>
        <v>49.703800000000001</v>
      </c>
      <c r="CH38" s="1000">
        <f>IFERROR(HLOOKUP(DATE(2026,MONTH($CE$27),CH37),'TABLERO DIARIO'!$ALQ$2:$APO$6,5,FALSE)/1000,0)</f>
        <v>43.774699999999996</v>
      </c>
      <c r="CI38" s="1000">
        <f>IFERROR(HLOOKUP(DATE(2026,MONTH($CE$27),CI37),'TABLERO DIARIO'!$ALQ$2:$APO$6,5,FALSE)/1000,0)</f>
        <v>47.672899999999998</v>
      </c>
      <c r="CJ38" s="1104" t="s">
        <v>1078</v>
      </c>
      <c r="CK38" s="594" t="s">
        <v>124</v>
      </c>
      <c r="CM38" s="999">
        <f>IFERROR(HLOOKUP(DATE(2026,MONTH($CM$27),CM37),'TABLERO DIARIO'!$APL$2:$ATL$6,5,FALSE)/1000,0)</f>
        <v>47.3048</v>
      </c>
      <c r="CN38" s="1000">
        <f>IFERROR(HLOOKUP(DATE(2026,MONTH($CM$27),CN37),'TABLERO DIARIO'!$APL$2:$ATL$6,5,FALSE)/1000,0)</f>
        <v>46.563300000000005</v>
      </c>
      <c r="CO38" s="1000">
        <f>IFERROR(HLOOKUP(DATE(2026,MONTH($CM$27),CO37),'TABLERO DIARIO'!$APL$2:$ATL$6,5,FALSE)/1000,0)</f>
        <v>46.648000000000003</v>
      </c>
      <c r="CP38" s="1000">
        <f>IFERROR(HLOOKUP(DATE(2026,MONTH($CM$27),CP37),'TABLERO DIARIO'!$APL$2:$ATL$6,5,FALSE)/1000,0)</f>
        <v>44.224899999999991</v>
      </c>
      <c r="CQ38" s="1000">
        <f>IFERROR(HLOOKUP(DATE(2026,MONTH($CM$27),CQ37),'TABLERO DIARIO'!$APL$2:$ATL$6,5,FALSE)/1000,0)</f>
        <v>47.893000000000001</v>
      </c>
      <c r="CR38" s="1065">
        <f>IFERROR(HLOOKUP(DATE(2026,MONTH($CM$27),CR37),'TABLERO DIARIO'!$APL$2:$ATL$6,5,FALSE)/1000,0)</f>
        <v>0</v>
      </c>
      <c r="CS38" s="594" t="s">
        <v>124</v>
      </c>
      <c r="CU38" s="999">
        <f>IFERROR(HLOOKUP(DATE(2026,MONTH($CU$27),CU37),'TABLERO DIARIO'!$ASF$2:$AWF$6,5,FALSE)/1000,0)</f>
        <v>42.487399999999994</v>
      </c>
      <c r="CV38" s="1000">
        <f>IFERROR(HLOOKUP(DATE(2026,MONTH($CU$27),CV37),'TABLERO DIARIO'!$ASF$2:$AWF$6,5,FALSE)/1000,0)</f>
        <v>50.512800000000006</v>
      </c>
      <c r="CW38" s="1000">
        <f>IFERROR(HLOOKUP(DATE(2026,MONTH($CU$27),CW37),'TABLERO DIARIO'!$ASF$2:$AWF$6,5,FALSE)/1000,0)</f>
        <v>47.125999999999998</v>
      </c>
      <c r="CX38" s="1000">
        <f>IFERROR(HLOOKUP(DATE(2026,MONTH($CU$27),CX37),'TABLERO DIARIO'!$ASF$2:$AWF$6,5,FALSE)/1000,0)</f>
        <v>47</v>
      </c>
      <c r="CY38" s="1000">
        <f>IFERROR(HLOOKUP(DATE(2026,MONTH($CU$27),CY37),'TABLERO DIARIO'!$ASF$2:$AWF$6,5,FALSE)/1000,0)</f>
        <v>0</v>
      </c>
      <c r="CZ38" s="1000">
        <f>IFERROR(HLOOKUP(DATE(2026,MONTH($CU$27),CZ37),'TABLERO DIARIO'!$ASF$2:$AWF$6,5,FALSE)/1000,0)</f>
        <v>0</v>
      </c>
      <c r="DA38" s="1005">
        <f>IFERROR(HLOOKUP(DATE(2026,MONTH($CU$27),DA37),'TABLERO DIARIO'!$ASF$2:$AWF$6,5,FALSE)/1000,0)</f>
        <v>0</v>
      </c>
      <c r="DC38" s="999">
        <f>IFERROR(HLOOKUP(DATE(2026,MONTH($DC$27),DC37),'TABLERO DIARIO'!$ASF$2:$AZZ$6,5,FALSE)/1000,0)</f>
        <v>0</v>
      </c>
      <c r="DD38" s="1000">
        <f>IFERROR(HLOOKUP(DATE(2026,MONTH($DC$27),DD37),'TABLERO DIARIO'!$ASF$2:$AZZ$6,5,FALSE)/1000,0)</f>
        <v>0</v>
      </c>
      <c r="DE38" s="1000">
        <f>IFERROR(HLOOKUP(DATE(2026,MONTH($DC$27),DE37),'TABLERO DIARIO'!$ASF$2:$AZZ$6,5,FALSE)/1000,0)</f>
        <v>0</v>
      </c>
      <c r="DF38" s="1000">
        <f>IFERROR(HLOOKUP(DATE(2026,MONTH($DC$27),DF37),'TABLERO DIARIO'!$ASF$2:$AZZ$6,5,FALSE)/1000,0)</f>
        <v>0</v>
      </c>
      <c r="DG38" s="1000"/>
      <c r="DH38" s="1000"/>
      <c r="DI38" s="995"/>
    </row>
    <row r="39" spans="1:113">
      <c r="A39" s="1468"/>
      <c r="C39" s="188">
        <v>31</v>
      </c>
      <c r="D39" s="201" t="s">
        <v>124</v>
      </c>
      <c r="E39" s="201" t="s">
        <v>124</v>
      </c>
      <c r="F39" s="201" t="s">
        <v>124</v>
      </c>
      <c r="G39" s="201" t="s">
        <v>124</v>
      </c>
      <c r="H39" s="201" t="s">
        <v>124</v>
      </c>
      <c r="I39" s="202" t="s">
        <v>124</v>
      </c>
      <c r="J39" s="88"/>
      <c r="K39" s="203" t="s">
        <v>124</v>
      </c>
      <c r="L39" s="201" t="s">
        <v>124</v>
      </c>
      <c r="M39" s="201" t="s">
        <v>124</v>
      </c>
      <c r="N39" s="201" t="s">
        <v>124</v>
      </c>
      <c r="O39" s="201" t="s">
        <v>124</v>
      </c>
      <c r="P39" s="201" t="s">
        <v>124</v>
      </c>
      <c r="Q39" s="202" t="s">
        <v>124</v>
      </c>
      <c r="R39" s="88"/>
      <c r="S39" s="203" t="s">
        <v>124</v>
      </c>
      <c r="T39" s="201" t="s">
        <v>124</v>
      </c>
      <c r="U39" s="201" t="s">
        <v>124</v>
      </c>
      <c r="V39" s="201" t="s">
        <v>124</v>
      </c>
      <c r="W39" s="201" t="s">
        <v>124</v>
      </c>
      <c r="X39" s="201" t="s">
        <v>124</v>
      </c>
      <c r="Y39" s="202" t="s">
        <v>124</v>
      </c>
      <c r="Z39" s="88"/>
      <c r="AA39" s="247">
        <v>30</v>
      </c>
      <c r="AB39" s="260" t="s">
        <v>124</v>
      </c>
      <c r="AC39" s="260" t="s">
        <v>124</v>
      </c>
      <c r="AD39" s="260" t="s">
        <v>124</v>
      </c>
      <c r="AE39" s="260" t="s">
        <v>124</v>
      </c>
      <c r="AF39" s="260" t="s">
        <v>124</v>
      </c>
      <c r="AG39" s="261" t="s">
        <v>124</v>
      </c>
      <c r="AH39" s="88"/>
      <c r="AI39" s="203" t="s">
        <v>124</v>
      </c>
      <c r="AJ39" s="201" t="s">
        <v>124</v>
      </c>
      <c r="AK39" s="201" t="s">
        <v>124</v>
      </c>
      <c r="AL39" s="201" t="s">
        <v>124</v>
      </c>
      <c r="AM39" s="201" t="s">
        <v>124</v>
      </c>
      <c r="AN39" s="201" t="s">
        <v>124</v>
      </c>
      <c r="AO39" s="202" t="s">
        <v>124</v>
      </c>
      <c r="AP39" s="88"/>
      <c r="AQ39" s="242" t="s">
        <v>124</v>
      </c>
      <c r="AR39" s="201" t="s">
        <v>124</v>
      </c>
      <c r="AS39" s="201" t="s">
        <v>124</v>
      </c>
      <c r="AT39" s="201" t="s">
        <v>124</v>
      </c>
      <c r="AU39" s="201" t="s">
        <v>124</v>
      </c>
      <c r="AV39" s="201" t="s">
        <v>124</v>
      </c>
      <c r="AW39" s="236" t="s">
        <v>124</v>
      </c>
      <c r="AY39" s="203" t="s">
        <v>124</v>
      </c>
      <c r="AZ39" s="201" t="s">
        <v>124</v>
      </c>
      <c r="BA39" s="201" t="s">
        <v>124</v>
      </c>
      <c r="BB39" s="201" t="s">
        <v>124</v>
      </c>
      <c r="BC39" s="201" t="s">
        <v>124</v>
      </c>
      <c r="BD39" s="201" t="s">
        <v>124</v>
      </c>
      <c r="BE39" s="202" t="s">
        <v>124</v>
      </c>
      <c r="BG39" s="242" t="s">
        <v>124</v>
      </c>
      <c r="BH39" s="201" t="s">
        <v>124</v>
      </c>
      <c r="BI39" s="201" t="s">
        <v>124</v>
      </c>
      <c r="BJ39" s="201" t="s">
        <v>124</v>
      </c>
      <c r="BK39" s="201" t="s">
        <v>124</v>
      </c>
      <c r="BL39" s="201" t="s">
        <v>124</v>
      </c>
      <c r="BM39" s="236" t="s">
        <v>124</v>
      </c>
      <c r="BO39" s="242" t="s">
        <v>124</v>
      </c>
      <c r="BP39" s="201" t="s">
        <v>124</v>
      </c>
      <c r="BQ39" s="201" t="s">
        <v>124</v>
      </c>
      <c r="BR39" s="201" t="s">
        <v>124</v>
      </c>
      <c r="BS39" s="201" t="s">
        <v>124</v>
      </c>
      <c r="BT39" s="201" t="s">
        <v>124</v>
      </c>
      <c r="BU39" s="236" t="s">
        <v>124</v>
      </c>
      <c r="BW39" s="242" t="s">
        <v>124</v>
      </c>
      <c r="BX39" s="201" t="s">
        <v>124</v>
      </c>
      <c r="BY39" s="201" t="s">
        <v>124</v>
      </c>
      <c r="BZ39" s="201" t="s">
        <v>124</v>
      </c>
      <c r="CA39" s="201" t="s">
        <v>124</v>
      </c>
      <c r="CB39" s="201" t="s">
        <v>124</v>
      </c>
      <c r="CC39" s="236" t="s">
        <v>124</v>
      </c>
      <c r="CE39" s="242" t="s">
        <v>124</v>
      </c>
      <c r="CF39" s="201" t="s">
        <v>124</v>
      </c>
      <c r="CG39" s="201" t="s">
        <v>124</v>
      </c>
      <c r="CH39" s="201" t="s">
        <v>124</v>
      </c>
      <c r="CI39" s="201" t="s">
        <v>124</v>
      </c>
      <c r="CJ39" s="201" t="s">
        <v>124</v>
      </c>
      <c r="CK39" s="236" t="s">
        <v>124</v>
      </c>
      <c r="CM39" s="242" t="s">
        <v>124</v>
      </c>
      <c r="CN39" s="201" t="s">
        <v>124</v>
      </c>
      <c r="CO39" s="201" t="s">
        <v>124</v>
      </c>
      <c r="CP39" s="201" t="s">
        <v>124</v>
      </c>
      <c r="CQ39" s="201" t="s">
        <v>124</v>
      </c>
      <c r="CR39" s="201" t="s">
        <v>124</v>
      </c>
      <c r="CS39" s="236" t="s">
        <v>124</v>
      </c>
      <c r="CU39" s="233">
        <v>30</v>
      </c>
      <c r="CV39" s="189">
        <f>1+CU39</f>
        <v>31</v>
      </c>
      <c r="CW39" s="201" t="s">
        <v>124</v>
      </c>
      <c r="CX39" s="201" t="s">
        <v>124</v>
      </c>
      <c r="CY39" s="201" t="s">
        <v>124</v>
      </c>
      <c r="CZ39" s="201" t="s">
        <v>124</v>
      </c>
      <c r="DA39" s="236" t="s">
        <v>124</v>
      </c>
      <c r="DC39" s="233"/>
      <c r="DD39" s="189"/>
      <c r="DE39" s="201" t="s">
        <v>124</v>
      </c>
      <c r="DF39" s="201" t="s">
        <v>124</v>
      </c>
      <c r="DG39" s="201" t="s">
        <v>124</v>
      </c>
      <c r="DH39" s="201" t="s">
        <v>124</v>
      </c>
      <c r="DI39" s="236" t="s">
        <v>124</v>
      </c>
    </row>
    <row r="40" spans="1:113">
      <c r="A40" s="1468"/>
      <c r="C40" s="220">
        <f>HLOOKUP(DATE(2025,MONTH($C$27),C39),'TABLERO DIARIO'!$CO$2:$PU$6,5,FALSE)/1000</f>
        <v>39.845500000000001</v>
      </c>
      <c r="D40" s="206" t="s">
        <v>124</v>
      </c>
      <c r="E40" s="206" t="s">
        <v>124</v>
      </c>
      <c r="F40" s="206" t="s">
        <v>124</v>
      </c>
      <c r="G40" s="206" t="s">
        <v>124</v>
      </c>
      <c r="H40" s="206" t="s">
        <v>124</v>
      </c>
      <c r="I40" s="207" t="s">
        <v>124</v>
      </c>
      <c r="J40" s="229"/>
      <c r="K40" s="208" t="s">
        <v>124</v>
      </c>
      <c r="L40" s="206" t="s">
        <v>124</v>
      </c>
      <c r="M40" s="206" t="s">
        <v>124</v>
      </c>
      <c r="N40" s="206" t="s">
        <v>124</v>
      </c>
      <c r="O40" s="206" t="s">
        <v>124</v>
      </c>
      <c r="P40" s="206" t="s">
        <v>124</v>
      </c>
      <c r="Q40" s="207" t="s">
        <v>124</v>
      </c>
      <c r="R40" s="229"/>
      <c r="S40" s="208" t="s">
        <v>124</v>
      </c>
      <c r="T40" s="206" t="s">
        <v>124</v>
      </c>
      <c r="U40" s="206" t="s">
        <v>124</v>
      </c>
      <c r="V40" s="206" t="s">
        <v>124</v>
      </c>
      <c r="W40" s="206" t="s">
        <v>124</v>
      </c>
      <c r="X40" s="206" t="s">
        <v>124</v>
      </c>
      <c r="Y40" s="207" t="s">
        <v>124</v>
      </c>
      <c r="Z40" s="229"/>
      <c r="AA40" s="279">
        <f>HLOOKUP(DATE(2025,MONTH($AA$27),AA39),'TABLERO DIARIO'!$CO$2:$UE$6,5,FALSE)/1000</f>
        <v>46.199635999999998</v>
      </c>
      <c r="AB40" s="262" t="s">
        <v>124</v>
      </c>
      <c r="AC40" s="262" t="s">
        <v>124</v>
      </c>
      <c r="AD40" s="262" t="s">
        <v>124</v>
      </c>
      <c r="AE40" s="262" t="s">
        <v>124</v>
      </c>
      <c r="AF40" s="262" t="s">
        <v>124</v>
      </c>
      <c r="AG40" s="263" t="s">
        <v>124</v>
      </c>
      <c r="AH40" s="229"/>
      <c r="AI40" s="208" t="s">
        <v>124</v>
      </c>
      <c r="AJ40" s="206" t="s">
        <v>124</v>
      </c>
      <c r="AK40" s="206" t="s">
        <v>124</v>
      </c>
      <c r="AL40" s="206" t="s">
        <v>124</v>
      </c>
      <c r="AM40" s="206" t="s">
        <v>124</v>
      </c>
      <c r="AN40" s="206" t="s">
        <v>124</v>
      </c>
      <c r="AO40" s="207" t="s">
        <v>124</v>
      </c>
      <c r="AP40" s="229"/>
      <c r="AQ40" s="243" t="s">
        <v>124</v>
      </c>
      <c r="AR40" s="237" t="s">
        <v>124</v>
      </c>
      <c r="AS40" s="237" t="s">
        <v>124</v>
      </c>
      <c r="AT40" s="237" t="s">
        <v>124</v>
      </c>
      <c r="AU40" s="237" t="s">
        <v>124</v>
      </c>
      <c r="AV40" s="237" t="s">
        <v>124</v>
      </c>
      <c r="AW40" s="238" t="s">
        <v>124</v>
      </c>
      <c r="AY40" s="208" t="s">
        <v>124</v>
      </c>
      <c r="AZ40" s="206" t="s">
        <v>124</v>
      </c>
      <c r="BA40" s="206" t="s">
        <v>124</v>
      </c>
      <c r="BB40" s="206" t="s">
        <v>124</v>
      </c>
      <c r="BC40" s="206" t="s">
        <v>124</v>
      </c>
      <c r="BD40" s="206" t="s">
        <v>124</v>
      </c>
      <c r="BE40" s="207" t="s">
        <v>124</v>
      </c>
      <c r="BG40" s="243" t="s">
        <v>124</v>
      </c>
      <c r="BH40" s="237" t="s">
        <v>124</v>
      </c>
      <c r="BI40" s="237" t="s">
        <v>124</v>
      </c>
      <c r="BJ40" s="237" t="s">
        <v>124</v>
      </c>
      <c r="BK40" s="237" t="s">
        <v>124</v>
      </c>
      <c r="BL40" s="237" t="s">
        <v>124</v>
      </c>
      <c r="BM40" s="238" t="s">
        <v>124</v>
      </c>
      <c r="BO40" s="243" t="s">
        <v>124</v>
      </c>
      <c r="BP40" s="237" t="s">
        <v>124</v>
      </c>
      <c r="BQ40" s="237" t="s">
        <v>124</v>
      </c>
      <c r="BR40" s="237" t="s">
        <v>124</v>
      </c>
      <c r="BS40" s="237" t="s">
        <v>124</v>
      </c>
      <c r="BT40" s="237" t="s">
        <v>124</v>
      </c>
      <c r="BU40" s="238" t="s">
        <v>124</v>
      </c>
      <c r="BW40" s="243" t="s">
        <v>124</v>
      </c>
      <c r="BX40" s="237" t="s">
        <v>124</v>
      </c>
      <c r="BY40" s="237" t="s">
        <v>124</v>
      </c>
      <c r="BZ40" s="237" t="s">
        <v>124</v>
      </c>
      <c r="CA40" s="237" t="s">
        <v>124</v>
      </c>
      <c r="CB40" s="237" t="s">
        <v>124</v>
      </c>
      <c r="CC40" s="238" t="s">
        <v>124</v>
      </c>
      <c r="CE40" s="243" t="s">
        <v>124</v>
      </c>
      <c r="CF40" s="237" t="s">
        <v>124</v>
      </c>
      <c r="CG40" s="237" t="s">
        <v>124</v>
      </c>
      <c r="CH40" s="237" t="s">
        <v>124</v>
      </c>
      <c r="CI40" s="237" t="s">
        <v>124</v>
      </c>
      <c r="CJ40" s="237" t="s">
        <v>124</v>
      </c>
      <c r="CK40" s="238" t="s">
        <v>124</v>
      </c>
      <c r="CM40" s="243" t="s">
        <v>124</v>
      </c>
      <c r="CN40" s="237" t="s">
        <v>124</v>
      </c>
      <c r="CO40" s="237" t="s">
        <v>124</v>
      </c>
      <c r="CP40" s="237" t="s">
        <v>124</v>
      </c>
      <c r="CQ40" s="237" t="s">
        <v>124</v>
      </c>
      <c r="CR40" s="237" t="s">
        <v>124</v>
      </c>
      <c r="CS40" s="238" t="s">
        <v>124</v>
      </c>
      <c r="CU40" s="1106">
        <f>IFERROR(HLOOKUP(DATE(2026,MONTH($CU$27),CU39),'TABLERO DIARIO'!$ASF$2:$AWF$6,5,FALSE)/1000,0)</f>
        <v>0</v>
      </c>
      <c r="CV40" s="1107">
        <f>IFERROR(HLOOKUP(DATE(2026,MONTH($CU$27),CV39),'TABLERO DIARIO'!$ASF$2:$AWF$6,5,FALSE)/1000,0)</f>
        <v>0</v>
      </c>
      <c r="CW40" s="237" t="s">
        <v>124</v>
      </c>
      <c r="CX40" s="237" t="s">
        <v>124</v>
      </c>
      <c r="CY40" s="237" t="s">
        <v>124</v>
      </c>
      <c r="CZ40" s="237" t="s">
        <v>124</v>
      </c>
      <c r="DA40" s="238" t="s">
        <v>124</v>
      </c>
      <c r="DC40" s="1106"/>
      <c r="DD40" s="1107"/>
      <c r="DE40" s="237" t="s">
        <v>124</v>
      </c>
      <c r="DF40" s="237" t="s">
        <v>124</v>
      </c>
      <c r="DG40" s="237" t="s">
        <v>124</v>
      </c>
      <c r="DH40" s="237" t="s">
        <v>124</v>
      </c>
      <c r="DI40" s="238" t="s">
        <v>124</v>
      </c>
    </row>
    <row r="41" spans="1:113">
      <c r="A41" s="1468"/>
      <c r="C41" s="88"/>
      <c r="D41" s="88"/>
      <c r="E41" s="88"/>
      <c r="F41" s="88"/>
      <c r="G41" s="88"/>
      <c r="H41" s="88"/>
      <c r="I41" s="88"/>
      <c r="J41" s="88"/>
      <c r="K41" s="88"/>
      <c r="L41" s="88"/>
      <c r="M41" s="88"/>
      <c r="N41" s="88"/>
      <c r="O41" s="88"/>
      <c r="P41" s="88"/>
      <c r="Q41" s="88"/>
      <c r="S41" s="88"/>
      <c r="T41" s="88"/>
      <c r="U41" s="88"/>
      <c r="V41" s="88"/>
      <c r="W41" s="88"/>
      <c r="X41" s="88"/>
      <c r="Y41" s="88"/>
      <c r="Z41" s="88"/>
      <c r="AA41" s="88"/>
      <c r="AB41" s="88"/>
      <c r="AC41" s="88"/>
      <c r="AD41" s="88"/>
      <c r="AE41" s="88"/>
      <c r="AF41" s="88"/>
      <c r="AG41" s="88"/>
      <c r="AH41" s="88"/>
      <c r="AI41" s="88"/>
      <c r="AJ41" s="88"/>
      <c r="AK41" s="88"/>
      <c r="AL41" s="88"/>
      <c r="AM41" s="88"/>
      <c r="AN41" s="88"/>
      <c r="AO41" s="88"/>
      <c r="AQ41" s="88"/>
      <c r="AR41" s="88"/>
      <c r="AS41" s="88"/>
      <c r="AT41" s="88"/>
      <c r="AU41" s="88"/>
      <c r="AV41" s="88"/>
      <c r="AW41" s="88"/>
      <c r="AY41" s="88"/>
      <c r="AZ41" s="88"/>
      <c r="BA41" s="88"/>
      <c r="BB41" s="88"/>
      <c r="BC41" s="88"/>
      <c r="BD41" s="88"/>
      <c r="BE41" s="88"/>
      <c r="BG41" s="88"/>
      <c r="BH41" s="88"/>
      <c r="BI41" s="88"/>
      <c r="BJ41" s="88"/>
      <c r="BK41" s="88"/>
      <c r="BL41" s="88"/>
      <c r="BM41" s="88"/>
      <c r="BO41" s="88"/>
      <c r="BP41" s="88"/>
      <c r="BQ41" s="88"/>
      <c r="BR41" s="88"/>
      <c r="BS41" s="88"/>
      <c r="BT41" s="562"/>
      <c r="BU41" s="1169"/>
      <c r="BW41" s="88"/>
      <c r="BX41" s="88"/>
      <c r="BY41" s="88"/>
      <c r="BZ41" s="88"/>
      <c r="CA41" s="88"/>
      <c r="CB41" s="88"/>
      <c r="CC41" s="88"/>
      <c r="CE41" s="88"/>
      <c r="CF41" s="88"/>
      <c r="CG41" s="88"/>
      <c r="CH41" s="88"/>
      <c r="CI41" s="88"/>
      <c r="CJ41" s="88"/>
      <c r="CK41" s="88"/>
      <c r="CM41" s="88"/>
      <c r="CN41" s="88"/>
      <c r="CO41" s="88"/>
      <c r="CP41" s="88"/>
      <c r="CQ41" s="88"/>
      <c r="CR41" s="88"/>
      <c r="CS41" s="88"/>
      <c r="CU41" s="88"/>
      <c r="CV41" s="88"/>
      <c r="CW41" s="88"/>
      <c r="CX41" s="88"/>
      <c r="CY41" s="88"/>
      <c r="CZ41" s="88"/>
      <c r="DA41" s="88"/>
      <c r="DC41" s="88"/>
      <c r="DD41" s="88"/>
      <c r="DE41" s="88"/>
      <c r="DF41" s="88"/>
      <c r="DG41" s="88"/>
      <c r="DH41" s="88"/>
      <c r="DI41" s="88"/>
    </row>
    <row r="42" spans="1:113">
      <c r="A42" s="1468"/>
      <c r="C42" s="209" t="s">
        <v>1081</v>
      </c>
      <c r="D42" s="209"/>
      <c r="E42" s="209"/>
      <c r="F42" s="209"/>
      <c r="G42" s="209"/>
      <c r="H42" s="230">
        <f>COUNTIF(C30:I30,"&gt;0")+COUNTIF(C32:I32,"&gt;0")+COUNTIF(C34:I34,"&gt;0")+COUNTIF(C36:I36,"&gt;0")+COUNTIF(C38:I38,"&gt;0")+COUNTIF(C40:I40,"&gt;0")</f>
        <v>28</v>
      </c>
      <c r="I42" s="88"/>
      <c r="J42" s="88"/>
      <c r="K42" s="209" t="s">
        <v>1081</v>
      </c>
      <c r="L42" s="209"/>
      <c r="M42" s="209"/>
      <c r="N42" s="209"/>
      <c r="O42" s="209"/>
      <c r="P42" s="230">
        <f>COUNTIF(K30:Q30,"&gt;0")+COUNTIF(K32:Q32,"&gt;0")+COUNTIF(K34:Q34,"&gt;0")+COUNTIF(K36:Q36,"&gt;0")+COUNTIF(K38:Q38,"&gt;0")+COUNTIF(K40:Q40,"&gt;0")</f>
        <v>26</v>
      </c>
      <c r="Q42" s="88"/>
      <c r="S42" s="209" t="s">
        <v>1081</v>
      </c>
      <c r="T42" s="209"/>
      <c r="U42" s="209"/>
      <c r="V42" s="209"/>
      <c r="W42" s="209"/>
      <c r="X42" s="230">
        <f>COUNTIF(S30:Y30,"&gt;0")+COUNTIF(S32:Y32,"&gt;0")+COUNTIF(S34:Y34,"&gt;0")+COUNTIF(S36:Y36,"&gt;0")+COUNTIF(S38:Y38,"&gt;0")+COUNTIF(S40:Y40,"&gt;0")</f>
        <v>25</v>
      </c>
      <c r="Y42" s="88"/>
      <c r="Z42" s="88"/>
      <c r="AA42" s="209" t="s">
        <v>1081</v>
      </c>
      <c r="AB42" s="209"/>
      <c r="AC42" s="209"/>
      <c r="AD42" s="209"/>
      <c r="AE42" s="209"/>
      <c r="AF42" s="230">
        <f>COUNTIF(AA30:AG30,"&gt;0")+COUNTIF(AA32:AG32,"&gt;0")+COUNTIF(AA34:AG34,"&gt;0")+COUNTIF(AA36:AG36,"&gt;0")+COUNTIF(AA38:AG38,"&gt;0")+COUNTIF(AA40:AG40,"&gt;0")</f>
        <v>19</v>
      </c>
      <c r="AG42" s="88"/>
      <c r="AH42" s="88"/>
      <c r="AI42" s="209" t="s">
        <v>1081</v>
      </c>
      <c r="AJ42" s="209"/>
      <c r="AK42" s="209"/>
      <c r="AL42" s="209"/>
      <c r="AM42" s="209"/>
      <c r="AN42" s="230">
        <f>COUNTIF(AI30:AO30,"&gt;0")+COUNTIF(AI32:AO32,"&gt;0")+COUNTIF(AI34:AO34,"&gt;0")+COUNTIF(AI36:AO36,"&gt;0")+COUNTIF(AI38:AO38,"&gt;0")+COUNTIF(AI40:AO40,"&gt;0")</f>
        <v>26</v>
      </c>
      <c r="AO42" s="88"/>
      <c r="AQ42" s="209" t="s">
        <v>1081</v>
      </c>
      <c r="AR42" s="209"/>
      <c r="AS42" s="209"/>
      <c r="AT42" s="209"/>
      <c r="AU42" s="209"/>
      <c r="AV42" s="230">
        <f>COUNTIF(AQ30:AW30,"&gt;0")+COUNTIF(AQ32:AW32,"&gt;0")+COUNTIF(AQ34:AW34,"&gt;0")+COUNTIF(AQ36:AW36,"&gt;0")+COUNTIF(AQ38:AW38,"&gt;0")+COUNTIF(AQ40:AW40,"&gt;0")</f>
        <v>21</v>
      </c>
      <c r="AW42" s="88"/>
      <c r="AY42" s="209" t="s">
        <v>1081</v>
      </c>
      <c r="AZ42" s="209"/>
      <c r="BA42" s="209"/>
      <c r="BB42" s="209"/>
      <c r="BC42" s="209"/>
      <c r="BD42" s="230">
        <f>COUNTIF(AY30:BE30,"&gt;0")+COUNTIF(AY32:BE32,"&gt;0")+COUNTIF(AY34:BE34,"&gt;0")+COUNTIF(AY36:BE36,"&gt;0")+COUNTIF(AY38:BE38,"&gt;0")+COUNTIF(AY40:BE40,"&gt;0")</f>
        <v>24</v>
      </c>
      <c r="BE42" s="88"/>
      <c r="BG42" s="209" t="s">
        <v>1081</v>
      </c>
      <c r="BH42" s="209"/>
      <c r="BI42" s="209"/>
      <c r="BJ42" s="209"/>
      <c r="BK42" s="209"/>
      <c r="BL42" s="230">
        <f>COUNTIF(BG30:BM30,"&gt;0")+COUNTIF(BG32:BM32,"&gt;0")+COUNTIF(BG34:BM34,"&gt;0")+COUNTIF(BG36:BM36,"&gt;0")+COUNTIF(BG38:BM38,"&gt;0")+COUNTIF(BG40:BM40,"&gt;0")</f>
        <v>28</v>
      </c>
      <c r="BM42" s="88"/>
      <c r="BO42" s="209" t="s">
        <v>1081</v>
      </c>
      <c r="BP42" s="209"/>
      <c r="BQ42" s="209"/>
      <c r="BR42" s="209"/>
      <c r="BS42" s="209"/>
      <c r="BT42" s="230">
        <f>COUNTIF(BO30:BU30,"&gt;0")+COUNTIF(BO32:BU32,"&gt;0")+COUNTIF(BO34:BU34,"&gt;0")+COUNTIF(BO36:BU36,"&gt;0")+COUNTIF(BO38:BU38,"&gt;0")+COUNTIF(BO40:BU40,"&gt;0")</f>
        <v>26</v>
      </c>
      <c r="BU42" s="88"/>
      <c r="BW42" s="209" t="s">
        <v>1081</v>
      </c>
      <c r="BX42" s="209"/>
      <c r="BY42" s="209"/>
      <c r="BZ42" s="209"/>
      <c r="CA42" s="209"/>
      <c r="CB42" s="230">
        <f>COUNTIF(BW30:CC30,"&gt;0")+COUNTIF(BW32:CC32,"&gt;0")+COUNTIF(BW34:CC34,"&gt;0")+COUNTIF(BW36:CC36,"&gt;0")+COUNTIF(BW38:CC38,"&gt;0")+COUNTIF(BW40:CC40,"&gt;0")</f>
        <v>28</v>
      </c>
      <c r="CC42" s="88"/>
      <c r="CE42" s="209" t="s">
        <v>1081</v>
      </c>
      <c r="CF42" s="209"/>
      <c r="CG42" s="209"/>
      <c r="CH42" s="209"/>
      <c r="CI42" s="209"/>
      <c r="CJ42" s="230">
        <f>COUNTIF(CE30:CK30,"&gt;0")+COUNTIF(CE32:CK32,"&gt;0")+COUNTIF(CE34:CK34,"&gt;0")+COUNTIF(CE36:CK36,"&gt;0")+COUNTIF(CE38:CK38,"&gt;0")+COUNTIF(CE40:CK40,"&gt;0")</f>
        <v>27</v>
      </c>
      <c r="CK42" s="88"/>
      <c r="CM42" s="209" t="s">
        <v>1081</v>
      </c>
      <c r="CN42" s="209"/>
      <c r="CO42" s="209"/>
      <c r="CP42" s="209"/>
      <c r="CQ42" s="209"/>
      <c r="CR42" s="230">
        <f>COUNTIF(CM30:CS30,"&gt;0")+COUNTIF(CM32:CS32,"&gt;0")+COUNTIF(CM34:CS34,"&gt;0")+COUNTIF(CM36:CS36,"&gt;0")+COUNTIF(CM38:CS38,"&gt;0")+COUNTIF(CM40:CS40,"&gt;0")</f>
        <v>24</v>
      </c>
      <c r="CS42" s="88"/>
      <c r="CU42" s="209" t="s">
        <v>1081</v>
      </c>
      <c r="CV42" s="209"/>
      <c r="CW42" s="209"/>
      <c r="CX42" s="209"/>
      <c r="CY42" s="209"/>
      <c r="CZ42" s="230">
        <f>COUNTIF(CU30:DA30,"&gt;0")+COUNTIF(CU32:DA32,"&gt;0")+COUNTIF(CU34:DA34,"&gt;0")+COUNTIF(CU36:DA36,"&gt;0")+COUNTIF(CU38:DA38,"&gt;0")+COUNTIF(CU40:DA40,"&gt;0")</f>
        <v>24</v>
      </c>
      <c r="DA42" s="88"/>
      <c r="DC42" s="209" t="s">
        <v>1081</v>
      </c>
      <c r="DD42" s="209"/>
      <c r="DE42" s="209"/>
      <c r="DF42" s="209"/>
      <c r="DG42" s="209"/>
      <c r="DH42" s="230">
        <f>COUNTIF(DC30:DI30,"&gt;0")+COUNTIF(DC32:DI32,"&gt;0")+COUNTIF(DC34:DI34,"&gt;0")+COUNTIF(DC36:DI36,"&gt;0")+COUNTIF(DC38:DI38,"&gt;0")+COUNTIF(DC40:DI40,"&gt;0")</f>
        <v>0</v>
      </c>
      <c r="DI42" s="88"/>
    </row>
    <row r="43" spans="1:113">
      <c r="A43" s="1468"/>
      <c r="C43" s="209" t="s">
        <v>1082</v>
      </c>
      <c r="D43" s="209"/>
      <c r="E43" s="209"/>
      <c r="F43" s="209"/>
      <c r="G43" s="209"/>
      <c r="H43" s="209">
        <f>COUNTIF(C30:I41,"MANT")+1</f>
        <v>3</v>
      </c>
      <c r="I43" s="88"/>
      <c r="J43" s="88"/>
      <c r="K43" s="209" t="s">
        <v>1082</v>
      </c>
      <c r="L43" s="209"/>
      <c r="M43" s="209"/>
      <c r="N43" s="209"/>
      <c r="O43" s="209"/>
      <c r="P43" s="209">
        <f>COUNTIF(K30:Q41,"MANT")+0.5</f>
        <v>3.5</v>
      </c>
      <c r="Q43" s="88"/>
      <c r="S43" s="209" t="s">
        <v>1082</v>
      </c>
      <c r="T43" s="209"/>
      <c r="U43" s="209"/>
      <c r="V43" s="209"/>
      <c r="W43" s="209"/>
      <c r="X43" s="209">
        <f>COUNTIF(S30:Y41,"MANT")</f>
        <v>5</v>
      </c>
      <c r="Y43" s="88"/>
      <c r="Z43" s="88"/>
      <c r="AA43" s="209" t="s">
        <v>1082</v>
      </c>
      <c r="AB43" s="209"/>
      <c r="AC43" s="209"/>
      <c r="AD43" s="209"/>
      <c r="AE43" s="209"/>
      <c r="AF43" s="209">
        <f>COUNTIF(AA30:AG41,"MANT")</f>
        <v>11</v>
      </c>
      <c r="AG43" s="88"/>
      <c r="AH43" s="88"/>
      <c r="AI43" s="209" t="s">
        <v>1082</v>
      </c>
      <c r="AJ43" s="209"/>
      <c r="AK43" s="209"/>
      <c r="AL43" s="209"/>
      <c r="AM43" s="209"/>
      <c r="AN43" s="209">
        <f>COUNTIF(AI30:AO41,"MANT")</f>
        <v>4</v>
      </c>
      <c r="AO43" s="88"/>
      <c r="AQ43" s="209" t="s">
        <v>1082</v>
      </c>
      <c r="AR43" s="209"/>
      <c r="AS43" s="209"/>
      <c r="AT43" s="209"/>
      <c r="AU43" s="209"/>
      <c r="AV43" s="209">
        <f>COUNTIF(AQ30:AW41,"MANT")</f>
        <v>10</v>
      </c>
      <c r="AW43" s="88"/>
      <c r="AY43" s="209" t="s">
        <v>1082</v>
      </c>
      <c r="AZ43" s="209"/>
      <c r="BA43" s="209"/>
      <c r="BB43" s="209"/>
      <c r="BC43" s="209"/>
      <c r="BD43" s="209">
        <f>COUNTIF(AY30:BE41,"MANT")</f>
        <v>6</v>
      </c>
      <c r="BE43" s="88"/>
      <c r="BG43" s="209" t="s">
        <v>1082</v>
      </c>
      <c r="BH43" s="209"/>
      <c r="BI43" s="209"/>
      <c r="BJ43" s="209"/>
      <c r="BK43" s="209"/>
      <c r="BL43" s="209">
        <f>COUNTIF(BG30:BM41,"MANT")</f>
        <v>3</v>
      </c>
      <c r="BM43" s="88"/>
      <c r="BO43" s="209" t="s">
        <v>1082</v>
      </c>
      <c r="BP43" s="209"/>
      <c r="BQ43" s="209"/>
      <c r="BR43" s="209"/>
      <c r="BS43" s="209"/>
      <c r="BT43" s="209">
        <f>COUNTIF(BO30:BU41,"MANT")</f>
        <v>4</v>
      </c>
      <c r="BU43" s="88"/>
      <c r="BW43" s="209" t="s">
        <v>1082</v>
      </c>
      <c r="BX43" s="209"/>
      <c r="BY43" s="209"/>
      <c r="BZ43" s="209"/>
      <c r="CA43" s="209"/>
      <c r="CB43" s="209">
        <f>COUNTIF(BW30:CC41,"MANT")</f>
        <v>2</v>
      </c>
      <c r="CC43" s="88"/>
      <c r="CE43" s="209" t="s">
        <v>1082</v>
      </c>
      <c r="CF43" s="209"/>
      <c r="CG43" s="209"/>
      <c r="CH43" s="209"/>
      <c r="CI43" s="209"/>
      <c r="CJ43" s="209">
        <f>COUNTIF(CE30:CK41,"MANT")</f>
        <v>3</v>
      </c>
      <c r="CK43" s="88"/>
      <c r="CM43" s="209" t="s">
        <v>1082</v>
      </c>
      <c r="CN43" s="209"/>
      <c r="CO43" s="209"/>
      <c r="CP43" s="209"/>
      <c r="CQ43" s="209"/>
      <c r="CR43" s="209">
        <f>COUNTIF(CM30:CS41,"MANT")</f>
        <v>2</v>
      </c>
      <c r="CS43" s="88"/>
      <c r="CU43" s="209" t="s">
        <v>1082</v>
      </c>
      <c r="CV43" s="209"/>
      <c r="CW43" s="209"/>
      <c r="CX43" s="209"/>
      <c r="CY43" s="209"/>
      <c r="CZ43" s="209">
        <f>COUNTIF(CU30:DA41,"MANT")</f>
        <v>0</v>
      </c>
      <c r="DA43" s="88"/>
      <c r="DC43" s="209" t="s">
        <v>1082</v>
      </c>
      <c r="DD43" s="209"/>
      <c r="DE43" s="209"/>
      <c r="DF43" s="209"/>
      <c r="DG43" s="209"/>
      <c r="DH43" s="209">
        <f>COUNTIF(DC30:DI41,"MANT")</f>
        <v>0</v>
      </c>
      <c r="DI43" s="88"/>
    </row>
    <row r="44" spans="1:113">
      <c r="A44" s="1468"/>
      <c r="C44" s="209" t="s">
        <v>113</v>
      </c>
      <c r="D44" s="209"/>
      <c r="E44" s="209"/>
      <c r="F44" s="209"/>
      <c r="G44" s="209"/>
      <c r="H44" s="230">
        <f>SUM(C30:I30,C32:I32,C34:I34,C36:I36,C38:I38,C40:I40)</f>
        <v>1134.1683099999998</v>
      </c>
      <c r="I44" s="88"/>
      <c r="J44" s="88"/>
      <c r="K44" s="209" t="s">
        <v>113</v>
      </c>
      <c r="L44" s="209"/>
      <c r="M44" s="209"/>
      <c r="N44" s="209"/>
      <c r="O44" s="209"/>
      <c r="P44" s="230">
        <f>SUM(K30:Q30,K32:Q32,K34:Q34,K36:Q36,K38:Q38,K40:Q40)</f>
        <v>1126.2460999999996</v>
      </c>
      <c r="Q44" s="88"/>
      <c r="S44" s="209" t="s">
        <v>1084</v>
      </c>
      <c r="T44" s="209"/>
      <c r="U44" s="209"/>
      <c r="V44" s="209"/>
      <c r="W44" s="209"/>
      <c r="X44" s="209">
        <v>1</v>
      </c>
      <c r="Y44" s="88"/>
      <c r="Z44" s="88"/>
      <c r="AA44" s="209" t="s">
        <v>1084</v>
      </c>
      <c r="AB44" s="209"/>
      <c r="AC44" s="209"/>
      <c r="AD44" s="209"/>
      <c r="AE44" s="209"/>
      <c r="AF44" s="209">
        <v>0</v>
      </c>
      <c r="AG44" s="88"/>
      <c r="AH44" s="88"/>
      <c r="AI44" s="209" t="s">
        <v>1085</v>
      </c>
      <c r="AJ44" s="209"/>
      <c r="AK44" s="209"/>
      <c r="AL44" s="209"/>
      <c r="AM44" s="209"/>
      <c r="AN44" s="209">
        <v>1</v>
      </c>
      <c r="AO44" s="88"/>
      <c r="AQ44" s="209" t="s">
        <v>1085</v>
      </c>
      <c r="AR44" s="209"/>
      <c r="AS44" s="209"/>
      <c r="AT44" s="209"/>
      <c r="AU44" s="209"/>
      <c r="AV44" s="209">
        <v>0</v>
      </c>
      <c r="AW44" s="88"/>
      <c r="AY44" s="209" t="s">
        <v>1085</v>
      </c>
      <c r="AZ44" s="209"/>
      <c r="BA44" s="209"/>
      <c r="BB44" s="209"/>
      <c r="BC44" s="209"/>
      <c r="BD44" s="209">
        <v>1</v>
      </c>
      <c r="BE44" s="88"/>
      <c r="BG44" s="209" t="s">
        <v>1085</v>
      </c>
      <c r="BH44" s="209"/>
      <c r="BI44" s="209"/>
      <c r="BJ44" s="209"/>
      <c r="BK44" s="209"/>
      <c r="BL44" s="209">
        <v>0</v>
      </c>
      <c r="BM44" s="88"/>
      <c r="BO44" s="209" t="s">
        <v>1085</v>
      </c>
      <c r="BP44" s="209"/>
      <c r="BQ44" s="209"/>
      <c r="BR44" s="209"/>
      <c r="BS44" s="209"/>
      <c r="BT44" s="209">
        <v>0</v>
      </c>
      <c r="BU44" s="88"/>
      <c r="BW44" s="209" t="s">
        <v>1085</v>
      </c>
      <c r="BX44" s="209"/>
      <c r="BY44" s="209"/>
      <c r="BZ44" s="209"/>
      <c r="CA44" s="209"/>
      <c r="CB44" s="209">
        <v>0</v>
      </c>
      <c r="CC44" s="88"/>
      <c r="CE44" s="209" t="s">
        <v>1085</v>
      </c>
      <c r="CF44" s="209"/>
      <c r="CG44" s="209"/>
      <c r="CH44" s="209"/>
      <c r="CI44" s="209"/>
      <c r="CJ44" s="209">
        <v>0</v>
      </c>
      <c r="CK44" s="88"/>
      <c r="CM44" s="209" t="s">
        <v>1085</v>
      </c>
      <c r="CN44" s="209"/>
      <c r="CO44" s="209"/>
      <c r="CP44" s="209"/>
      <c r="CQ44" s="209"/>
      <c r="CR44" s="209">
        <v>0</v>
      </c>
      <c r="CS44" s="88"/>
      <c r="CU44" s="209" t="s">
        <v>1085</v>
      </c>
      <c r="CV44" s="209"/>
      <c r="CW44" s="209"/>
      <c r="CX44" s="209"/>
      <c r="CY44" s="209"/>
      <c r="CZ44" s="209">
        <v>0</v>
      </c>
      <c r="DA44" s="88"/>
      <c r="DC44" s="209" t="s">
        <v>1085</v>
      </c>
      <c r="DD44" s="209"/>
      <c r="DE44" s="209"/>
      <c r="DF44" s="209"/>
      <c r="DG44" s="209"/>
      <c r="DH44" s="209">
        <v>0</v>
      </c>
      <c r="DI44" s="88"/>
    </row>
    <row r="45" spans="1:113">
      <c r="A45" s="1468"/>
      <c r="S45" s="209" t="s">
        <v>113</v>
      </c>
      <c r="T45" s="209"/>
      <c r="U45" s="209"/>
      <c r="V45" s="209"/>
      <c r="W45" s="209"/>
      <c r="X45" s="230">
        <f>SUM(S32:Y32,S34:Y34,S36:Y36,S38:Y38,S40:Y40,S30:Y30)</f>
        <v>1127.6835000000003</v>
      </c>
      <c r="Y45" s="88"/>
      <c r="Z45" s="88"/>
      <c r="AA45" s="209" t="s">
        <v>113</v>
      </c>
      <c r="AB45" s="209"/>
      <c r="AC45" s="209"/>
      <c r="AD45" s="209"/>
      <c r="AE45" s="209"/>
      <c r="AF45" s="230">
        <f>SUM(AA32:AG32,AA34:AG34,AA36:AG36,AA38:AG38,AA40:AG40,AA30:AG30)</f>
        <v>816.37123599999995</v>
      </c>
      <c r="AG45" s="88"/>
      <c r="AH45" s="88"/>
      <c r="AI45" s="209" t="s">
        <v>113</v>
      </c>
      <c r="AJ45" s="209"/>
      <c r="AK45" s="209"/>
      <c r="AL45" s="209"/>
      <c r="AM45" s="209"/>
      <c r="AN45" s="230">
        <f>SUM(AI32:AO32,AI34:AO34,AI36:AO36,AI38:AO38,AI40:AO40,AI30:AO30)</f>
        <v>1119.4608000000003</v>
      </c>
      <c r="AO45" s="88"/>
      <c r="AQ45" s="209" t="s">
        <v>113</v>
      </c>
      <c r="AR45" s="209"/>
      <c r="AS45" s="209"/>
      <c r="AT45" s="209"/>
      <c r="AU45" s="209"/>
      <c r="AV45" s="230">
        <f>SUM(AQ32:AW32,AQ34:AW34,AQ36:AW36,AQ38:AW38,AQ40:AW40,AQ30:AW30)</f>
        <v>947.08420000000001</v>
      </c>
      <c r="AW45" s="88"/>
      <c r="AY45" s="209" t="s">
        <v>113</v>
      </c>
      <c r="AZ45" s="209"/>
      <c r="BA45" s="209"/>
      <c r="BB45" s="209"/>
      <c r="BC45" s="209"/>
      <c r="BD45" s="230">
        <f>SUM(AY32:BE32,AY34:BE34,AY36:BE36,AY38:BE38,AY40:BE40,AY30:BE30)</f>
        <v>1009.3252999999999</v>
      </c>
      <c r="BE45" s="88"/>
      <c r="BG45" s="209" t="s">
        <v>113</v>
      </c>
      <c r="BH45" s="209"/>
      <c r="BI45" s="209"/>
      <c r="BJ45" s="209"/>
      <c r="BK45" s="209"/>
      <c r="BL45" s="230">
        <f>SUM(BG32:BM32,BG34:BM34,BG36:BM36,BG38:BM38,BG40:BM40,BG30:BM30)</f>
        <v>1079.8902</v>
      </c>
      <c r="BM45" s="88"/>
      <c r="BO45" s="209" t="s">
        <v>113</v>
      </c>
      <c r="BP45" s="209"/>
      <c r="BQ45" s="209"/>
      <c r="BR45" s="209"/>
      <c r="BS45" s="209"/>
      <c r="BT45" s="230">
        <f>SUM(BO32:BU32,BO34:BU34,BO36:BU36,BO38:BU38,BO40:BU40,BO30:BU30)</f>
        <v>984.77469999999994</v>
      </c>
      <c r="BU45" s="88"/>
      <c r="BW45" s="209" t="s">
        <v>113</v>
      </c>
      <c r="BX45" s="209"/>
      <c r="BY45" s="209"/>
      <c r="BZ45" s="209"/>
      <c r="CA45" s="209"/>
      <c r="CB45" s="230">
        <f>SUM(BW32:CC32,BW34:CC34,BW36:CC36,BW38:CC38,BW40:CC40,BW30:CC30)</f>
        <v>1089.6388999999999</v>
      </c>
      <c r="CC45" s="88"/>
      <c r="CE45" s="209" t="s">
        <v>113</v>
      </c>
      <c r="CF45" s="209"/>
      <c r="CG45" s="209"/>
      <c r="CH45" s="209"/>
      <c r="CI45" s="209"/>
      <c r="CJ45" s="230">
        <f>SUM(CE32:CK32,CE34:CK34,CE36:CK36,CE38:CK38,CE40:CK40,CE30:CK30)</f>
        <v>1163.6428860000001</v>
      </c>
      <c r="CK45" s="88"/>
      <c r="CM45" s="209" t="s">
        <v>113</v>
      </c>
      <c r="CN45" s="209"/>
      <c r="CO45" s="209"/>
      <c r="CP45" s="209"/>
      <c r="CQ45" s="209"/>
      <c r="CR45" s="230">
        <f>SUM(CM32:CS32,CM34:CS34,CM36:CS36,CM38:CS38,CM40:CS40,CM30:CS30)</f>
        <v>1070.7313000000001</v>
      </c>
      <c r="CS45" s="88"/>
      <c r="CU45" s="209" t="s">
        <v>113</v>
      </c>
      <c r="CV45" s="209"/>
      <c r="CW45" s="209"/>
      <c r="CX45" s="209"/>
      <c r="CY45" s="209"/>
      <c r="CZ45" s="230">
        <f>SUM(CU32:DA32,CU34:DA34,CU36:DA36,CU38:DA38,CU40:DA40,CU30:DA30)</f>
        <v>1045.0214639999999</v>
      </c>
      <c r="DA45" s="88"/>
      <c r="DC45" s="209" t="s">
        <v>113</v>
      </c>
      <c r="DD45" s="209"/>
      <c r="DE45" s="209"/>
      <c r="DF45" s="209"/>
      <c r="DG45" s="209"/>
      <c r="DH45" s="230">
        <f>SUM(DC32:DI32,DC34:DI34,DC36:DI36,DC38:DI38,DC40:DI40,DC30:DI30)</f>
        <v>0</v>
      </c>
      <c r="DI45" s="88"/>
    </row>
    <row r="46" spans="1:113">
      <c r="A46" s="1468"/>
      <c r="CJ46" s="50">
        <f>+CJ45+50+40+40+45+45+45+45+45</f>
        <v>1518.6428860000001</v>
      </c>
    </row>
    <row r="47" spans="1:113">
      <c r="A47" s="1468"/>
    </row>
    <row r="48" spans="1:113" ht="16">
      <c r="A48" s="1468"/>
      <c r="AA48" s="1464"/>
      <c r="AB48" s="1464"/>
      <c r="AC48" s="1464"/>
      <c r="AD48" s="1464"/>
      <c r="AE48" s="1464"/>
      <c r="AF48" s="1464"/>
      <c r="AG48" s="1464"/>
      <c r="AH48" s="1464"/>
      <c r="AI48" s="1464"/>
      <c r="AJ48" s="1464"/>
      <c r="AK48" s="1464"/>
      <c r="AL48" s="1464"/>
      <c r="AM48" s="1464"/>
    </row>
    <row r="49" spans="2:39">
      <c r="B49" t="s">
        <v>1088</v>
      </c>
      <c r="C49" t="s">
        <v>1074</v>
      </c>
      <c r="AA49" s="1463"/>
      <c r="AB49" s="1463"/>
      <c r="AC49" s="1463"/>
      <c r="AD49" s="1463"/>
      <c r="AE49" s="1465"/>
      <c r="AF49" s="1465"/>
      <c r="AG49" s="1465"/>
      <c r="AH49" s="1465"/>
      <c r="AI49" s="1465"/>
      <c r="AJ49" s="382"/>
      <c r="AK49" s="1465"/>
      <c r="AL49" s="1465"/>
      <c r="AM49" s="1465"/>
    </row>
    <row r="50" spans="2:39">
      <c r="B50" s="38">
        <v>45778</v>
      </c>
      <c r="C50" t="s">
        <v>1074</v>
      </c>
      <c r="AA50" s="1466"/>
      <c r="AB50" s="1466"/>
      <c r="AC50" s="1466"/>
      <c r="AD50" s="1466"/>
      <c r="AE50" s="1462"/>
      <c r="AF50" s="1462"/>
      <c r="AG50" s="1462"/>
      <c r="AH50" s="1462"/>
      <c r="AI50" s="1462"/>
      <c r="AJ50" s="383"/>
      <c r="AK50" s="1462"/>
      <c r="AL50" s="1462"/>
      <c r="AM50" s="1462"/>
    </row>
    <row r="51" spans="2:39">
      <c r="B51" s="38">
        <v>45802</v>
      </c>
      <c r="C51" t="s">
        <v>1074</v>
      </c>
      <c r="AA51" s="1466"/>
      <c r="AB51" s="1466"/>
      <c r="AC51" s="1466"/>
      <c r="AD51" s="1466"/>
      <c r="AE51" s="1462"/>
      <c r="AF51" s="1462"/>
      <c r="AG51" s="1462"/>
      <c r="AH51" s="1462"/>
      <c r="AI51" s="1462"/>
      <c r="AJ51" s="383"/>
      <c r="AK51" s="1462"/>
      <c r="AL51" s="1462"/>
      <c r="AM51" s="1462"/>
    </row>
    <row r="52" spans="2:39">
      <c r="B52" s="38">
        <v>45817</v>
      </c>
      <c r="C52" t="s">
        <v>1074</v>
      </c>
      <c r="AA52" s="1466"/>
      <c r="AB52" s="1466"/>
      <c r="AC52" s="1466"/>
      <c r="AD52" s="1466"/>
      <c r="AE52" s="1462"/>
      <c r="AF52" s="1462"/>
      <c r="AG52" s="1462"/>
      <c r="AH52" s="1462"/>
      <c r="AI52" s="1462"/>
      <c r="AK52" s="1462"/>
      <c r="AL52" s="1462"/>
      <c r="AM52" s="1462"/>
    </row>
    <row r="53" spans="2:39">
      <c r="B53" s="38">
        <v>45824</v>
      </c>
      <c r="C53" t="s">
        <v>1074</v>
      </c>
      <c r="AA53" s="1466"/>
      <c r="AB53" s="1466"/>
      <c r="AC53" s="1466"/>
      <c r="AD53" s="1466"/>
      <c r="AE53" s="1462"/>
      <c r="AF53" s="1462"/>
      <c r="AG53" s="1462"/>
      <c r="AH53" s="1462"/>
      <c r="AI53" s="1462"/>
      <c r="AK53" s="1462"/>
      <c r="AL53" s="1462"/>
      <c r="AM53" s="1462"/>
    </row>
    <row r="54" spans="2:39">
      <c r="B54" s="38">
        <v>45828</v>
      </c>
      <c r="C54" t="s">
        <v>1074</v>
      </c>
      <c r="AA54" s="1466"/>
      <c r="AB54" s="1466"/>
      <c r="AC54" s="1466"/>
      <c r="AD54" s="1466"/>
      <c r="AE54" s="1462"/>
      <c r="AF54" s="1462"/>
      <c r="AG54" s="1462"/>
      <c r="AH54" s="1462"/>
      <c r="AI54" s="1462"/>
      <c r="AJ54" s="383"/>
      <c r="AK54" s="1462"/>
      <c r="AL54" s="1462"/>
      <c r="AM54" s="1462"/>
    </row>
    <row r="55" spans="2:39">
      <c r="B55" s="38">
        <v>45852</v>
      </c>
      <c r="C55" t="s">
        <v>1074</v>
      </c>
      <c r="AA55" s="1466"/>
      <c r="AB55" s="1466"/>
      <c r="AC55" s="1466"/>
      <c r="AD55" s="1466"/>
      <c r="AE55" s="1462"/>
      <c r="AF55" s="1462"/>
      <c r="AG55" s="1462"/>
      <c r="AH55" s="1462"/>
      <c r="AI55" s="1462"/>
      <c r="AK55" s="1462"/>
      <c r="AL55" s="1462"/>
      <c r="AM55" s="1462"/>
    </row>
    <row r="56" spans="2:39">
      <c r="B56" s="38">
        <v>45940</v>
      </c>
      <c r="C56" t="s">
        <v>1074</v>
      </c>
      <c r="AA56" s="1466"/>
      <c r="AB56" s="1466"/>
      <c r="AC56" s="1466"/>
      <c r="AD56" s="1466"/>
      <c r="AE56" s="1462"/>
      <c r="AF56" s="1462"/>
      <c r="AG56" s="1462"/>
      <c r="AH56" s="1462"/>
      <c r="AI56" s="1462"/>
      <c r="AJ56" s="383"/>
      <c r="AK56" s="1462"/>
      <c r="AL56" s="1462"/>
      <c r="AM56" s="1462"/>
    </row>
    <row r="57" spans="2:39">
      <c r="B57" s="38">
        <v>45985</v>
      </c>
      <c r="C57" t="s">
        <v>1074</v>
      </c>
      <c r="AA57" s="1466"/>
      <c r="AB57" s="1466"/>
      <c r="AC57" s="1466"/>
      <c r="AD57" s="1466"/>
      <c r="AE57" s="1462"/>
      <c r="AF57" s="1462"/>
      <c r="AG57" s="1462"/>
      <c r="AH57" s="1462"/>
      <c r="AI57" s="1462"/>
      <c r="AK57" s="1462"/>
      <c r="AL57" s="1462"/>
      <c r="AM57" s="1462"/>
    </row>
    <row r="58" spans="2:39">
      <c r="B58" s="38">
        <v>45999</v>
      </c>
      <c r="C58" t="s">
        <v>1074</v>
      </c>
      <c r="AA58" s="1461"/>
      <c r="AB58" s="1461"/>
      <c r="AC58" s="1461"/>
      <c r="AD58" s="1461"/>
      <c r="AE58" s="1462"/>
      <c r="AF58" s="1462"/>
      <c r="AG58" s="1462"/>
      <c r="AH58" s="1462"/>
      <c r="AI58" s="1462"/>
      <c r="AJ58" s="383"/>
      <c r="AK58" s="1462"/>
      <c r="AL58" s="1462"/>
      <c r="AM58" s="1462"/>
    </row>
    <row r="59" spans="2:39">
      <c r="B59" s="38">
        <v>46023</v>
      </c>
      <c r="C59" t="s">
        <v>1074</v>
      </c>
      <c r="AA59" s="1467"/>
      <c r="AB59" s="1467"/>
      <c r="AC59" s="1467"/>
      <c r="AD59" s="1467"/>
      <c r="AE59" s="1463"/>
      <c r="AF59" s="1463"/>
      <c r="AG59" s="1463"/>
      <c r="AH59" s="1463"/>
      <c r="AI59" s="1463"/>
      <c r="AJ59" s="1463"/>
      <c r="AK59" s="1463"/>
      <c r="AL59" s="1463"/>
      <c r="AM59" s="381"/>
    </row>
    <row r="60" spans="2:39">
      <c r="B60" s="38">
        <v>46069</v>
      </c>
      <c r="C60" t="s">
        <v>1074</v>
      </c>
      <c r="AA60" s="1466"/>
      <c r="AB60" s="1466"/>
      <c r="AC60" s="1466"/>
      <c r="AD60" s="1466"/>
      <c r="AE60" s="1462"/>
      <c r="AF60" s="1462"/>
      <c r="AG60" s="1462"/>
      <c r="AH60" s="1462"/>
      <c r="AI60" s="1462"/>
      <c r="AK60" s="1462"/>
      <c r="AL60" s="1462"/>
      <c r="AM60" s="1462"/>
    </row>
    <row r="61" spans="2:39">
      <c r="B61" s="38">
        <v>46070</v>
      </c>
      <c r="C61" t="s">
        <v>1074</v>
      </c>
      <c r="AA61" s="1466"/>
      <c r="AB61" s="1466"/>
      <c r="AC61" s="1466"/>
      <c r="AD61" s="1466"/>
      <c r="AE61" s="1462"/>
      <c r="AF61" s="1462"/>
      <c r="AG61" s="1462"/>
      <c r="AH61" s="1462"/>
      <c r="AI61" s="1462"/>
      <c r="AJ61" s="384"/>
      <c r="AK61" s="1462"/>
      <c r="AL61" s="1462"/>
      <c r="AM61" s="1462"/>
    </row>
    <row r="62" spans="2:39">
      <c r="B62" s="38">
        <v>46105</v>
      </c>
      <c r="C62" t="s">
        <v>1074</v>
      </c>
      <c r="AA62" s="1466"/>
      <c r="AB62" s="1466"/>
      <c r="AC62" s="1466"/>
      <c r="AD62" s="1466"/>
      <c r="AE62" s="1462"/>
      <c r="AF62" s="1462"/>
      <c r="AG62" s="1462"/>
      <c r="AH62" s="1462"/>
      <c r="AI62" s="1462"/>
      <c r="AK62" s="1462"/>
      <c r="AL62" s="1462"/>
      <c r="AM62" s="1462"/>
    </row>
    <row r="63" spans="2:39">
      <c r="B63" s="38">
        <v>46114</v>
      </c>
      <c r="C63" t="s">
        <v>1074</v>
      </c>
      <c r="AA63" s="1466"/>
      <c r="AB63" s="1466"/>
      <c r="AC63" s="1466"/>
      <c r="AD63" s="1466"/>
      <c r="AE63" s="1462"/>
      <c r="AF63" s="1462"/>
      <c r="AG63" s="1462"/>
      <c r="AH63" s="1462"/>
      <c r="AI63" s="1462"/>
      <c r="AJ63" s="384"/>
      <c r="AK63" s="1462"/>
      <c r="AL63" s="1462"/>
      <c r="AM63" s="1462"/>
    </row>
    <row r="64" spans="2:39">
      <c r="B64" s="38">
        <v>46115</v>
      </c>
      <c r="C64" t="s">
        <v>1074</v>
      </c>
      <c r="AA64" s="1466"/>
      <c r="AB64" s="1466"/>
      <c r="AC64" s="1466"/>
      <c r="AD64" s="1466"/>
      <c r="AE64" s="1462"/>
      <c r="AF64" s="1462"/>
      <c r="AG64" s="1462"/>
      <c r="AH64" s="1462"/>
      <c r="AI64" s="1462"/>
      <c r="AJ64" s="384"/>
      <c r="AK64" s="1462"/>
      <c r="AL64" s="1462"/>
      <c r="AM64" s="1462"/>
    </row>
    <row r="65" spans="27:39">
      <c r="AA65" s="1466"/>
      <c r="AB65" s="1466"/>
      <c r="AC65" s="1466"/>
      <c r="AD65" s="1466"/>
      <c r="AE65" s="1462"/>
      <c r="AF65" s="1462"/>
      <c r="AG65" s="1462"/>
      <c r="AH65" s="1462"/>
      <c r="AI65" s="1462"/>
      <c r="AJ65" s="384"/>
      <c r="AK65" s="1462"/>
      <c r="AL65" s="1462"/>
      <c r="AM65" s="1462"/>
    </row>
    <row r="66" spans="27:39">
      <c r="AA66" s="1466"/>
      <c r="AB66" s="1466"/>
      <c r="AC66" s="1466"/>
      <c r="AD66" s="1466"/>
      <c r="AE66" s="1462"/>
      <c r="AF66" s="1462"/>
      <c r="AG66" s="1462"/>
      <c r="AH66" s="1462"/>
      <c r="AI66" s="1462"/>
      <c r="AK66" s="1462"/>
      <c r="AL66" s="1462"/>
      <c r="AM66" s="1462"/>
    </row>
    <row r="67" spans="27:39">
      <c r="AA67" s="1466"/>
      <c r="AB67" s="1466"/>
      <c r="AC67" s="1466"/>
      <c r="AD67" s="1466"/>
      <c r="AE67" s="1462"/>
      <c r="AF67" s="1462"/>
      <c r="AG67" s="1462"/>
      <c r="AH67" s="1462"/>
      <c r="AI67" s="1462"/>
      <c r="AK67" s="1462"/>
      <c r="AL67" s="1462"/>
      <c r="AM67" s="1462"/>
    </row>
    <row r="68" spans="27:39" ht="30.75" customHeight="1">
      <c r="AA68" s="1466"/>
      <c r="AB68" s="1466"/>
      <c r="AC68" s="1466"/>
      <c r="AD68" s="1466"/>
      <c r="AE68" s="1462"/>
      <c r="AF68" s="1462"/>
      <c r="AG68" s="1462"/>
      <c r="AH68" s="1462"/>
      <c r="AI68" s="1462"/>
      <c r="AJ68" s="384"/>
      <c r="AK68" s="1462"/>
      <c r="AL68" s="1462"/>
      <c r="AM68" s="1462"/>
    </row>
    <row r="69" spans="27:39">
      <c r="AA69" s="1461"/>
      <c r="AB69" s="1461"/>
      <c r="AC69" s="1461"/>
      <c r="AD69" s="1461"/>
      <c r="AE69" s="1462"/>
      <c r="AF69" s="1462"/>
      <c r="AG69" s="1462"/>
      <c r="AH69" s="1462"/>
      <c r="AI69" s="1462"/>
      <c r="AK69" s="1462"/>
      <c r="AL69" s="1462"/>
      <c r="AM69" s="1462"/>
    </row>
    <row r="70" spans="27:39">
      <c r="AA70" s="1461"/>
      <c r="AB70" s="1461"/>
      <c r="AC70" s="1461"/>
      <c r="AD70" s="1461"/>
      <c r="AE70" s="1462"/>
      <c r="AF70" s="1462"/>
      <c r="AG70" s="1462"/>
      <c r="AH70" s="1462"/>
      <c r="AI70" s="1462"/>
      <c r="AJ70" s="384"/>
      <c r="AK70" s="1462"/>
      <c r="AL70" s="1462"/>
      <c r="AM70" s="1462"/>
    </row>
    <row r="71" spans="27:39">
      <c r="AA71" s="1461"/>
      <c r="AB71" s="1461"/>
      <c r="AC71" s="1461"/>
      <c r="AD71" s="1461"/>
      <c r="AE71" s="1462"/>
      <c r="AF71" s="1462"/>
      <c r="AG71" s="1462"/>
      <c r="AH71" s="1462"/>
      <c r="AI71" s="1462"/>
      <c r="AJ71" s="384"/>
      <c r="AK71" s="1462"/>
      <c r="AL71" s="1462"/>
      <c r="AM71" s="1462"/>
    </row>
    <row r="72" spans="27:39">
      <c r="AA72" s="1461"/>
      <c r="AB72" s="1461"/>
      <c r="AC72" s="1461"/>
      <c r="AD72" s="1461"/>
      <c r="AE72" s="1462"/>
      <c r="AF72" s="1462"/>
      <c r="AG72" s="1462"/>
      <c r="AH72" s="1462"/>
      <c r="AI72" s="1462"/>
      <c r="AJ72" s="384"/>
      <c r="AK72" s="1462"/>
      <c r="AL72" s="1462"/>
      <c r="AM72" s="1462"/>
    </row>
    <row r="73" spans="27:39">
      <c r="AA73" s="1461"/>
      <c r="AB73" s="1461"/>
      <c r="AC73" s="1461"/>
      <c r="AD73" s="1461"/>
      <c r="AE73" s="1462"/>
      <c r="AF73" s="1462"/>
      <c r="AG73" s="1462"/>
      <c r="AH73" s="1462"/>
      <c r="AI73" s="1462"/>
      <c r="AK73" s="1462"/>
      <c r="AL73" s="1462"/>
      <c r="AM73" s="1462"/>
    </row>
    <row r="74" spans="27:39" ht="30.75" customHeight="1">
      <c r="AA74" s="1461"/>
      <c r="AB74" s="1461"/>
      <c r="AC74" s="1461"/>
      <c r="AD74" s="1461"/>
      <c r="AE74" s="1462"/>
      <c r="AF74" s="1462"/>
      <c r="AG74" s="1462"/>
      <c r="AH74" s="1462"/>
      <c r="AI74" s="1462"/>
      <c r="AK74" s="1462"/>
      <c r="AL74" s="1462"/>
      <c r="AM74" s="1462"/>
    </row>
    <row r="75" spans="27:39">
      <c r="AA75" s="1461"/>
      <c r="AB75" s="1461"/>
      <c r="AC75" s="1461"/>
      <c r="AD75" s="1461"/>
      <c r="AE75" s="1462"/>
      <c r="AF75" s="1462"/>
      <c r="AG75" s="1462"/>
      <c r="AH75" s="1462"/>
      <c r="AI75" s="1462"/>
      <c r="AK75" s="1462"/>
      <c r="AL75" s="1462"/>
      <c r="AM75" s="1462"/>
    </row>
    <row r="76" spans="27:39">
      <c r="AA76" s="1461"/>
      <c r="AB76" s="1461"/>
      <c r="AC76" s="1461"/>
      <c r="AD76" s="1461"/>
      <c r="AE76" s="1462"/>
      <c r="AF76" s="1462"/>
      <c r="AG76" s="1462"/>
      <c r="AH76" s="1462"/>
      <c r="AI76" s="1462"/>
      <c r="AK76" s="1462"/>
      <c r="AL76" s="1462"/>
      <c r="AM76" s="1462"/>
    </row>
    <row r="77" spans="27:39">
      <c r="AA77" s="1461"/>
      <c r="AB77" s="1461"/>
      <c r="AC77" s="1461"/>
      <c r="AD77" s="1461"/>
      <c r="AE77" s="1462"/>
      <c r="AF77" s="1462"/>
      <c r="AG77" s="1462"/>
      <c r="AH77" s="1462"/>
      <c r="AI77" s="1462"/>
      <c r="AK77" s="1462"/>
      <c r="AL77" s="1462"/>
      <c r="AM77" s="1462"/>
    </row>
    <row r="78" spans="27:39">
      <c r="AA78" s="1461"/>
      <c r="AB78" s="1461"/>
      <c r="AC78" s="1461"/>
      <c r="AD78" s="1461"/>
      <c r="AE78" s="1462"/>
      <c r="AF78" s="1462"/>
      <c r="AG78" s="1462"/>
      <c r="AH78" s="1462"/>
      <c r="AI78" s="1462"/>
      <c r="AK78" s="1462"/>
      <c r="AL78" s="1462"/>
      <c r="AM78" s="1462"/>
    </row>
    <row r="79" spans="27:39">
      <c r="AA79" s="1461"/>
      <c r="AB79" s="1461"/>
      <c r="AC79" s="1461"/>
      <c r="AD79" s="1461"/>
      <c r="AE79" s="1462"/>
      <c r="AF79" s="1462"/>
      <c r="AG79" s="1462"/>
      <c r="AH79" s="1462"/>
      <c r="AI79" s="1462"/>
      <c r="AK79" s="1462"/>
      <c r="AL79" s="1462"/>
      <c r="AM79" s="1462"/>
    </row>
    <row r="80" spans="27:39">
      <c r="AA80" s="1467"/>
      <c r="AB80" s="1467"/>
      <c r="AC80" s="1467"/>
      <c r="AD80" s="1467"/>
      <c r="AE80" s="1463"/>
      <c r="AF80" s="1463"/>
      <c r="AG80" s="1463"/>
      <c r="AH80" s="1463"/>
      <c r="AI80" s="1463"/>
      <c r="AJ80" s="1463"/>
      <c r="AK80" s="1463"/>
      <c r="AL80" s="1463"/>
      <c r="AM80" s="381"/>
    </row>
    <row r="81" spans="27:39">
      <c r="AA81" s="1461"/>
      <c r="AB81" s="1461"/>
      <c r="AC81" s="1461"/>
      <c r="AD81" s="1461"/>
      <c r="AE81" s="1462"/>
      <c r="AF81" s="1462"/>
      <c r="AG81" s="1462"/>
      <c r="AH81" s="1462"/>
      <c r="AI81" s="1462"/>
      <c r="AJ81" s="384"/>
      <c r="AK81" s="1462"/>
      <c r="AL81" s="1462"/>
      <c r="AM81" s="1462"/>
    </row>
    <row r="82" spans="27:39">
      <c r="AA82" s="1461"/>
      <c r="AB82" s="1461"/>
      <c r="AC82" s="1461"/>
      <c r="AD82" s="1461"/>
      <c r="AE82" s="1462"/>
      <c r="AF82" s="1462"/>
      <c r="AG82" s="1462"/>
      <c r="AH82" s="1462"/>
      <c r="AI82" s="1462"/>
      <c r="AJ82" s="384"/>
      <c r="AK82" s="1462"/>
      <c r="AL82" s="1462"/>
      <c r="AM82" s="1462"/>
    </row>
    <row r="83" spans="27:39">
      <c r="AA83" s="1461"/>
      <c r="AB83" s="1461"/>
      <c r="AC83" s="1461"/>
      <c r="AD83" s="1461"/>
      <c r="AE83" s="1462"/>
      <c r="AF83" s="1462"/>
      <c r="AG83" s="1462"/>
      <c r="AH83" s="1462"/>
      <c r="AI83" s="1462"/>
      <c r="AJ83" s="384"/>
      <c r="AK83" s="1462"/>
      <c r="AL83" s="1462"/>
      <c r="AM83" s="1462"/>
    </row>
    <row r="84" spans="27:39">
      <c r="AA84" s="1461"/>
      <c r="AB84" s="1461"/>
      <c r="AC84" s="1461"/>
      <c r="AD84" s="1461"/>
      <c r="AE84" s="1462"/>
      <c r="AF84" s="1462"/>
      <c r="AG84" s="1462"/>
      <c r="AH84" s="1462"/>
      <c r="AI84" s="1462"/>
      <c r="AJ84" s="384"/>
      <c r="AK84" s="1462"/>
      <c r="AL84" s="1462"/>
      <c r="AM84" s="1462"/>
    </row>
    <row r="85" spans="27:39">
      <c r="AA85" s="1461"/>
      <c r="AB85" s="1461"/>
      <c r="AC85" s="1461"/>
      <c r="AD85" s="1461"/>
      <c r="AE85" s="1462"/>
      <c r="AF85" s="1462"/>
      <c r="AG85" s="1462"/>
      <c r="AH85" s="1462"/>
      <c r="AI85" s="1462"/>
      <c r="AJ85" s="384"/>
      <c r="AK85" s="1462"/>
      <c r="AL85" s="1462"/>
      <c r="AM85" s="1462"/>
    </row>
    <row r="86" spans="27:39">
      <c r="AA86" s="1461"/>
      <c r="AB86" s="1461"/>
      <c r="AC86" s="1461"/>
      <c r="AD86" s="1461"/>
      <c r="AE86" s="1462"/>
      <c r="AF86" s="1462"/>
      <c r="AG86" s="1462"/>
      <c r="AH86" s="1462"/>
      <c r="AI86" s="1462"/>
      <c r="AJ86" s="384"/>
      <c r="AK86" s="1462"/>
      <c r="AL86" s="1462"/>
      <c r="AM86" s="1462"/>
    </row>
    <row r="87" spans="27:39">
      <c r="AA87" s="1461"/>
      <c r="AB87" s="1461"/>
      <c r="AC87" s="1461"/>
      <c r="AD87" s="1461"/>
      <c r="AE87" s="1462"/>
      <c r="AF87" s="1462"/>
      <c r="AG87" s="1462"/>
      <c r="AH87" s="1462"/>
      <c r="AI87" s="1462"/>
      <c r="AJ87" s="384"/>
      <c r="AK87" s="1462"/>
      <c r="AL87" s="1462"/>
      <c r="AM87" s="1462"/>
    </row>
    <row r="88" spans="27:39">
      <c r="AA88" s="1461"/>
      <c r="AB88" s="1461"/>
      <c r="AC88" s="1461"/>
      <c r="AD88" s="1461"/>
      <c r="AE88" s="1462"/>
      <c r="AF88" s="1462"/>
      <c r="AG88" s="1462"/>
      <c r="AH88" s="1462"/>
      <c r="AI88" s="1462"/>
      <c r="AJ88" s="384"/>
      <c r="AK88" s="1462"/>
      <c r="AL88" s="1462"/>
      <c r="AM88" s="1462"/>
    </row>
    <row r="89" spans="27:39">
      <c r="AA89" s="1461"/>
      <c r="AB89" s="1461"/>
      <c r="AC89" s="1461"/>
      <c r="AD89" s="1461"/>
      <c r="AE89" s="1462"/>
      <c r="AF89" s="1462"/>
      <c r="AG89" s="1462"/>
      <c r="AH89" s="1462"/>
      <c r="AI89" s="1462"/>
      <c r="AJ89" s="384"/>
      <c r="AK89" s="1462"/>
      <c r="AL89" s="1462"/>
      <c r="AM89" s="1462"/>
    </row>
    <row r="90" spans="27:39">
      <c r="AA90" s="1461"/>
      <c r="AB90" s="1461"/>
      <c r="AC90" s="1461"/>
      <c r="AD90" s="1461"/>
      <c r="AE90" s="1462"/>
      <c r="AF90" s="1462"/>
      <c r="AG90" s="1462"/>
      <c r="AH90" s="1462"/>
      <c r="AI90" s="1462"/>
      <c r="AJ90" s="384"/>
      <c r="AK90" s="1462"/>
      <c r="AL90" s="1462"/>
      <c r="AM90" s="1462"/>
    </row>
    <row r="91" spans="27:39">
      <c r="AA91" s="1461"/>
      <c r="AB91" s="1461"/>
      <c r="AC91" s="1461"/>
      <c r="AD91" s="1461"/>
      <c r="AE91" s="1462"/>
      <c r="AF91" s="1462"/>
      <c r="AG91" s="1462"/>
      <c r="AH91" s="1462"/>
      <c r="AI91" s="1462"/>
      <c r="AJ91" s="384"/>
      <c r="AK91" s="1462"/>
      <c r="AL91" s="1462"/>
      <c r="AM91" s="1462"/>
    </row>
    <row r="92" spans="27:39">
      <c r="AA92" s="1461"/>
      <c r="AB92" s="1461"/>
      <c r="AC92" s="1461"/>
      <c r="AD92" s="1461"/>
      <c r="AE92" s="1462"/>
      <c r="AF92" s="1462"/>
      <c r="AG92" s="1462"/>
      <c r="AH92" s="1462"/>
      <c r="AI92" s="1462"/>
      <c r="AJ92" s="384"/>
      <c r="AK92" s="1462"/>
      <c r="AL92" s="1462"/>
      <c r="AM92" s="1462"/>
    </row>
    <row r="93" spans="27:39">
      <c r="AA93" s="1461"/>
      <c r="AB93" s="1461"/>
      <c r="AC93" s="1461"/>
      <c r="AD93" s="1461"/>
      <c r="AE93" s="1462"/>
      <c r="AF93" s="1462"/>
      <c r="AG93" s="1462"/>
      <c r="AH93" s="1462"/>
      <c r="AI93" s="1462"/>
      <c r="AJ93" s="384"/>
      <c r="AK93" s="1462"/>
      <c r="AL93" s="1462"/>
      <c r="AM93" s="1462"/>
    </row>
    <row r="94" spans="27:39">
      <c r="AA94" s="1461"/>
      <c r="AB94" s="1461"/>
      <c r="AC94" s="1461"/>
      <c r="AD94" s="1461"/>
      <c r="AE94" s="1462"/>
      <c r="AF94" s="1462"/>
      <c r="AG94" s="1462"/>
      <c r="AH94" s="1462"/>
      <c r="AI94" s="1462"/>
      <c r="AJ94" s="384"/>
      <c r="AK94" s="1462"/>
      <c r="AL94" s="1462"/>
      <c r="AM94" s="1462"/>
    </row>
    <row r="95" spans="27:39">
      <c r="AA95" s="1461"/>
      <c r="AB95" s="1461"/>
      <c r="AC95" s="1461"/>
      <c r="AD95" s="1461"/>
      <c r="AE95" s="1462"/>
      <c r="AF95" s="1462"/>
      <c r="AG95" s="1462"/>
      <c r="AH95" s="1462"/>
      <c r="AI95" s="1462"/>
      <c r="AJ95" s="384"/>
      <c r="AK95" s="1462"/>
      <c r="AL95" s="1462"/>
      <c r="AM95" s="1462"/>
    </row>
    <row r="96" spans="27:39">
      <c r="AA96" s="1461"/>
      <c r="AB96" s="1461"/>
      <c r="AC96" s="1461"/>
      <c r="AD96" s="1461"/>
      <c r="AE96" s="1462"/>
      <c r="AF96" s="1462"/>
      <c r="AG96" s="1462"/>
      <c r="AH96" s="1462"/>
      <c r="AI96" s="1462"/>
      <c r="AJ96" s="384"/>
      <c r="AK96" s="1462"/>
      <c r="AL96" s="1462"/>
      <c r="AM96" s="1462"/>
    </row>
    <row r="97" spans="27:39">
      <c r="AA97" s="1461"/>
      <c r="AB97" s="1461"/>
      <c r="AC97" s="1461"/>
      <c r="AD97" s="1461"/>
      <c r="AE97" s="1462"/>
      <c r="AF97" s="1462"/>
      <c r="AG97" s="1462"/>
      <c r="AH97" s="1462"/>
      <c r="AI97" s="1462"/>
      <c r="AJ97" s="384"/>
      <c r="AK97" s="1462"/>
      <c r="AL97" s="1462"/>
      <c r="AM97" s="1462"/>
    </row>
    <row r="98" spans="27:39">
      <c r="AA98" s="1461"/>
      <c r="AB98" s="1461"/>
      <c r="AC98" s="1461"/>
      <c r="AD98" s="1461"/>
      <c r="AE98" s="1462"/>
      <c r="AF98" s="1462"/>
      <c r="AG98" s="1462"/>
      <c r="AH98" s="1462"/>
      <c r="AI98" s="1462"/>
      <c r="AJ98" s="384"/>
      <c r="AK98" s="1462"/>
      <c r="AL98" s="1462"/>
      <c r="AM98" s="1462"/>
    </row>
    <row r="99" spans="27:39">
      <c r="AA99" s="1466"/>
      <c r="AB99" s="1466"/>
      <c r="AC99" s="1466"/>
      <c r="AD99" s="1466"/>
      <c r="AE99" s="1462"/>
      <c r="AF99" s="1462"/>
      <c r="AG99" s="1462"/>
      <c r="AH99" s="1462"/>
      <c r="AI99" s="1462"/>
      <c r="AJ99" s="384"/>
      <c r="AK99" s="1462"/>
      <c r="AL99" s="1462"/>
      <c r="AM99" s="1462"/>
    </row>
    <row r="100" spans="27:39">
      <c r="AA100" s="1466"/>
      <c r="AB100" s="1466"/>
      <c r="AC100" s="1466"/>
      <c r="AD100" s="1466"/>
      <c r="AE100" s="1462"/>
      <c r="AF100" s="1462"/>
      <c r="AG100" s="3"/>
      <c r="AH100" s="3"/>
      <c r="AI100" s="3"/>
      <c r="AJ100" s="384"/>
      <c r="AK100" s="3"/>
      <c r="AL100" s="3"/>
      <c r="AM100" s="3"/>
    </row>
    <row r="101" spans="27:39">
      <c r="AA101" s="1466"/>
      <c r="AB101" s="1466"/>
      <c r="AC101" s="1466"/>
      <c r="AD101" s="1466"/>
      <c r="AE101" s="1462"/>
      <c r="AF101" s="1462"/>
      <c r="AG101" s="3"/>
      <c r="AH101" s="3"/>
      <c r="AI101" s="3"/>
      <c r="AJ101" s="384"/>
      <c r="AK101" s="3"/>
      <c r="AL101" s="3"/>
      <c r="AM101" s="3"/>
    </row>
    <row r="102" spans="27:39">
      <c r="AA102" s="1466"/>
      <c r="AB102" s="1466"/>
      <c r="AC102" s="1466"/>
      <c r="AD102" s="1466"/>
      <c r="AE102" s="1462"/>
      <c r="AF102" s="1462"/>
      <c r="AG102" s="3"/>
      <c r="AH102" s="3"/>
      <c r="AI102" s="3"/>
      <c r="AJ102" s="384"/>
      <c r="AK102" s="3"/>
      <c r="AL102" s="3"/>
      <c r="AM102" s="3"/>
    </row>
    <row r="103" spans="27:39">
      <c r="AA103" s="1466"/>
      <c r="AB103" s="1466"/>
      <c r="AC103" s="1466"/>
      <c r="AD103" s="1466"/>
      <c r="AE103" s="1462"/>
      <c r="AF103" s="1462"/>
      <c r="AG103" s="3"/>
      <c r="AH103" s="3"/>
      <c r="AI103" s="3"/>
      <c r="AJ103" s="384"/>
      <c r="AK103" s="3"/>
      <c r="AL103" s="3"/>
      <c r="AM103" s="3"/>
    </row>
    <row r="104" spans="27:39">
      <c r="AA104" s="1466"/>
      <c r="AB104" s="1466"/>
      <c r="AC104" s="1466"/>
      <c r="AD104" s="1466"/>
      <c r="AE104" s="1462"/>
      <c r="AF104" s="1462"/>
      <c r="AG104" s="3"/>
      <c r="AH104" s="3"/>
      <c r="AI104" s="3"/>
      <c r="AJ104" s="384"/>
      <c r="AK104" s="3"/>
      <c r="AL104" s="3"/>
      <c r="AM104" s="3"/>
    </row>
    <row r="105" spans="27:39">
      <c r="AA105" s="1466"/>
      <c r="AB105" s="1466"/>
      <c r="AC105" s="1466"/>
      <c r="AD105" s="1466"/>
      <c r="AE105" s="1462"/>
      <c r="AF105" s="1462"/>
      <c r="AG105" s="3"/>
      <c r="AH105" s="3"/>
      <c r="AI105" s="3"/>
      <c r="AJ105" s="384"/>
      <c r="AK105" s="3"/>
      <c r="AL105" s="3"/>
      <c r="AM105" s="3"/>
    </row>
    <row r="106" spans="27:39">
      <c r="AA106" s="1466"/>
      <c r="AB106" s="1466"/>
      <c r="AC106" s="1466"/>
      <c r="AD106" s="1466"/>
      <c r="AE106" s="1462"/>
      <c r="AF106" s="1462"/>
      <c r="AG106" s="1462"/>
      <c r="AH106" s="1462"/>
      <c r="AI106" s="1462"/>
      <c r="AJ106" s="384"/>
      <c r="AK106" s="3"/>
      <c r="AL106" s="3"/>
      <c r="AM106" s="3"/>
    </row>
    <row r="107" spans="27:39">
      <c r="AA107" s="1463"/>
      <c r="AB107" s="1463"/>
      <c r="AC107" s="1463"/>
      <c r="AD107" s="1463"/>
      <c r="AE107" s="1463"/>
      <c r="AF107" s="1463"/>
      <c r="AG107" s="1463"/>
      <c r="AH107" s="1463"/>
      <c r="AI107" s="1463"/>
      <c r="AJ107" s="1463"/>
      <c r="AK107" s="1463"/>
      <c r="AL107" s="1463"/>
      <c r="AM107" s="381"/>
    </row>
    <row r="108" spans="27:39">
      <c r="AA108" s="1470"/>
      <c r="AB108" s="1470"/>
      <c r="AC108" s="1470"/>
      <c r="AD108" s="1470"/>
      <c r="AE108" s="1462"/>
      <c r="AF108" s="1462"/>
      <c r="AG108" s="1462"/>
      <c r="AH108" s="1462"/>
      <c r="AI108" s="1462"/>
      <c r="AK108" s="1462"/>
      <c r="AL108" s="1462"/>
      <c r="AM108" s="1462"/>
    </row>
    <row r="109" spans="27:39">
      <c r="AA109" s="1463"/>
      <c r="AB109" s="1463"/>
      <c r="AC109" s="1463"/>
      <c r="AD109" s="1463"/>
      <c r="AE109" s="1462"/>
      <c r="AF109" s="1462"/>
      <c r="AG109" s="1462"/>
      <c r="AH109" s="1462"/>
      <c r="AI109" s="1462"/>
      <c r="AK109" s="1462"/>
      <c r="AL109" s="1462"/>
      <c r="AM109" s="1462"/>
    </row>
    <row r="110" spans="27:39">
      <c r="AA110" s="1469"/>
      <c r="AB110" s="1469"/>
      <c r="AC110" s="1469"/>
      <c r="AD110" s="1469"/>
      <c r="AE110" s="1462"/>
      <c r="AF110" s="1462"/>
      <c r="AG110" s="1462"/>
      <c r="AH110" s="1462"/>
      <c r="AI110" s="1462"/>
      <c r="AK110" s="1462"/>
      <c r="AL110" s="1462"/>
      <c r="AM110" s="1462"/>
    </row>
    <row r="111" spans="27:39">
      <c r="AA111" s="1469"/>
      <c r="AB111" s="1469"/>
      <c r="AC111" s="1469"/>
      <c r="AD111" s="1469"/>
      <c r="AE111" s="1462"/>
      <c r="AF111" s="1462"/>
      <c r="AG111" s="1462"/>
      <c r="AH111" s="1462"/>
      <c r="AI111" s="1462"/>
      <c r="AK111" s="1462"/>
      <c r="AL111" s="1462"/>
      <c r="AM111" s="1462"/>
    </row>
    <row r="112" spans="27:39">
      <c r="AA112" s="1469"/>
      <c r="AB112" s="1469"/>
      <c r="AC112" s="1469"/>
      <c r="AD112" s="1469"/>
      <c r="AE112" s="1462"/>
      <c r="AF112" s="1462"/>
      <c r="AG112" s="1462"/>
      <c r="AH112" s="1462"/>
      <c r="AI112" s="1462"/>
      <c r="AK112" s="1462"/>
      <c r="AL112" s="1462"/>
      <c r="AM112" s="1462"/>
    </row>
    <row r="113" spans="27:39">
      <c r="AA113" s="1469"/>
      <c r="AB113" s="1469"/>
      <c r="AC113" s="1469"/>
      <c r="AD113" s="1469"/>
      <c r="AE113" s="1462"/>
      <c r="AF113" s="1462"/>
      <c r="AG113" s="1462"/>
      <c r="AH113" s="1462"/>
      <c r="AI113" s="1462"/>
      <c r="AK113" s="1462"/>
      <c r="AL113" s="1462"/>
      <c r="AM113" s="1462"/>
    </row>
    <row r="114" spans="27:39">
      <c r="AA114" s="1469"/>
      <c r="AB114" s="1469"/>
      <c r="AC114" s="1469"/>
      <c r="AD114" s="1469"/>
      <c r="AE114" s="1462"/>
      <c r="AF114" s="1462"/>
      <c r="AG114" s="1462"/>
      <c r="AH114" s="1462"/>
      <c r="AI114" s="1462"/>
      <c r="AK114" s="1462"/>
      <c r="AL114" s="1462"/>
      <c r="AM114" s="1462"/>
    </row>
    <row r="115" spans="27:39">
      <c r="AA115" s="1469"/>
      <c r="AB115" s="1469"/>
      <c r="AC115" s="1469"/>
      <c r="AD115" s="1469"/>
      <c r="AE115" s="1462"/>
      <c r="AF115" s="1462"/>
      <c r="AG115" s="1462"/>
      <c r="AH115" s="1462"/>
      <c r="AI115" s="1462"/>
      <c r="AK115" s="1462"/>
      <c r="AL115" s="1462"/>
      <c r="AM115" s="1462"/>
    </row>
    <row r="116" spans="27:39">
      <c r="AA116" s="1469"/>
      <c r="AB116" s="1469"/>
      <c r="AC116" s="1469"/>
      <c r="AD116" s="1469"/>
      <c r="AE116" s="1462"/>
      <c r="AF116" s="1462"/>
      <c r="AG116" s="1462"/>
      <c r="AH116" s="1462"/>
      <c r="AI116" s="1462"/>
      <c r="AK116" s="1462"/>
      <c r="AL116" s="1462"/>
      <c r="AM116" s="1462"/>
    </row>
    <row r="117" spans="27:39">
      <c r="AA117" s="1469"/>
      <c r="AB117" s="1469"/>
      <c r="AC117" s="1469"/>
      <c r="AD117" s="1469"/>
      <c r="AE117" s="1462"/>
      <c r="AF117" s="1462"/>
      <c r="AG117" s="1462"/>
      <c r="AH117" s="1462"/>
      <c r="AI117" s="1462"/>
      <c r="AK117" s="1462"/>
      <c r="AL117" s="1462"/>
      <c r="AM117" s="1462"/>
    </row>
    <row r="118" spans="27:39">
      <c r="AA118" s="1469"/>
      <c r="AB118" s="1469"/>
      <c r="AC118" s="1469"/>
      <c r="AD118" s="1469"/>
      <c r="AE118" s="1462"/>
      <c r="AF118" s="1462"/>
      <c r="AG118" s="1462"/>
      <c r="AH118" s="1462"/>
      <c r="AI118" s="1462"/>
      <c r="AK118" s="1462"/>
      <c r="AL118" s="1462"/>
      <c r="AM118" s="1462"/>
    </row>
    <row r="119" spans="27:39">
      <c r="AA119" s="1469"/>
      <c r="AB119" s="1469"/>
      <c r="AC119" s="1469"/>
      <c r="AD119" s="1469"/>
    </row>
  </sheetData>
  <mergeCells count="309">
    <mergeCell ref="AK96:AM96"/>
    <mergeCell ref="AK97:AM97"/>
    <mergeCell ref="AK98:AM98"/>
    <mergeCell ref="AG98:AI98"/>
    <mergeCell ref="AG99:AI99"/>
    <mergeCell ref="AK99:AM99"/>
    <mergeCell ref="AA58:AD58"/>
    <mergeCell ref="AK86:AM86"/>
    <mergeCell ref="AK87:AM87"/>
    <mergeCell ref="AK88:AM88"/>
    <mergeCell ref="AK89:AM89"/>
    <mergeCell ref="AK90:AM90"/>
    <mergeCell ref="AK91:AM91"/>
    <mergeCell ref="AK93:AM93"/>
    <mergeCell ref="AK94:AM94"/>
    <mergeCell ref="AK95:AM95"/>
    <mergeCell ref="AG93:AI93"/>
    <mergeCell ref="AG94:AI94"/>
    <mergeCell ref="AG95:AI95"/>
    <mergeCell ref="AE88:AF88"/>
    <mergeCell ref="AE89:AF89"/>
    <mergeCell ref="AE90:AF90"/>
    <mergeCell ref="AA86:AD86"/>
    <mergeCell ref="AA87:AD87"/>
    <mergeCell ref="AG106:AI106"/>
    <mergeCell ref="AA96:AD96"/>
    <mergeCell ref="AA97:AD97"/>
    <mergeCell ref="AE96:AF96"/>
    <mergeCell ref="AE97:AF97"/>
    <mergeCell ref="AG96:AI96"/>
    <mergeCell ref="AG97:AI97"/>
    <mergeCell ref="AA105:AD105"/>
    <mergeCell ref="AA99:AD99"/>
    <mergeCell ref="AA98:AD98"/>
    <mergeCell ref="AE105:AF105"/>
    <mergeCell ref="AE99:AF99"/>
    <mergeCell ref="AE98:AF98"/>
    <mergeCell ref="AA106:AD106"/>
    <mergeCell ref="AE106:AF106"/>
    <mergeCell ref="AE103:AF103"/>
    <mergeCell ref="AE104:AF104"/>
    <mergeCell ref="AA103:AD103"/>
    <mergeCell ref="AA104:AD104"/>
    <mergeCell ref="AA88:AD88"/>
    <mergeCell ref="AA89:AD89"/>
    <mergeCell ref="AA90:AD90"/>
    <mergeCell ref="AA91:AD91"/>
    <mergeCell ref="AE100:AF100"/>
    <mergeCell ref="AE101:AF101"/>
    <mergeCell ref="AE102:AF102"/>
    <mergeCell ref="AA100:AD100"/>
    <mergeCell ref="AA101:AD101"/>
    <mergeCell ref="AA102:AD102"/>
    <mergeCell ref="AE93:AF93"/>
    <mergeCell ref="AE94:AF94"/>
    <mergeCell ref="AE95:AF95"/>
    <mergeCell ref="AA93:AD93"/>
    <mergeCell ref="AA94:AD94"/>
    <mergeCell ref="AA95:AD95"/>
    <mergeCell ref="AE91:AF91"/>
    <mergeCell ref="AA119:AD119"/>
    <mergeCell ref="AE80:AH80"/>
    <mergeCell ref="AI80:AL80"/>
    <mergeCell ref="AA92:AD92"/>
    <mergeCell ref="AE92:AF92"/>
    <mergeCell ref="AG92:AI92"/>
    <mergeCell ref="AK92:AM92"/>
    <mergeCell ref="AA78:AD78"/>
    <mergeCell ref="AE78:AF78"/>
    <mergeCell ref="AG78:AI78"/>
    <mergeCell ref="AK78:AM78"/>
    <mergeCell ref="AA79:AD79"/>
    <mergeCell ref="AE79:AF79"/>
    <mergeCell ref="AG79:AI79"/>
    <mergeCell ref="AK79:AM79"/>
    <mergeCell ref="AA80:AD80"/>
    <mergeCell ref="AK109:AM109"/>
    <mergeCell ref="AG109:AI109"/>
    <mergeCell ref="AE109:AF109"/>
    <mergeCell ref="AA109:AD109"/>
    <mergeCell ref="AK108:AM108"/>
    <mergeCell ref="AG108:AI108"/>
    <mergeCell ref="AE108:AF108"/>
    <mergeCell ref="AA108:AD108"/>
    <mergeCell ref="AI107:AL107"/>
    <mergeCell ref="AE107:AH107"/>
    <mergeCell ref="AK112:AM112"/>
    <mergeCell ref="AG112:AI112"/>
    <mergeCell ref="AE112:AF112"/>
    <mergeCell ref="AA112:AD112"/>
    <mergeCell ref="AK111:AM111"/>
    <mergeCell ref="AG111:AI111"/>
    <mergeCell ref="AE111:AF111"/>
    <mergeCell ref="AA111:AD111"/>
    <mergeCell ref="AK110:AM110"/>
    <mergeCell ref="AG110:AI110"/>
    <mergeCell ref="AE110:AF110"/>
    <mergeCell ref="AA110:AD110"/>
    <mergeCell ref="AA107:AD107"/>
    <mergeCell ref="AK115:AM115"/>
    <mergeCell ref="AG115:AI115"/>
    <mergeCell ref="AE115:AF115"/>
    <mergeCell ref="AA115:AD115"/>
    <mergeCell ref="AK114:AM114"/>
    <mergeCell ref="AG114:AI114"/>
    <mergeCell ref="AE114:AF114"/>
    <mergeCell ref="AA114:AD114"/>
    <mergeCell ref="AK113:AM113"/>
    <mergeCell ref="AG113:AI113"/>
    <mergeCell ref="AE113:AF113"/>
    <mergeCell ref="AA113:AD113"/>
    <mergeCell ref="AK118:AM118"/>
    <mergeCell ref="AG118:AI118"/>
    <mergeCell ref="AE118:AF118"/>
    <mergeCell ref="AA118:AD118"/>
    <mergeCell ref="AK117:AM117"/>
    <mergeCell ref="AG117:AI117"/>
    <mergeCell ref="AE117:AF117"/>
    <mergeCell ref="AA117:AD117"/>
    <mergeCell ref="AK116:AM116"/>
    <mergeCell ref="AG116:AI116"/>
    <mergeCell ref="AE116:AF116"/>
    <mergeCell ref="AA116:AD116"/>
    <mergeCell ref="A1:A23"/>
    <mergeCell ref="A26:A48"/>
    <mergeCell ref="S5:Y5"/>
    <mergeCell ref="AA5:AG5"/>
    <mergeCell ref="AE52:AF52"/>
    <mergeCell ref="AI5:AO5"/>
    <mergeCell ref="S27:Y27"/>
    <mergeCell ref="AA27:AG27"/>
    <mergeCell ref="AI27:AO27"/>
    <mergeCell ref="C27:I27"/>
    <mergeCell ref="C2:E2"/>
    <mergeCell ref="G2:I2"/>
    <mergeCell ref="C3:E3"/>
    <mergeCell ref="G3:I3"/>
    <mergeCell ref="C5:I5"/>
    <mergeCell ref="K5:Q5"/>
    <mergeCell ref="K27:Q27"/>
    <mergeCell ref="AA51:AD51"/>
    <mergeCell ref="AA52:AD52"/>
    <mergeCell ref="AA53:AD53"/>
    <mergeCell ref="AA54:AD54"/>
    <mergeCell ref="AA55:AD55"/>
    <mergeCell ref="AA56:AD56"/>
    <mergeCell ref="AA49:AD49"/>
    <mergeCell ref="AA50:AD50"/>
    <mergeCell ref="AE49:AF49"/>
    <mergeCell ref="AE50:AF50"/>
    <mergeCell ref="AK49:AM49"/>
    <mergeCell ref="AK50:AM50"/>
    <mergeCell ref="AK51:AM51"/>
    <mergeCell ref="AK52:AM52"/>
    <mergeCell ref="AK53:AM53"/>
    <mergeCell ref="AA60:AD60"/>
    <mergeCell ref="AE60:AF60"/>
    <mergeCell ref="AG60:AI60"/>
    <mergeCell ref="AK60:AM60"/>
    <mergeCell ref="AK54:AM54"/>
    <mergeCell ref="AK55:AM55"/>
    <mergeCell ref="AK56:AM56"/>
    <mergeCell ref="AK57:AM57"/>
    <mergeCell ref="AA59:AD59"/>
    <mergeCell ref="AE58:AF58"/>
    <mergeCell ref="AG58:AI58"/>
    <mergeCell ref="AK58:AM58"/>
    <mergeCell ref="AA57:AD57"/>
    <mergeCell ref="AE57:AF57"/>
    <mergeCell ref="AG54:AI54"/>
    <mergeCell ref="AG55:AI55"/>
    <mergeCell ref="AG56:AI56"/>
    <mergeCell ref="AG57:AI57"/>
    <mergeCell ref="AE54:AF54"/>
    <mergeCell ref="AE55:AF55"/>
    <mergeCell ref="AE56:AF56"/>
    <mergeCell ref="AA62:AD62"/>
    <mergeCell ref="AE62:AF62"/>
    <mergeCell ref="AG62:AI62"/>
    <mergeCell ref="AK62:AM62"/>
    <mergeCell ref="AA63:AD63"/>
    <mergeCell ref="AE63:AF63"/>
    <mergeCell ref="AG63:AI63"/>
    <mergeCell ref="AK63:AM63"/>
    <mergeCell ref="AA61:AD61"/>
    <mergeCell ref="AE61:AF61"/>
    <mergeCell ref="AG61:AI61"/>
    <mergeCell ref="AK61:AM61"/>
    <mergeCell ref="AA66:AD66"/>
    <mergeCell ref="AA67:AD67"/>
    <mergeCell ref="AE67:AF67"/>
    <mergeCell ref="AG67:AI67"/>
    <mergeCell ref="AK67:AM67"/>
    <mergeCell ref="AE66:AF66"/>
    <mergeCell ref="AG66:AI66"/>
    <mergeCell ref="AK66:AM66"/>
    <mergeCell ref="AA64:AD64"/>
    <mergeCell ref="AE64:AF64"/>
    <mergeCell ref="AG64:AI64"/>
    <mergeCell ref="AK64:AM64"/>
    <mergeCell ref="AA65:AD65"/>
    <mergeCell ref="AE65:AF65"/>
    <mergeCell ref="AG65:AI65"/>
    <mergeCell ref="AK65:AM65"/>
    <mergeCell ref="AG71:AI71"/>
    <mergeCell ref="AK71:AM71"/>
    <mergeCell ref="AA68:AD68"/>
    <mergeCell ref="AE68:AF68"/>
    <mergeCell ref="AG68:AI68"/>
    <mergeCell ref="AK68:AM68"/>
    <mergeCell ref="AA69:AD69"/>
    <mergeCell ref="AE69:AF69"/>
    <mergeCell ref="AG69:AI69"/>
    <mergeCell ref="AK69:AM69"/>
    <mergeCell ref="AG86:AI86"/>
    <mergeCell ref="AG87:AI87"/>
    <mergeCell ref="AG88:AI88"/>
    <mergeCell ref="AG89:AI89"/>
    <mergeCell ref="AG90:AI90"/>
    <mergeCell ref="AG91:AI91"/>
    <mergeCell ref="AE86:AF86"/>
    <mergeCell ref="AE87:AF87"/>
    <mergeCell ref="AQ5:AW5"/>
    <mergeCell ref="AQ27:AW27"/>
    <mergeCell ref="AE82:AF82"/>
    <mergeCell ref="AE83:AF83"/>
    <mergeCell ref="AE84:AF84"/>
    <mergeCell ref="AG82:AI82"/>
    <mergeCell ref="AK82:AM82"/>
    <mergeCell ref="AG83:AI83"/>
    <mergeCell ref="AK83:AM83"/>
    <mergeCell ref="AG49:AI49"/>
    <mergeCell ref="AG50:AI50"/>
    <mergeCell ref="AG51:AI51"/>
    <mergeCell ref="AG52:AI52"/>
    <mergeCell ref="AG53:AI53"/>
    <mergeCell ref="AE51:AF51"/>
    <mergeCell ref="AE53:AF53"/>
    <mergeCell ref="AA85:AD85"/>
    <mergeCell ref="AE85:AF85"/>
    <mergeCell ref="AG85:AI85"/>
    <mergeCell ref="AK85:AM85"/>
    <mergeCell ref="AE59:AH59"/>
    <mergeCell ref="AI59:AL59"/>
    <mergeCell ref="AA48:AM48"/>
    <mergeCell ref="AA76:AD76"/>
    <mergeCell ref="AE76:AF76"/>
    <mergeCell ref="AG76:AI76"/>
    <mergeCell ref="AK76:AM76"/>
    <mergeCell ref="AA77:AD77"/>
    <mergeCell ref="AE77:AF77"/>
    <mergeCell ref="AG77:AI77"/>
    <mergeCell ref="AK77:AM77"/>
    <mergeCell ref="AA74:AD74"/>
    <mergeCell ref="AA82:AD82"/>
    <mergeCell ref="AA83:AD83"/>
    <mergeCell ref="AA84:AD84"/>
    <mergeCell ref="AG84:AI84"/>
    <mergeCell ref="AK84:AM84"/>
    <mergeCell ref="AE74:AF74"/>
    <mergeCell ref="AG74:AI74"/>
    <mergeCell ref="AK74:AM74"/>
    <mergeCell ref="AY5:BE5"/>
    <mergeCell ref="AY27:BE27"/>
    <mergeCell ref="AA81:AD81"/>
    <mergeCell ref="AE81:AF81"/>
    <mergeCell ref="AG81:AI81"/>
    <mergeCell ref="AK81:AM81"/>
    <mergeCell ref="AA75:AD75"/>
    <mergeCell ref="AE75:AF75"/>
    <mergeCell ref="AG75:AI75"/>
    <mergeCell ref="AK75:AM75"/>
    <mergeCell ref="AA72:AD72"/>
    <mergeCell ref="AE72:AF72"/>
    <mergeCell ref="AG72:AI72"/>
    <mergeCell ref="AK72:AM72"/>
    <mergeCell ref="AA73:AD73"/>
    <mergeCell ref="AE73:AF73"/>
    <mergeCell ref="AG73:AI73"/>
    <mergeCell ref="AK73:AM73"/>
    <mergeCell ref="AA70:AD70"/>
    <mergeCell ref="AE70:AF70"/>
    <mergeCell ref="AG70:AI70"/>
    <mergeCell ref="AK70:AM70"/>
    <mergeCell ref="AA71:AD71"/>
    <mergeCell ref="AE71:AF71"/>
    <mergeCell ref="BG23:BJ23"/>
    <mergeCell ref="BG5:BM5"/>
    <mergeCell ref="BG27:BM27"/>
    <mergeCell ref="BO5:BU5"/>
    <mergeCell ref="BO27:BU27"/>
    <mergeCell ref="BW5:CC5"/>
    <mergeCell ref="BW27:CC27"/>
    <mergeCell ref="CM24:CP24"/>
    <mergeCell ref="CM23:CP23"/>
    <mergeCell ref="CM21:CP21"/>
    <mergeCell ref="CM20:CP20"/>
    <mergeCell ref="DC5:DI5"/>
    <mergeCell ref="DC27:DI27"/>
    <mergeCell ref="CE5:CK5"/>
    <mergeCell ref="CE27:CK27"/>
    <mergeCell ref="CM5:CS5"/>
    <mergeCell ref="CM27:CS27"/>
    <mergeCell ref="CE1:CG1"/>
    <mergeCell ref="CI1:CK1"/>
    <mergeCell ref="CE2:CG2"/>
    <mergeCell ref="CI2:CK2"/>
    <mergeCell ref="CU27:DA27"/>
    <mergeCell ref="CU5:DA5"/>
  </mergeCells>
  <conditionalFormatting sqref="AE50:AF107">
    <cfRule type="cellIs" dxfId="19" priority="1" operator="equal">
      <formula>"OK"</formula>
    </cfRule>
    <cfRule type="cellIs" dxfId="18" priority="2" operator="equal">
      <formula>"FALTA"</formula>
    </cfRule>
    <cfRule type="cellIs" dxfId="17" priority="3" operator="equal">
      <formula>"EN PROCESO"</formula>
    </cfRule>
  </conditionalFormatting>
  <hyperlinks>
    <hyperlink ref="AF32" location="'CALENDARIO'!AA48:AM57" display="MANT" xr:uid="{53E876B0-D95E-440C-B984-F15C9604AC5F}"/>
    <hyperlink ref="AF34" location="'CALENDARIO'!AA58:AM65" display="MANT" xr:uid="{06940D4C-7DFA-4A29-8282-69CA160A238D}"/>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86FF1-E228-41F2-920D-5DE597332667}">
  <sheetPr>
    <tabColor rgb="FF6C6070"/>
  </sheetPr>
  <dimension ref="A1:V1935"/>
  <sheetViews>
    <sheetView showGridLines="0" workbookViewId="0">
      <pane ySplit="1" topLeftCell="A1790" activePane="bottomLeft" state="frozen"/>
      <selection pane="bottomLeft" activeCell="S2" sqref="S2:V2"/>
    </sheetView>
  </sheetViews>
  <sheetFormatPr baseColWidth="10" defaultColWidth="9.1640625" defaultRowHeight="15" customHeight="1"/>
  <cols>
    <col min="1" max="1" width="11.5" bestFit="1" customWidth="1"/>
    <col min="2" max="2" width="16.5" style="3" bestFit="1" customWidth="1"/>
    <col min="3" max="3" width="19.6640625" style="3" bestFit="1" customWidth="1"/>
    <col min="4" max="4" width="17.1640625" style="3" bestFit="1" customWidth="1"/>
    <col min="5" max="5" width="38" customWidth="1"/>
    <col min="6" max="6" width="15.5" style="3" customWidth="1"/>
    <col min="7" max="7" width="12.5" style="3" customWidth="1"/>
    <col min="8" max="8" width="17.33203125" style="3" customWidth="1"/>
    <col min="9" max="9" width="10.1640625" style="3" customWidth="1"/>
    <col min="10" max="10" width="13.1640625" style="3" customWidth="1"/>
    <col min="11" max="11" width="15" style="3" bestFit="1" customWidth="1"/>
    <col min="12" max="12" width="3.6640625" customWidth="1"/>
    <col min="13" max="13" width="3.5" customWidth="1"/>
    <col min="14" max="14" width="10.1640625" customWidth="1"/>
    <col min="18" max="18" width="11.33203125" customWidth="1"/>
  </cols>
  <sheetData>
    <row r="1" spans="1:22" s="17" customFormat="1" ht="32">
      <c r="A1" s="1019" t="s">
        <v>876</v>
      </c>
      <c r="B1" s="1020" t="s">
        <v>1138</v>
      </c>
      <c r="C1" s="1020" t="s">
        <v>1139</v>
      </c>
      <c r="D1" s="1021" t="s">
        <v>1140</v>
      </c>
      <c r="E1" s="1021" t="s">
        <v>875</v>
      </c>
      <c r="F1" s="1021" t="s">
        <v>1117</v>
      </c>
      <c r="G1" s="1021" t="s">
        <v>1141</v>
      </c>
      <c r="H1" s="1021" t="s">
        <v>1118</v>
      </c>
      <c r="I1" s="1021" t="s">
        <v>1119</v>
      </c>
      <c r="J1" s="1021" t="s">
        <v>1120</v>
      </c>
      <c r="K1" s="1022" t="s">
        <v>1121</v>
      </c>
      <c r="N1" s="1018" t="s">
        <v>1142</v>
      </c>
      <c r="O1" s="1018" t="s">
        <v>1143</v>
      </c>
      <c r="P1" s="1018" t="s">
        <v>1144</v>
      </c>
      <c r="Q1" s="1018" t="s">
        <v>1145</v>
      </c>
      <c r="R1" s="1018" t="s">
        <v>1146</v>
      </c>
    </row>
    <row r="2" spans="1:22" hidden="1">
      <c r="A2" s="577" t="s">
        <v>897</v>
      </c>
      <c r="B2" s="582">
        <v>6</v>
      </c>
      <c r="C2" s="588">
        <v>45839</v>
      </c>
      <c r="D2" s="582">
        <f>+WEEKNUM(C2)</f>
        <v>27</v>
      </c>
      <c r="E2" s="576" t="str">
        <f>+VLOOKUP(Tabla3[[#This Row],[PATENTE]],'BASE DATOS'!F:G,2,0)</f>
        <v xml:space="preserve">TRANSP CLAUDIO BUSTOS - LSG801 </v>
      </c>
      <c r="F2" s="582" t="str">
        <f>+VLOOKUP(Tabla3[[#This Row],[PATENTE]],'BASE DATOS'!F:H,3,0)</f>
        <v>2P</v>
      </c>
      <c r="G2" s="582" t="str">
        <f>+VLOOKUP(Tabla3[[#This Row],[PATENTE]],'BASE DATOS'!F:I,4,0)</f>
        <v>SI</v>
      </c>
      <c r="H2" s="584" t="str">
        <f>+VLOOKUP(Tabla3[[#This Row],[PATENTE]],'BASE DATOS'!F:J,5,0)</f>
        <v>SI</v>
      </c>
      <c r="I2" s="582" t="str">
        <f>+VLOOKUP(Tabla3[[#This Row],[PATENTE]],'BASE DATOS'!F:K,6,0)</f>
        <v>NO</v>
      </c>
      <c r="J2" s="582">
        <f>+VLOOKUP(Tabla3[[#This Row],[PATENTE]],'BASE DATOS'!F:L,7,0)</f>
        <v>2013</v>
      </c>
      <c r="K2" s="593">
        <f>+VLOOKUP(Tabla3[[#This Row],[PATENTE]],'BASE DATOS'!F:M,8,0)</f>
        <v>12</v>
      </c>
      <c r="N2" s="964" t="s">
        <v>936</v>
      </c>
      <c r="O2" s="1014">
        <v>1</v>
      </c>
      <c r="P2" s="1014">
        <v>1</v>
      </c>
      <c r="Q2" s="1014">
        <v>1</v>
      </c>
      <c r="R2" s="965">
        <f t="shared" ref="R2:R65" si="0">IFERROR(AVERAGE(O2:Q2),"-")</f>
        <v>1</v>
      </c>
      <c r="S2" s="1471" t="s">
        <v>1147</v>
      </c>
      <c r="T2" s="1462"/>
      <c r="U2" s="1462"/>
      <c r="V2" s="1462"/>
    </row>
    <row r="3" spans="1:22" hidden="1">
      <c r="A3" s="578" t="s">
        <v>919</v>
      </c>
      <c r="B3" s="584">
        <v>5</v>
      </c>
      <c r="C3" s="589">
        <v>45839</v>
      </c>
      <c r="D3" s="582">
        <f t="shared" ref="D3:D66" si="1">+WEEKNUM(C3)</f>
        <v>27</v>
      </c>
      <c r="E3" s="576" t="str">
        <f>+VLOOKUP(Tabla3[[#This Row],[PATENTE]],'BASE DATOS'!F:G,2,0)</f>
        <v xml:space="preserve">GUSTAVO CERQUETTA - AA427LT </v>
      </c>
      <c r="F3" s="582" t="str">
        <f>+VLOOKUP(Tabla3[[#This Row],[PATENTE]],'BASE DATOS'!F:H,3,0)</f>
        <v>1P</v>
      </c>
      <c r="G3" s="582" t="str">
        <f>+VLOOKUP(Tabla3[[#This Row],[PATENTE]],'BASE DATOS'!F:I,4,0)</f>
        <v>NO</v>
      </c>
      <c r="H3" s="584" t="str">
        <f>+VLOOKUP(Tabla3[[#This Row],[PATENTE]],'BASE DATOS'!F:J,5,0)</f>
        <v>SI</v>
      </c>
      <c r="I3" s="582" t="str">
        <f>+VLOOKUP(Tabla3[[#This Row],[PATENTE]],'BASE DATOS'!F:K,6,0)</f>
        <v>NO</v>
      </c>
      <c r="J3" s="582">
        <f>+VLOOKUP(Tabla3[[#This Row],[PATENTE]],'BASE DATOS'!F:L,7,0)</f>
        <v>2016</v>
      </c>
      <c r="K3" s="593">
        <f>+VLOOKUP(Tabla3[[#This Row],[PATENTE]],'BASE DATOS'!F:M,8,0)</f>
        <v>9</v>
      </c>
      <c r="N3" s="964" t="s">
        <v>878</v>
      </c>
      <c r="O3" s="1014">
        <v>0.67</v>
      </c>
      <c r="P3" s="1014">
        <v>1</v>
      </c>
      <c r="Q3" s="1014">
        <v>1</v>
      </c>
      <c r="R3" s="965">
        <f t="shared" si="0"/>
        <v>0.89</v>
      </c>
    </row>
    <row r="4" spans="1:22" hidden="1">
      <c r="A4" s="577" t="s">
        <v>899</v>
      </c>
      <c r="B4" s="582">
        <v>5</v>
      </c>
      <c r="C4" s="588">
        <v>45839</v>
      </c>
      <c r="D4" s="582">
        <f t="shared" si="1"/>
        <v>27</v>
      </c>
      <c r="E4" s="576" t="str">
        <f>+VLOOKUP(Tabla3[[#This Row],[PATENTE]],'BASE DATOS'!F:G,2,0)</f>
        <v xml:space="preserve">VAZQUEZ (TRV SRL) - AB176KN </v>
      </c>
      <c r="F4" s="582" t="str">
        <f>+VLOOKUP(Tabla3[[#This Row],[PATENTE]],'BASE DATOS'!F:H,3,0)</f>
        <v>8P</v>
      </c>
      <c r="G4" s="582" t="str">
        <f>+VLOOKUP(Tabla3[[#This Row],[PATENTE]],'BASE DATOS'!F:I,4,0)</f>
        <v>SI</v>
      </c>
      <c r="H4" s="584" t="str">
        <f>+VLOOKUP(Tabla3[[#This Row],[PATENTE]],'BASE DATOS'!F:J,5,0)</f>
        <v>SI</v>
      </c>
      <c r="I4" s="582" t="str">
        <f>+VLOOKUP(Tabla3[[#This Row],[PATENTE]],'BASE DATOS'!F:K,6,0)</f>
        <v>SI</v>
      </c>
      <c r="J4" s="582">
        <f>+VLOOKUP(Tabla3[[#This Row],[PATENTE]],'BASE DATOS'!F:L,7,0)</f>
        <v>2017</v>
      </c>
      <c r="K4" s="593">
        <f>+VLOOKUP(Tabla3[[#This Row],[PATENTE]],'BASE DATOS'!F:M,8,0)</f>
        <v>8</v>
      </c>
      <c r="N4" s="964" t="s">
        <v>1148</v>
      </c>
      <c r="O4" s="1014">
        <v>0.5</v>
      </c>
      <c r="P4" s="1014">
        <v>0.5</v>
      </c>
      <c r="Q4" s="1014">
        <v>1</v>
      </c>
      <c r="R4" s="965">
        <f t="shared" si="0"/>
        <v>0.66666666666666663</v>
      </c>
    </row>
    <row r="5" spans="1:22" hidden="1">
      <c r="A5" s="578" t="s">
        <v>912</v>
      </c>
      <c r="B5" s="584">
        <v>5</v>
      </c>
      <c r="C5" s="589">
        <v>45839</v>
      </c>
      <c r="D5" s="582">
        <f t="shared" si="1"/>
        <v>27</v>
      </c>
      <c r="E5" s="576" t="str">
        <f>+VLOOKUP(Tabla3[[#This Row],[PATENTE]],'BASE DATOS'!F:G,2,0)</f>
        <v xml:space="preserve">PACHECO JULIO - AC028WN </v>
      </c>
      <c r="F5" s="582" t="str">
        <f>+VLOOKUP(Tabla3[[#This Row],[PATENTE]],'BASE DATOS'!F:H,3,0)</f>
        <v>8P</v>
      </c>
      <c r="G5" s="582" t="str">
        <f>+VLOOKUP(Tabla3[[#This Row],[PATENTE]],'BASE DATOS'!F:I,4,0)</f>
        <v>SI</v>
      </c>
      <c r="H5" s="584" t="str">
        <f>+VLOOKUP(Tabla3[[#This Row],[PATENTE]],'BASE DATOS'!F:J,5,0)</f>
        <v>SI</v>
      </c>
      <c r="I5" s="582" t="str">
        <f>+VLOOKUP(Tabla3[[#This Row],[PATENTE]],'BASE DATOS'!F:K,6,0)</f>
        <v>SI</v>
      </c>
      <c r="J5" s="582">
        <f>+VLOOKUP(Tabla3[[#This Row],[PATENTE]],'BASE DATOS'!F:L,7,0)</f>
        <v>2017</v>
      </c>
      <c r="K5" s="593">
        <f>+VLOOKUP(Tabla3[[#This Row],[PATENTE]],'BASE DATOS'!F:M,8,0)</f>
        <v>8</v>
      </c>
      <c r="N5" s="964" t="s">
        <v>899</v>
      </c>
      <c r="O5" s="1014">
        <v>0.95</v>
      </c>
      <c r="P5" s="1014">
        <v>1</v>
      </c>
      <c r="Q5" s="1014">
        <v>1</v>
      </c>
      <c r="R5" s="965">
        <f t="shared" si="0"/>
        <v>0.98333333333333339</v>
      </c>
    </row>
    <row r="6" spans="1:22" hidden="1">
      <c r="A6" s="577" t="s">
        <v>890</v>
      </c>
      <c r="B6" s="582">
        <v>5</v>
      </c>
      <c r="C6" s="588">
        <v>45839</v>
      </c>
      <c r="D6" s="582">
        <f t="shared" si="1"/>
        <v>27</v>
      </c>
      <c r="E6" s="576" t="str">
        <f>+VLOOKUP(Tabla3[[#This Row],[PATENTE]],'BASE DATOS'!F:G,2,0)</f>
        <v xml:space="preserve">TRANSPORTE GRACIELA - AC040RO </v>
      </c>
      <c r="F6" s="582" t="str">
        <f>+VLOOKUP(Tabla3[[#This Row],[PATENTE]],'BASE DATOS'!F:H,3,0)</f>
        <v>1P</v>
      </c>
      <c r="G6" s="582" t="str">
        <f>+VLOOKUP(Tabla3[[#This Row],[PATENTE]],'BASE DATOS'!F:I,4,0)</f>
        <v>SI</v>
      </c>
      <c r="H6" s="584" t="str">
        <f>+VLOOKUP(Tabla3[[#This Row],[PATENTE]],'BASE DATOS'!F:J,5,0)</f>
        <v>ACEPTA( VER CAMI)</v>
      </c>
      <c r="I6" s="582" t="str">
        <f>+VLOOKUP(Tabla3[[#This Row],[PATENTE]],'BASE DATOS'!F:K,6,0)</f>
        <v>NO</v>
      </c>
      <c r="J6" s="582">
        <f>+VLOOKUP(Tabla3[[#This Row],[PATENTE]],'BASE DATOS'!F:L,7,0)</f>
        <v>2017</v>
      </c>
      <c r="K6" s="593">
        <f>+VLOOKUP(Tabla3[[#This Row],[PATENTE]],'BASE DATOS'!F:M,8,0)</f>
        <v>8</v>
      </c>
      <c r="N6" s="964" t="s">
        <v>884</v>
      </c>
      <c r="O6" s="1014">
        <v>0.43</v>
      </c>
      <c r="P6" s="1014">
        <v>1</v>
      </c>
      <c r="Q6" s="1014">
        <v>1</v>
      </c>
      <c r="R6" s="965">
        <f t="shared" si="0"/>
        <v>0.80999999999999994</v>
      </c>
    </row>
    <row r="7" spans="1:22" hidden="1">
      <c r="A7" s="578" t="s">
        <v>888</v>
      </c>
      <c r="B7" s="584">
        <v>5</v>
      </c>
      <c r="C7" s="589">
        <v>45839</v>
      </c>
      <c r="D7" s="582">
        <f t="shared" si="1"/>
        <v>27</v>
      </c>
      <c r="E7" s="576" t="str">
        <f>+VLOOKUP(Tabla3[[#This Row],[PATENTE]],'BASE DATOS'!F:G,2,0)</f>
        <v xml:space="preserve">TRANSP FIRST CLASS - AD535UI </v>
      </c>
      <c r="F7" s="582" t="str">
        <f>+VLOOKUP(Tabla3[[#This Row],[PATENTE]],'BASE DATOS'!F:H,3,0)</f>
        <v>6P</v>
      </c>
      <c r="G7" s="582" t="str">
        <f>+VLOOKUP(Tabla3[[#This Row],[PATENTE]],'BASE DATOS'!F:I,4,0)</f>
        <v>SI</v>
      </c>
      <c r="H7" s="584" t="str">
        <f>+VLOOKUP(Tabla3[[#This Row],[PATENTE]],'BASE DATOS'!F:J,5,0)</f>
        <v>SI</v>
      </c>
      <c r="I7" s="582" t="str">
        <f>+VLOOKUP(Tabla3[[#This Row],[PATENTE]],'BASE DATOS'!F:K,6,0)</f>
        <v>NO</v>
      </c>
      <c r="J7" s="582">
        <f>+VLOOKUP(Tabla3[[#This Row],[PATENTE]],'BASE DATOS'!F:L,7,0)</f>
        <v>2019</v>
      </c>
      <c r="K7" s="593">
        <f>+VLOOKUP(Tabla3[[#This Row],[PATENTE]],'BASE DATOS'!F:M,8,0)</f>
        <v>6</v>
      </c>
      <c r="N7" s="964" t="s">
        <v>905</v>
      </c>
      <c r="O7" s="1014">
        <v>0.38</v>
      </c>
      <c r="P7" s="1014">
        <v>1</v>
      </c>
      <c r="Q7" s="1014">
        <v>1</v>
      </c>
      <c r="R7" s="965">
        <f t="shared" si="0"/>
        <v>0.79333333333333333</v>
      </c>
    </row>
    <row r="8" spans="1:22" hidden="1">
      <c r="A8" s="577" t="s">
        <v>922</v>
      </c>
      <c r="B8" s="582">
        <v>5</v>
      </c>
      <c r="C8" s="588">
        <v>45839</v>
      </c>
      <c r="D8" s="582">
        <f t="shared" si="1"/>
        <v>27</v>
      </c>
      <c r="E8" s="576" t="str">
        <f>+VLOOKUP(Tabla3[[#This Row],[PATENTE]],'BASE DATOS'!F:G,2,0)</f>
        <v>LAURIA (SERVAL) - AF342ZY</v>
      </c>
      <c r="F8" s="582" t="str">
        <f>+VLOOKUP(Tabla3[[#This Row],[PATENTE]],'BASE DATOS'!F:H,3,0)</f>
        <v>8P</v>
      </c>
      <c r="G8" s="582" t="str">
        <f>+VLOOKUP(Tabla3[[#This Row],[PATENTE]],'BASE DATOS'!F:I,4,0)</f>
        <v>SI</v>
      </c>
      <c r="H8" s="584" t="str">
        <f>+VLOOKUP(Tabla3[[#This Row],[PATENTE]],'BASE DATOS'!F:J,5,0)</f>
        <v>SI</v>
      </c>
      <c r="I8" s="582" t="str">
        <f>+VLOOKUP(Tabla3[[#This Row],[PATENTE]],'BASE DATOS'!F:K,6,0)</f>
        <v>NO</v>
      </c>
      <c r="J8" s="582">
        <f>+VLOOKUP(Tabla3[[#This Row],[PATENTE]],'BASE DATOS'!F:L,7,0)</f>
        <v>2022</v>
      </c>
      <c r="K8" s="593">
        <f>+VLOOKUP(Tabla3[[#This Row],[PATENTE]],'BASE DATOS'!F:M,8,0)</f>
        <v>3</v>
      </c>
      <c r="N8" s="964" t="s">
        <v>912</v>
      </c>
      <c r="O8" s="1014">
        <v>0.33</v>
      </c>
      <c r="P8" s="1014">
        <v>1</v>
      </c>
      <c r="Q8" s="1014">
        <v>0.94</v>
      </c>
      <c r="R8" s="965">
        <f t="shared" si="0"/>
        <v>0.75666666666666671</v>
      </c>
    </row>
    <row r="9" spans="1:22" hidden="1">
      <c r="A9" s="578" t="s">
        <v>895</v>
      </c>
      <c r="B9" s="584">
        <v>5</v>
      </c>
      <c r="C9" s="589">
        <v>45839</v>
      </c>
      <c r="D9" s="582">
        <f t="shared" si="1"/>
        <v>27</v>
      </c>
      <c r="E9" s="576" t="str">
        <f>+VLOOKUP(Tabla3[[#This Row],[PATENTE]],'BASE DATOS'!F:G,2,0)</f>
        <v xml:space="preserve">TRANSPORTE MICAELA </v>
      </c>
      <c r="F9" s="582" t="str">
        <f>+VLOOKUP(Tabla3[[#This Row],[PATENTE]],'BASE DATOS'!F:H,3,0)</f>
        <v>2P</v>
      </c>
      <c r="G9" s="582" t="str">
        <f>+VLOOKUP(Tabla3[[#This Row],[PATENTE]],'BASE DATOS'!F:I,4,0)</f>
        <v>NO</v>
      </c>
      <c r="H9" s="584" t="str">
        <f>+VLOOKUP(Tabla3[[#This Row],[PATENTE]],'BASE DATOS'!F:J,5,0)</f>
        <v>SI</v>
      </c>
      <c r="I9" s="582" t="str">
        <f>+VLOOKUP(Tabla3[[#This Row],[PATENTE]],'BASE DATOS'!F:K,6,0)</f>
        <v>NO</v>
      </c>
      <c r="J9" s="582">
        <f>+VLOOKUP(Tabla3[[#This Row],[PATENTE]],'BASE DATOS'!F:L,7,0)</f>
        <v>2024</v>
      </c>
      <c r="K9" s="593">
        <f>+VLOOKUP(Tabla3[[#This Row],[PATENTE]],'BASE DATOS'!F:M,8,0)</f>
        <v>1</v>
      </c>
      <c r="N9" s="964" t="s">
        <v>890</v>
      </c>
      <c r="O9" s="1014">
        <v>1</v>
      </c>
      <c r="P9" s="1014">
        <v>1</v>
      </c>
      <c r="Q9" s="1014">
        <v>1</v>
      </c>
      <c r="R9" s="965">
        <f t="shared" si="0"/>
        <v>1</v>
      </c>
    </row>
    <row r="10" spans="1:22" hidden="1">
      <c r="A10" s="577" t="s">
        <v>921</v>
      </c>
      <c r="B10" s="582">
        <v>5</v>
      </c>
      <c r="C10" s="588">
        <v>45839</v>
      </c>
      <c r="D10" s="582">
        <f t="shared" si="1"/>
        <v>27</v>
      </c>
      <c r="E10" s="576" t="str">
        <f>+VLOOKUP(Tabla3[[#This Row],[PATENTE]],'BASE DATOS'!F:G,2,0)</f>
        <v xml:space="preserve">MAÑAS NORBERTO - CQQ304 </v>
      </c>
      <c r="F10" s="582" t="str">
        <f>+VLOOKUP(Tabla3[[#This Row],[PATENTE]],'BASE DATOS'!F:H,3,0)</f>
        <v>11P</v>
      </c>
      <c r="G10" s="582" t="str">
        <f>+VLOOKUP(Tabla3[[#This Row],[PATENTE]],'BASE DATOS'!F:I,4,0)</f>
        <v>SI</v>
      </c>
      <c r="H10" s="584" t="str">
        <f>+VLOOKUP(Tabla3[[#This Row],[PATENTE]],'BASE DATOS'!F:J,5,0)</f>
        <v>SI</v>
      </c>
      <c r="I10" s="582" t="str">
        <f>+VLOOKUP(Tabla3[[#This Row],[PATENTE]],'BASE DATOS'!F:K,6,0)</f>
        <v>NO</v>
      </c>
      <c r="J10" s="582">
        <f>+VLOOKUP(Tabla3[[#This Row],[PATENTE]],'BASE DATOS'!F:L,7,0)</f>
        <v>2000</v>
      </c>
      <c r="K10" s="593">
        <f>+VLOOKUP(Tabla3[[#This Row],[PATENTE]],'BASE DATOS'!F:M,8,0)</f>
        <v>25</v>
      </c>
      <c r="N10" s="964" t="s">
        <v>883</v>
      </c>
      <c r="O10" s="1014">
        <v>0.33</v>
      </c>
      <c r="P10" s="1014">
        <v>0.94</v>
      </c>
      <c r="Q10" s="1014">
        <v>1</v>
      </c>
      <c r="R10" s="965">
        <f t="shared" si="0"/>
        <v>0.75666666666666671</v>
      </c>
    </row>
    <row r="11" spans="1:22" hidden="1">
      <c r="A11" s="578" t="s">
        <v>904</v>
      </c>
      <c r="B11" s="584">
        <v>5</v>
      </c>
      <c r="C11" s="589">
        <v>45839</v>
      </c>
      <c r="D11" s="582">
        <f t="shared" si="1"/>
        <v>27</v>
      </c>
      <c r="E11" s="576" t="str">
        <f>+VLOOKUP(Tabla3[[#This Row],[PATENTE]],'BASE DATOS'!F:G,2,0)</f>
        <v xml:space="preserve">ENRIQUE ROLLINO - DFO656 </v>
      </c>
      <c r="F11" s="582" t="str">
        <f>+VLOOKUP(Tabla3[[#This Row],[PATENTE]],'BASE DATOS'!F:H,3,0)</f>
        <v>6P</v>
      </c>
      <c r="G11" s="582" t="str">
        <f>+VLOOKUP(Tabla3[[#This Row],[PATENTE]],'BASE DATOS'!F:I,4,0)</f>
        <v>SI</v>
      </c>
      <c r="H11" s="584" t="str">
        <f>+VLOOKUP(Tabla3[[#This Row],[PATENTE]],'BASE DATOS'!F:J,5,0)</f>
        <v>SI</v>
      </c>
      <c r="I11" s="582" t="str">
        <f>+VLOOKUP(Tabla3[[#This Row],[PATENTE]],'BASE DATOS'!F:K,6,0)</f>
        <v>NO</v>
      </c>
      <c r="J11" s="582">
        <f>+VLOOKUP(Tabla3[[#This Row],[PATENTE]],'BASE DATOS'!F:L,7,0)</f>
        <v>2000</v>
      </c>
      <c r="K11" s="593">
        <f>+VLOOKUP(Tabla3[[#This Row],[PATENTE]],'BASE DATOS'!F:M,8,0)</f>
        <v>25</v>
      </c>
      <c r="N11" s="964" t="s">
        <v>906</v>
      </c>
      <c r="O11" s="1014">
        <v>0.8</v>
      </c>
      <c r="P11" s="1014">
        <v>1</v>
      </c>
      <c r="Q11" s="1014">
        <v>1</v>
      </c>
      <c r="R11" s="965">
        <f t="shared" si="0"/>
        <v>0.93333333333333324</v>
      </c>
    </row>
    <row r="12" spans="1:22" hidden="1">
      <c r="A12" s="577" t="s">
        <v>932</v>
      </c>
      <c r="B12" s="582">
        <v>5</v>
      </c>
      <c r="C12" s="588">
        <v>45839</v>
      </c>
      <c r="D12" s="582">
        <f t="shared" si="1"/>
        <v>27</v>
      </c>
      <c r="E12" s="576" t="str">
        <f>+VLOOKUP(Tabla3[[#This Row],[PATENTE]],'BASE DATOS'!F:G,2,0)</f>
        <v xml:space="preserve">TRANSP MAVIR - EFL176 </v>
      </c>
      <c r="F12" s="582" t="str">
        <f>+VLOOKUP(Tabla3[[#This Row],[PATENTE]],'BASE DATOS'!F:H,3,0)</f>
        <v>12P</v>
      </c>
      <c r="G12" s="582" t="str">
        <f>+VLOOKUP(Tabla3[[#This Row],[PATENTE]],'BASE DATOS'!F:I,4,0)</f>
        <v>SI</v>
      </c>
      <c r="H12" s="584" t="str">
        <f>+VLOOKUP(Tabla3[[#This Row],[PATENTE]],'BASE DATOS'!F:J,5,0)</f>
        <v>SI</v>
      </c>
      <c r="I12" s="582" t="str">
        <f>+VLOOKUP(Tabla3[[#This Row],[PATENTE]],'BASE DATOS'!F:K,6,0)</f>
        <v>NO</v>
      </c>
      <c r="J12" s="582">
        <f>+VLOOKUP(Tabla3[[#This Row],[PATENTE]],'BASE DATOS'!F:L,7,0)</f>
        <v>1998</v>
      </c>
      <c r="K12" s="593">
        <f>+VLOOKUP(Tabla3[[#This Row],[PATENTE]],'BASE DATOS'!F:M,8,0)</f>
        <v>27</v>
      </c>
      <c r="N12" s="964" t="s">
        <v>888</v>
      </c>
      <c r="O12" s="1014">
        <v>0.62</v>
      </c>
      <c r="P12" s="1014">
        <v>1</v>
      </c>
      <c r="Q12" s="1014">
        <v>1</v>
      </c>
      <c r="R12" s="965">
        <f t="shared" si="0"/>
        <v>0.87333333333333341</v>
      </c>
    </row>
    <row r="13" spans="1:22" hidden="1">
      <c r="A13" s="578" t="s">
        <v>889</v>
      </c>
      <c r="B13" s="584">
        <v>5</v>
      </c>
      <c r="C13" s="589">
        <v>45839</v>
      </c>
      <c r="D13" s="582">
        <f t="shared" si="1"/>
        <v>27</v>
      </c>
      <c r="E13" s="576" t="str">
        <f>+VLOOKUP(Tabla3[[#This Row],[PATENTE]],'BASE DATOS'!F:G,2,0)</f>
        <v xml:space="preserve">COLO - HAW164 </v>
      </c>
      <c r="F13" s="582" t="str">
        <f>+VLOOKUP(Tabla3[[#This Row],[PATENTE]],'BASE DATOS'!F:H,3,0)</f>
        <v>6P</v>
      </c>
      <c r="G13" s="582" t="str">
        <f>+VLOOKUP(Tabla3[[#This Row],[PATENTE]],'BASE DATOS'!F:I,4,0)</f>
        <v>NO</v>
      </c>
      <c r="H13" s="584" t="str">
        <f>+VLOOKUP(Tabla3[[#This Row],[PATENTE]],'BASE DATOS'!F:J,5,0)</f>
        <v>SI</v>
      </c>
      <c r="I13" s="582" t="str">
        <f>+VLOOKUP(Tabla3[[#This Row],[PATENTE]],'BASE DATOS'!F:K,6,0)</f>
        <v>NO</v>
      </c>
      <c r="J13" s="582">
        <f>+VLOOKUP(Tabla3[[#This Row],[PATENTE]],'BASE DATOS'!F:L,7,0)</f>
        <v>2009</v>
      </c>
      <c r="K13" s="593">
        <f>+VLOOKUP(Tabla3[[#This Row],[PATENTE]],'BASE DATOS'!F:M,8,0)</f>
        <v>16</v>
      </c>
      <c r="N13" s="964" t="s">
        <v>880</v>
      </c>
      <c r="O13" s="1014">
        <v>0.7</v>
      </c>
      <c r="P13" s="1014">
        <v>1</v>
      </c>
      <c r="Q13" s="1014">
        <v>1</v>
      </c>
      <c r="R13" s="965">
        <f t="shared" si="0"/>
        <v>0.9</v>
      </c>
    </row>
    <row r="14" spans="1:22" hidden="1">
      <c r="A14" s="577" t="s">
        <v>891</v>
      </c>
      <c r="B14" s="582">
        <v>5</v>
      </c>
      <c r="C14" s="588">
        <v>45839</v>
      </c>
      <c r="D14" s="582">
        <f t="shared" si="1"/>
        <v>27</v>
      </c>
      <c r="E14" s="576" t="str">
        <f>+VLOOKUP(Tabla3[[#This Row],[PATENTE]],'BASE DATOS'!F:G,2,0)</f>
        <v xml:space="preserve">GANZINI HUGO - HHA085 </v>
      </c>
      <c r="F14" s="582" t="str">
        <f>+VLOOKUP(Tabla3[[#This Row],[PATENTE]],'BASE DATOS'!F:H,3,0)</f>
        <v>2P</v>
      </c>
      <c r="G14" s="582" t="str">
        <f>+VLOOKUP(Tabla3[[#This Row],[PATENTE]],'BASE DATOS'!F:I,4,0)</f>
        <v>SI</v>
      </c>
      <c r="H14" s="584" t="str">
        <f>+VLOOKUP(Tabla3[[#This Row],[PATENTE]],'BASE DATOS'!F:J,5,0)</f>
        <v>SI</v>
      </c>
      <c r="I14" s="582" t="str">
        <f>+VLOOKUP(Tabla3[[#This Row],[PATENTE]],'BASE DATOS'!F:K,6,0)</f>
        <v>NO</v>
      </c>
      <c r="J14" s="582">
        <f>+VLOOKUP(Tabla3[[#This Row],[PATENTE]],'BASE DATOS'!F:L,7,0)</f>
        <v>2008</v>
      </c>
      <c r="K14" s="593">
        <f>+VLOOKUP(Tabla3[[#This Row],[PATENTE]],'BASE DATOS'!F:M,8,0)</f>
        <v>17</v>
      </c>
      <c r="N14" s="964" t="s">
        <v>922</v>
      </c>
      <c r="O14" s="1014">
        <v>0.76</v>
      </c>
      <c r="P14" s="1014">
        <v>1</v>
      </c>
      <c r="Q14" s="1014">
        <v>1</v>
      </c>
      <c r="R14" s="965">
        <f t="shared" si="0"/>
        <v>0.91999999999999993</v>
      </c>
    </row>
    <row r="15" spans="1:22" hidden="1">
      <c r="A15" s="578" t="s">
        <v>882</v>
      </c>
      <c r="B15" s="584">
        <v>5</v>
      </c>
      <c r="C15" s="589">
        <v>45839</v>
      </c>
      <c r="D15" s="582">
        <f t="shared" si="1"/>
        <v>27</v>
      </c>
      <c r="E15" s="576" t="str">
        <f>+VLOOKUP(Tabla3[[#This Row],[PATENTE]],'BASE DATOS'!F:G,2,0)</f>
        <v xml:space="preserve">MAÑAS - JWN279 </v>
      </c>
      <c r="F15" s="582" t="str">
        <f>+VLOOKUP(Tabla3[[#This Row],[PATENTE]],'BASE DATOS'!F:H,3,0)</f>
        <v>7P</v>
      </c>
      <c r="G15" s="582" t="str">
        <f>+VLOOKUP(Tabla3[[#This Row],[PATENTE]],'BASE DATOS'!F:I,4,0)</f>
        <v>SI</v>
      </c>
      <c r="H15" s="584" t="str">
        <f>+VLOOKUP(Tabla3[[#This Row],[PATENTE]],'BASE DATOS'!F:J,5,0)</f>
        <v>SI</v>
      </c>
      <c r="I15" s="582" t="str">
        <f>+VLOOKUP(Tabla3[[#This Row],[PATENTE]],'BASE DATOS'!F:K,6,0)</f>
        <v>NO</v>
      </c>
      <c r="J15" s="582">
        <f>+VLOOKUP(Tabla3[[#This Row],[PATENTE]],'BASE DATOS'!F:L,7,0)</f>
        <v>2011</v>
      </c>
      <c r="K15" s="593">
        <f>+VLOOKUP(Tabla3[[#This Row],[PATENTE]],'BASE DATOS'!F:M,8,0)</f>
        <v>14</v>
      </c>
      <c r="N15" s="964" t="s">
        <v>895</v>
      </c>
      <c r="O15" s="1014">
        <v>1</v>
      </c>
      <c r="P15" s="1014">
        <v>1</v>
      </c>
      <c r="Q15" s="1014">
        <v>1</v>
      </c>
      <c r="R15" s="965">
        <f t="shared" si="0"/>
        <v>1</v>
      </c>
    </row>
    <row r="16" spans="1:22" hidden="1">
      <c r="A16" s="577" t="s">
        <v>913</v>
      </c>
      <c r="B16" s="582">
        <v>5</v>
      </c>
      <c r="C16" s="588">
        <v>45839</v>
      </c>
      <c r="D16" s="582">
        <f t="shared" si="1"/>
        <v>27</v>
      </c>
      <c r="E16" s="576" t="str">
        <f>+VLOOKUP(Tabla3[[#This Row],[PATENTE]],'BASE DATOS'!F:G,2,0)</f>
        <v xml:space="preserve">TRANSP DON NENO - KSI803 </v>
      </c>
      <c r="F16" s="582" t="str">
        <f>+VLOOKUP(Tabla3[[#This Row],[PATENTE]],'BASE DATOS'!F:H,3,0)</f>
        <v>2P</v>
      </c>
      <c r="G16" s="582" t="str">
        <f>+VLOOKUP(Tabla3[[#This Row],[PATENTE]],'BASE DATOS'!F:I,4,0)</f>
        <v>SI</v>
      </c>
      <c r="H16" s="584" t="str">
        <f>+VLOOKUP(Tabla3[[#This Row],[PATENTE]],'BASE DATOS'!F:J,5,0)</f>
        <v>SI</v>
      </c>
      <c r="I16" s="582" t="str">
        <f>+VLOOKUP(Tabla3[[#This Row],[PATENTE]],'BASE DATOS'!F:K,6,0)</f>
        <v>NO</v>
      </c>
      <c r="J16" s="582">
        <f>+VLOOKUP(Tabla3[[#This Row],[PATENTE]],'BASE DATOS'!F:L,7,0)</f>
        <v>2012</v>
      </c>
      <c r="K16" s="593">
        <f>+VLOOKUP(Tabla3[[#This Row],[PATENTE]],'BASE DATOS'!F:M,8,0)</f>
        <v>13</v>
      </c>
      <c r="N16" s="964" t="s">
        <v>903</v>
      </c>
      <c r="O16" s="1014">
        <v>1</v>
      </c>
      <c r="P16" s="1014">
        <v>1</v>
      </c>
      <c r="Q16" s="1014">
        <v>1</v>
      </c>
      <c r="R16" s="965">
        <f t="shared" si="0"/>
        <v>1</v>
      </c>
    </row>
    <row r="17" spans="1:18" hidden="1">
      <c r="A17" s="578" t="s">
        <v>902</v>
      </c>
      <c r="B17" s="584">
        <v>5</v>
      </c>
      <c r="C17" s="589">
        <v>45839</v>
      </c>
      <c r="D17" s="582">
        <f t="shared" si="1"/>
        <v>27</v>
      </c>
      <c r="E17" s="576" t="str">
        <f>+VLOOKUP(Tabla3[[#This Row],[PATENTE]],'BASE DATOS'!F:G,2,0)</f>
        <v xml:space="preserve">GUSTAVO CERQUETTA - KZA644 </v>
      </c>
      <c r="F17" s="582" t="str">
        <f>+VLOOKUP(Tabla3[[#This Row],[PATENTE]],'BASE DATOS'!F:H,3,0)</f>
        <v>2P</v>
      </c>
      <c r="G17" s="582" t="str">
        <f>+VLOOKUP(Tabla3[[#This Row],[PATENTE]],'BASE DATOS'!F:I,4,0)</f>
        <v>NO</v>
      </c>
      <c r="H17" s="584" t="str">
        <f>+VLOOKUP(Tabla3[[#This Row],[PATENTE]],'BASE DATOS'!F:J,5,0)</f>
        <v>SI</v>
      </c>
      <c r="I17" s="582" t="str">
        <f>+VLOOKUP(Tabla3[[#This Row],[PATENTE]],'BASE DATOS'!F:K,6,0)</f>
        <v>NO</v>
      </c>
      <c r="J17" s="582">
        <f>+VLOOKUP(Tabla3[[#This Row],[PATENTE]],'BASE DATOS'!F:L,7,0)</f>
        <v>2012</v>
      </c>
      <c r="K17" s="593">
        <f>+VLOOKUP(Tabla3[[#This Row],[PATENTE]],'BASE DATOS'!F:M,8,0)</f>
        <v>13</v>
      </c>
      <c r="N17" s="964" t="s">
        <v>907</v>
      </c>
      <c r="O17" s="1014">
        <v>0.61</v>
      </c>
      <c r="P17" s="1014">
        <v>1</v>
      </c>
      <c r="Q17" s="1014">
        <v>1</v>
      </c>
      <c r="R17" s="965">
        <f t="shared" si="0"/>
        <v>0.87</v>
      </c>
    </row>
    <row r="18" spans="1:18" hidden="1">
      <c r="A18" s="577" t="s">
        <v>920</v>
      </c>
      <c r="B18" s="582">
        <v>5</v>
      </c>
      <c r="C18" s="588">
        <v>45839</v>
      </c>
      <c r="D18" s="582">
        <f t="shared" si="1"/>
        <v>27</v>
      </c>
      <c r="E18" s="576" t="str">
        <f>+VLOOKUP(Tabla3[[#This Row],[PATENTE]],'BASE DATOS'!F:G,2,0)</f>
        <v xml:space="preserve">TRANSP LAGOS - MRV682 </v>
      </c>
      <c r="F18" s="582" t="str">
        <f>+VLOOKUP(Tabla3[[#This Row],[PATENTE]],'BASE DATOS'!F:H,3,0)</f>
        <v>8P</v>
      </c>
      <c r="G18" s="582" t="str">
        <f>+VLOOKUP(Tabla3[[#This Row],[PATENTE]],'BASE DATOS'!F:I,4,0)</f>
        <v>SI</v>
      </c>
      <c r="H18" s="584" t="str">
        <f>+VLOOKUP(Tabla3[[#This Row],[PATENTE]],'BASE DATOS'!F:J,5,0)</f>
        <v>SI</v>
      </c>
      <c r="I18" s="582" t="str">
        <f>+VLOOKUP(Tabla3[[#This Row],[PATENTE]],'BASE DATOS'!F:K,6,0)</f>
        <v>NO</v>
      </c>
      <c r="J18" s="582">
        <f>+VLOOKUP(Tabla3[[#This Row],[PATENTE]],'BASE DATOS'!F:L,7,0)</f>
        <v>2013</v>
      </c>
      <c r="K18" s="593">
        <f>+VLOOKUP(Tabla3[[#This Row],[PATENTE]],'BASE DATOS'!F:M,8,0)</f>
        <v>12</v>
      </c>
      <c r="N18" s="964" t="s">
        <v>942</v>
      </c>
      <c r="O18" s="1014">
        <v>1</v>
      </c>
      <c r="P18" s="1014">
        <v>1</v>
      </c>
      <c r="Q18" s="1014">
        <v>1</v>
      </c>
      <c r="R18" s="965">
        <f t="shared" si="0"/>
        <v>1</v>
      </c>
    </row>
    <row r="19" spans="1:18" hidden="1">
      <c r="A19" s="578" t="s">
        <v>909</v>
      </c>
      <c r="B19" s="584">
        <v>5</v>
      </c>
      <c r="C19" s="589">
        <v>45839</v>
      </c>
      <c r="D19" s="582">
        <f t="shared" si="1"/>
        <v>27</v>
      </c>
      <c r="E19" s="576" t="str">
        <f>+VLOOKUP(Tabla3[[#This Row],[PATENTE]],'BASE DATOS'!F:G,2,0)</f>
        <v xml:space="preserve">CRISTIAN MOYA - NHR055 </v>
      </c>
      <c r="F19" s="582" t="str">
        <f>+VLOOKUP(Tabla3[[#This Row],[PATENTE]],'BASE DATOS'!F:H,3,0)</f>
        <v>6P</v>
      </c>
      <c r="G19" s="582" t="str">
        <f>+VLOOKUP(Tabla3[[#This Row],[PATENTE]],'BASE DATOS'!F:I,4,0)</f>
        <v>SI</v>
      </c>
      <c r="H19" s="584" t="str">
        <f>+VLOOKUP(Tabla3[[#This Row],[PATENTE]],'BASE DATOS'!F:J,5,0)</f>
        <v>SI</v>
      </c>
      <c r="I19" s="582" t="str">
        <f>+VLOOKUP(Tabla3[[#This Row],[PATENTE]],'BASE DATOS'!F:K,6,0)</f>
        <v>NO</v>
      </c>
      <c r="J19" s="582">
        <f>+VLOOKUP(Tabla3[[#This Row],[PATENTE]],'BASE DATOS'!F:L,7,0)</f>
        <v>2013</v>
      </c>
      <c r="K19" s="593">
        <f>+VLOOKUP(Tabla3[[#This Row],[PATENTE]],'BASE DATOS'!F:M,8,0)</f>
        <v>12</v>
      </c>
      <c r="N19" s="964" t="s">
        <v>1149</v>
      </c>
      <c r="O19" s="1014">
        <v>1</v>
      </c>
      <c r="P19" s="1014">
        <v>1</v>
      </c>
      <c r="Q19" s="1014">
        <v>1</v>
      </c>
      <c r="R19" s="965">
        <f t="shared" si="0"/>
        <v>1</v>
      </c>
    </row>
    <row r="20" spans="1:18" hidden="1">
      <c r="A20" s="577" t="s">
        <v>898</v>
      </c>
      <c r="B20" s="582">
        <v>5</v>
      </c>
      <c r="C20" s="588">
        <v>45839</v>
      </c>
      <c r="D20" s="582">
        <f t="shared" si="1"/>
        <v>27</v>
      </c>
      <c r="E20" s="576" t="str">
        <f>+VLOOKUP(Tabla3[[#This Row],[PATENTE]],'BASE DATOS'!F:G,2,0)</f>
        <v xml:space="preserve">TRANSP BERMEJO - NXP980 </v>
      </c>
      <c r="F20" s="582" t="str">
        <f>+VLOOKUP(Tabla3[[#This Row],[PATENTE]],'BASE DATOS'!F:H,3,0)</f>
        <v>12P</v>
      </c>
      <c r="G20" s="582" t="str">
        <f>+VLOOKUP(Tabla3[[#This Row],[PATENTE]],'BASE DATOS'!F:I,4,0)</f>
        <v>SI</v>
      </c>
      <c r="H20" s="584" t="str">
        <f>+VLOOKUP(Tabla3[[#This Row],[PATENTE]],'BASE DATOS'!F:J,5,0)</f>
        <v>SI</v>
      </c>
      <c r="I20" s="582" t="str">
        <f>+VLOOKUP(Tabla3[[#This Row],[PATENTE]],'BASE DATOS'!F:K,6,0)</f>
        <v>SI</v>
      </c>
      <c r="J20" s="582">
        <f>+VLOOKUP(Tabla3[[#This Row],[PATENTE]],'BASE DATOS'!F:L,7,0)</f>
        <v>2015</v>
      </c>
      <c r="K20" s="593">
        <f>+VLOOKUP(Tabla3[[#This Row],[PATENTE]],'BASE DATOS'!F:M,8,0)</f>
        <v>10</v>
      </c>
      <c r="N20" s="964" t="s">
        <v>1122</v>
      </c>
      <c r="O20" s="1014">
        <v>0.6</v>
      </c>
      <c r="P20" s="1014">
        <v>1</v>
      </c>
      <c r="Q20" s="1014">
        <v>1</v>
      </c>
      <c r="R20" s="965">
        <f t="shared" si="0"/>
        <v>0.8666666666666667</v>
      </c>
    </row>
    <row r="21" spans="1:18" hidden="1">
      <c r="A21" s="578" t="s">
        <v>936</v>
      </c>
      <c r="B21" s="584">
        <v>4</v>
      </c>
      <c r="C21" s="589">
        <v>45839</v>
      </c>
      <c r="D21" s="582">
        <f t="shared" si="1"/>
        <v>27</v>
      </c>
      <c r="E21" s="576" t="str">
        <f>+VLOOKUP(Tabla3[[#This Row],[PATENTE]],'BASE DATOS'!F:G,2,0)</f>
        <v>TRANSP YANINA  LUONGO - AA050HC</v>
      </c>
      <c r="F21" s="582" t="str">
        <f>+VLOOKUP(Tabla3[[#This Row],[PATENTE]],'BASE DATOS'!F:H,3,0)</f>
        <v>1.5P</v>
      </c>
      <c r="G21" s="582" t="str">
        <f>+VLOOKUP(Tabla3[[#This Row],[PATENTE]],'BASE DATOS'!F:I,4,0)</f>
        <v>NO</v>
      </c>
      <c r="H21" s="584" t="str">
        <f>+VLOOKUP(Tabla3[[#This Row],[PATENTE]],'BASE DATOS'!F:J,5,0)</f>
        <v>SI</v>
      </c>
      <c r="I21" s="582" t="str">
        <f>+VLOOKUP(Tabla3[[#This Row],[PATENTE]],'BASE DATOS'!F:K,6,0)</f>
        <v>NO</v>
      </c>
      <c r="J21" s="582">
        <f>+VLOOKUP(Tabla3[[#This Row],[PATENTE]],'BASE DATOS'!F:L,7,0)</f>
        <v>2016</v>
      </c>
      <c r="K21" s="593">
        <f>+VLOOKUP(Tabla3[[#This Row],[PATENTE]],'BASE DATOS'!F:M,8,0)</f>
        <v>9</v>
      </c>
      <c r="N21" s="964" t="s">
        <v>929</v>
      </c>
      <c r="O21" s="1014">
        <v>1</v>
      </c>
      <c r="P21" s="1014">
        <v>1</v>
      </c>
      <c r="Q21" s="1014">
        <v>1</v>
      </c>
      <c r="R21" s="965">
        <f t="shared" si="0"/>
        <v>1</v>
      </c>
    </row>
    <row r="22" spans="1:18" hidden="1">
      <c r="A22" s="577" t="s">
        <v>884</v>
      </c>
      <c r="B22" s="582">
        <v>4</v>
      </c>
      <c r="C22" s="588">
        <v>45839</v>
      </c>
      <c r="D22" s="582">
        <f t="shared" si="1"/>
        <v>27</v>
      </c>
      <c r="E22" s="576" t="str">
        <f>+VLOOKUP(Tabla3[[#This Row],[PATENTE]],'BASE DATOS'!F:G,2,0)</f>
        <v xml:space="preserve">LAURIA (SERVAL) - AB233IT </v>
      </c>
      <c r="F22" s="582" t="str">
        <f>+VLOOKUP(Tabla3[[#This Row],[PATENTE]],'BASE DATOS'!F:H,3,0)</f>
        <v>6P</v>
      </c>
      <c r="G22" s="582" t="str">
        <f>+VLOOKUP(Tabla3[[#This Row],[PATENTE]],'BASE DATOS'!F:I,4,0)</f>
        <v>SI</v>
      </c>
      <c r="H22" s="584" t="str">
        <f>+VLOOKUP(Tabla3[[#This Row],[PATENTE]],'BASE DATOS'!F:J,5,0)</f>
        <v>SI</v>
      </c>
      <c r="I22" s="582" t="str">
        <f>+VLOOKUP(Tabla3[[#This Row],[PATENTE]],'BASE DATOS'!F:K,6,0)</f>
        <v>NO</v>
      </c>
      <c r="J22" s="582">
        <f>+VLOOKUP(Tabla3[[#This Row],[PATENTE]],'BASE DATOS'!F:L,7,0)</f>
        <v>2017</v>
      </c>
      <c r="K22" s="593">
        <f>+VLOOKUP(Tabla3[[#This Row],[PATENTE]],'BASE DATOS'!F:M,8,0)</f>
        <v>8</v>
      </c>
      <c r="N22" s="964" t="s">
        <v>944</v>
      </c>
      <c r="O22" s="1014">
        <v>0.25</v>
      </c>
      <c r="P22" s="1014">
        <v>0.94</v>
      </c>
      <c r="Q22" s="1014">
        <v>1</v>
      </c>
      <c r="R22" s="965">
        <f t="shared" si="0"/>
        <v>0.73</v>
      </c>
    </row>
    <row r="23" spans="1:18" hidden="1">
      <c r="A23" s="578" t="s">
        <v>905</v>
      </c>
      <c r="B23" s="584">
        <v>4</v>
      </c>
      <c r="C23" s="589">
        <v>45839</v>
      </c>
      <c r="D23" s="582">
        <f t="shared" si="1"/>
        <v>27</v>
      </c>
      <c r="E23" s="576" t="str">
        <f>+VLOOKUP(Tabla3[[#This Row],[PATENTE]],'BASE DATOS'!F:G,2,0)</f>
        <v xml:space="preserve">J RIMOLDI - AB312SE </v>
      </c>
      <c r="F23" s="582" t="str">
        <f>+VLOOKUP(Tabla3[[#This Row],[PATENTE]],'BASE DATOS'!F:H,3,0)</f>
        <v>8P</v>
      </c>
      <c r="G23" s="582" t="str">
        <f>+VLOOKUP(Tabla3[[#This Row],[PATENTE]],'BASE DATOS'!F:I,4,0)</f>
        <v>SI</v>
      </c>
      <c r="H23" s="584" t="str">
        <f>+VLOOKUP(Tabla3[[#This Row],[PATENTE]],'BASE DATOS'!F:J,5,0)</f>
        <v>SI</v>
      </c>
      <c r="I23" s="582" t="str">
        <f>+VLOOKUP(Tabla3[[#This Row],[PATENTE]],'BASE DATOS'!F:K,6,0)</f>
        <v>NO</v>
      </c>
      <c r="J23" s="582">
        <f>+VLOOKUP(Tabla3[[#This Row],[PATENTE]],'BASE DATOS'!F:L,7,0)</f>
        <v>2017</v>
      </c>
      <c r="K23" s="593">
        <f>+VLOOKUP(Tabla3[[#This Row],[PATENTE]],'BASE DATOS'!F:M,8,0)</f>
        <v>8</v>
      </c>
      <c r="N23" s="964" t="s">
        <v>917</v>
      </c>
      <c r="O23" s="1014">
        <v>1</v>
      </c>
      <c r="P23" s="1014">
        <v>1</v>
      </c>
      <c r="Q23" s="1014">
        <v>1</v>
      </c>
      <c r="R23" s="965">
        <f t="shared" si="0"/>
        <v>1</v>
      </c>
    </row>
    <row r="24" spans="1:18" hidden="1">
      <c r="A24" s="577" t="s">
        <v>880</v>
      </c>
      <c r="B24" s="582">
        <v>4</v>
      </c>
      <c r="C24" s="588">
        <v>45839</v>
      </c>
      <c r="D24" s="582">
        <f t="shared" si="1"/>
        <v>27</v>
      </c>
      <c r="E24" s="576" t="str">
        <f>+VLOOKUP(Tabla3[[#This Row],[PATENTE]],'BASE DATOS'!F:G,2,0)</f>
        <v xml:space="preserve">LAURIA (SERVAL) - AD575XK </v>
      </c>
      <c r="F24" s="582" t="str">
        <f>+VLOOKUP(Tabla3[[#This Row],[PATENTE]],'BASE DATOS'!F:H,3,0)</f>
        <v>8P</v>
      </c>
      <c r="G24" s="582" t="str">
        <f>+VLOOKUP(Tabla3[[#This Row],[PATENTE]],'BASE DATOS'!F:I,4,0)</f>
        <v>SI</v>
      </c>
      <c r="H24" s="584" t="str">
        <f>+VLOOKUP(Tabla3[[#This Row],[PATENTE]],'BASE DATOS'!F:J,5,0)</f>
        <v>SI</v>
      </c>
      <c r="I24" s="582" t="str">
        <f>+VLOOKUP(Tabla3[[#This Row],[PATENTE]],'BASE DATOS'!F:K,6,0)</f>
        <v>NO</v>
      </c>
      <c r="J24" s="582">
        <f>+VLOOKUP(Tabla3[[#This Row],[PATENTE]],'BASE DATOS'!F:L,7,0)</f>
        <v>2019</v>
      </c>
      <c r="K24" s="593">
        <f>+VLOOKUP(Tabla3[[#This Row],[PATENTE]],'BASE DATOS'!F:M,8,0)</f>
        <v>6</v>
      </c>
      <c r="N24" s="964" t="s">
        <v>887</v>
      </c>
      <c r="O24" s="1014">
        <v>0.69</v>
      </c>
      <c r="P24" s="1014">
        <v>1</v>
      </c>
      <c r="Q24" s="1014">
        <v>1</v>
      </c>
      <c r="R24" s="965">
        <f t="shared" si="0"/>
        <v>0.89666666666666661</v>
      </c>
    </row>
    <row r="25" spans="1:18" hidden="1">
      <c r="A25" s="578" t="s">
        <v>903</v>
      </c>
      <c r="B25" s="584">
        <v>4</v>
      </c>
      <c r="C25" s="589">
        <v>45839</v>
      </c>
      <c r="D25" s="582">
        <f t="shared" si="1"/>
        <v>27</v>
      </c>
      <c r="E25" s="576" t="str">
        <f>+VLOOKUP(Tabla3[[#This Row],[PATENTE]],'BASE DATOS'!F:G,2,0)</f>
        <v xml:space="preserve">TRANSP CLAUDIO BUSTOS - AG243PE </v>
      </c>
      <c r="F25" s="582" t="str">
        <f>+VLOOKUP(Tabla3[[#This Row],[PATENTE]],'BASE DATOS'!F:H,3,0)</f>
        <v>1P</v>
      </c>
      <c r="G25" s="582" t="str">
        <f>+VLOOKUP(Tabla3[[#This Row],[PATENTE]],'BASE DATOS'!F:I,4,0)</f>
        <v>SI</v>
      </c>
      <c r="H25" s="584" t="str">
        <f>+VLOOKUP(Tabla3[[#This Row],[PATENTE]],'BASE DATOS'!F:J,5,0)</f>
        <v>SI</v>
      </c>
      <c r="I25" s="582" t="str">
        <f>+VLOOKUP(Tabla3[[#This Row],[PATENTE]],'BASE DATOS'!F:K,6,0)</f>
        <v>NO</v>
      </c>
      <c r="J25" s="582">
        <f>+VLOOKUP(Tabla3[[#This Row],[PATENTE]],'BASE DATOS'!F:L,7,0)</f>
        <v>2024</v>
      </c>
      <c r="K25" s="593">
        <f>+VLOOKUP(Tabla3[[#This Row],[PATENTE]],'BASE DATOS'!F:M,8,0)</f>
        <v>1</v>
      </c>
      <c r="N25" s="964" t="s">
        <v>893</v>
      </c>
      <c r="O25" s="1014">
        <v>0.71</v>
      </c>
      <c r="P25" s="1014">
        <v>1</v>
      </c>
      <c r="Q25" s="1014">
        <v>1</v>
      </c>
      <c r="R25" s="965">
        <f t="shared" si="0"/>
        <v>0.90333333333333332</v>
      </c>
    </row>
    <row r="26" spans="1:18" hidden="1">
      <c r="A26" s="577" t="s">
        <v>916</v>
      </c>
      <c r="B26" s="582">
        <v>4</v>
      </c>
      <c r="C26" s="588">
        <v>45839</v>
      </c>
      <c r="D26" s="582">
        <f t="shared" si="1"/>
        <v>27</v>
      </c>
      <c r="E26" s="576" t="str">
        <f>+VLOOKUP(Tabla3[[#This Row],[PATENTE]],'BASE DATOS'!F:G,2,0)</f>
        <v xml:space="preserve">TRANSP MAIDANA CARLOS - EYP088 </v>
      </c>
      <c r="F26" s="582" t="str">
        <f>+VLOOKUP(Tabla3[[#This Row],[PATENTE]],'BASE DATOS'!F:H,3,0)</f>
        <v>6P</v>
      </c>
      <c r="G26" s="582" t="str">
        <f>+VLOOKUP(Tabla3[[#This Row],[PATENTE]],'BASE DATOS'!F:I,4,0)</f>
        <v>SI</v>
      </c>
      <c r="H26" s="584" t="str">
        <f>+VLOOKUP(Tabla3[[#This Row],[PATENTE]],'BASE DATOS'!F:J,5,0)</f>
        <v>SI</v>
      </c>
      <c r="I26" s="582" t="str">
        <f>+VLOOKUP(Tabla3[[#This Row],[PATENTE]],'BASE DATOS'!F:K,6,0)</f>
        <v>NO</v>
      </c>
      <c r="J26" s="582">
        <f>+VLOOKUP(Tabla3[[#This Row],[PATENTE]],'BASE DATOS'!F:L,7,0)</f>
        <v>2006</v>
      </c>
      <c r="K26" s="593">
        <f>+VLOOKUP(Tabla3[[#This Row],[PATENTE]],'BASE DATOS'!F:M,8,0)</f>
        <v>19</v>
      </c>
      <c r="N26" s="964" t="s">
        <v>921</v>
      </c>
      <c r="O26" s="1014">
        <v>0.67</v>
      </c>
      <c r="P26" s="1014">
        <v>1</v>
      </c>
      <c r="Q26" s="1014">
        <v>1</v>
      </c>
      <c r="R26" s="965">
        <f t="shared" si="0"/>
        <v>0.89</v>
      </c>
    </row>
    <row r="27" spans="1:18" hidden="1">
      <c r="A27" s="578" t="s">
        <v>892</v>
      </c>
      <c r="B27" s="584">
        <v>4</v>
      </c>
      <c r="C27" s="589">
        <v>45839</v>
      </c>
      <c r="D27" s="582">
        <f t="shared" si="1"/>
        <v>27</v>
      </c>
      <c r="E27" s="576" t="str">
        <f>+VLOOKUP(Tabla3[[#This Row],[PATENTE]],'BASE DATOS'!F:G,2,0)</f>
        <v xml:space="preserve">COLO - FTL525 </v>
      </c>
      <c r="F27" s="582" t="str">
        <f>+VLOOKUP(Tabla3[[#This Row],[PATENTE]],'BASE DATOS'!F:H,3,0)</f>
        <v>1P</v>
      </c>
      <c r="G27" s="582" t="str">
        <f>+VLOOKUP(Tabla3[[#This Row],[PATENTE]],'BASE DATOS'!F:I,4,0)</f>
        <v>NO</v>
      </c>
      <c r="H27" s="584" t="str">
        <f>+VLOOKUP(Tabla3[[#This Row],[PATENTE]],'BASE DATOS'!F:J,5,0)</f>
        <v>SI</v>
      </c>
      <c r="I27" s="582" t="str">
        <f>+VLOOKUP(Tabla3[[#This Row],[PATENTE]],'BASE DATOS'!F:K,6,0)</f>
        <v>NO</v>
      </c>
      <c r="J27" s="582">
        <f>+VLOOKUP(Tabla3[[#This Row],[PATENTE]],'BASE DATOS'!F:L,7,0)</f>
        <v>2008</v>
      </c>
      <c r="K27" s="593">
        <f>+VLOOKUP(Tabla3[[#This Row],[PATENTE]],'BASE DATOS'!F:M,8,0)</f>
        <v>17</v>
      </c>
      <c r="N27" s="964" t="s">
        <v>904</v>
      </c>
      <c r="O27" s="1014">
        <v>0.54</v>
      </c>
      <c r="P27" s="1014">
        <v>1</v>
      </c>
      <c r="Q27" s="1014">
        <v>1</v>
      </c>
      <c r="R27" s="965">
        <f t="shared" si="0"/>
        <v>0.84666666666666668</v>
      </c>
    </row>
    <row r="28" spans="1:18" hidden="1">
      <c r="A28" s="577" t="s">
        <v>879</v>
      </c>
      <c r="B28" s="582">
        <v>4</v>
      </c>
      <c r="C28" s="588">
        <v>45839</v>
      </c>
      <c r="D28" s="582">
        <f t="shared" si="1"/>
        <v>27</v>
      </c>
      <c r="E28" s="576" t="str">
        <f>+VLOOKUP(Tabla3[[#This Row],[PATENTE]],'BASE DATOS'!F:G,2,0)</f>
        <v xml:space="preserve">TRANSP JP - OYP470 </v>
      </c>
      <c r="F28" s="582" t="str">
        <f>+VLOOKUP(Tabla3[[#This Row],[PATENTE]],'BASE DATOS'!F:H,3,0)</f>
        <v>8P</v>
      </c>
      <c r="G28" s="582" t="str">
        <f>+VLOOKUP(Tabla3[[#This Row],[PATENTE]],'BASE DATOS'!F:I,4,0)</f>
        <v>SI</v>
      </c>
      <c r="H28" s="584" t="str">
        <f>+VLOOKUP(Tabla3[[#This Row],[PATENTE]],'BASE DATOS'!F:J,5,0)</f>
        <v>SI</v>
      </c>
      <c r="I28" s="582" t="str">
        <f>+VLOOKUP(Tabla3[[#This Row],[PATENTE]],'BASE DATOS'!F:K,6,0)</f>
        <v>NO</v>
      </c>
      <c r="J28" s="582">
        <f>+VLOOKUP(Tabla3[[#This Row],[PATENTE]],'BASE DATOS'!F:L,7,0)</f>
        <v>2011</v>
      </c>
      <c r="K28" s="593">
        <f>+VLOOKUP(Tabla3[[#This Row],[PATENTE]],'BASE DATOS'!F:M,8,0)</f>
        <v>14</v>
      </c>
      <c r="N28" s="964" t="s">
        <v>918</v>
      </c>
      <c r="O28" s="1014">
        <v>0</v>
      </c>
      <c r="P28" s="1014">
        <v>1</v>
      </c>
      <c r="Q28" s="1014">
        <v>1</v>
      </c>
      <c r="R28" s="965">
        <f t="shared" si="0"/>
        <v>0.66666666666666663</v>
      </c>
    </row>
    <row r="29" spans="1:18" hidden="1">
      <c r="A29" s="578" t="s">
        <v>1127</v>
      </c>
      <c r="B29" s="584">
        <v>3</v>
      </c>
      <c r="C29" s="589">
        <v>45839</v>
      </c>
      <c r="D29" s="582">
        <f t="shared" si="1"/>
        <v>27</v>
      </c>
      <c r="E29" s="576" t="str">
        <f>+VLOOKUP(Tabla3[[#This Row],[PATENTE]],'BASE DATOS'!F:G,2,0)</f>
        <v xml:space="preserve">BELLIMAR SRL - BIS283 </v>
      </c>
      <c r="F29" s="582" t="str">
        <f>+VLOOKUP(Tabla3[[#This Row],[PATENTE]],'BASE DATOS'!F:H,3,0)</f>
        <v>28P</v>
      </c>
      <c r="G29" s="582" t="str">
        <f>+VLOOKUP(Tabla3[[#This Row],[PATENTE]],'BASE DATOS'!F:I,4,0)</f>
        <v>NO</v>
      </c>
      <c r="H29" s="584" t="str">
        <f>+VLOOKUP(Tabla3[[#This Row],[PATENTE]],'BASE DATOS'!F:J,5,0)</f>
        <v xml:space="preserve">NO </v>
      </c>
      <c r="I29" s="582" t="str">
        <f>+VLOOKUP(Tabla3[[#This Row],[PATENTE]],'BASE DATOS'!F:K,6,0)</f>
        <v>NO</v>
      </c>
      <c r="J29" s="582">
        <f>+VLOOKUP(Tabla3[[#This Row],[PATENTE]],'BASE DATOS'!F:L,7,0)</f>
        <v>1999</v>
      </c>
      <c r="K29" s="593">
        <f>+VLOOKUP(Tabla3[[#This Row],[PATENTE]],'BASE DATOS'!F:M,8,0)</f>
        <v>26</v>
      </c>
      <c r="N29" s="964" t="s">
        <v>923</v>
      </c>
      <c r="O29" s="1014">
        <v>0.5</v>
      </c>
      <c r="P29" s="1014">
        <v>1</v>
      </c>
      <c r="Q29" s="1014">
        <v>1</v>
      </c>
      <c r="R29" s="965">
        <f t="shared" si="0"/>
        <v>0.83333333333333337</v>
      </c>
    </row>
    <row r="30" spans="1:18" hidden="1">
      <c r="A30" s="577" t="s">
        <v>918</v>
      </c>
      <c r="B30" s="582">
        <v>3</v>
      </c>
      <c r="C30" s="588">
        <v>45839</v>
      </c>
      <c r="D30" s="582">
        <f t="shared" si="1"/>
        <v>27</v>
      </c>
      <c r="E30" s="576" t="str">
        <f>+VLOOKUP(Tabla3[[#This Row],[PATENTE]],'BASE DATOS'!F:G,2,0)</f>
        <v>TRANSPORTE GENA GAIA - DGO507</v>
      </c>
      <c r="F30" s="582" t="str">
        <f>+VLOOKUP(Tabla3[[#This Row],[PATENTE]],'BASE DATOS'!F:H,3,0)</f>
        <v>24P</v>
      </c>
      <c r="G30" s="582" t="str">
        <f>+VLOOKUP(Tabla3[[#This Row],[PATENTE]],'BASE DATOS'!F:I,4,0)</f>
        <v>Gestya</v>
      </c>
      <c r="H30" s="584" t="str">
        <f>+VLOOKUP(Tabla3[[#This Row],[PATENTE]],'BASE DATOS'!F:J,5,0)</f>
        <v xml:space="preserve">NO </v>
      </c>
      <c r="I30" s="582" t="str">
        <f>+VLOOKUP(Tabla3[[#This Row],[PATENTE]],'BASE DATOS'!F:K,6,0)</f>
        <v>NO</v>
      </c>
      <c r="J30" s="582">
        <f>+VLOOKUP(Tabla3[[#This Row],[PATENTE]],'BASE DATOS'!F:L,7,0)</f>
        <v>2001</v>
      </c>
      <c r="K30" s="593">
        <f>+VLOOKUP(Tabla3[[#This Row],[PATENTE]],'BASE DATOS'!F:M,8,0)</f>
        <v>24</v>
      </c>
      <c r="N30" s="964" t="s">
        <v>926</v>
      </c>
      <c r="O30" s="1014">
        <v>0.36</v>
      </c>
      <c r="P30" s="1014">
        <v>1</v>
      </c>
      <c r="Q30" s="1014">
        <v>1</v>
      </c>
      <c r="R30" s="965">
        <f t="shared" si="0"/>
        <v>0.78666666666666663</v>
      </c>
    </row>
    <row r="31" spans="1:18" hidden="1">
      <c r="A31" s="578" t="s">
        <v>881</v>
      </c>
      <c r="B31" s="584">
        <v>3</v>
      </c>
      <c r="C31" s="589">
        <v>45839</v>
      </c>
      <c r="D31" s="582">
        <f t="shared" si="1"/>
        <v>27</v>
      </c>
      <c r="E31" s="576" t="str">
        <f>+VLOOKUP(Tabla3[[#This Row],[PATENTE]],'BASE DATOS'!F:G,2,0)</f>
        <v xml:space="preserve">MAÑAS NORBERTO - DUQ686 </v>
      </c>
      <c r="F31" s="582" t="str">
        <f>+VLOOKUP(Tabla3[[#This Row],[PATENTE]],'BASE DATOS'!F:H,3,0)</f>
        <v>8P</v>
      </c>
      <c r="G31" s="582" t="str">
        <f>+VLOOKUP(Tabla3[[#This Row],[PATENTE]],'BASE DATOS'!F:I,4,0)</f>
        <v>SI</v>
      </c>
      <c r="H31" s="584" t="str">
        <f>+VLOOKUP(Tabla3[[#This Row],[PATENTE]],'BASE DATOS'!F:J,5,0)</f>
        <v>SI</v>
      </c>
      <c r="I31" s="582" t="str">
        <f>+VLOOKUP(Tabla3[[#This Row],[PATENTE]],'BASE DATOS'!F:K,6,0)</f>
        <v>NO</v>
      </c>
      <c r="J31" s="582">
        <f>+VLOOKUP(Tabla3[[#This Row],[PATENTE]],'BASE DATOS'!F:L,7,0)</f>
        <v>2001</v>
      </c>
      <c r="K31" s="593">
        <f>+VLOOKUP(Tabla3[[#This Row],[PATENTE]],'BASE DATOS'!F:M,8,0)</f>
        <v>24</v>
      </c>
      <c r="N31" s="964" t="s">
        <v>881</v>
      </c>
      <c r="O31" s="1014">
        <v>0.53</v>
      </c>
      <c r="P31" s="1014">
        <v>1</v>
      </c>
      <c r="Q31" s="1014">
        <v>1</v>
      </c>
      <c r="R31" s="965">
        <f t="shared" si="0"/>
        <v>0.84333333333333338</v>
      </c>
    </row>
    <row r="32" spans="1:18" hidden="1">
      <c r="A32" s="577" t="s">
        <v>1128</v>
      </c>
      <c r="B32" s="582">
        <v>3</v>
      </c>
      <c r="C32" s="588">
        <v>45839</v>
      </c>
      <c r="D32" s="582">
        <f t="shared" si="1"/>
        <v>27</v>
      </c>
      <c r="E32" s="576" t="str">
        <f>+VLOOKUP(Tabla3[[#This Row],[PATENTE]],'BASE DATOS'!F:G,2,0)</f>
        <v xml:space="preserve">PRONTOMAR - EDW922 </v>
      </c>
      <c r="F32" s="582" t="str">
        <f>+VLOOKUP(Tabla3[[#This Row],[PATENTE]],'BASE DATOS'!F:H,3,0)</f>
        <v>14P</v>
      </c>
      <c r="G32" s="582" t="str">
        <f>+VLOOKUP(Tabla3[[#This Row],[PATENTE]],'BASE DATOS'!F:I,4,0)</f>
        <v>NO</v>
      </c>
      <c r="H32" s="584" t="str">
        <f>+VLOOKUP(Tabla3[[#This Row],[PATENTE]],'BASE DATOS'!F:J,5,0)</f>
        <v xml:space="preserve">NO </v>
      </c>
      <c r="I32" s="582" t="str">
        <f>+VLOOKUP(Tabla3[[#This Row],[PATENTE]],'BASE DATOS'!F:K,6,0)</f>
        <v>NO</v>
      </c>
      <c r="J32" s="582">
        <f>+VLOOKUP(Tabla3[[#This Row],[PATENTE]],'BASE DATOS'!F:L,7,0)</f>
        <v>2003</v>
      </c>
      <c r="K32" s="593">
        <f>+VLOOKUP(Tabla3[[#This Row],[PATENTE]],'BASE DATOS'!F:M,8,0)</f>
        <v>22</v>
      </c>
      <c r="N32" s="964" t="s">
        <v>1128</v>
      </c>
      <c r="O32" s="1014">
        <v>0</v>
      </c>
      <c r="P32" s="1014">
        <v>1</v>
      </c>
      <c r="Q32" s="1014">
        <v>1</v>
      </c>
      <c r="R32" s="965">
        <f t="shared" si="0"/>
        <v>0.66666666666666663</v>
      </c>
    </row>
    <row r="33" spans="1:18" hidden="1">
      <c r="A33" s="578" t="s">
        <v>915</v>
      </c>
      <c r="B33" s="584">
        <v>3</v>
      </c>
      <c r="C33" s="589">
        <v>45839</v>
      </c>
      <c r="D33" s="582">
        <f t="shared" si="1"/>
        <v>27</v>
      </c>
      <c r="E33" s="576" t="str">
        <f>+VLOOKUP(Tabla3[[#This Row],[PATENTE]],'BASE DATOS'!F:G,2,0)</f>
        <v>TRANSPORTE GRACIELA - FPL254</v>
      </c>
      <c r="F33" s="582" t="str">
        <f>+VLOOKUP(Tabla3[[#This Row],[PATENTE]],'BASE DATOS'!F:H,3,0)</f>
        <v>2P</v>
      </c>
      <c r="G33" s="582" t="str">
        <f>+VLOOKUP(Tabla3[[#This Row],[PATENTE]],'BASE DATOS'!F:I,4,0)</f>
        <v>SI</v>
      </c>
      <c r="H33" s="584" t="str">
        <f>+VLOOKUP(Tabla3[[#This Row],[PATENTE]],'BASE DATOS'!F:J,5,0)</f>
        <v>NO (CAMI)</v>
      </c>
      <c r="I33" s="582" t="str">
        <f>+VLOOKUP(Tabla3[[#This Row],[PATENTE]],'BASE DATOS'!F:K,6,0)</f>
        <v>NO</v>
      </c>
      <c r="J33" s="582">
        <f>+VLOOKUP(Tabla3[[#This Row],[PATENTE]],'BASE DATOS'!F:L,7,0)</f>
        <v>2012</v>
      </c>
      <c r="K33" s="593">
        <f>+VLOOKUP(Tabla3[[#This Row],[PATENTE]],'BASE DATOS'!F:M,8,0)</f>
        <v>13</v>
      </c>
      <c r="N33" s="964" t="s">
        <v>932</v>
      </c>
      <c r="O33" s="1014">
        <v>0.61</v>
      </c>
      <c r="P33" s="1014">
        <v>1</v>
      </c>
      <c r="Q33" s="1014">
        <v>1</v>
      </c>
      <c r="R33" s="965">
        <f t="shared" si="0"/>
        <v>0.87</v>
      </c>
    </row>
    <row r="34" spans="1:18" hidden="1">
      <c r="A34" s="577" t="s">
        <v>885</v>
      </c>
      <c r="B34" s="582">
        <v>3</v>
      </c>
      <c r="C34" s="588">
        <v>45839</v>
      </c>
      <c r="D34" s="582">
        <f t="shared" si="1"/>
        <v>27</v>
      </c>
      <c r="E34" s="576" t="str">
        <f>+VLOOKUP(Tabla3[[#This Row],[PATENTE]],'BASE DATOS'!F:G,2,0)</f>
        <v xml:space="preserve">TRANSP DON NENO - IES288 </v>
      </c>
      <c r="F34" s="582" t="str">
        <f>+VLOOKUP(Tabla3[[#This Row],[PATENTE]],'BASE DATOS'!F:H,3,0)</f>
        <v>2P</v>
      </c>
      <c r="G34" s="582" t="str">
        <f>+VLOOKUP(Tabla3[[#This Row],[PATENTE]],'BASE DATOS'!F:I,4,0)</f>
        <v>SI</v>
      </c>
      <c r="H34" s="584" t="str">
        <f>+VLOOKUP(Tabla3[[#This Row],[PATENTE]],'BASE DATOS'!F:J,5,0)</f>
        <v>SI</v>
      </c>
      <c r="I34" s="582" t="str">
        <f>+VLOOKUP(Tabla3[[#This Row],[PATENTE]],'BASE DATOS'!F:K,6,0)</f>
        <v>NO</v>
      </c>
      <c r="J34" s="582">
        <f>+VLOOKUP(Tabla3[[#This Row],[PATENTE]],'BASE DATOS'!F:L,7,0)</f>
        <v>2009</v>
      </c>
      <c r="K34" s="593">
        <f>+VLOOKUP(Tabla3[[#This Row],[PATENTE]],'BASE DATOS'!F:M,8,0)</f>
        <v>16</v>
      </c>
      <c r="N34" s="964" t="s">
        <v>927</v>
      </c>
      <c r="O34" s="1014">
        <v>0.28999999999999998</v>
      </c>
      <c r="P34" s="1014">
        <v>1</v>
      </c>
      <c r="Q34" s="1014">
        <v>1</v>
      </c>
      <c r="R34" s="965">
        <f t="shared" si="0"/>
        <v>0.76333333333333331</v>
      </c>
    </row>
    <row r="35" spans="1:18" hidden="1">
      <c r="A35" s="578" t="s">
        <v>901</v>
      </c>
      <c r="B35" s="584">
        <v>3</v>
      </c>
      <c r="C35" s="589">
        <v>45839</v>
      </c>
      <c r="D35" s="582">
        <f t="shared" si="1"/>
        <v>27</v>
      </c>
      <c r="E35" s="576" t="str">
        <f>+VLOOKUP(Tabla3[[#This Row],[PATENTE]],'BASE DATOS'!F:G,2,0)</f>
        <v xml:space="preserve">TRANSPORTE  GRACIELA - IYE750 </v>
      </c>
      <c r="F35" s="582" t="str">
        <f>+VLOOKUP(Tabla3[[#This Row],[PATENTE]],'BASE DATOS'!F:H,3,0)</f>
        <v>1P</v>
      </c>
      <c r="G35" s="582" t="str">
        <f>+VLOOKUP(Tabla3[[#This Row],[PATENTE]],'BASE DATOS'!F:I,4,0)</f>
        <v>NO</v>
      </c>
      <c r="H35" s="584" t="str">
        <f>+VLOOKUP(Tabla3[[#This Row],[PATENTE]],'BASE DATOS'!F:J,5,0)</f>
        <v>SI</v>
      </c>
      <c r="I35" s="582" t="str">
        <f>+VLOOKUP(Tabla3[[#This Row],[PATENTE]],'BASE DATOS'!F:K,6,0)</f>
        <v>NO</v>
      </c>
      <c r="J35" s="582">
        <f>+VLOOKUP(Tabla3[[#This Row],[PATENTE]],'BASE DATOS'!F:L,7,0)</f>
        <v>2009</v>
      </c>
      <c r="K35" s="593">
        <f>+VLOOKUP(Tabla3[[#This Row],[PATENTE]],'BASE DATOS'!F:M,8,0)</f>
        <v>16</v>
      </c>
      <c r="N35" s="964" t="s">
        <v>916</v>
      </c>
      <c r="O35" s="1014">
        <v>0.47</v>
      </c>
      <c r="P35" s="1014">
        <v>0.95</v>
      </c>
      <c r="Q35" s="1014">
        <v>1</v>
      </c>
      <c r="R35" s="965">
        <f t="shared" si="0"/>
        <v>0.80666666666666664</v>
      </c>
    </row>
    <row r="36" spans="1:18" hidden="1">
      <c r="A36" s="577" t="s">
        <v>925</v>
      </c>
      <c r="B36" s="582">
        <v>3</v>
      </c>
      <c r="C36" s="588">
        <v>45839</v>
      </c>
      <c r="D36" s="582">
        <f t="shared" si="1"/>
        <v>27</v>
      </c>
      <c r="E36" s="576" t="str">
        <f>+VLOOKUP(Tabla3[[#This Row],[PATENTE]],'BASE DATOS'!F:G,2,0)</f>
        <v xml:space="preserve">TRANSP MAIDANA FACUNDO - KOW745 </v>
      </c>
      <c r="F36" s="582" t="str">
        <f>+VLOOKUP(Tabla3[[#This Row],[PATENTE]],'BASE DATOS'!F:H,3,0)</f>
        <v>8P</v>
      </c>
      <c r="G36" s="582" t="str">
        <f>+VLOOKUP(Tabla3[[#This Row],[PATENTE]],'BASE DATOS'!F:I,4,0)</f>
        <v>SI</v>
      </c>
      <c r="H36" s="584" t="str">
        <f>+VLOOKUP(Tabla3[[#This Row],[PATENTE]],'BASE DATOS'!F:J,5,0)</f>
        <v>SI</v>
      </c>
      <c r="I36" s="582" t="str">
        <f>+VLOOKUP(Tabla3[[#This Row],[PATENTE]],'BASE DATOS'!F:K,6,0)</f>
        <v>NO</v>
      </c>
      <c r="J36" s="582">
        <f>+VLOOKUP(Tabla3[[#This Row],[PATENTE]],'BASE DATOS'!F:L,7,0)</f>
        <v>2012</v>
      </c>
      <c r="K36" s="593">
        <f>+VLOOKUP(Tabla3[[#This Row],[PATENTE]],'BASE DATOS'!F:M,8,0)</f>
        <v>13</v>
      </c>
      <c r="N36" s="964" t="s">
        <v>915</v>
      </c>
      <c r="O36" s="1014">
        <v>0.5</v>
      </c>
      <c r="P36" s="1014">
        <v>1</v>
      </c>
      <c r="Q36" s="1014">
        <v>1</v>
      </c>
      <c r="R36" s="965">
        <f t="shared" si="0"/>
        <v>0.83333333333333337</v>
      </c>
    </row>
    <row r="37" spans="1:18" hidden="1">
      <c r="A37" s="578" t="s">
        <v>886</v>
      </c>
      <c r="B37" s="584">
        <v>3</v>
      </c>
      <c r="C37" s="589">
        <v>45839</v>
      </c>
      <c r="D37" s="582">
        <f t="shared" si="1"/>
        <v>27</v>
      </c>
      <c r="E37" s="576" t="str">
        <f>+VLOOKUP(Tabla3[[#This Row],[PATENTE]],'BASE DATOS'!F:G,2,0)</f>
        <v xml:space="preserve">TRANSP LAGOS - NOO925 </v>
      </c>
      <c r="F37" s="582" t="str">
        <f>+VLOOKUP(Tabla3[[#This Row],[PATENTE]],'BASE DATOS'!F:H,3,0)</f>
        <v>8P</v>
      </c>
      <c r="G37" s="582" t="str">
        <f>+VLOOKUP(Tabla3[[#This Row],[PATENTE]],'BASE DATOS'!F:I,4,0)</f>
        <v>SI</v>
      </c>
      <c r="H37" s="584" t="str">
        <f>+VLOOKUP(Tabla3[[#This Row],[PATENTE]],'BASE DATOS'!F:J,5,0)</f>
        <v>SI</v>
      </c>
      <c r="I37" s="582" t="str">
        <f>+VLOOKUP(Tabla3[[#This Row],[PATENTE]],'BASE DATOS'!F:K,6,0)</f>
        <v>NO</v>
      </c>
      <c r="J37" s="582">
        <f>+VLOOKUP(Tabla3[[#This Row],[PATENTE]],'BASE DATOS'!F:L,7,0)</f>
        <v>2014</v>
      </c>
      <c r="K37" s="593">
        <f>+VLOOKUP(Tabla3[[#This Row],[PATENTE]],'BASE DATOS'!F:M,8,0)</f>
        <v>11</v>
      </c>
      <c r="N37" s="964" t="s">
        <v>892</v>
      </c>
      <c r="O37" s="1014">
        <v>0.73</v>
      </c>
      <c r="P37" s="1014">
        <v>1</v>
      </c>
      <c r="Q37" s="1014">
        <v>1</v>
      </c>
      <c r="R37" s="965">
        <f t="shared" si="0"/>
        <v>0.91</v>
      </c>
    </row>
    <row r="38" spans="1:18" hidden="1">
      <c r="A38" s="577" t="s">
        <v>896</v>
      </c>
      <c r="B38" s="582">
        <v>3</v>
      </c>
      <c r="C38" s="588">
        <v>45839</v>
      </c>
      <c r="D38" s="582">
        <f t="shared" si="1"/>
        <v>27</v>
      </c>
      <c r="E38" s="576" t="str">
        <f>+VLOOKUP(Tabla3[[#This Row],[PATENTE]],'BASE DATOS'!F:G,2,0)</f>
        <v xml:space="preserve">TRANSP MAVIR - RHQ609 </v>
      </c>
      <c r="F38" s="582" t="str">
        <f>+VLOOKUP(Tabla3[[#This Row],[PATENTE]],'BASE DATOS'!F:H,3,0)</f>
        <v>10P</v>
      </c>
      <c r="G38" s="582" t="str">
        <f>+VLOOKUP(Tabla3[[#This Row],[PATENTE]],'BASE DATOS'!F:I,4,0)</f>
        <v>NO</v>
      </c>
      <c r="H38" s="584" t="str">
        <f>+VLOOKUP(Tabla3[[#This Row],[PATENTE]],'BASE DATOS'!F:J,5,0)</f>
        <v xml:space="preserve">NO </v>
      </c>
      <c r="I38" s="582" t="str">
        <f>+VLOOKUP(Tabla3[[#This Row],[PATENTE]],'BASE DATOS'!F:K,6,0)</f>
        <v>NO</v>
      </c>
      <c r="J38" s="582">
        <f>+VLOOKUP(Tabla3[[#This Row],[PATENTE]],'BASE DATOS'!F:L,7,0)</f>
        <v>1995</v>
      </c>
      <c r="K38" s="593">
        <v>0</v>
      </c>
      <c r="N38" s="964" t="s">
        <v>938</v>
      </c>
      <c r="O38" s="1014">
        <v>0.67</v>
      </c>
      <c r="P38" s="1014">
        <v>1</v>
      </c>
      <c r="Q38" s="1014">
        <v>1</v>
      </c>
      <c r="R38" s="965">
        <f t="shared" si="0"/>
        <v>0.89</v>
      </c>
    </row>
    <row r="39" spans="1:18" hidden="1">
      <c r="A39" s="578" t="s">
        <v>883</v>
      </c>
      <c r="B39" s="584">
        <v>2</v>
      </c>
      <c r="C39" s="589">
        <v>45839</v>
      </c>
      <c r="D39" s="582">
        <f t="shared" si="1"/>
        <v>27</v>
      </c>
      <c r="E39" s="576" t="str">
        <f>+VLOOKUP(Tabla3[[#This Row],[PATENTE]],'BASE DATOS'!F:G,2,0)</f>
        <v xml:space="preserve">PACHECO JULIO - ACI503 </v>
      </c>
      <c r="F39" s="582" t="str">
        <f>+VLOOKUP(Tabla3[[#This Row],[PATENTE]],'BASE DATOS'!F:H,3,0)</f>
        <v>12P</v>
      </c>
      <c r="G39" s="582" t="str">
        <f>+VLOOKUP(Tabla3[[#This Row],[PATENTE]],'BASE DATOS'!F:I,4,0)</f>
        <v>NO</v>
      </c>
      <c r="H39" s="584" t="str">
        <f>+VLOOKUP(Tabla3[[#This Row],[PATENTE]],'BASE DATOS'!F:J,5,0)</f>
        <v>SI</v>
      </c>
      <c r="I39" s="582" t="str">
        <f>+VLOOKUP(Tabla3[[#This Row],[PATENTE]],'BASE DATOS'!F:K,6,0)</f>
        <v>SI</v>
      </c>
      <c r="J39" s="582">
        <f>+VLOOKUP(Tabla3[[#This Row],[PATENTE]],'BASE DATOS'!F:L,7,0)</f>
        <v>2000</v>
      </c>
      <c r="K39" s="593">
        <f>+VLOOKUP(Tabla3[[#This Row],[PATENTE]],'BASE DATOS'!F:M,8,0)</f>
        <v>25</v>
      </c>
      <c r="N39" s="964" t="s">
        <v>889</v>
      </c>
      <c r="O39" s="1014">
        <v>0.74</v>
      </c>
      <c r="P39" s="1014">
        <v>1</v>
      </c>
      <c r="Q39" s="1014">
        <v>1</v>
      </c>
      <c r="R39" s="965">
        <f t="shared" si="0"/>
        <v>0.91333333333333344</v>
      </c>
    </row>
    <row r="40" spans="1:18" hidden="1">
      <c r="A40" s="577" t="s">
        <v>906</v>
      </c>
      <c r="B40" s="582">
        <v>2</v>
      </c>
      <c r="C40" s="588">
        <v>45839</v>
      </c>
      <c r="D40" s="582">
        <f t="shared" si="1"/>
        <v>27</v>
      </c>
      <c r="E40" s="576" t="str">
        <f>+VLOOKUP(Tabla3[[#This Row],[PATENTE]],'BASE DATOS'!F:G,2,0)</f>
        <v xml:space="preserve">VAZQUEZ (TRV SRL) - AD472GK </v>
      </c>
      <c r="F40" s="582" t="str">
        <f>+VLOOKUP(Tabla3[[#This Row],[PATENTE]],'BASE DATOS'!F:H,3,0)</f>
        <v>8P</v>
      </c>
      <c r="G40" s="582" t="str">
        <f>+VLOOKUP(Tabla3[[#This Row],[PATENTE]],'BASE DATOS'!F:I,4,0)</f>
        <v>NO</v>
      </c>
      <c r="H40" s="584" t="str">
        <f>+VLOOKUP(Tabla3[[#This Row],[PATENTE]],'BASE DATOS'!F:J,5,0)</f>
        <v>NO</v>
      </c>
      <c r="I40" s="582" t="str">
        <f>+VLOOKUP(Tabla3[[#This Row],[PATENTE]],'BASE DATOS'!F:K,6,0)</f>
        <v>SI</v>
      </c>
      <c r="J40" s="582">
        <f>+VLOOKUP(Tabla3[[#This Row],[PATENTE]],'BASE DATOS'!F:L,7,0)</f>
        <v>2019</v>
      </c>
      <c r="K40" s="593">
        <f>+VLOOKUP(Tabla3[[#This Row],[PATENTE]],'BASE DATOS'!F:M,8,0)</f>
        <v>6</v>
      </c>
      <c r="N40" s="964" t="s">
        <v>914</v>
      </c>
      <c r="O40" s="1014">
        <v>1</v>
      </c>
      <c r="P40" s="1014">
        <v>1</v>
      </c>
      <c r="Q40" s="1014">
        <v>1</v>
      </c>
      <c r="R40" s="965">
        <f t="shared" si="0"/>
        <v>1</v>
      </c>
    </row>
    <row r="41" spans="1:18" hidden="1">
      <c r="A41" s="578" t="s">
        <v>929</v>
      </c>
      <c r="B41" s="584">
        <v>2</v>
      </c>
      <c r="C41" s="589">
        <v>45839</v>
      </c>
      <c r="D41" s="582">
        <f t="shared" si="1"/>
        <v>27</v>
      </c>
      <c r="E41" s="576" t="str">
        <f>+VLOOKUP(Tabla3[[#This Row],[PATENTE]],'BASE DATOS'!F:G,2,0)</f>
        <v xml:space="preserve">PRONTOMAR - BAI674 </v>
      </c>
      <c r="F41" s="582" t="str">
        <f>+VLOOKUP(Tabla3[[#This Row],[PATENTE]],'BASE DATOS'!F:H,3,0)</f>
        <v>14P</v>
      </c>
      <c r="G41" s="582" t="str">
        <f>+VLOOKUP(Tabla3[[#This Row],[PATENTE]],'BASE DATOS'!F:I,4,0)</f>
        <v>NO</v>
      </c>
      <c r="H41" s="584" t="str">
        <f>+VLOOKUP(Tabla3[[#This Row],[PATENTE]],'BASE DATOS'!F:J,5,0)</f>
        <v xml:space="preserve">NO </v>
      </c>
      <c r="I41" s="582" t="str">
        <f>+VLOOKUP(Tabla3[[#This Row],[PATENTE]],'BASE DATOS'!F:K,6,0)</f>
        <v>NO</v>
      </c>
      <c r="J41" s="582">
        <f>+VLOOKUP(Tabla3[[#This Row],[PATENTE]],'BASE DATOS'!F:L,7,0)</f>
        <v>1996</v>
      </c>
      <c r="K41" s="593">
        <f>+VLOOKUP(Tabla3[[#This Row],[PATENTE]],'BASE DATOS'!F:M,8,0)</f>
        <v>29</v>
      </c>
      <c r="N41" s="964" t="s">
        <v>928</v>
      </c>
      <c r="O41" s="1014">
        <v>1</v>
      </c>
      <c r="P41" s="1014">
        <v>1</v>
      </c>
      <c r="Q41" s="1014">
        <v>1</v>
      </c>
      <c r="R41" s="965">
        <f t="shared" si="0"/>
        <v>1</v>
      </c>
    </row>
    <row r="42" spans="1:18" hidden="1">
      <c r="A42" s="577" t="s">
        <v>917</v>
      </c>
      <c r="B42" s="582">
        <v>2</v>
      </c>
      <c r="C42" s="588">
        <v>45839</v>
      </c>
      <c r="D42" s="582">
        <f t="shared" si="1"/>
        <v>27</v>
      </c>
      <c r="E42" s="576" t="str">
        <f>+VLOOKUP(Tabla3[[#This Row],[PATENTE]],'BASE DATOS'!F:G,2,0)</f>
        <v xml:space="preserve">PRONTOMAR - BUZ242 </v>
      </c>
      <c r="F42" s="582" t="str">
        <f>+VLOOKUP(Tabla3[[#This Row],[PATENTE]],'BASE DATOS'!F:H,3,0)</f>
        <v>16P</v>
      </c>
      <c r="G42" s="582" t="str">
        <f>+VLOOKUP(Tabla3[[#This Row],[PATENTE]],'BASE DATOS'!F:I,4,0)</f>
        <v>NO</v>
      </c>
      <c r="H42" s="584" t="str">
        <f>+VLOOKUP(Tabla3[[#This Row],[PATENTE]],'BASE DATOS'!F:J,5,0)</f>
        <v xml:space="preserve">NO </v>
      </c>
      <c r="I42" s="582" t="str">
        <f>+VLOOKUP(Tabla3[[#This Row],[PATENTE]],'BASE DATOS'!F:K,6,0)</f>
        <v>NO</v>
      </c>
      <c r="J42" s="582">
        <f>+VLOOKUP(Tabla3[[#This Row],[PATENTE]],'BASE DATOS'!F:L,7,0)</f>
        <v>1998</v>
      </c>
      <c r="K42" s="593">
        <f>+VLOOKUP(Tabla3[[#This Row],[PATENTE]],'BASE DATOS'!F:M,8,0)</f>
        <v>27</v>
      </c>
      <c r="N42" s="964" t="s">
        <v>891</v>
      </c>
      <c r="O42" s="1014">
        <v>0.88</v>
      </c>
      <c r="P42" s="1014">
        <v>1</v>
      </c>
      <c r="Q42" s="1014">
        <v>1</v>
      </c>
      <c r="R42" s="965">
        <f t="shared" si="0"/>
        <v>0.96</v>
      </c>
    </row>
    <row r="43" spans="1:18" hidden="1">
      <c r="A43" s="578" t="s">
        <v>923</v>
      </c>
      <c r="B43" s="584">
        <v>2</v>
      </c>
      <c r="C43" s="589">
        <v>45839</v>
      </c>
      <c r="D43" s="582">
        <f t="shared" si="1"/>
        <v>27</v>
      </c>
      <c r="E43" s="576" t="str">
        <f>+VLOOKUP(Tabla3[[#This Row],[PATENTE]],'BASE DATOS'!F:G,2,0)</f>
        <v xml:space="preserve">TRANSPORTE GENA GAIA - DLP830 </v>
      </c>
      <c r="F43" s="582" t="str">
        <f>+VLOOKUP(Tabla3[[#This Row],[PATENTE]],'BASE DATOS'!F:H,3,0)</f>
        <v>24P</v>
      </c>
      <c r="G43" s="582" t="str">
        <f>+VLOOKUP(Tabla3[[#This Row],[PATENTE]],'BASE DATOS'!F:I,4,0)</f>
        <v>Gestya</v>
      </c>
      <c r="H43" s="584" t="str">
        <f>+VLOOKUP(Tabla3[[#This Row],[PATENTE]],'BASE DATOS'!F:J,5,0)</f>
        <v xml:space="preserve">NO </v>
      </c>
      <c r="I43" s="582" t="str">
        <f>+VLOOKUP(Tabla3[[#This Row],[PATENTE]],'BASE DATOS'!F:K,6,0)</f>
        <v>NO</v>
      </c>
      <c r="J43" s="582">
        <f>+VLOOKUP(Tabla3[[#This Row],[PATENTE]],'BASE DATOS'!F:L,7,0)</f>
        <v>2001</v>
      </c>
      <c r="K43" s="593">
        <f>+VLOOKUP(Tabla3[[#This Row],[PATENTE]],'BASE DATOS'!F:M,8,0)</f>
        <v>24</v>
      </c>
      <c r="N43" s="964" t="s">
        <v>924</v>
      </c>
      <c r="O43" s="1014">
        <v>0.25</v>
      </c>
      <c r="P43" s="1014">
        <v>1</v>
      </c>
      <c r="Q43" s="1014">
        <v>1</v>
      </c>
      <c r="R43" s="965">
        <f t="shared" si="0"/>
        <v>0.75</v>
      </c>
    </row>
    <row r="44" spans="1:18" hidden="1">
      <c r="A44" s="577" t="s">
        <v>939</v>
      </c>
      <c r="B44" s="582">
        <v>2</v>
      </c>
      <c r="C44" s="588">
        <v>45839</v>
      </c>
      <c r="D44" s="582">
        <f t="shared" si="1"/>
        <v>27</v>
      </c>
      <c r="E44" s="576" t="str">
        <f>+VLOOKUP(Tabla3[[#This Row],[PATENTE]],'BASE DATOS'!F:G,2,0)</f>
        <v>TRANSP CLAUDIO BUSTOS - JOQ178</v>
      </c>
      <c r="F44" s="582" t="str">
        <f>+VLOOKUP(Tabla3[[#This Row],[PATENTE]],'BASE DATOS'!F:H,3,0)</f>
        <v>1P</v>
      </c>
      <c r="G44" s="582" t="str">
        <f>+VLOOKUP(Tabla3[[#This Row],[PATENTE]],'BASE DATOS'!F:I,4,0)</f>
        <v>NO</v>
      </c>
      <c r="H44" s="584" t="str">
        <f>+VLOOKUP(Tabla3[[#This Row],[PATENTE]],'BASE DATOS'!F:J,5,0)</f>
        <v>SI</v>
      </c>
      <c r="I44" s="582" t="str">
        <f>+VLOOKUP(Tabla3[[#This Row],[PATENTE]],'BASE DATOS'!F:K,6,0)</f>
        <v>NO</v>
      </c>
      <c r="J44" s="582">
        <f>+VLOOKUP(Tabla3[[#This Row],[PATENTE]],'BASE DATOS'!F:L,7,0)</f>
        <v>2010</v>
      </c>
      <c r="K44" s="593">
        <f>+VLOOKUP(Tabla3[[#This Row],[PATENTE]],'BASE DATOS'!F:M,8,0)</f>
        <v>15</v>
      </c>
      <c r="N44" s="964" t="s">
        <v>1123</v>
      </c>
      <c r="O44" s="1014">
        <v>1</v>
      </c>
      <c r="P44" s="1014">
        <v>1</v>
      </c>
      <c r="Q44" s="1014">
        <v>1</v>
      </c>
      <c r="R44" s="965">
        <f t="shared" si="0"/>
        <v>1</v>
      </c>
    </row>
    <row r="45" spans="1:18" hidden="1">
      <c r="A45" s="578" t="s">
        <v>1150</v>
      </c>
      <c r="B45" s="584">
        <v>2</v>
      </c>
      <c r="C45" s="589">
        <v>45839</v>
      </c>
      <c r="D45" s="582">
        <f t="shared" si="1"/>
        <v>27</v>
      </c>
      <c r="E45" s="576" t="str">
        <f>+VLOOKUP(Tabla3[[#This Row],[PATENTE]],'BASE DATOS'!F:G,2,0)</f>
        <v xml:space="preserve">PRONTOMAR - JZH 348 </v>
      </c>
      <c r="F45" s="582" t="str">
        <f>+VLOOKUP(Tabla3[[#This Row],[PATENTE]],'BASE DATOS'!F:H,3,0)</f>
        <v>28P</v>
      </c>
      <c r="G45" s="582" t="str">
        <f>+VLOOKUP(Tabla3[[#This Row],[PATENTE]],'BASE DATOS'!F:I,4,0)</f>
        <v>NO</v>
      </c>
      <c r="H45" s="584" t="str">
        <f>+VLOOKUP(Tabla3[[#This Row],[PATENTE]],'BASE DATOS'!F:J,5,0)</f>
        <v xml:space="preserve">NO </v>
      </c>
      <c r="I45" s="582" t="str">
        <f>+VLOOKUP(Tabla3[[#This Row],[PATENTE]],'BASE DATOS'!F:K,6,0)</f>
        <v>NO</v>
      </c>
      <c r="J45" s="582">
        <f>+VLOOKUP(Tabla3[[#This Row],[PATENTE]],'BASE DATOS'!F:L,7,0)</f>
        <v>2011</v>
      </c>
      <c r="K45" s="593">
        <f>+VLOOKUP(Tabla3[[#This Row],[PATENTE]],'BASE DATOS'!F:M,8,0)</f>
        <v>14</v>
      </c>
      <c r="N45" s="964" t="s">
        <v>885</v>
      </c>
      <c r="O45" s="1014">
        <v>1</v>
      </c>
      <c r="P45" s="1014">
        <v>1</v>
      </c>
      <c r="Q45" s="1014">
        <v>1</v>
      </c>
      <c r="R45" s="965">
        <f t="shared" si="0"/>
        <v>1</v>
      </c>
    </row>
    <row r="46" spans="1:18" hidden="1">
      <c r="A46" s="577" t="s">
        <v>878</v>
      </c>
      <c r="B46" s="582">
        <v>1</v>
      </c>
      <c r="C46" s="588">
        <v>45839</v>
      </c>
      <c r="D46" s="582">
        <f t="shared" si="1"/>
        <v>27</v>
      </c>
      <c r="E46" s="576" t="str">
        <f>+VLOOKUP(Tabla3[[#This Row],[PATENTE]],'BASE DATOS'!F:G,2,0)</f>
        <v xml:space="preserve">PACHECO JULIO - AA854LY </v>
      </c>
      <c r="F46" s="582" t="str">
        <f>+VLOOKUP(Tabla3[[#This Row],[PATENTE]],'BASE DATOS'!F:H,3,0)</f>
        <v>7P</v>
      </c>
      <c r="G46" s="582" t="str">
        <f>+VLOOKUP(Tabla3[[#This Row],[PATENTE]],'BASE DATOS'!F:I,4,0)</f>
        <v>SI</v>
      </c>
      <c r="H46" s="584" t="str">
        <f>+VLOOKUP(Tabla3[[#This Row],[PATENTE]],'BASE DATOS'!F:J,5,0)</f>
        <v>SI</v>
      </c>
      <c r="I46" s="582" t="str">
        <f>+VLOOKUP(Tabla3[[#This Row],[PATENTE]],'BASE DATOS'!F:K,6,0)</f>
        <v>NO</v>
      </c>
      <c r="J46" s="582">
        <f>+VLOOKUP(Tabla3[[#This Row],[PATENTE]],'BASE DATOS'!F:L,7,0)</f>
        <v>2016</v>
      </c>
      <c r="K46" s="593">
        <f>+VLOOKUP(Tabla3[[#This Row],[PATENTE]],'BASE DATOS'!F:M,8,0)</f>
        <v>9</v>
      </c>
      <c r="N46" s="964" t="s">
        <v>933</v>
      </c>
      <c r="O46" s="1014">
        <v>0.33</v>
      </c>
      <c r="P46" s="1014">
        <v>1</v>
      </c>
      <c r="Q46" s="1014">
        <v>1</v>
      </c>
      <c r="R46" s="965">
        <f t="shared" si="0"/>
        <v>0.77666666666666673</v>
      </c>
    </row>
    <row r="47" spans="1:18" hidden="1">
      <c r="A47" s="578" t="s">
        <v>1151</v>
      </c>
      <c r="B47" s="584">
        <v>1</v>
      </c>
      <c r="C47" s="589">
        <v>45839</v>
      </c>
      <c r="D47" s="582">
        <f t="shared" si="1"/>
        <v>27</v>
      </c>
      <c r="E47" s="576" t="str">
        <f>+VLOOKUP(Tabla3[[#This Row],[PATENTE]],'BASE DATOS'!F:G,2,0)</f>
        <v xml:space="preserve">GANZINI HUGO - AC940KZ </v>
      </c>
      <c r="F47" s="582" t="str">
        <f>+VLOOKUP(Tabla3[[#This Row],[PATENTE]],'BASE DATOS'!F:H,3,0)</f>
        <v>8P</v>
      </c>
      <c r="G47" s="582" t="str">
        <f>+VLOOKUP(Tabla3[[#This Row],[PATENTE]],'BASE DATOS'!F:I,4,0)</f>
        <v>NO</v>
      </c>
      <c r="H47" s="584" t="str">
        <f>+VLOOKUP(Tabla3[[#This Row],[PATENTE]],'BASE DATOS'!F:J,5,0)</f>
        <v xml:space="preserve">NO </v>
      </c>
      <c r="I47" s="582" t="str">
        <f>+VLOOKUP(Tabla3[[#This Row],[PATENTE]],'BASE DATOS'!F:K,6,0)</f>
        <v>SI</v>
      </c>
      <c r="J47" s="582">
        <f>+VLOOKUP(Tabla3[[#This Row],[PATENTE]],'BASE DATOS'!F:L,7,0)</f>
        <v>2018</v>
      </c>
      <c r="K47" s="593">
        <f>+VLOOKUP(Tabla3[[#This Row],[PATENTE]],'BASE DATOS'!F:M,8,0)</f>
        <v>7</v>
      </c>
      <c r="N47" s="964" t="s">
        <v>900</v>
      </c>
      <c r="O47" s="1014">
        <v>0.83</v>
      </c>
      <c r="P47" s="1014">
        <v>1</v>
      </c>
      <c r="Q47" s="1014">
        <v>1</v>
      </c>
      <c r="R47" s="965">
        <f t="shared" si="0"/>
        <v>0.94333333333333336</v>
      </c>
    </row>
    <row r="48" spans="1:18" hidden="1">
      <c r="A48" s="577" t="s">
        <v>946</v>
      </c>
      <c r="B48" s="582">
        <v>1</v>
      </c>
      <c r="C48" s="588">
        <v>45839</v>
      </c>
      <c r="D48" s="582">
        <f t="shared" si="1"/>
        <v>27</v>
      </c>
      <c r="E48" s="576" t="str">
        <f>+VLOOKUP(Tabla3[[#This Row],[PATENTE]],'BASE DATOS'!F:G,2,0)</f>
        <v xml:space="preserve">PRONTOMAR - DFE635 </v>
      </c>
      <c r="F48" s="582" t="str">
        <f>+VLOOKUP(Tabla3[[#This Row],[PATENTE]],'BASE DATOS'!F:H,3,0)</f>
        <v>14P</v>
      </c>
      <c r="G48" s="582" t="str">
        <f>+VLOOKUP(Tabla3[[#This Row],[PATENTE]],'BASE DATOS'!F:I,4,0)</f>
        <v>NO</v>
      </c>
      <c r="H48" s="584" t="str">
        <f>+VLOOKUP(Tabla3[[#This Row],[PATENTE]],'BASE DATOS'!F:J,5,0)</f>
        <v xml:space="preserve">NO </v>
      </c>
      <c r="I48" s="582" t="str">
        <f>+VLOOKUP(Tabla3[[#This Row],[PATENTE]],'BASE DATOS'!F:K,6,0)</f>
        <v>NO</v>
      </c>
      <c r="J48" s="582">
        <f>+VLOOKUP(Tabla3[[#This Row],[PATENTE]],'BASE DATOS'!F:L,7,0)</f>
        <v>2000</v>
      </c>
      <c r="K48" s="593">
        <f>+VLOOKUP(Tabla3[[#This Row],[PATENTE]],'BASE DATOS'!F:M,8,0)</f>
        <v>25</v>
      </c>
      <c r="N48" s="964" t="s">
        <v>950</v>
      </c>
      <c r="O48" s="1014">
        <v>1</v>
      </c>
      <c r="P48" s="1014">
        <v>1</v>
      </c>
      <c r="Q48" s="1014">
        <v>1</v>
      </c>
      <c r="R48" s="965">
        <f t="shared" si="0"/>
        <v>1</v>
      </c>
    </row>
    <row r="49" spans="1:18" hidden="1">
      <c r="A49" s="578" t="s">
        <v>1152</v>
      </c>
      <c r="B49" s="584">
        <v>1</v>
      </c>
      <c r="C49" s="589">
        <v>45839</v>
      </c>
      <c r="D49" s="582">
        <f t="shared" si="1"/>
        <v>27</v>
      </c>
      <c r="E49" s="576" t="str">
        <f>+VLOOKUP(Tabla3[[#This Row],[PATENTE]],'BASE DATOS'!F:G,2,0)</f>
        <v>PALADINI - DIP718 RETIRA CLIENTE</v>
      </c>
      <c r="F49" s="582" t="str">
        <f>+VLOOKUP(Tabla3[[#This Row],[PATENTE]],'BASE DATOS'!F:H,3,0)</f>
        <v>12P</v>
      </c>
      <c r="G49" s="582" t="str">
        <f>+VLOOKUP(Tabla3[[#This Row],[PATENTE]],'BASE DATOS'!F:I,4,0)</f>
        <v>NO</v>
      </c>
      <c r="H49" s="584" t="str">
        <f>+VLOOKUP(Tabla3[[#This Row],[PATENTE]],'BASE DATOS'!F:J,5,0)</f>
        <v xml:space="preserve">NO </v>
      </c>
      <c r="I49" s="582" t="str">
        <f>+VLOOKUP(Tabla3[[#This Row],[PATENTE]],'BASE DATOS'!F:K,6,0)</f>
        <v>NO</v>
      </c>
      <c r="J49" s="582">
        <f>+VLOOKUP(Tabla3[[#This Row],[PATENTE]],'BASE DATOS'!F:L,7,0)</f>
        <v>0</v>
      </c>
      <c r="K49" s="593">
        <f>+VLOOKUP(Tabla3[[#This Row],[PATENTE]],'BASE DATOS'!F:M,8,0)</f>
        <v>0</v>
      </c>
      <c r="N49" s="964" t="s">
        <v>901</v>
      </c>
      <c r="O49" s="1014">
        <v>1</v>
      </c>
      <c r="P49" s="1014">
        <v>1</v>
      </c>
      <c r="Q49" s="1014">
        <v>1</v>
      </c>
      <c r="R49" s="965">
        <f t="shared" si="0"/>
        <v>1</v>
      </c>
    </row>
    <row r="50" spans="1:18" hidden="1">
      <c r="A50" s="577" t="s">
        <v>914</v>
      </c>
      <c r="B50" s="582">
        <v>1</v>
      </c>
      <c r="C50" s="588">
        <v>45839</v>
      </c>
      <c r="D50" s="582">
        <f t="shared" si="1"/>
        <v>27</v>
      </c>
      <c r="E50" s="576" t="str">
        <f>+VLOOKUP(Tabla3[[#This Row],[PATENTE]],'BASE DATOS'!F:G,2,0)</f>
        <v>TRANSP DON NENO - HCP674</v>
      </c>
      <c r="F50" s="582" t="str">
        <f>+VLOOKUP(Tabla3[[#This Row],[PATENTE]],'BASE DATOS'!F:H,3,0)</f>
        <v>2P</v>
      </c>
      <c r="G50" s="582" t="str">
        <f>+VLOOKUP(Tabla3[[#This Row],[PATENTE]],'BASE DATOS'!F:I,4,0)</f>
        <v>NO</v>
      </c>
      <c r="H50" s="584" t="str">
        <f>+VLOOKUP(Tabla3[[#This Row],[PATENTE]],'BASE DATOS'!F:J,5,0)</f>
        <v xml:space="preserve">NO </v>
      </c>
      <c r="I50" s="582" t="str">
        <f>+VLOOKUP(Tabla3[[#This Row],[PATENTE]],'BASE DATOS'!F:K,6,0)</f>
        <v>NO</v>
      </c>
      <c r="J50" s="582">
        <f>+VLOOKUP(Tabla3[[#This Row],[PATENTE]],'BASE DATOS'!F:L,7,0)</f>
        <v>2008</v>
      </c>
      <c r="K50" s="593">
        <f>+VLOOKUP(Tabla3[[#This Row],[PATENTE]],'BASE DATOS'!F:M,8,0)</f>
        <v>17</v>
      </c>
      <c r="N50" s="964" t="s">
        <v>930</v>
      </c>
      <c r="O50" s="1014">
        <v>0.83</v>
      </c>
      <c r="P50" s="1014">
        <v>1</v>
      </c>
      <c r="Q50" s="1014">
        <v>1</v>
      </c>
      <c r="R50" s="965">
        <f t="shared" si="0"/>
        <v>0.94333333333333336</v>
      </c>
    </row>
    <row r="51" spans="1:18" hidden="1">
      <c r="A51" s="578" t="s">
        <v>928</v>
      </c>
      <c r="B51" s="584">
        <v>1</v>
      </c>
      <c r="C51" s="589">
        <v>45839</v>
      </c>
      <c r="D51" s="582">
        <f t="shared" si="1"/>
        <v>27</v>
      </c>
      <c r="E51" s="576" t="str">
        <f>+VLOOKUP(Tabla3[[#This Row],[PATENTE]],'BASE DATOS'!F:G,2,0)</f>
        <v xml:space="preserve">GANZINI HUGO - HEF181 </v>
      </c>
      <c r="F51" s="582" t="str">
        <f>+VLOOKUP(Tabla3[[#This Row],[PATENTE]],'BASE DATOS'!F:H,3,0)</f>
        <v>12P</v>
      </c>
      <c r="G51" s="582" t="str">
        <f>+VLOOKUP(Tabla3[[#This Row],[PATENTE]],'BASE DATOS'!F:I,4,0)</f>
        <v>NO</v>
      </c>
      <c r="H51" s="584" t="str">
        <f>+VLOOKUP(Tabla3[[#This Row],[PATENTE]],'BASE DATOS'!F:J,5,0)</f>
        <v xml:space="preserve">NO </v>
      </c>
      <c r="I51" s="582" t="str">
        <f>+VLOOKUP(Tabla3[[#This Row],[PATENTE]],'BASE DATOS'!F:K,6,0)</f>
        <v>NO</v>
      </c>
      <c r="J51" s="582">
        <f>+VLOOKUP(Tabla3[[#This Row],[PATENTE]],'BASE DATOS'!F:L,7,0)</f>
        <v>2008</v>
      </c>
      <c r="K51" s="593">
        <f>+VLOOKUP(Tabla3[[#This Row],[PATENTE]],'BASE DATOS'!F:M,8,0)</f>
        <v>17</v>
      </c>
      <c r="N51" s="964" t="s">
        <v>1124</v>
      </c>
      <c r="O51" s="1014">
        <v>0.2</v>
      </c>
      <c r="P51" s="1014">
        <v>1</v>
      </c>
      <c r="Q51" s="1014">
        <v>1</v>
      </c>
      <c r="R51" s="965">
        <f t="shared" si="0"/>
        <v>0.73333333333333339</v>
      </c>
    </row>
    <row r="52" spans="1:18" hidden="1">
      <c r="A52" s="577" t="s">
        <v>900</v>
      </c>
      <c r="B52" s="582">
        <v>1</v>
      </c>
      <c r="C52" s="588">
        <v>45839</v>
      </c>
      <c r="D52" s="582">
        <f t="shared" si="1"/>
        <v>27</v>
      </c>
      <c r="E52" s="576" t="str">
        <f>+VLOOKUP(Tabla3[[#This Row],[PATENTE]],'BASE DATOS'!F:G,2,0)</f>
        <v>TRANSPORTE GENA GAIA - IMO939</v>
      </c>
      <c r="F52" s="582" t="str">
        <f>+VLOOKUP(Tabla3[[#This Row],[PATENTE]],'BASE DATOS'!F:H,3,0)</f>
        <v>24P</v>
      </c>
      <c r="G52" s="582" t="str">
        <f>+VLOOKUP(Tabla3[[#This Row],[PATENTE]],'BASE DATOS'!F:I,4,0)</f>
        <v>Gestya</v>
      </c>
      <c r="H52" s="584" t="str">
        <f>+VLOOKUP(Tabla3[[#This Row],[PATENTE]],'BASE DATOS'!F:J,5,0)</f>
        <v xml:space="preserve">NO </v>
      </c>
      <c r="I52" s="582" t="str">
        <f>+VLOOKUP(Tabla3[[#This Row],[PATENTE]],'BASE DATOS'!F:K,6,0)</f>
        <v>NO</v>
      </c>
      <c r="J52" s="582">
        <f>+VLOOKUP(Tabla3[[#This Row],[PATENTE]],'BASE DATOS'!F:L,7,0)</f>
        <v>2010</v>
      </c>
      <c r="K52" s="593">
        <f>+VLOOKUP(Tabla3[[#This Row],[PATENTE]],'BASE DATOS'!F:M,8,0)</f>
        <v>15</v>
      </c>
      <c r="N52" s="964" t="s">
        <v>939</v>
      </c>
      <c r="O52" s="1014">
        <v>1</v>
      </c>
      <c r="P52" s="1014">
        <v>1</v>
      </c>
      <c r="Q52" s="1014">
        <v>1</v>
      </c>
      <c r="R52" s="965">
        <f t="shared" si="0"/>
        <v>1</v>
      </c>
    </row>
    <row r="53" spans="1:18" hidden="1">
      <c r="A53" s="579" t="s">
        <v>1153</v>
      </c>
      <c r="B53" s="585">
        <v>1</v>
      </c>
      <c r="C53" s="873">
        <v>45839</v>
      </c>
      <c r="D53" s="582">
        <f t="shared" si="1"/>
        <v>27</v>
      </c>
      <c r="E53" s="576" t="str">
        <f>+VLOOKUP(Tabla3[[#This Row],[PATENTE]],'BASE DATOS'!F:G,2,0)</f>
        <v xml:space="preserve">TRANSP LAGOS - KXZ670 </v>
      </c>
      <c r="F53" s="582" t="str">
        <f>+VLOOKUP(Tabla3[[#This Row],[PATENTE]],'BASE DATOS'!F:H,3,0)</f>
        <v>4P</v>
      </c>
      <c r="G53" s="582" t="str">
        <f>+VLOOKUP(Tabla3[[#This Row],[PATENTE]],'BASE DATOS'!F:I,4,0)</f>
        <v>NO</v>
      </c>
      <c r="H53" s="584" t="str">
        <f>+VLOOKUP(Tabla3[[#This Row],[PATENTE]],'BASE DATOS'!F:J,5,0)</f>
        <v xml:space="preserve">NO </v>
      </c>
      <c r="I53" s="582" t="str">
        <f>+VLOOKUP(Tabla3[[#This Row],[PATENTE]],'BASE DATOS'!F:K,6,0)</f>
        <v>NO</v>
      </c>
      <c r="J53" s="582">
        <f>+VLOOKUP(Tabla3[[#This Row],[PATENTE]],'BASE DATOS'!F:L,7,0)</f>
        <v>2011</v>
      </c>
      <c r="K53" s="593">
        <f>+VLOOKUP(Tabla3[[#This Row],[PATENTE]],'BASE DATOS'!F:M,8,0)</f>
        <v>14</v>
      </c>
      <c r="N53" s="964" t="s">
        <v>882</v>
      </c>
      <c r="O53" s="1014">
        <v>0.45</v>
      </c>
      <c r="P53" s="1014">
        <v>1</v>
      </c>
      <c r="Q53" s="1014">
        <v>1</v>
      </c>
      <c r="R53" s="965">
        <f t="shared" si="0"/>
        <v>0.81666666666666676</v>
      </c>
    </row>
    <row r="54" spans="1:18" hidden="1">
      <c r="A54" s="577" t="s">
        <v>932</v>
      </c>
      <c r="B54" s="582">
        <v>6</v>
      </c>
      <c r="C54" s="588">
        <v>45845</v>
      </c>
      <c r="D54" s="582">
        <f t="shared" si="1"/>
        <v>28</v>
      </c>
      <c r="E54" s="576" t="str">
        <f>+VLOOKUP(Tabla3[[#This Row],[PATENTE]],'BASE DATOS'!F:G,2,0)</f>
        <v xml:space="preserve">TRANSP MAVIR - EFL176 </v>
      </c>
      <c r="F54" s="582" t="str">
        <f>+VLOOKUP(Tabla3[[#This Row],[PATENTE]],'BASE DATOS'!F:H,3,0)</f>
        <v>12P</v>
      </c>
      <c r="G54" s="582" t="str">
        <f>+VLOOKUP(Tabla3[[#This Row],[PATENTE]],'BASE DATOS'!F:I,4,0)</f>
        <v>SI</v>
      </c>
      <c r="H54" s="584" t="str">
        <f>+VLOOKUP(Tabla3[[#This Row],[PATENTE]],'BASE DATOS'!F:J,5,0)</f>
        <v>SI</v>
      </c>
      <c r="I54" s="582" t="str">
        <f>+VLOOKUP(Tabla3[[#This Row],[PATENTE]],'BASE DATOS'!F:K,6,0)</f>
        <v>NO</v>
      </c>
      <c r="J54" s="582">
        <f>+VLOOKUP(Tabla3[[#This Row],[PATENTE]],'BASE DATOS'!F:L,7,0)</f>
        <v>1998</v>
      </c>
      <c r="K54" s="593">
        <f>+VLOOKUP(Tabla3[[#This Row],[PATENTE]],'BASE DATOS'!F:M,8,0)</f>
        <v>27</v>
      </c>
      <c r="N54" s="964" t="s">
        <v>925</v>
      </c>
      <c r="O54" s="1014">
        <v>0.91</v>
      </c>
      <c r="P54" s="1014">
        <v>0.95</v>
      </c>
      <c r="Q54" s="1014">
        <v>1</v>
      </c>
      <c r="R54" s="965">
        <f t="shared" si="0"/>
        <v>0.95333333333333325</v>
      </c>
    </row>
    <row r="55" spans="1:18" hidden="1">
      <c r="A55" s="578" t="s">
        <v>898</v>
      </c>
      <c r="B55" s="584">
        <v>5</v>
      </c>
      <c r="C55" s="589">
        <v>45845</v>
      </c>
      <c r="D55" s="582">
        <f t="shared" si="1"/>
        <v>28</v>
      </c>
      <c r="E55" s="576" t="str">
        <f>+VLOOKUP(Tabla3[[#This Row],[PATENTE]],'BASE DATOS'!F:G,2,0)</f>
        <v xml:space="preserve">TRANSP BERMEJO - NXP980 </v>
      </c>
      <c r="F55" s="582" t="str">
        <f>+VLOOKUP(Tabla3[[#This Row],[PATENTE]],'BASE DATOS'!F:H,3,0)</f>
        <v>12P</v>
      </c>
      <c r="G55" s="582" t="str">
        <f>+VLOOKUP(Tabla3[[#This Row],[PATENTE]],'BASE DATOS'!F:I,4,0)</f>
        <v>SI</v>
      </c>
      <c r="H55" s="584" t="str">
        <f>+VLOOKUP(Tabla3[[#This Row],[PATENTE]],'BASE DATOS'!F:J,5,0)</f>
        <v>SI</v>
      </c>
      <c r="I55" s="582" t="str">
        <f>+VLOOKUP(Tabla3[[#This Row],[PATENTE]],'BASE DATOS'!F:K,6,0)</f>
        <v>SI</v>
      </c>
      <c r="J55" s="582">
        <f>+VLOOKUP(Tabla3[[#This Row],[PATENTE]],'BASE DATOS'!F:L,7,0)</f>
        <v>2015</v>
      </c>
      <c r="K55" s="593">
        <f>+VLOOKUP(Tabla3[[#This Row],[PATENTE]],'BASE DATOS'!F:M,8,0)</f>
        <v>10</v>
      </c>
      <c r="N55" s="964" t="s">
        <v>913</v>
      </c>
      <c r="O55" s="1014">
        <v>0.5</v>
      </c>
      <c r="P55" s="1014">
        <v>1</v>
      </c>
      <c r="Q55" s="1014">
        <v>1</v>
      </c>
      <c r="R55" s="965">
        <f t="shared" si="0"/>
        <v>0.83333333333333337</v>
      </c>
    </row>
    <row r="56" spans="1:18" hidden="1">
      <c r="A56" s="577" t="s">
        <v>909</v>
      </c>
      <c r="B56" s="582">
        <v>5</v>
      </c>
      <c r="C56" s="588">
        <v>45845</v>
      </c>
      <c r="D56" s="582">
        <f t="shared" si="1"/>
        <v>28</v>
      </c>
      <c r="E56" s="576" t="str">
        <f>+VLOOKUP(Tabla3[[#This Row],[PATENTE]],'BASE DATOS'!F:G,2,0)</f>
        <v xml:space="preserve">CRISTIAN MOYA - NHR055 </v>
      </c>
      <c r="F56" s="582" t="str">
        <f>+VLOOKUP(Tabla3[[#This Row],[PATENTE]],'BASE DATOS'!F:H,3,0)</f>
        <v>6P</v>
      </c>
      <c r="G56" s="582" t="str">
        <f>+VLOOKUP(Tabla3[[#This Row],[PATENTE]],'BASE DATOS'!F:I,4,0)</f>
        <v>SI</v>
      </c>
      <c r="H56" s="584" t="str">
        <f>+VLOOKUP(Tabla3[[#This Row],[PATENTE]],'BASE DATOS'!F:J,5,0)</f>
        <v>SI</v>
      </c>
      <c r="I56" s="582" t="str">
        <f>+VLOOKUP(Tabla3[[#This Row],[PATENTE]],'BASE DATOS'!F:K,6,0)</f>
        <v>NO</v>
      </c>
      <c r="J56" s="582">
        <f>+VLOOKUP(Tabla3[[#This Row],[PATENTE]],'BASE DATOS'!F:L,7,0)</f>
        <v>2013</v>
      </c>
      <c r="K56" s="593">
        <f>+VLOOKUP(Tabla3[[#This Row],[PATENTE]],'BASE DATOS'!F:M,8,0)</f>
        <v>12</v>
      </c>
      <c r="N56" s="964" t="s">
        <v>943</v>
      </c>
      <c r="O56" s="1014">
        <v>0.67</v>
      </c>
      <c r="P56" s="1014">
        <v>1</v>
      </c>
      <c r="Q56" s="1014">
        <v>1</v>
      </c>
      <c r="R56" s="965">
        <f t="shared" si="0"/>
        <v>0.89</v>
      </c>
    </row>
    <row r="57" spans="1:18" hidden="1">
      <c r="A57" s="578" t="s">
        <v>897</v>
      </c>
      <c r="B57" s="584">
        <v>5</v>
      </c>
      <c r="C57" s="589">
        <v>45845</v>
      </c>
      <c r="D57" s="582">
        <f t="shared" si="1"/>
        <v>28</v>
      </c>
      <c r="E57" s="576" t="str">
        <f>+VLOOKUP(Tabla3[[#This Row],[PATENTE]],'BASE DATOS'!F:G,2,0)</f>
        <v xml:space="preserve">TRANSP CLAUDIO BUSTOS - LSG801 </v>
      </c>
      <c r="F57" s="582" t="str">
        <f>+VLOOKUP(Tabla3[[#This Row],[PATENTE]],'BASE DATOS'!F:H,3,0)</f>
        <v>2P</v>
      </c>
      <c r="G57" s="582" t="str">
        <f>+VLOOKUP(Tabla3[[#This Row],[PATENTE]],'BASE DATOS'!F:I,4,0)</f>
        <v>SI</v>
      </c>
      <c r="H57" s="584" t="str">
        <f>+VLOOKUP(Tabla3[[#This Row],[PATENTE]],'BASE DATOS'!F:J,5,0)</f>
        <v>SI</v>
      </c>
      <c r="I57" s="582" t="str">
        <f>+VLOOKUP(Tabla3[[#This Row],[PATENTE]],'BASE DATOS'!F:K,6,0)</f>
        <v>NO</v>
      </c>
      <c r="J57" s="582">
        <f>+VLOOKUP(Tabla3[[#This Row],[PATENTE]],'BASE DATOS'!F:L,7,0)</f>
        <v>2013</v>
      </c>
      <c r="K57" s="593">
        <f>+VLOOKUP(Tabla3[[#This Row],[PATENTE]],'BASE DATOS'!F:M,8,0)</f>
        <v>12</v>
      </c>
      <c r="N57" s="964" t="s">
        <v>902</v>
      </c>
      <c r="O57" s="1014">
        <v>0.4</v>
      </c>
      <c r="P57" s="1014">
        <v>1</v>
      </c>
      <c r="Q57" s="1014">
        <v>1</v>
      </c>
      <c r="R57" s="965">
        <f t="shared" si="0"/>
        <v>0.79999999999999993</v>
      </c>
    </row>
    <row r="58" spans="1:18" hidden="1">
      <c r="A58" s="577" t="s">
        <v>902</v>
      </c>
      <c r="B58" s="582">
        <v>5</v>
      </c>
      <c r="C58" s="588">
        <v>45845</v>
      </c>
      <c r="D58" s="582">
        <f t="shared" si="1"/>
        <v>28</v>
      </c>
      <c r="E58" s="576" t="str">
        <f>+VLOOKUP(Tabla3[[#This Row],[PATENTE]],'BASE DATOS'!F:G,2,0)</f>
        <v xml:space="preserve">GUSTAVO CERQUETTA - KZA644 </v>
      </c>
      <c r="F58" s="582" t="str">
        <f>+VLOOKUP(Tabla3[[#This Row],[PATENTE]],'BASE DATOS'!F:H,3,0)</f>
        <v>2P</v>
      </c>
      <c r="G58" s="582" t="str">
        <f>+VLOOKUP(Tabla3[[#This Row],[PATENTE]],'BASE DATOS'!F:I,4,0)</f>
        <v>NO</v>
      </c>
      <c r="H58" s="584" t="str">
        <f>+VLOOKUP(Tabla3[[#This Row],[PATENTE]],'BASE DATOS'!F:J,5,0)</f>
        <v>SI</v>
      </c>
      <c r="I58" s="582" t="str">
        <f>+VLOOKUP(Tabla3[[#This Row],[PATENTE]],'BASE DATOS'!F:K,6,0)</f>
        <v>NO</v>
      </c>
      <c r="J58" s="582">
        <f>+VLOOKUP(Tabla3[[#This Row],[PATENTE]],'BASE DATOS'!F:L,7,0)</f>
        <v>2012</v>
      </c>
      <c r="K58" s="593">
        <f>+VLOOKUP(Tabla3[[#This Row],[PATENTE]],'BASE DATOS'!F:M,8,0)</f>
        <v>13</v>
      </c>
      <c r="N58" s="964" t="s">
        <v>1136</v>
      </c>
      <c r="O58" s="1014">
        <v>0</v>
      </c>
      <c r="P58" s="1014">
        <v>1</v>
      </c>
      <c r="Q58" s="1014">
        <v>1</v>
      </c>
      <c r="R58" s="965">
        <f t="shared" si="0"/>
        <v>0.66666666666666663</v>
      </c>
    </row>
    <row r="59" spans="1:18" hidden="1">
      <c r="A59" s="578" t="s">
        <v>925</v>
      </c>
      <c r="B59" s="584">
        <v>5</v>
      </c>
      <c r="C59" s="589">
        <v>45845</v>
      </c>
      <c r="D59" s="582">
        <f t="shared" si="1"/>
        <v>28</v>
      </c>
      <c r="E59" s="576" t="str">
        <f>+VLOOKUP(Tabla3[[#This Row],[PATENTE]],'BASE DATOS'!F:G,2,0)</f>
        <v xml:space="preserve">TRANSP MAIDANA FACUNDO - KOW745 </v>
      </c>
      <c r="F59" s="582" t="str">
        <f>+VLOOKUP(Tabla3[[#This Row],[PATENTE]],'BASE DATOS'!F:H,3,0)</f>
        <v>8P</v>
      </c>
      <c r="G59" s="582" t="str">
        <f>+VLOOKUP(Tabla3[[#This Row],[PATENTE]],'BASE DATOS'!F:I,4,0)</f>
        <v>SI</v>
      </c>
      <c r="H59" s="584" t="str">
        <f>+VLOOKUP(Tabla3[[#This Row],[PATENTE]],'BASE DATOS'!F:J,5,0)</f>
        <v>SI</v>
      </c>
      <c r="I59" s="582" t="str">
        <f>+VLOOKUP(Tabla3[[#This Row],[PATENTE]],'BASE DATOS'!F:K,6,0)</f>
        <v>NO</v>
      </c>
      <c r="J59" s="582">
        <f>+VLOOKUP(Tabla3[[#This Row],[PATENTE]],'BASE DATOS'!F:L,7,0)</f>
        <v>2012</v>
      </c>
      <c r="K59" s="593">
        <f>+VLOOKUP(Tabla3[[#This Row],[PATENTE]],'BASE DATOS'!F:M,8,0)</f>
        <v>13</v>
      </c>
      <c r="N59" s="964" t="s">
        <v>1125</v>
      </c>
      <c r="O59" s="1014">
        <v>1</v>
      </c>
      <c r="P59" s="1014">
        <v>1</v>
      </c>
      <c r="Q59" s="1014">
        <v>1</v>
      </c>
      <c r="R59" s="965">
        <f t="shared" si="0"/>
        <v>1</v>
      </c>
    </row>
    <row r="60" spans="1:18" hidden="1">
      <c r="A60" s="577" t="s">
        <v>882</v>
      </c>
      <c r="B60" s="582">
        <v>5</v>
      </c>
      <c r="C60" s="588">
        <v>45845</v>
      </c>
      <c r="D60" s="582">
        <f t="shared" si="1"/>
        <v>28</v>
      </c>
      <c r="E60" s="576" t="str">
        <f>+VLOOKUP(Tabla3[[#This Row],[PATENTE]],'BASE DATOS'!F:G,2,0)</f>
        <v xml:space="preserve">MAÑAS - JWN279 </v>
      </c>
      <c r="F60" s="582" t="str">
        <f>+VLOOKUP(Tabla3[[#This Row],[PATENTE]],'BASE DATOS'!F:H,3,0)</f>
        <v>7P</v>
      </c>
      <c r="G60" s="582" t="str">
        <f>+VLOOKUP(Tabla3[[#This Row],[PATENTE]],'BASE DATOS'!F:I,4,0)</f>
        <v>SI</v>
      </c>
      <c r="H60" s="584" t="str">
        <f>+VLOOKUP(Tabla3[[#This Row],[PATENTE]],'BASE DATOS'!F:J,5,0)</f>
        <v>SI</v>
      </c>
      <c r="I60" s="582" t="str">
        <f>+VLOOKUP(Tabla3[[#This Row],[PATENTE]],'BASE DATOS'!F:K,6,0)</f>
        <v>NO</v>
      </c>
      <c r="J60" s="582">
        <f>+VLOOKUP(Tabla3[[#This Row],[PATENTE]],'BASE DATOS'!F:L,7,0)</f>
        <v>2011</v>
      </c>
      <c r="K60" s="593">
        <f>+VLOOKUP(Tabla3[[#This Row],[PATENTE]],'BASE DATOS'!F:M,8,0)</f>
        <v>14</v>
      </c>
      <c r="N60" s="964" t="s">
        <v>920</v>
      </c>
      <c r="O60" s="1014">
        <v>0.95</v>
      </c>
      <c r="P60" s="1014">
        <v>1</v>
      </c>
      <c r="Q60" s="1014">
        <v>1</v>
      </c>
      <c r="R60" s="965">
        <f t="shared" si="0"/>
        <v>0.98333333333333339</v>
      </c>
    </row>
    <row r="61" spans="1:18" hidden="1">
      <c r="A61" s="578" t="s">
        <v>885</v>
      </c>
      <c r="B61" s="584">
        <v>5</v>
      </c>
      <c r="C61" s="589">
        <v>45845</v>
      </c>
      <c r="D61" s="582">
        <f t="shared" si="1"/>
        <v>28</v>
      </c>
      <c r="E61" s="576" t="str">
        <f>+VLOOKUP(Tabla3[[#This Row],[PATENTE]],'BASE DATOS'!F:G,2,0)</f>
        <v xml:space="preserve">TRANSP DON NENO - IES288 </v>
      </c>
      <c r="F61" s="582" t="str">
        <f>+VLOOKUP(Tabla3[[#This Row],[PATENTE]],'BASE DATOS'!F:H,3,0)</f>
        <v>2P</v>
      </c>
      <c r="G61" s="582" t="str">
        <f>+VLOOKUP(Tabla3[[#This Row],[PATENTE]],'BASE DATOS'!F:I,4,0)</f>
        <v>SI</v>
      </c>
      <c r="H61" s="584" t="str">
        <f>+VLOOKUP(Tabla3[[#This Row],[PATENTE]],'BASE DATOS'!F:J,5,0)</f>
        <v>SI</v>
      </c>
      <c r="I61" s="582" t="str">
        <f>+VLOOKUP(Tabla3[[#This Row],[PATENTE]],'BASE DATOS'!F:K,6,0)</f>
        <v>NO</v>
      </c>
      <c r="J61" s="582">
        <f>+VLOOKUP(Tabla3[[#This Row],[PATENTE]],'BASE DATOS'!F:L,7,0)</f>
        <v>2009</v>
      </c>
      <c r="K61" s="593">
        <f>+VLOOKUP(Tabla3[[#This Row],[PATENTE]],'BASE DATOS'!F:M,8,0)</f>
        <v>16</v>
      </c>
      <c r="N61" s="964" t="s">
        <v>909</v>
      </c>
      <c r="O61" s="1014">
        <v>0.83</v>
      </c>
      <c r="P61" s="1014">
        <v>1</v>
      </c>
      <c r="Q61" s="1014">
        <v>1</v>
      </c>
      <c r="R61" s="965">
        <f t="shared" si="0"/>
        <v>0.94333333333333336</v>
      </c>
    </row>
    <row r="62" spans="1:18" hidden="1">
      <c r="A62" s="577" t="s">
        <v>891</v>
      </c>
      <c r="B62" s="582">
        <v>5</v>
      </c>
      <c r="C62" s="588">
        <v>45845</v>
      </c>
      <c r="D62" s="582">
        <f t="shared" si="1"/>
        <v>28</v>
      </c>
      <c r="E62" s="576" t="str">
        <f>+VLOOKUP(Tabla3[[#This Row],[PATENTE]],'BASE DATOS'!F:G,2,0)</f>
        <v xml:space="preserve">GANZINI HUGO - HHA085 </v>
      </c>
      <c r="F62" s="582" t="str">
        <f>+VLOOKUP(Tabla3[[#This Row],[PATENTE]],'BASE DATOS'!F:H,3,0)</f>
        <v>2P</v>
      </c>
      <c r="G62" s="582" t="str">
        <f>+VLOOKUP(Tabla3[[#This Row],[PATENTE]],'BASE DATOS'!F:I,4,0)</f>
        <v>SI</v>
      </c>
      <c r="H62" s="584" t="str">
        <f>+VLOOKUP(Tabla3[[#This Row],[PATENTE]],'BASE DATOS'!F:J,5,0)</f>
        <v>SI</v>
      </c>
      <c r="I62" s="582" t="str">
        <f>+VLOOKUP(Tabla3[[#This Row],[PATENTE]],'BASE DATOS'!F:K,6,0)</f>
        <v>NO</v>
      </c>
      <c r="J62" s="582">
        <f>+VLOOKUP(Tabla3[[#This Row],[PATENTE]],'BASE DATOS'!F:L,7,0)</f>
        <v>2008</v>
      </c>
      <c r="K62" s="593">
        <f>+VLOOKUP(Tabla3[[#This Row],[PATENTE]],'BASE DATOS'!F:M,8,0)</f>
        <v>17</v>
      </c>
      <c r="N62" s="964" t="s">
        <v>886</v>
      </c>
      <c r="O62" s="1014">
        <v>1</v>
      </c>
      <c r="P62" s="1014">
        <v>1</v>
      </c>
      <c r="Q62" s="1014">
        <v>1</v>
      </c>
      <c r="R62" s="965">
        <f t="shared" si="0"/>
        <v>1</v>
      </c>
    </row>
    <row r="63" spans="1:18" hidden="1">
      <c r="A63" s="578" t="s">
        <v>889</v>
      </c>
      <c r="B63" s="584">
        <v>5</v>
      </c>
      <c r="C63" s="589">
        <v>45845</v>
      </c>
      <c r="D63" s="582">
        <f t="shared" si="1"/>
        <v>28</v>
      </c>
      <c r="E63" s="576" t="str">
        <f>+VLOOKUP(Tabla3[[#This Row],[PATENTE]],'BASE DATOS'!F:G,2,0)</f>
        <v xml:space="preserve">COLO - HAW164 </v>
      </c>
      <c r="F63" s="582" t="str">
        <f>+VLOOKUP(Tabla3[[#This Row],[PATENTE]],'BASE DATOS'!F:H,3,0)</f>
        <v>6P</v>
      </c>
      <c r="G63" s="582" t="str">
        <f>+VLOOKUP(Tabla3[[#This Row],[PATENTE]],'BASE DATOS'!F:I,4,0)</f>
        <v>NO</v>
      </c>
      <c r="H63" s="584" t="str">
        <f>+VLOOKUP(Tabla3[[#This Row],[PATENTE]],'BASE DATOS'!F:J,5,0)</f>
        <v>SI</v>
      </c>
      <c r="I63" s="582" t="str">
        <f>+VLOOKUP(Tabla3[[#This Row],[PATENTE]],'BASE DATOS'!F:K,6,0)</f>
        <v>NO</v>
      </c>
      <c r="J63" s="582">
        <f>+VLOOKUP(Tabla3[[#This Row],[PATENTE]],'BASE DATOS'!F:L,7,0)</f>
        <v>2009</v>
      </c>
      <c r="K63" s="593">
        <f>+VLOOKUP(Tabla3[[#This Row],[PATENTE]],'BASE DATOS'!F:M,8,0)</f>
        <v>16</v>
      </c>
      <c r="N63" s="964" t="s">
        <v>898</v>
      </c>
      <c r="O63" s="1014">
        <v>0.65</v>
      </c>
      <c r="P63" s="1014">
        <v>1</v>
      </c>
      <c r="Q63" s="1014">
        <v>1</v>
      </c>
      <c r="R63" s="965">
        <f t="shared" si="0"/>
        <v>0.8833333333333333</v>
      </c>
    </row>
    <row r="64" spans="1:18" hidden="1">
      <c r="A64" s="577" t="s">
        <v>892</v>
      </c>
      <c r="B64" s="582">
        <v>5</v>
      </c>
      <c r="C64" s="588">
        <v>45845</v>
      </c>
      <c r="D64" s="582">
        <f t="shared" si="1"/>
        <v>28</v>
      </c>
      <c r="E64" s="576" t="str">
        <f>+VLOOKUP(Tabla3[[#This Row],[PATENTE]],'BASE DATOS'!F:G,2,0)</f>
        <v xml:space="preserve">COLO - FTL525 </v>
      </c>
      <c r="F64" s="582" t="str">
        <f>+VLOOKUP(Tabla3[[#This Row],[PATENTE]],'BASE DATOS'!F:H,3,0)</f>
        <v>1P</v>
      </c>
      <c r="G64" s="582" t="str">
        <f>+VLOOKUP(Tabla3[[#This Row],[PATENTE]],'BASE DATOS'!F:I,4,0)</f>
        <v>NO</v>
      </c>
      <c r="H64" s="584" t="str">
        <f>+VLOOKUP(Tabla3[[#This Row],[PATENTE]],'BASE DATOS'!F:J,5,0)</f>
        <v>SI</v>
      </c>
      <c r="I64" s="582" t="str">
        <f>+VLOOKUP(Tabla3[[#This Row],[PATENTE]],'BASE DATOS'!F:K,6,0)</f>
        <v>NO</v>
      </c>
      <c r="J64" s="582">
        <f>+VLOOKUP(Tabla3[[#This Row],[PATENTE]],'BASE DATOS'!F:L,7,0)</f>
        <v>2008</v>
      </c>
      <c r="K64" s="593">
        <f>+VLOOKUP(Tabla3[[#This Row],[PATENTE]],'BASE DATOS'!F:M,8,0)</f>
        <v>17</v>
      </c>
      <c r="N64" s="964" t="s">
        <v>877</v>
      </c>
      <c r="O64" s="1014">
        <v>0.54</v>
      </c>
      <c r="P64" s="1014">
        <v>1</v>
      </c>
      <c r="Q64" s="1014">
        <v>1</v>
      </c>
      <c r="R64" s="965">
        <f t="shared" si="0"/>
        <v>0.84666666666666668</v>
      </c>
    </row>
    <row r="65" spans="1:18" hidden="1">
      <c r="A65" s="578" t="s">
        <v>881</v>
      </c>
      <c r="B65" s="584">
        <v>5</v>
      </c>
      <c r="C65" s="589">
        <v>45845</v>
      </c>
      <c r="D65" s="582">
        <f t="shared" si="1"/>
        <v>28</v>
      </c>
      <c r="E65" s="576" t="str">
        <f>+VLOOKUP(Tabla3[[#This Row],[PATENTE]],'BASE DATOS'!F:G,2,0)</f>
        <v xml:space="preserve">MAÑAS NORBERTO - DUQ686 </v>
      </c>
      <c r="F65" s="582" t="str">
        <f>+VLOOKUP(Tabla3[[#This Row],[PATENTE]],'BASE DATOS'!F:H,3,0)</f>
        <v>8P</v>
      </c>
      <c r="G65" s="582" t="str">
        <f>+VLOOKUP(Tabla3[[#This Row],[PATENTE]],'BASE DATOS'!F:I,4,0)</f>
        <v>SI</v>
      </c>
      <c r="H65" s="584" t="str">
        <f>+VLOOKUP(Tabla3[[#This Row],[PATENTE]],'BASE DATOS'!F:J,5,0)</f>
        <v>SI</v>
      </c>
      <c r="I65" s="582" t="str">
        <f>+VLOOKUP(Tabla3[[#This Row],[PATENTE]],'BASE DATOS'!F:K,6,0)</f>
        <v>NO</v>
      </c>
      <c r="J65" s="582">
        <f>+VLOOKUP(Tabla3[[#This Row],[PATENTE]],'BASE DATOS'!F:L,7,0)</f>
        <v>2001</v>
      </c>
      <c r="K65" s="593">
        <f>+VLOOKUP(Tabla3[[#This Row],[PATENTE]],'BASE DATOS'!F:M,8,0)</f>
        <v>24</v>
      </c>
      <c r="N65" s="964" t="s">
        <v>879</v>
      </c>
      <c r="O65" s="1014">
        <v>0.33</v>
      </c>
      <c r="P65" s="1014">
        <v>1</v>
      </c>
      <c r="Q65" s="1014">
        <v>1</v>
      </c>
      <c r="R65" s="965">
        <f t="shared" si="0"/>
        <v>0.77666666666666673</v>
      </c>
    </row>
    <row r="66" spans="1:18" hidden="1">
      <c r="A66" s="577" t="s">
        <v>904</v>
      </c>
      <c r="B66" s="582">
        <v>5</v>
      </c>
      <c r="C66" s="588">
        <v>45845</v>
      </c>
      <c r="D66" s="582">
        <f t="shared" si="1"/>
        <v>28</v>
      </c>
      <c r="E66" s="576" t="str">
        <f>+VLOOKUP(Tabla3[[#This Row],[PATENTE]],'BASE DATOS'!F:G,2,0)</f>
        <v xml:space="preserve">ENRIQUE ROLLINO - DFO656 </v>
      </c>
      <c r="F66" s="582" t="str">
        <f>+VLOOKUP(Tabla3[[#This Row],[PATENTE]],'BASE DATOS'!F:H,3,0)</f>
        <v>6P</v>
      </c>
      <c r="G66" s="582" t="str">
        <f>+VLOOKUP(Tabla3[[#This Row],[PATENTE]],'BASE DATOS'!F:I,4,0)</f>
        <v>SI</v>
      </c>
      <c r="H66" s="584" t="str">
        <f>+VLOOKUP(Tabla3[[#This Row],[PATENTE]],'BASE DATOS'!F:J,5,0)</f>
        <v>SI</v>
      </c>
      <c r="I66" s="582" t="str">
        <f>+VLOOKUP(Tabla3[[#This Row],[PATENTE]],'BASE DATOS'!F:K,6,0)</f>
        <v>NO</v>
      </c>
      <c r="J66" s="582">
        <f>+VLOOKUP(Tabla3[[#This Row],[PATENTE]],'BASE DATOS'!F:L,7,0)</f>
        <v>2000</v>
      </c>
      <c r="K66" s="593">
        <f>+VLOOKUP(Tabla3[[#This Row],[PATENTE]],'BASE DATOS'!F:M,8,0)</f>
        <v>25</v>
      </c>
      <c r="N66" s="964" t="s">
        <v>896</v>
      </c>
      <c r="O66" s="1014">
        <v>0.6</v>
      </c>
      <c r="P66" s="1014">
        <v>1</v>
      </c>
      <c r="Q66" s="1014">
        <v>1</v>
      </c>
      <c r="R66" s="965">
        <f t="shared" ref="R66:R129" si="2">IFERROR(AVERAGE(O66:Q66),"-")</f>
        <v>0.8666666666666667</v>
      </c>
    </row>
    <row r="67" spans="1:18" hidden="1">
      <c r="A67" s="578" t="s">
        <v>895</v>
      </c>
      <c r="B67" s="584">
        <v>5</v>
      </c>
      <c r="C67" s="589">
        <v>45845</v>
      </c>
      <c r="D67" s="582">
        <f t="shared" ref="D67:D130" si="3">+WEEKNUM(C67)</f>
        <v>28</v>
      </c>
      <c r="E67" s="576" t="str">
        <f>+VLOOKUP(Tabla3[[#This Row],[PATENTE]],'BASE DATOS'!F:G,2,0)</f>
        <v xml:space="preserve">TRANSPORTE MICAELA </v>
      </c>
      <c r="F67" s="582" t="str">
        <f>+VLOOKUP(Tabla3[[#This Row],[PATENTE]],'BASE DATOS'!F:H,3,0)</f>
        <v>2P</v>
      </c>
      <c r="G67" s="582" t="str">
        <f>+VLOOKUP(Tabla3[[#This Row],[PATENTE]],'BASE DATOS'!F:I,4,0)</f>
        <v>NO</v>
      </c>
      <c r="H67" s="584" t="str">
        <f>+VLOOKUP(Tabla3[[#This Row],[PATENTE]],'BASE DATOS'!F:J,5,0)</f>
        <v>SI</v>
      </c>
      <c r="I67" s="582" t="str">
        <f>+VLOOKUP(Tabla3[[#This Row],[PATENTE]],'BASE DATOS'!F:K,6,0)</f>
        <v>NO</v>
      </c>
      <c r="J67" s="582">
        <f>+VLOOKUP(Tabla3[[#This Row],[PATENTE]],'BASE DATOS'!F:L,7,0)</f>
        <v>2024</v>
      </c>
      <c r="K67" s="593">
        <f>+VLOOKUP(Tabla3[[#This Row],[PATENTE]],'BASE DATOS'!F:M,8,0)</f>
        <v>1</v>
      </c>
      <c r="N67" s="964" t="s">
        <v>879</v>
      </c>
      <c r="O67" s="1014">
        <v>0.6</v>
      </c>
      <c r="P67" s="1014">
        <v>1</v>
      </c>
      <c r="Q67" s="1014">
        <v>1</v>
      </c>
      <c r="R67" s="965">
        <f t="shared" si="2"/>
        <v>0.8666666666666667</v>
      </c>
    </row>
    <row r="68" spans="1:18" hidden="1">
      <c r="A68" s="577" t="s">
        <v>880</v>
      </c>
      <c r="B68" s="582">
        <v>5</v>
      </c>
      <c r="C68" s="588">
        <v>45845</v>
      </c>
      <c r="D68" s="582">
        <f t="shared" si="3"/>
        <v>28</v>
      </c>
      <c r="E68" s="576" t="str">
        <f>+VLOOKUP(Tabla3[[#This Row],[PATENTE]],'BASE DATOS'!F:G,2,0)</f>
        <v xml:space="preserve">LAURIA (SERVAL) - AD575XK </v>
      </c>
      <c r="F68" s="582" t="str">
        <f>+VLOOKUP(Tabla3[[#This Row],[PATENTE]],'BASE DATOS'!F:H,3,0)</f>
        <v>8P</v>
      </c>
      <c r="G68" s="582" t="str">
        <f>+VLOOKUP(Tabla3[[#This Row],[PATENTE]],'BASE DATOS'!F:I,4,0)</f>
        <v>SI</v>
      </c>
      <c r="H68" s="584" t="str">
        <f>+VLOOKUP(Tabla3[[#This Row],[PATENTE]],'BASE DATOS'!F:J,5,0)</f>
        <v>SI</v>
      </c>
      <c r="I68" s="582" t="str">
        <f>+VLOOKUP(Tabla3[[#This Row],[PATENTE]],'BASE DATOS'!F:K,6,0)</f>
        <v>NO</v>
      </c>
      <c r="J68" s="582">
        <f>+VLOOKUP(Tabla3[[#This Row],[PATENTE]],'BASE DATOS'!F:L,7,0)</f>
        <v>2019</v>
      </c>
      <c r="K68" s="593">
        <f>+VLOOKUP(Tabla3[[#This Row],[PATENTE]],'BASE DATOS'!F:M,8,0)</f>
        <v>6</v>
      </c>
      <c r="N68" s="964" t="s">
        <v>896</v>
      </c>
      <c r="O68" s="1014">
        <v>0.5</v>
      </c>
      <c r="P68" s="1014">
        <v>1</v>
      </c>
      <c r="Q68" s="1014">
        <v>1</v>
      </c>
      <c r="R68" s="965">
        <f t="shared" si="2"/>
        <v>0.83333333333333337</v>
      </c>
    </row>
    <row r="69" spans="1:18" hidden="1">
      <c r="A69" s="578" t="s">
        <v>888</v>
      </c>
      <c r="B69" s="584">
        <v>5</v>
      </c>
      <c r="C69" s="589">
        <v>45845</v>
      </c>
      <c r="D69" s="582">
        <f t="shared" si="3"/>
        <v>28</v>
      </c>
      <c r="E69" s="576" t="str">
        <f>+VLOOKUP(Tabla3[[#This Row],[PATENTE]],'BASE DATOS'!F:G,2,0)</f>
        <v xml:space="preserve">TRANSP FIRST CLASS - AD535UI </v>
      </c>
      <c r="F69" s="582" t="str">
        <f>+VLOOKUP(Tabla3[[#This Row],[PATENTE]],'BASE DATOS'!F:H,3,0)</f>
        <v>6P</v>
      </c>
      <c r="G69" s="582" t="str">
        <f>+VLOOKUP(Tabla3[[#This Row],[PATENTE]],'BASE DATOS'!F:I,4,0)</f>
        <v>SI</v>
      </c>
      <c r="H69" s="584" t="str">
        <f>+VLOOKUP(Tabla3[[#This Row],[PATENTE]],'BASE DATOS'!F:J,5,0)</f>
        <v>SI</v>
      </c>
      <c r="I69" s="582" t="str">
        <f>+VLOOKUP(Tabla3[[#This Row],[PATENTE]],'BASE DATOS'!F:K,6,0)</f>
        <v>NO</v>
      </c>
      <c r="J69" s="582">
        <f>+VLOOKUP(Tabla3[[#This Row],[PATENTE]],'BASE DATOS'!F:L,7,0)</f>
        <v>2019</v>
      </c>
      <c r="K69" s="593">
        <f>+VLOOKUP(Tabla3[[#This Row],[PATENTE]],'BASE DATOS'!F:M,8,0)</f>
        <v>6</v>
      </c>
      <c r="N69" s="964" t="s">
        <v>947</v>
      </c>
      <c r="O69" s="1014">
        <v>1</v>
      </c>
      <c r="P69" s="1014">
        <v>1</v>
      </c>
      <c r="Q69" s="1014">
        <v>1</v>
      </c>
      <c r="R69" s="965">
        <f t="shared" si="2"/>
        <v>1</v>
      </c>
    </row>
    <row r="70" spans="1:18" hidden="1">
      <c r="A70" s="577" t="s">
        <v>912</v>
      </c>
      <c r="B70" s="582">
        <v>5</v>
      </c>
      <c r="C70" s="588">
        <v>45845</v>
      </c>
      <c r="D70" s="582">
        <f t="shared" si="3"/>
        <v>28</v>
      </c>
      <c r="E70" s="576" t="str">
        <f>+VLOOKUP(Tabla3[[#This Row],[PATENTE]],'BASE DATOS'!F:G,2,0)</f>
        <v xml:space="preserve">PACHECO JULIO - AC028WN </v>
      </c>
      <c r="F70" s="582" t="str">
        <f>+VLOOKUP(Tabla3[[#This Row],[PATENTE]],'BASE DATOS'!F:H,3,0)</f>
        <v>8P</v>
      </c>
      <c r="G70" s="582" t="str">
        <f>+VLOOKUP(Tabla3[[#This Row],[PATENTE]],'BASE DATOS'!F:I,4,0)</f>
        <v>SI</v>
      </c>
      <c r="H70" s="584" t="str">
        <f>+VLOOKUP(Tabla3[[#This Row],[PATENTE]],'BASE DATOS'!F:J,5,0)</f>
        <v>SI</v>
      </c>
      <c r="I70" s="582" t="str">
        <f>+VLOOKUP(Tabla3[[#This Row],[PATENTE]],'BASE DATOS'!F:K,6,0)</f>
        <v>SI</v>
      </c>
      <c r="J70" s="582">
        <f>+VLOOKUP(Tabla3[[#This Row],[PATENTE]],'BASE DATOS'!F:L,7,0)</f>
        <v>2017</v>
      </c>
      <c r="K70" s="593">
        <f>+VLOOKUP(Tabla3[[#This Row],[PATENTE]],'BASE DATOS'!F:M,8,0)</f>
        <v>8</v>
      </c>
      <c r="N70" s="964"/>
      <c r="O70" s="1014"/>
      <c r="P70" s="1014"/>
      <c r="Q70" s="1014"/>
      <c r="R70" s="965" t="str">
        <f t="shared" si="2"/>
        <v>-</v>
      </c>
    </row>
    <row r="71" spans="1:18" hidden="1">
      <c r="A71" s="578" t="s">
        <v>884</v>
      </c>
      <c r="B71" s="584">
        <v>5</v>
      </c>
      <c r="C71" s="589">
        <v>45845</v>
      </c>
      <c r="D71" s="582">
        <f t="shared" si="3"/>
        <v>28</v>
      </c>
      <c r="E71" s="576" t="str">
        <f>+VLOOKUP(Tabla3[[#This Row],[PATENTE]],'BASE DATOS'!F:G,2,0)</f>
        <v xml:space="preserve">LAURIA (SERVAL) - AB233IT </v>
      </c>
      <c r="F71" s="582" t="str">
        <f>+VLOOKUP(Tabla3[[#This Row],[PATENTE]],'BASE DATOS'!F:H,3,0)</f>
        <v>6P</v>
      </c>
      <c r="G71" s="582" t="str">
        <f>+VLOOKUP(Tabla3[[#This Row],[PATENTE]],'BASE DATOS'!F:I,4,0)</f>
        <v>SI</v>
      </c>
      <c r="H71" s="584" t="str">
        <f>+VLOOKUP(Tabla3[[#This Row],[PATENTE]],'BASE DATOS'!F:J,5,0)</f>
        <v>SI</v>
      </c>
      <c r="I71" s="582" t="str">
        <f>+VLOOKUP(Tabla3[[#This Row],[PATENTE]],'BASE DATOS'!F:K,6,0)</f>
        <v>NO</v>
      </c>
      <c r="J71" s="582">
        <f>+VLOOKUP(Tabla3[[#This Row],[PATENTE]],'BASE DATOS'!F:L,7,0)</f>
        <v>2017</v>
      </c>
      <c r="K71" s="593">
        <f>+VLOOKUP(Tabla3[[#This Row],[PATENTE]],'BASE DATOS'!F:M,8,0)</f>
        <v>8</v>
      </c>
      <c r="N71" s="964"/>
      <c r="O71" s="1014"/>
      <c r="P71" s="1014"/>
      <c r="Q71" s="1014"/>
      <c r="R71" s="965" t="str">
        <f t="shared" si="2"/>
        <v>-</v>
      </c>
    </row>
    <row r="72" spans="1:18" hidden="1">
      <c r="A72" s="577" t="s">
        <v>899</v>
      </c>
      <c r="B72" s="582">
        <v>5</v>
      </c>
      <c r="C72" s="588">
        <v>45845</v>
      </c>
      <c r="D72" s="582">
        <f t="shared" si="3"/>
        <v>28</v>
      </c>
      <c r="E72" s="576" t="str">
        <f>+VLOOKUP(Tabla3[[#This Row],[PATENTE]],'BASE DATOS'!F:G,2,0)</f>
        <v xml:space="preserve">VAZQUEZ (TRV SRL) - AB176KN </v>
      </c>
      <c r="F72" s="582" t="str">
        <f>+VLOOKUP(Tabla3[[#This Row],[PATENTE]],'BASE DATOS'!F:H,3,0)</f>
        <v>8P</v>
      </c>
      <c r="G72" s="582" t="str">
        <f>+VLOOKUP(Tabla3[[#This Row],[PATENTE]],'BASE DATOS'!F:I,4,0)</f>
        <v>SI</v>
      </c>
      <c r="H72" s="584" t="str">
        <f>+VLOOKUP(Tabla3[[#This Row],[PATENTE]],'BASE DATOS'!F:J,5,0)</f>
        <v>SI</v>
      </c>
      <c r="I72" s="582" t="str">
        <f>+VLOOKUP(Tabla3[[#This Row],[PATENTE]],'BASE DATOS'!F:K,6,0)</f>
        <v>SI</v>
      </c>
      <c r="J72" s="582">
        <f>+VLOOKUP(Tabla3[[#This Row],[PATENTE]],'BASE DATOS'!F:L,7,0)</f>
        <v>2017</v>
      </c>
      <c r="K72" s="593">
        <f>+VLOOKUP(Tabla3[[#This Row],[PATENTE]],'BASE DATOS'!F:M,8,0)</f>
        <v>8</v>
      </c>
      <c r="N72" s="964"/>
      <c r="O72" s="1014"/>
      <c r="P72" s="1014"/>
      <c r="Q72" s="1014"/>
      <c r="R72" s="965" t="str">
        <f t="shared" si="2"/>
        <v>-</v>
      </c>
    </row>
    <row r="73" spans="1:18" hidden="1">
      <c r="A73" s="578" t="s">
        <v>936</v>
      </c>
      <c r="B73" s="584">
        <v>5</v>
      </c>
      <c r="C73" s="589">
        <v>45845</v>
      </c>
      <c r="D73" s="582">
        <f t="shared" si="3"/>
        <v>28</v>
      </c>
      <c r="E73" s="576" t="str">
        <f>+VLOOKUP(Tabla3[[#This Row],[PATENTE]],'BASE DATOS'!F:G,2,0)</f>
        <v>TRANSP YANINA  LUONGO - AA050HC</v>
      </c>
      <c r="F73" s="582" t="str">
        <f>+VLOOKUP(Tabla3[[#This Row],[PATENTE]],'BASE DATOS'!F:H,3,0)</f>
        <v>1.5P</v>
      </c>
      <c r="G73" s="582" t="str">
        <f>+VLOOKUP(Tabla3[[#This Row],[PATENTE]],'BASE DATOS'!F:I,4,0)</f>
        <v>NO</v>
      </c>
      <c r="H73" s="584" t="str">
        <f>+VLOOKUP(Tabla3[[#This Row],[PATENTE]],'BASE DATOS'!F:J,5,0)</f>
        <v>SI</v>
      </c>
      <c r="I73" s="582" t="str">
        <f>+VLOOKUP(Tabla3[[#This Row],[PATENTE]],'BASE DATOS'!F:K,6,0)</f>
        <v>NO</v>
      </c>
      <c r="J73" s="582">
        <f>+VLOOKUP(Tabla3[[#This Row],[PATENTE]],'BASE DATOS'!F:L,7,0)</f>
        <v>2016</v>
      </c>
      <c r="K73" s="593">
        <f>+VLOOKUP(Tabla3[[#This Row],[PATENTE]],'BASE DATOS'!F:M,8,0)</f>
        <v>9</v>
      </c>
      <c r="N73" s="964"/>
      <c r="O73" s="1014"/>
      <c r="P73" s="1014"/>
      <c r="Q73" s="1014"/>
      <c r="R73" s="965" t="str">
        <f t="shared" si="2"/>
        <v>-</v>
      </c>
    </row>
    <row r="74" spans="1:18" hidden="1">
      <c r="A74" s="577" t="s">
        <v>879</v>
      </c>
      <c r="B74" s="582">
        <v>4</v>
      </c>
      <c r="C74" s="588">
        <v>45845</v>
      </c>
      <c r="D74" s="582">
        <f t="shared" si="3"/>
        <v>28</v>
      </c>
      <c r="E74" s="576" t="str">
        <f>+VLOOKUP(Tabla3[[#This Row],[PATENTE]],'BASE DATOS'!F:G,2,0)</f>
        <v xml:space="preserve">TRANSP JP - OYP470 </v>
      </c>
      <c r="F74" s="582" t="str">
        <f>+VLOOKUP(Tabla3[[#This Row],[PATENTE]],'BASE DATOS'!F:H,3,0)</f>
        <v>8P</v>
      </c>
      <c r="G74" s="582" t="str">
        <f>+VLOOKUP(Tabla3[[#This Row],[PATENTE]],'BASE DATOS'!F:I,4,0)</f>
        <v>SI</v>
      </c>
      <c r="H74" s="584" t="str">
        <f>+VLOOKUP(Tabla3[[#This Row],[PATENTE]],'BASE DATOS'!F:J,5,0)</f>
        <v>SI</v>
      </c>
      <c r="I74" s="582" t="str">
        <f>+VLOOKUP(Tabla3[[#This Row],[PATENTE]],'BASE DATOS'!F:K,6,0)</f>
        <v>NO</v>
      </c>
      <c r="J74" s="582">
        <f>+VLOOKUP(Tabla3[[#This Row],[PATENTE]],'BASE DATOS'!F:L,7,0)</f>
        <v>2011</v>
      </c>
      <c r="K74" s="593">
        <f>+VLOOKUP(Tabla3[[#This Row],[PATENTE]],'BASE DATOS'!F:M,8,0)</f>
        <v>14</v>
      </c>
      <c r="N74" s="964"/>
      <c r="O74" s="1014"/>
      <c r="P74" s="1014"/>
      <c r="Q74" s="1014"/>
      <c r="R74" s="965" t="str">
        <f t="shared" si="2"/>
        <v>-</v>
      </c>
    </row>
    <row r="75" spans="1:18" hidden="1">
      <c r="A75" s="578" t="s">
        <v>886</v>
      </c>
      <c r="B75" s="584">
        <v>4</v>
      </c>
      <c r="C75" s="589">
        <v>45845</v>
      </c>
      <c r="D75" s="582">
        <f t="shared" si="3"/>
        <v>28</v>
      </c>
      <c r="E75" s="576" t="str">
        <f>+VLOOKUP(Tabla3[[#This Row],[PATENTE]],'BASE DATOS'!F:G,2,0)</f>
        <v xml:space="preserve">TRANSP LAGOS - NOO925 </v>
      </c>
      <c r="F75" s="582" t="str">
        <f>+VLOOKUP(Tabla3[[#This Row],[PATENTE]],'BASE DATOS'!F:H,3,0)</f>
        <v>8P</v>
      </c>
      <c r="G75" s="582" t="str">
        <f>+VLOOKUP(Tabla3[[#This Row],[PATENTE]],'BASE DATOS'!F:I,4,0)</f>
        <v>SI</v>
      </c>
      <c r="H75" s="584" t="str">
        <f>+VLOOKUP(Tabla3[[#This Row],[PATENTE]],'BASE DATOS'!F:J,5,0)</f>
        <v>SI</v>
      </c>
      <c r="I75" s="582" t="str">
        <f>+VLOOKUP(Tabla3[[#This Row],[PATENTE]],'BASE DATOS'!F:K,6,0)</f>
        <v>NO</v>
      </c>
      <c r="J75" s="582">
        <f>+VLOOKUP(Tabla3[[#This Row],[PATENTE]],'BASE DATOS'!F:L,7,0)</f>
        <v>2014</v>
      </c>
      <c r="K75" s="593">
        <f>+VLOOKUP(Tabla3[[#This Row],[PATENTE]],'BASE DATOS'!F:M,8,0)</f>
        <v>11</v>
      </c>
      <c r="N75" s="964"/>
      <c r="O75" s="1014"/>
      <c r="P75" s="1014"/>
      <c r="Q75" s="1014"/>
      <c r="R75" s="965" t="str">
        <f t="shared" si="2"/>
        <v>-</v>
      </c>
    </row>
    <row r="76" spans="1:18" hidden="1">
      <c r="A76" s="577" t="s">
        <v>920</v>
      </c>
      <c r="B76" s="582">
        <v>4</v>
      </c>
      <c r="C76" s="588">
        <v>45845</v>
      </c>
      <c r="D76" s="582">
        <f t="shared" si="3"/>
        <v>28</v>
      </c>
      <c r="E76" s="576" t="str">
        <f>+VLOOKUP(Tabla3[[#This Row],[PATENTE]],'BASE DATOS'!F:G,2,0)</f>
        <v xml:space="preserve">TRANSP LAGOS - MRV682 </v>
      </c>
      <c r="F76" s="582" t="str">
        <f>+VLOOKUP(Tabla3[[#This Row],[PATENTE]],'BASE DATOS'!F:H,3,0)</f>
        <v>8P</v>
      </c>
      <c r="G76" s="582" t="str">
        <f>+VLOOKUP(Tabla3[[#This Row],[PATENTE]],'BASE DATOS'!F:I,4,0)</f>
        <v>SI</v>
      </c>
      <c r="H76" s="584" t="str">
        <f>+VLOOKUP(Tabla3[[#This Row],[PATENTE]],'BASE DATOS'!F:J,5,0)</f>
        <v>SI</v>
      </c>
      <c r="I76" s="582" t="str">
        <f>+VLOOKUP(Tabla3[[#This Row],[PATENTE]],'BASE DATOS'!F:K,6,0)</f>
        <v>NO</v>
      </c>
      <c r="J76" s="582">
        <f>+VLOOKUP(Tabla3[[#This Row],[PATENTE]],'BASE DATOS'!F:L,7,0)</f>
        <v>2013</v>
      </c>
      <c r="K76" s="593">
        <f>+VLOOKUP(Tabla3[[#This Row],[PATENTE]],'BASE DATOS'!F:M,8,0)</f>
        <v>12</v>
      </c>
      <c r="N76" s="964"/>
      <c r="O76" s="1014"/>
      <c r="P76" s="1014"/>
      <c r="Q76" s="1014"/>
      <c r="R76" s="965" t="str">
        <f t="shared" si="2"/>
        <v>-</v>
      </c>
    </row>
    <row r="77" spans="1:18" hidden="1">
      <c r="A77" s="578" t="s">
        <v>913</v>
      </c>
      <c r="B77" s="584">
        <v>4</v>
      </c>
      <c r="C77" s="589">
        <v>45845</v>
      </c>
      <c r="D77" s="582">
        <f t="shared" si="3"/>
        <v>28</v>
      </c>
      <c r="E77" s="576" t="str">
        <f>+VLOOKUP(Tabla3[[#This Row],[PATENTE]],'BASE DATOS'!F:G,2,0)</f>
        <v xml:space="preserve">TRANSP DON NENO - KSI803 </v>
      </c>
      <c r="F77" s="582" t="str">
        <f>+VLOOKUP(Tabla3[[#This Row],[PATENTE]],'BASE DATOS'!F:H,3,0)</f>
        <v>2P</v>
      </c>
      <c r="G77" s="582" t="str">
        <f>+VLOOKUP(Tabla3[[#This Row],[PATENTE]],'BASE DATOS'!F:I,4,0)</f>
        <v>SI</v>
      </c>
      <c r="H77" s="584" t="str">
        <f>+VLOOKUP(Tabla3[[#This Row],[PATENTE]],'BASE DATOS'!F:J,5,0)</f>
        <v>SI</v>
      </c>
      <c r="I77" s="582" t="str">
        <f>+VLOOKUP(Tabla3[[#This Row],[PATENTE]],'BASE DATOS'!F:K,6,0)</f>
        <v>NO</v>
      </c>
      <c r="J77" s="582">
        <f>+VLOOKUP(Tabla3[[#This Row],[PATENTE]],'BASE DATOS'!F:L,7,0)</f>
        <v>2012</v>
      </c>
      <c r="K77" s="593">
        <f>+VLOOKUP(Tabla3[[#This Row],[PATENTE]],'BASE DATOS'!F:M,8,0)</f>
        <v>13</v>
      </c>
      <c r="N77" s="964"/>
      <c r="O77" s="1014"/>
      <c r="P77" s="1014"/>
      <c r="Q77" s="1014"/>
      <c r="R77" s="965" t="str">
        <f t="shared" si="2"/>
        <v>-</v>
      </c>
    </row>
    <row r="78" spans="1:18" hidden="1">
      <c r="A78" s="577" t="s">
        <v>901</v>
      </c>
      <c r="B78" s="582">
        <v>4</v>
      </c>
      <c r="C78" s="588">
        <v>45845</v>
      </c>
      <c r="D78" s="582">
        <f t="shared" si="3"/>
        <v>28</v>
      </c>
      <c r="E78" s="576" t="str">
        <f>+VLOOKUP(Tabla3[[#This Row],[PATENTE]],'BASE DATOS'!F:G,2,0)</f>
        <v xml:space="preserve">TRANSPORTE  GRACIELA - IYE750 </v>
      </c>
      <c r="F78" s="582" t="str">
        <f>+VLOOKUP(Tabla3[[#This Row],[PATENTE]],'BASE DATOS'!F:H,3,0)</f>
        <v>1P</v>
      </c>
      <c r="G78" s="582" t="str">
        <f>+VLOOKUP(Tabla3[[#This Row],[PATENTE]],'BASE DATOS'!F:I,4,0)</f>
        <v>NO</v>
      </c>
      <c r="H78" s="584" t="str">
        <f>+VLOOKUP(Tabla3[[#This Row],[PATENTE]],'BASE DATOS'!F:J,5,0)</f>
        <v>SI</v>
      </c>
      <c r="I78" s="582" t="str">
        <f>+VLOOKUP(Tabla3[[#This Row],[PATENTE]],'BASE DATOS'!F:K,6,0)</f>
        <v>NO</v>
      </c>
      <c r="J78" s="582">
        <f>+VLOOKUP(Tabla3[[#This Row],[PATENTE]],'BASE DATOS'!F:L,7,0)</f>
        <v>2009</v>
      </c>
      <c r="K78" s="593">
        <f>+VLOOKUP(Tabla3[[#This Row],[PATENTE]],'BASE DATOS'!F:M,8,0)</f>
        <v>16</v>
      </c>
      <c r="N78" s="964"/>
      <c r="O78" s="1014"/>
      <c r="P78" s="1014"/>
      <c r="Q78" s="1014"/>
      <c r="R78" s="965" t="str">
        <f t="shared" si="2"/>
        <v>-</v>
      </c>
    </row>
    <row r="79" spans="1:18" hidden="1">
      <c r="A79" s="578" t="s">
        <v>900</v>
      </c>
      <c r="B79" s="584">
        <v>4</v>
      </c>
      <c r="C79" s="589">
        <v>45845</v>
      </c>
      <c r="D79" s="582">
        <f t="shared" si="3"/>
        <v>28</v>
      </c>
      <c r="E79" s="576" t="str">
        <f>+VLOOKUP(Tabla3[[#This Row],[PATENTE]],'BASE DATOS'!F:G,2,0)</f>
        <v>TRANSPORTE GENA GAIA - IMO939</v>
      </c>
      <c r="F79" s="582" t="str">
        <f>+VLOOKUP(Tabla3[[#This Row],[PATENTE]],'BASE DATOS'!F:H,3,0)</f>
        <v>24P</v>
      </c>
      <c r="G79" s="582" t="str">
        <f>+VLOOKUP(Tabla3[[#This Row],[PATENTE]],'BASE DATOS'!F:I,4,0)</f>
        <v>Gestya</v>
      </c>
      <c r="H79" s="584" t="str">
        <f>+VLOOKUP(Tabla3[[#This Row],[PATENTE]],'BASE DATOS'!F:J,5,0)</f>
        <v xml:space="preserve">NO </v>
      </c>
      <c r="I79" s="582" t="str">
        <f>+VLOOKUP(Tabla3[[#This Row],[PATENTE]],'BASE DATOS'!F:K,6,0)</f>
        <v>NO</v>
      </c>
      <c r="J79" s="582">
        <f>+VLOOKUP(Tabla3[[#This Row],[PATENTE]],'BASE DATOS'!F:L,7,0)</f>
        <v>2010</v>
      </c>
      <c r="K79" s="593">
        <f>+VLOOKUP(Tabla3[[#This Row],[PATENTE]],'BASE DATOS'!F:M,8,0)</f>
        <v>15</v>
      </c>
      <c r="N79" s="964"/>
      <c r="O79" s="1014"/>
      <c r="P79" s="1014"/>
      <c r="Q79" s="1014"/>
      <c r="R79" s="965" t="str">
        <f t="shared" si="2"/>
        <v>-</v>
      </c>
    </row>
    <row r="80" spans="1:18" hidden="1">
      <c r="A80" s="577" t="s">
        <v>915</v>
      </c>
      <c r="B80" s="582">
        <v>4</v>
      </c>
      <c r="C80" s="588">
        <v>45845</v>
      </c>
      <c r="D80" s="582">
        <f t="shared" si="3"/>
        <v>28</v>
      </c>
      <c r="E80" s="576" t="str">
        <f>+VLOOKUP(Tabla3[[#This Row],[PATENTE]],'BASE DATOS'!F:G,2,0)</f>
        <v>TRANSPORTE GRACIELA - FPL254</v>
      </c>
      <c r="F80" s="582" t="str">
        <f>+VLOOKUP(Tabla3[[#This Row],[PATENTE]],'BASE DATOS'!F:H,3,0)</f>
        <v>2P</v>
      </c>
      <c r="G80" s="582" t="str">
        <f>+VLOOKUP(Tabla3[[#This Row],[PATENTE]],'BASE DATOS'!F:I,4,0)</f>
        <v>SI</v>
      </c>
      <c r="H80" s="584" t="str">
        <f>+VLOOKUP(Tabla3[[#This Row],[PATENTE]],'BASE DATOS'!F:J,5,0)</f>
        <v>NO (CAMI)</v>
      </c>
      <c r="I80" s="582" t="str">
        <f>+VLOOKUP(Tabla3[[#This Row],[PATENTE]],'BASE DATOS'!F:K,6,0)</f>
        <v>NO</v>
      </c>
      <c r="J80" s="582">
        <f>+VLOOKUP(Tabla3[[#This Row],[PATENTE]],'BASE DATOS'!F:L,7,0)</f>
        <v>2012</v>
      </c>
      <c r="K80" s="593">
        <f>+VLOOKUP(Tabla3[[#This Row],[PATENTE]],'BASE DATOS'!F:M,8,0)</f>
        <v>13</v>
      </c>
      <c r="N80" s="964"/>
      <c r="O80" s="1014"/>
      <c r="P80" s="1014"/>
      <c r="Q80" s="1014"/>
      <c r="R80" s="965" t="str">
        <f t="shared" si="2"/>
        <v>-</v>
      </c>
    </row>
    <row r="81" spans="1:18" hidden="1">
      <c r="A81" s="578" t="s">
        <v>916</v>
      </c>
      <c r="B81" s="584">
        <v>4</v>
      </c>
      <c r="C81" s="589">
        <v>45845</v>
      </c>
      <c r="D81" s="582">
        <f t="shared" si="3"/>
        <v>28</v>
      </c>
      <c r="E81" s="576" t="str">
        <f>+VLOOKUP(Tabla3[[#This Row],[PATENTE]],'BASE DATOS'!F:G,2,0)</f>
        <v xml:space="preserve">TRANSP MAIDANA CARLOS - EYP088 </v>
      </c>
      <c r="F81" s="582" t="str">
        <f>+VLOOKUP(Tabla3[[#This Row],[PATENTE]],'BASE DATOS'!F:H,3,0)</f>
        <v>6P</v>
      </c>
      <c r="G81" s="582" t="str">
        <f>+VLOOKUP(Tabla3[[#This Row],[PATENTE]],'BASE DATOS'!F:I,4,0)</f>
        <v>SI</v>
      </c>
      <c r="H81" s="584" t="str">
        <f>+VLOOKUP(Tabla3[[#This Row],[PATENTE]],'BASE DATOS'!F:J,5,0)</f>
        <v>SI</v>
      </c>
      <c r="I81" s="582" t="str">
        <f>+VLOOKUP(Tabla3[[#This Row],[PATENTE]],'BASE DATOS'!F:K,6,0)</f>
        <v>NO</v>
      </c>
      <c r="J81" s="582">
        <f>+VLOOKUP(Tabla3[[#This Row],[PATENTE]],'BASE DATOS'!F:L,7,0)</f>
        <v>2006</v>
      </c>
      <c r="K81" s="593">
        <f>+VLOOKUP(Tabla3[[#This Row],[PATENTE]],'BASE DATOS'!F:M,8,0)</f>
        <v>19</v>
      </c>
      <c r="N81" s="966"/>
      <c r="O81" s="1014"/>
      <c r="P81" s="1014"/>
      <c r="Q81" s="1014"/>
      <c r="R81" s="965" t="str">
        <f t="shared" si="2"/>
        <v>-</v>
      </c>
    </row>
    <row r="82" spans="1:18" hidden="1">
      <c r="A82" s="577" t="s">
        <v>944</v>
      </c>
      <c r="B82" s="582">
        <v>4</v>
      </c>
      <c r="C82" s="588">
        <v>45845</v>
      </c>
      <c r="D82" s="582">
        <f t="shared" si="3"/>
        <v>28</v>
      </c>
      <c r="E82" s="576" t="str">
        <f>+VLOOKUP(Tabla3[[#This Row],[PATENTE]],'BASE DATOS'!F:G,2,0)</f>
        <v xml:space="preserve">TRANSPORTE GENA GAIA - BHG261 </v>
      </c>
      <c r="F82" s="582" t="str">
        <f>+VLOOKUP(Tabla3[[#This Row],[PATENTE]],'BASE DATOS'!F:H,3,0)</f>
        <v>26P</v>
      </c>
      <c r="G82" s="582" t="str">
        <f>+VLOOKUP(Tabla3[[#This Row],[PATENTE]],'BASE DATOS'!F:I,4,0)</f>
        <v>Gestya</v>
      </c>
      <c r="H82" s="584" t="str">
        <f>+VLOOKUP(Tabla3[[#This Row],[PATENTE]],'BASE DATOS'!F:J,5,0)</f>
        <v xml:space="preserve">NO </v>
      </c>
      <c r="I82" s="582" t="str">
        <f>+VLOOKUP(Tabla3[[#This Row],[PATENTE]],'BASE DATOS'!F:K,6,0)</f>
        <v>NO</v>
      </c>
      <c r="J82" s="582">
        <f>+VLOOKUP(Tabla3[[#This Row],[PATENTE]],'BASE DATOS'!F:L,7,0)</f>
        <v>1997</v>
      </c>
      <c r="K82" s="593">
        <f>+VLOOKUP(Tabla3[[#This Row],[PATENTE]],'BASE DATOS'!F:M,8,0)</f>
        <v>28</v>
      </c>
      <c r="N82" s="964"/>
      <c r="O82" s="1014"/>
      <c r="P82" s="1014"/>
      <c r="Q82" s="1014"/>
      <c r="R82" s="965" t="str">
        <f t="shared" si="2"/>
        <v>-</v>
      </c>
    </row>
    <row r="83" spans="1:18" hidden="1">
      <c r="A83" s="578" t="s">
        <v>903</v>
      </c>
      <c r="B83" s="584">
        <v>4</v>
      </c>
      <c r="C83" s="589">
        <v>45845</v>
      </c>
      <c r="D83" s="582">
        <f t="shared" si="3"/>
        <v>28</v>
      </c>
      <c r="E83" s="576" t="str">
        <f>+VLOOKUP(Tabla3[[#This Row],[PATENTE]],'BASE DATOS'!F:G,2,0)</f>
        <v xml:space="preserve">TRANSP CLAUDIO BUSTOS - AG243PE </v>
      </c>
      <c r="F83" s="582" t="str">
        <f>+VLOOKUP(Tabla3[[#This Row],[PATENTE]],'BASE DATOS'!F:H,3,0)</f>
        <v>1P</v>
      </c>
      <c r="G83" s="582" t="str">
        <f>+VLOOKUP(Tabla3[[#This Row],[PATENTE]],'BASE DATOS'!F:I,4,0)</f>
        <v>SI</v>
      </c>
      <c r="H83" s="584" t="str">
        <f>+VLOOKUP(Tabla3[[#This Row],[PATENTE]],'BASE DATOS'!F:J,5,0)</f>
        <v>SI</v>
      </c>
      <c r="I83" s="582" t="str">
        <f>+VLOOKUP(Tabla3[[#This Row],[PATENTE]],'BASE DATOS'!F:K,6,0)</f>
        <v>NO</v>
      </c>
      <c r="J83" s="582">
        <f>+VLOOKUP(Tabla3[[#This Row],[PATENTE]],'BASE DATOS'!F:L,7,0)</f>
        <v>2024</v>
      </c>
      <c r="K83" s="593">
        <f>+VLOOKUP(Tabla3[[#This Row],[PATENTE]],'BASE DATOS'!F:M,8,0)</f>
        <v>1</v>
      </c>
      <c r="N83" s="964"/>
      <c r="O83" s="1014"/>
      <c r="P83" s="1014"/>
      <c r="Q83" s="1014"/>
      <c r="R83" s="965" t="str">
        <f t="shared" si="2"/>
        <v>-</v>
      </c>
    </row>
    <row r="84" spans="1:18" hidden="1">
      <c r="A84" s="577" t="s">
        <v>906</v>
      </c>
      <c r="B84" s="582">
        <v>4</v>
      </c>
      <c r="C84" s="588">
        <v>45845</v>
      </c>
      <c r="D84" s="582">
        <f t="shared" si="3"/>
        <v>28</v>
      </c>
      <c r="E84" s="576" t="str">
        <f>+VLOOKUP(Tabla3[[#This Row],[PATENTE]],'BASE DATOS'!F:G,2,0)</f>
        <v xml:space="preserve">VAZQUEZ (TRV SRL) - AD472GK </v>
      </c>
      <c r="F84" s="582" t="str">
        <f>+VLOOKUP(Tabla3[[#This Row],[PATENTE]],'BASE DATOS'!F:H,3,0)</f>
        <v>8P</v>
      </c>
      <c r="G84" s="582" t="str">
        <f>+VLOOKUP(Tabla3[[#This Row],[PATENTE]],'BASE DATOS'!F:I,4,0)</f>
        <v>NO</v>
      </c>
      <c r="H84" s="584" t="str">
        <f>+VLOOKUP(Tabla3[[#This Row],[PATENTE]],'BASE DATOS'!F:J,5,0)</f>
        <v>NO</v>
      </c>
      <c r="I84" s="582" t="str">
        <f>+VLOOKUP(Tabla3[[#This Row],[PATENTE]],'BASE DATOS'!F:K,6,0)</f>
        <v>SI</v>
      </c>
      <c r="J84" s="582">
        <f>+VLOOKUP(Tabla3[[#This Row],[PATENTE]],'BASE DATOS'!F:L,7,0)</f>
        <v>2019</v>
      </c>
      <c r="K84" s="593">
        <f>+VLOOKUP(Tabla3[[#This Row],[PATENTE]],'BASE DATOS'!F:M,8,0)</f>
        <v>6</v>
      </c>
      <c r="N84" s="964"/>
      <c r="O84" s="1014"/>
      <c r="P84" s="1014"/>
      <c r="Q84" s="1014"/>
      <c r="R84" s="965" t="str">
        <f t="shared" si="2"/>
        <v>-</v>
      </c>
    </row>
    <row r="85" spans="1:18" hidden="1">
      <c r="A85" s="578" t="s">
        <v>890</v>
      </c>
      <c r="B85" s="584">
        <v>4</v>
      </c>
      <c r="C85" s="589">
        <v>45845</v>
      </c>
      <c r="D85" s="582">
        <f t="shared" si="3"/>
        <v>28</v>
      </c>
      <c r="E85" s="576" t="str">
        <f>+VLOOKUP(Tabla3[[#This Row],[PATENTE]],'BASE DATOS'!F:G,2,0)</f>
        <v xml:space="preserve">TRANSPORTE GRACIELA - AC040RO </v>
      </c>
      <c r="F85" s="582" t="str">
        <f>+VLOOKUP(Tabla3[[#This Row],[PATENTE]],'BASE DATOS'!F:H,3,0)</f>
        <v>1P</v>
      </c>
      <c r="G85" s="582" t="str">
        <f>+VLOOKUP(Tabla3[[#This Row],[PATENTE]],'BASE DATOS'!F:I,4,0)</f>
        <v>SI</v>
      </c>
      <c r="H85" s="584" t="str">
        <f>+VLOOKUP(Tabla3[[#This Row],[PATENTE]],'BASE DATOS'!F:J,5,0)</f>
        <v>ACEPTA( VER CAMI)</v>
      </c>
      <c r="I85" s="582" t="str">
        <f>+VLOOKUP(Tabla3[[#This Row],[PATENTE]],'BASE DATOS'!F:K,6,0)</f>
        <v>NO</v>
      </c>
      <c r="J85" s="582">
        <f>+VLOOKUP(Tabla3[[#This Row],[PATENTE]],'BASE DATOS'!F:L,7,0)</f>
        <v>2017</v>
      </c>
      <c r="K85" s="593">
        <f>+VLOOKUP(Tabla3[[#This Row],[PATENTE]],'BASE DATOS'!F:M,8,0)</f>
        <v>8</v>
      </c>
      <c r="N85" s="964"/>
      <c r="O85" s="1014"/>
      <c r="P85" s="1014"/>
      <c r="Q85" s="1014"/>
      <c r="R85" s="965" t="str">
        <f t="shared" si="2"/>
        <v>-</v>
      </c>
    </row>
    <row r="86" spans="1:18" hidden="1">
      <c r="A86" s="577" t="s">
        <v>878</v>
      </c>
      <c r="B86" s="582">
        <v>4</v>
      </c>
      <c r="C86" s="588">
        <v>45845</v>
      </c>
      <c r="D86" s="582">
        <f t="shared" si="3"/>
        <v>28</v>
      </c>
      <c r="E86" s="576" t="str">
        <f>+VLOOKUP(Tabla3[[#This Row],[PATENTE]],'BASE DATOS'!F:G,2,0)</f>
        <v xml:space="preserve">PACHECO JULIO - AA854LY </v>
      </c>
      <c r="F86" s="582" t="str">
        <f>+VLOOKUP(Tabla3[[#This Row],[PATENTE]],'BASE DATOS'!F:H,3,0)</f>
        <v>7P</v>
      </c>
      <c r="G86" s="582" t="str">
        <f>+VLOOKUP(Tabla3[[#This Row],[PATENTE]],'BASE DATOS'!F:I,4,0)</f>
        <v>SI</v>
      </c>
      <c r="H86" s="584" t="str">
        <f>+VLOOKUP(Tabla3[[#This Row],[PATENTE]],'BASE DATOS'!F:J,5,0)</f>
        <v>SI</v>
      </c>
      <c r="I86" s="582" t="str">
        <f>+VLOOKUP(Tabla3[[#This Row],[PATENTE]],'BASE DATOS'!F:K,6,0)</f>
        <v>NO</v>
      </c>
      <c r="J86" s="582">
        <f>+VLOOKUP(Tabla3[[#This Row],[PATENTE]],'BASE DATOS'!F:L,7,0)</f>
        <v>2016</v>
      </c>
      <c r="K86" s="593">
        <f>+VLOOKUP(Tabla3[[#This Row],[PATENTE]],'BASE DATOS'!F:M,8,0)</f>
        <v>9</v>
      </c>
      <c r="N86" s="964"/>
      <c r="O86" s="1014"/>
      <c r="P86" s="1014"/>
      <c r="Q86" s="1014"/>
      <c r="R86" s="965" t="str">
        <f t="shared" si="2"/>
        <v>-</v>
      </c>
    </row>
    <row r="87" spans="1:18" hidden="1">
      <c r="A87" s="578" t="s">
        <v>939</v>
      </c>
      <c r="B87" s="584">
        <v>3</v>
      </c>
      <c r="C87" s="589">
        <v>45845</v>
      </c>
      <c r="D87" s="582">
        <f t="shared" si="3"/>
        <v>28</v>
      </c>
      <c r="E87" s="576" t="str">
        <f>+VLOOKUP(Tabla3[[#This Row],[PATENTE]],'BASE DATOS'!F:G,2,0)</f>
        <v>TRANSP CLAUDIO BUSTOS - JOQ178</v>
      </c>
      <c r="F87" s="582" t="str">
        <f>+VLOOKUP(Tabla3[[#This Row],[PATENTE]],'BASE DATOS'!F:H,3,0)</f>
        <v>1P</v>
      </c>
      <c r="G87" s="582" t="str">
        <f>+VLOOKUP(Tabla3[[#This Row],[PATENTE]],'BASE DATOS'!F:I,4,0)</f>
        <v>NO</v>
      </c>
      <c r="H87" s="584" t="str">
        <f>+VLOOKUP(Tabla3[[#This Row],[PATENTE]],'BASE DATOS'!F:J,5,0)</f>
        <v>SI</v>
      </c>
      <c r="I87" s="582" t="str">
        <f>+VLOOKUP(Tabla3[[#This Row],[PATENTE]],'BASE DATOS'!F:K,6,0)</f>
        <v>NO</v>
      </c>
      <c r="J87" s="582">
        <f>+VLOOKUP(Tabla3[[#This Row],[PATENTE]],'BASE DATOS'!F:L,7,0)</f>
        <v>2010</v>
      </c>
      <c r="K87" s="593">
        <f>+VLOOKUP(Tabla3[[#This Row],[PATENTE]],'BASE DATOS'!F:M,8,0)</f>
        <v>15</v>
      </c>
      <c r="N87" s="964"/>
      <c r="O87" s="1014"/>
      <c r="P87" s="1014"/>
      <c r="Q87" s="1014"/>
      <c r="R87" s="965" t="str">
        <f t="shared" si="2"/>
        <v>-</v>
      </c>
    </row>
    <row r="88" spans="1:18" hidden="1">
      <c r="A88" s="577" t="s">
        <v>921</v>
      </c>
      <c r="B88" s="582">
        <v>3</v>
      </c>
      <c r="C88" s="588">
        <v>45845</v>
      </c>
      <c r="D88" s="582">
        <f t="shared" si="3"/>
        <v>28</v>
      </c>
      <c r="E88" s="576" t="str">
        <f>+VLOOKUP(Tabla3[[#This Row],[PATENTE]],'BASE DATOS'!F:G,2,0)</f>
        <v xml:space="preserve">MAÑAS NORBERTO - CQQ304 </v>
      </c>
      <c r="F88" s="582" t="str">
        <f>+VLOOKUP(Tabla3[[#This Row],[PATENTE]],'BASE DATOS'!F:H,3,0)</f>
        <v>11P</v>
      </c>
      <c r="G88" s="582" t="str">
        <f>+VLOOKUP(Tabla3[[#This Row],[PATENTE]],'BASE DATOS'!F:I,4,0)</f>
        <v>SI</v>
      </c>
      <c r="H88" s="584" t="str">
        <f>+VLOOKUP(Tabla3[[#This Row],[PATENTE]],'BASE DATOS'!F:J,5,0)</f>
        <v>SI</v>
      </c>
      <c r="I88" s="582" t="str">
        <f>+VLOOKUP(Tabla3[[#This Row],[PATENTE]],'BASE DATOS'!F:K,6,0)</f>
        <v>NO</v>
      </c>
      <c r="J88" s="582">
        <f>+VLOOKUP(Tabla3[[#This Row],[PATENTE]],'BASE DATOS'!F:L,7,0)</f>
        <v>2000</v>
      </c>
      <c r="K88" s="593">
        <f>+VLOOKUP(Tabla3[[#This Row],[PATENTE]],'BASE DATOS'!F:M,8,0)</f>
        <v>25</v>
      </c>
      <c r="N88" s="964"/>
      <c r="O88" s="1014"/>
      <c r="P88" s="1014"/>
      <c r="Q88" s="1014"/>
      <c r="R88" s="965" t="str">
        <f t="shared" si="2"/>
        <v>-</v>
      </c>
    </row>
    <row r="89" spans="1:18" hidden="1">
      <c r="A89" s="578" t="s">
        <v>922</v>
      </c>
      <c r="B89" s="584">
        <v>3</v>
      </c>
      <c r="C89" s="589">
        <v>45845</v>
      </c>
      <c r="D89" s="582">
        <f t="shared" si="3"/>
        <v>28</v>
      </c>
      <c r="E89" s="576" t="str">
        <f>+VLOOKUP(Tabla3[[#This Row],[PATENTE]],'BASE DATOS'!F:G,2,0)</f>
        <v>LAURIA (SERVAL) - AF342ZY</v>
      </c>
      <c r="F89" s="582" t="str">
        <f>+VLOOKUP(Tabla3[[#This Row],[PATENTE]],'BASE DATOS'!F:H,3,0)</f>
        <v>8P</v>
      </c>
      <c r="G89" s="582" t="str">
        <f>+VLOOKUP(Tabla3[[#This Row],[PATENTE]],'BASE DATOS'!F:I,4,0)</f>
        <v>SI</v>
      </c>
      <c r="H89" s="584" t="str">
        <f>+VLOOKUP(Tabla3[[#This Row],[PATENTE]],'BASE DATOS'!F:J,5,0)</f>
        <v>SI</v>
      </c>
      <c r="I89" s="582" t="str">
        <f>+VLOOKUP(Tabla3[[#This Row],[PATENTE]],'BASE DATOS'!F:K,6,0)</f>
        <v>NO</v>
      </c>
      <c r="J89" s="582">
        <f>+VLOOKUP(Tabla3[[#This Row],[PATENTE]],'BASE DATOS'!F:L,7,0)</f>
        <v>2022</v>
      </c>
      <c r="K89" s="593">
        <f>+VLOOKUP(Tabla3[[#This Row],[PATENTE]],'BASE DATOS'!F:M,8,0)</f>
        <v>3</v>
      </c>
      <c r="N89" s="964"/>
      <c r="O89" s="1014"/>
      <c r="P89" s="1014"/>
      <c r="Q89" s="1014"/>
      <c r="R89" s="965" t="str">
        <f t="shared" si="2"/>
        <v>-</v>
      </c>
    </row>
    <row r="90" spans="1:18" hidden="1">
      <c r="A90" s="577" t="s">
        <v>883</v>
      </c>
      <c r="B90" s="582">
        <v>3</v>
      </c>
      <c r="C90" s="588">
        <v>45845</v>
      </c>
      <c r="D90" s="582">
        <f t="shared" si="3"/>
        <v>28</v>
      </c>
      <c r="E90" s="576" t="str">
        <f>+VLOOKUP(Tabla3[[#This Row],[PATENTE]],'BASE DATOS'!F:G,2,0)</f>
        <v xml:space="preserve">PACHECO JULIO - ACI503 </v>
      </c>
      <c r="F90" s="582" t="str">
        <f>+VLOOKUP(Tabla3[[#This Row],[PATENTE]],'BASE DATOS'!F:H,3,0)</f>
        <v>12P</v>
      </c>
      <c r="G90" s="582" t="str">
        <f>+VLOOKUP(Tabla3[[#This Row],[PATENTE]],'BASE DATOS'!F:I,4,0)</f>
        <v>NO</v>
      </c>
      <c r="H90" s="584" t="str">
        <f>+VLOOKUP(Tabla3[[#This Row],[PATENTE]],'BASE DATOS'!F:J,5,0)</f>
        <v>SI</v>
      </c>
      <c r="I90" s="582" t="str">
        <f>+VLOOKUP(Tabla3[[#This Row],[PATENTE]],'BASE DATOS'!F:K,6,0)</f>
        <v>SI</v>
      </c>
      <c r="J90" s="582">
        <f>+VLOOKUP(Tabla3[[#This Row],[PATENTE]],'BASE DATOS'!F:L,7,0)</f>
        <v>2000</v>
      </c>
      <c r="K90" s="593">
        <f>+VLOOKUP(Tabla3[[#This Row],[PATENTE]],'BASE DATOS'!F:M,8,0)</f>
        <v>25</v>
      </c>
      <c r="N90" s="964"/>
      <c r="O90" s="1014"/>
      <c r="P90" s="1014"/>
      <c r="Q90" s="1014"/>
      <c r="R90" s="965" t="str">
        <f t="shared" si="2"/>
        <v>-</v>
      </c>
    </row>
    <row r="91" spans="1:18" hidden="1">
      <c r="A91" s="578" t="s">
        <v>919</v>
      </c>
      <c r="B91" s="584">
        <v>3</v>
      </c>
      <c r="C91" s="589">
        <v>45845</v>
      </c>
      <c r="D91" s="582">
        <f t="shared" si="3"/>
        <v>28</v>
      </c>
      <c r="E91" s="576" t="str">
        <f>+VLOOKUP(Tabla3[[#This Row],[PATENTE]],'BASE DATOS'!F:G,2,0)</f>
        <v xml:space="preserve">GUSTAVO CERQUETTA - AA427LT </v>
      </c>
      <c r="F91" s="582" t="str">
        <f>+VLOOKUP(Tabla3[[#This Row],[PATENTE]],'BASE DATOS'!F:H,3,0)</f>
        <v>1P</v>
      </c>
      <c r="G91" s="582" t="str">
        <f>+VLOOKUP(Tabla3[[#This Row],[PATENTE]],'BASE DATOS'!F:I,4,0)</f>
        <v>NO</v>
      </c>
      <c r="H91" s="584" t="str">
        <f>+VLOOKUP(Tabla3[[#This Row],[PATENTE]],'BASE DATOS'!F:J,5,0)</f>
        <v>SI</v>
      </c>
      <c r="I91" s="582" t="str">
        <f>+VLOOKUP(Tabla3[[#This Row],[PATENTE]],'BASE DATOS'!F:K,6,0)</f>
        <v>NO</v>
      </c>
      <c r="J91" s="582">
        <f>+VLOOKUP(Tabla3[[#This Row],[PATENTE]],'BASE DATOS'!F:L,7,0)</f>
        <v>2016</v>
      </c>
      <c r="K91" s="593">
        <f>+VLOOKUP(Tabla3[[#This Row],[PATENTE]],'BASE DATOS'!F:M,8,0)</f>
        <v>9</v>
      </c>
      <c r="N91" s="964"/>
      <c r="O91" s="1014"/>
      <c r="P91" s="1014"/>
      <c r="Q91" s="1014"/>
      <c r="R91" s="965" t="str">
        <f t="shared" si="2"/>
        <v>-</v>
      </c>
    </row>
    <row r="92" spans="1:18" hidden="1">
      <c r="A92" s="577" t="s">
        <v>1153</v>
      </c>
      <c r="B92" s="582">
        <v>2</v>
      </c>
      <c r="C92" s="588">
        <v>45845</v>
      </c>
      <c r="D92" s="582">
        <f t="shared" si="3"/>
        <v>28</v>
      </c>
      <c r="E92" s="576" t="str">
        <f>+VLOOKUP(Tabla3[[#This Row],[PATENTE]],'BASE DATOS'!F:G,2,0)</f>
        <v xml:space="preserve">TRANSP LAGOS - KXZ670 </v>
      </c>
      <c r="F92" s="582" t="str">
        <f>+VLOOKUP(Tabla3[[#This Row],[PATENTE]],'BASE DATOS'!F:H,3,0)</f>
        <v>4P</v>
      </c>
      <c r="G92" s="582" t="str">
        <f>+VLOOKUP(Tabla3[[#This Row],[PATENTE]],'BASE DATOS'!F:I,4,0)</f>
        <v>NO</v>
      </c>
      <c r="H92" s="584" t="str">
        <f>+VLOOKUP(Tabla3[[#This Row],[PATENTE]],'BASE DATOS'!F:J,5,0)</f>
        <v xml:space="preserve">NO </v>
      </c>
      <c r="I92" s="582" t="str">
        <f>+VLOOKUP(Tabla3[[#This Row],[PATENTE]],'BASE DATOS'!F:K,6,0)</f>
        <v>NO</v>
      </c>
      <c r="J92" s="582">
        <f>+VLOOKUP(Tabla3[[#This Row],[PATENTE]],'BASE DATOS'!F:L,7,0)</f>
        <v>2011</v>
      </c>
      <c r="K92" s="593">
        <f>+VLOOKUP(Tabla3[[#This Row],[PATENTE]],'BASE DATOS'!F:M,8,0)</f>
        <v>14</v>
      </c>
      <c r="N92" s="964"/>
      <c r="O92" s="1014"/>
      <c r="P92" s="1014"/>
      <c r="Q92" s="1014"/>
      <c r="R92" s="965" t="str">
        <f t="shared" si="2"/>
        <v>-</v>
      </c>
    </row>
    <row r="93" spans="1:18" hidden="1">
      <c r="A93" s="578" t="s">
        <v>1154</v>
      </c>
      <c r="B93" s="584">
        <v>2</v>
      </c>
      <c r="C93" s="589">
        <v>45845</v>
      </c>
      <c r="D93" s="582">
        <f t="shared" si="3"/>
        <v>28</v>
      </c>
      <c r="E93" s="576" t="str">
        <f>+VLOOKUP(Tabla3[[#This Row],[PATENTE]],'BASE DATOS'!F:G,2,0)</f>
        <v>DON NENO - 2P</v>
      </c>
      <c r="F93" s="582" t="str">
        <f>+VLOOKUP(Tabla3[[#This Row],[PATENTE]],'BASE DATOS'!F:H,3,0)</f>
        <v>8P</v>
      </c>
      <c r="G93" s="582" t="str">
        <f>+VLOOKUP(Tabla3[[#This Row],[PATENTE]],'BASE DATOS'!F:I,4,0)</f>
        <v>SI</v>
      </c>
      <c r="H93" s="584" t="str">
        <f>+VLOOKUP(Tabla3[[#This Row],[PATENTE]],'BASE DATOS'!F:J,5,0)</f>
        <v xml:space="preserve">NO </v>
      </c>
      <c r="I93" s="582" t="str">
        <f>+VLOOKUP(Tabla3[[#This Row],[PATENTE]],'BASE DATOS'!F:K,6,0)</f>
        <v>NO</v>
      </c>
      <c r="J93" s="582">
        <f>+VLOOKUP(Tabla3[[#This Row],[PATENTE]],'BASE DATOS'!F:L,7,0)</f>
        <v>2008</v>
      </c>
      <c r="K93" s="593">
        <f>+VLOOKUP(Tabla3[[#This Row],[PATENTE]],'BASE DATOS'!F:M,8,0)</f>
        <v>17</v>
      </c>
      <c r="N93" s="964"/>
      <c r="O93" s="1014"/>
      <c r="P93" s="1014"/>
      <c r="Q93" s="1014"/>
      <c r="R93" s="965" t="str">
        <f t="shared" si="2"/>
        <v>-</v>
      </c>
    </row>
    <row r="94" spans="1:18" hidden="1">
      <c r="A94" s="577" t="s">
        <v>918</v>
      </c>
      <c r="B94" s="582">
        <v>2</v>
      </c>
      <c r="C94" s="588">
        <v>45845</v>
      </c>
      <c r="D94" s="582">
        <f t="shared" si="3"/>
        <v>28</v>
      </c>
      <c r="E94" s="576" t="str">
        <f>+VLOOKUP(Tabla3[[#This Row],[PATENTE]],'BASE DATOS'!F:G,2,0)</f>
        <v>TRANSPORTE GENA GAIA - DGO507</v>
      </c>
      <c r="F94" s="582" t="str">
        <f>+VLOOKUP(Tabla3[[#This Row],[PATENTE]],'BASE DATOS'!F:H,3,0)</f>
        <v>24P</v>
      </c>
      <c r="G94" s="582" t="str">
        <f>+VLOOKUP(Tabla3[[#This Row],[PATENTE]],'BASE DATOS'!F:I,4,0)</f>
        <v>Gestya</v>
      </c>
      <c r="H94" s="584" t="str">
        <f>+VLOOKUP(Tabla3[[#This Row],[PATENTE]],'BASE DATOS'!F:J,5,0)</f>
        <v xml:space="preserve">NO </v>
      </c>
      <c r="I94" s="582" t="str">
        <f>+VLOOKUP(Tabla3[[#This Row],[PATENTE]],'BASE DATOS'!F:K,6,0)</f>
        <v>NO</v>
      </c>
      <c r="J94" s="582">
        <f>+VLOOKUP(Tabla3[[#This Row],[PATENTE]],'BASE DATOS'!F:L,7,0)</f>
        <v>2001</v>
      </c>
      <c r="K94" s="593">
        <f>+VLOOKUP(Tabla3[[#This Row],[PATENTE]],'BASE DATOS'!F:M,8,0)</f>
        <v>24</v>
      </c>
      <c r="N94" s="964"/>
      <c r="O94" s="1014"/>
      <c r="P94" s="1014"/>
      <c r="Q94" s="1014"/>
      <c r="R94" s="965" t="str">
        <f t="shared" si="2"/>
        <v>-</v>
      </c>
    </row>
    <row r="95" spans="1:18" hidden="1">
      <c r="A95" s="578" t="s">
        <v>905</v>
      </c>
      <c r="B95" s="584">
        <v>2</v>
      </c>
      <c r="C95" s="589">
        <v>45845</v>
      </c>
      <c r="D95" s="582">
        <f t="shared" si="3"/>
        <v>28</v>
      </c>
      <c r="E95" s="576" t="str">
        <f>+VLOOKUP(Tabla3[[#This Row],[PATENTE]],'BASE DATOS'!F:G,2,0)</f>
        <v xml:space="preserve">J RIMOLDI - AB312SE </v>
      </c>
      <c r="F95" s="582" t="str">
        <f>+VLOOKUP(Tabla3[[#This Row],[PATENTE]],'BASE DATOS'!F:H,3,0)</f>
        <v>8P</v>
      </c>
      <c r="G95" s="582" t="str">
        <f>+VLOOKUP(Tabla3[[#This Row],[PATENTE]],'BASE DATOS'!F:I,4,0)</f>
        <v>SI</v>
      </c>
      <c r="H95" s="584" t="str">
        <f>+VLOOKUP(Tabla3[[#This Row],[PATENTE]],'BASE DATOS'!F:J,5,0)</f>
        <v>SI</v>
      </c>
      <c r="I95" s="582" t="str">
        <f>+VLOOKUP(Tabla3[[#This Row],[PATENTE]],'BASE DATOS'!F:K,6,0)</f>
        <v>NO</v>
      </c>
      <c r="J95" s="582">
        <f>+VLOOKUP(Tabla3[[#This Row],[PATENTE]],'BASE DATOS'!F:L,7,0)</f>
        <v>2017</v>
      </c>
      <c r="K95" s="593">
        <f>+VLOOKUP(Tabla3[[#This Row],[PATENTE]],'BASE DATOS'!F:M,8,0)</f>
        <v>8</v>
      </c>
      <c r="N95" s="964"/>
      <c r="O95" s="1014"/>
      <c r="P95" s="1014"/>
      <c r="Q95" s="1014"/>
      <c r="R95" s="965" t="str">
        <f t="shared" si="2"/>
        <v>-</v>
      </c>
    </row>
    <row r="96" spans="1:18" hidden="1">
      <c r="A96" s="577" t="s">
        <v>896</v>
      </c>
      <c r="B96" s="582">
        <v>1</v>
      </c>
      <c r="C96" s="588">
        <v>45845</v>
      </c>
      <c r="D96" s="582">
        <f t="shared" si="3"/>
        <v>28</v>
      </c>
      <c r="E96" s="576" t="str">
        <f>+VLOOKUP(Tabla3[[#This Row],[PATENTE]],'BASE DATOS'!F:G,2,0)</f>
        <v xml:space="preserve">TRANSP MAVIR - RHQ609 </v>
      </c>
      <c r="F96" s="582" t="str">
        <f>+VLOOKUP(Tabla3[[#This Row],[PATENTE]],'BASE DATOS'!F:H,3,0)</f>
        <v>10P</v>
      </c>
      <c r="G96" s="582" t="str">
        <f>+VLOOKUP(Tabla3[[#This Row],[PATENTE]],'BASE DATOS'!F:I,4,0)</f>
        <v>NO</v>
      </c>
      <c r="H96" s="584" t="str">
        <f>+VLOOKUP(Tabla3[[#This Row],[PATENTE]],'BASE DATOS'!F:J,5,0)</f>
        <v xml:space="preserve">NO </v>
      </c>
      <c r="I96" s="582" t="str">
        <f>+VLOOKUP(Tabla3[[#This Row],[PATENTE]],'BASE DATOS'!F:K,6,0)</f>
        <v>NO</v>
      </c>
      <c r="J96" s="582">
        <f>+VLOOKUP(Tabla3[[#This Row],[PATENTE]],'BASE DATOS'!F:L,7,0)</f>
        <v>1995</v>
      </c>
      <c r="K96" s="593">
        <v>0</v>
      </c>
      <c r="N96" s="964"/>
      <c r="O96" s="1014"/>
      <c r="P96" s="1014"/>
      <c r="Q96" s="1014"/>
      <c r="R96" s="965" t="str">
        <f t="shared" si="2"/>
        <v>-</v>
      </c>
    </row>
    <row r="97" spans="1:18" hidden="1">
      <c r="A97" s="578" t="s">
        <v>930</v>
      </c>
      <c r="B97" s="584">
        <v>1</v>
      </c>
      <c r="C97" s="589">
        <v>45845</v>
      </c>
      <c r="D97" s="582">
        <f t="shared" si="3"/>
        <v>28</v>
      </c>
      <c r="E97" s="576" t="str">
        <f>+VLOOKUP(Tabla3[[#This Row],[PATENTE]],'BASE DATOS'!F:G,2,0)</f>
        <v xml:space="preserve">GANZINI HUGO - JJF375 </v>
      </c>
      <c r="F97" s="582" t="str">
        <f>+VLOOKUP(Tabla3[[#This Row],[PATENTE]],'BASE DATOS'!F:H,3,0)</f>
        <v>14P</v>
      </c>
      <c r="G97" s="582" t="str">
        <f>+VLOOKUP(Tabla3[[#This Row],[PATENTE]],'BASE DATOS'!F:I,4,0)</f>
        <v>SI</v>
      </c>
      <c r="H97" s="584" t="str">
        <f>+VLOOKUP(Tabla3[[#This Row],[PATENTE]],'BASE DATOS'!F:J,5,0)</f>
        <v xml:space="preserve">NO </v>
      </c>
      <c r="I97" s="582" t="str">
        <f>+VLOOKUP(Tabla3[[#This Row],[PATENTE]],'BASE DATOS'!F:K,6,0)</f>
        <v>NO</v>
      </c>
      <c r="J97" s="582">
        <f>+VLOOKUP(Tabla3[[#This Row],[PATENTE]],'BASE DATOS'!F:L,7,0)</f>
        <v>2011</v>
      </c>
      <c r="K97" s="593">
        <f>+VLOOKUP(Tabla3[[#This Row],[PATENTE]],'BASE DATOS'!F:M,8,0)</f>
        <v>14</v>
      </c>
      <c r="N97" s="964"/>
      <c r="O97" s="1014"/>
      <c r="P97" s="1014"/>
      <c r="Q97" s="1014"/>
      <c r="R97" s="965" t="str">
        <f t="shared" si="2"/>
        <v>-</v>
      </c>
    </row>
    <row r="98" spans="1:18" hidden="1">
      <c r="A98" s="577" t="s">
        <v>933</v>
      </c>
      <c r="B98" s="582">
        <v>1</v>
      </c>
      <c r="C98" s="588">
        <v>45845</v>
      </c>
      <c r="D98" s="582">
        <f t="shared" si="3"/>
        <v>28</v>
      </c>
      <c r="E98" s="576" t="str">
        <f>+VLOOKUP(Tabla3[[#This Row],[PATENTE]],'BASE DATOS'!F:G,2,0)</f>
        <v xml:space="preserve">TRANSPORTE GENA GAIA - IKE806 </v>
      </c>
      <c r="F98" s="582" t="str">
        <f>+VLOOKUP(Tabla3[[#This Row],[PATENTE]],'BASE DATOS'!F:H,3,0)</f>
        <v>24P</v>
      </c>
      <c r="G98" s="582" t="str">
        <f>+VLOOKUP(Tabla3[[#This Row],[PATENTE]],'BASE DATOS'!F:I,4,0)</f>
        <v>Gestya</v>
      </c>
      <c r="H98" s="584" t="str">
        <f>+VLOOKUP(Tabla3[[#This Row],[PATENTE]],'BASE DATOS'!F:J,5,0)</f>
        <v xml:space="preserve">NO </v>
      </c>
      <c r="I98" s="582" t="str">
        <f>+VLOOKUP(Tabla3[[#This Row],[PATENTE]],'BASE DATOS'!F:K,6,0)</f>
        <v>NO</v>
      </c>
      <c r="J98" s="582">
        <f>+VLOOKUP(Tabla3[[#This Row],[PATENTE]],'BASE DATOS'!F:L,7,0)</f>
        <v>2010</v>
      </c>
      <c r="K98" s="593">
        <f>+VLOOKUP(Tabla3[[#This Row],[PATENTE]],'BASE DATOS'!F:M,8,0)</f>
        <v>15</v>
      </c>
      <c r="N98" s="964"/>
      <c r="O98" s="1014"/>
      <c r="P98" s="1014"/>
      <c r="Q98" s="1014"/>
      <c r="R98" s="965" t="str">
        <f t="shared" si="2"/>
        <v>-</v>
      </c>
    </row>
    <row r="99" spans="1:18" hidden="1">
      <c r="A99" s="578" t="s">
        <v>1128</v>
      </c>
      <c r="B99" s="584">
        <v>1</v>
      </c>
      <c r="C99" s="589">
        <v>45845</v>
      </c>
      <c r="D99" s="582">
        <f t="shared" si="3"/>
        <v>28</v>
      </c>
      <c r="E99" s="576" t="str">
        <f>+VLOOKUP(Tabla3[[#This Row],[PATENTE]],'BASE DATOS'!F:G,2,0)</f>
        <v xml:space="preserve">PRONTOMAR - EDW922 </v>
      </c>
      <c r="F99" s="582" t="str">
        <f>+VLOOKUP(Tabla3[[#This Row],[PATENTE]],'BASE DATOS'!F:H,3,0)</f>
        <v>14P</v>
      </c>
      <c r="G99" s="582" t="str">
        <f>+VLOOKUP(Tabla3[[#This Row],[PATENTE]],'BASE DATOS'!F:I,4,0)</f>
        <v>NO</v>
      </c>
      <c r="H99" s="584" t="str">
        <f>+VLOOKUP(Tabla3[[#This Row],[PATENTE]],'BASE DATOS'!F:J,5,0)</f>
        <v xml:space="preserve">NO </v>
      </c>
      <c r="I99" s="582" t="str">
        <f>+VLOOKUP(Tabla3[[#This Row],[PATENTE]],'BASE DATOS'!F:K,6,0)</f>
        <v>NO</v>
      </c>
      <c r="J99" s="582">
        <f>+VLOOKUP(Tabla3[[#This Row],[PATENTE]],'BASE DATOS'!F:L,7,0)</f>
        <v>2003</v>
      </c>
      <c r="K99" s="593">
        <f>+VLOOKUP(Tabla3[[#This Row],[PATENTE]],'BASE DATOS'!F:M,8,0)</f>
        <v>22</v>
      </c>
      <c r="N99" s="964"/>
      <c r="O99" s="1014"/>
      <c r="P99" s="1014"/>
      <c r="Q99" s="1014"/>
      <c r="R99" s="965" t="str">
        <f t="shared" si="2"/>
        <v>-</v>
      </c>
    </row>
    <row r="100" spans="1:18" hidden="1">
      <c r="A100" s="577" t="s">
        <v>926</v>
      </c>
      <c r="B100" s="582">
        <v>1</v>
      </c>
      <c r="C100" s="588">
        <v>45845</v>
      </c>
      <c r="D100" s="582">
        <f t="shared" si="3"/>
        <v>28</v>
      </c>
      <c r="E100" s="576" t="str">
        <f>+VLOOKUP(Tabla3[[#This Row],[PATENTE]],'BASE DATOS'!F:G,2,0)</f>
        <v xml:space="preserve">TRANSPORTE GENA GAIA - DUF042 </v>
      </c>
      <c r="F100" s="582" t="str">
        <f>+VLOOKUP(Tabla3[[#This Row],[PATENTE]],'BASE DATOS'!F:H,3,0)</f>
        <v>24P</v>
      </c>
      <c r="G100" s="582" t="str">
        <f>+VLOOKUP(Tabla3[[#This Row],[PATENTE]],'BASE DATOS'!F:I,4,0)</f>
        <v>Gestya</v>
      </c>
      <c r="H100" s="584" t="str">
        <f>+VLOOKUP(Tabla3[[#This Row],[PATENTE]],'BASE DATOS'!F:J,5,0)</f>
        <v xml:space="preserve">NO </v>
      </c>
      <c r="I100" s="582" t="str">
        <f>+VLOOKUP(Tabla3[[#This Row],[PATENTE]],'BASE DATOS'!F:K,6,0)</f>
        <v>NO</v>
      </c>
      <c r="J100" s="582">
        <f>+VLOOKUP(Tabla3[[#This Row],[PATENTE]],'BASE DATOS'!F:L,7,0)</f>
        <v>2001</v>
      </c>
      <c r="K100" s="593">
        <f>+VLOOKUP(Tabla3[[#This Row],[PATENTE]],'BASE DATOS'!F:M,8,0)</f>
        <v>24</v>
      </c>
      <c r="N100" s="964"/>
      <c r="O100" s="1014"/>
      <c r="P100" s="1014"/>
      <c r="Q100" s="1014"/>
      <c r="R100" s="965" t="str">
        <f t="shared" si="2"/>
        <v>-</v>
      </c>
    </row>
    <row r="101" spans="1:18" hidden="1">
      <c r="A101" s="578" t="s">
        <v>929</v>
      </c>
      <c r="B101" s="584">
        <v>1</v>
      </c>
      <c r="C101" s="589">
        <v>45845</v>
      </c>
      <c r="D101" s="582">
        <f t="shared" si="3"/>
        <v>28</v>
      </c>
      <c r="E101" s="576" t="str">
        <f>+VLOOKUP(Tabla3[[#This Row],[PATENTE]],'BASE DATOS'!F:G,2,0)</f>
        <v xml:space="preserve">PRONTOMAR - BAI674 </v>
      </c>
      <c r="F101" s="582" t="str">
        <f>+VLOOKUP(Tabla3[[#This Row],[PATENTE]],'BASE DATOS'!F:H,3,0)</f>
        <v>14P</v>
      </c>
      <c r="G101" s="582" t="str">
        <f>+VLOOKUP(Tabla3[[#This Row],[PATENTE]],'BASE DATOS'!F:I,4,0)</f>
        <v>NO</v>
      </c>
      <c r="H101" s="584" t="str">
        <f>+VLOOKUP(Tabla3[[#This Row],[PATENTE]],'BASE DATOS'!F:J,5,0)</f>
        <v xml:space="preserve">NO </v>
      </c>
      <c r="I101" s="582" t="str">
        <f>+VLOOKUP(Tabla3[[#This Row],[PATENTE]],'BASE DATOS'!F:K,6,0)</f>
        <v>NO</v>
      </c>
      <c r="J101" s="582">
        <f>+VLOOKUP(Tabla3[[#This Row],[PATENTE]],'BASE DATOS'!F:L,7,0)</f>
        <v>1996</v>
      </c>
      <c r="K101" s="593">
        <f>+VLOOKUP(Tabla3[[#This Row],[PATENTE]],'BASE DATOS'!F:M,8,0)</f>
        <v>29</v>
      </c>
      <c r="N101" s="964"/>
      <c r="O101" s="1014"/>
      <c r="P101" s="1014"/>
      <c r="Q101" s="1014"/>
      <c r="R101" s="965" t="str">
        <f t="shared" si="2"/>
        <v>-</v>
      </c>
    </row>
    <row r="102" spans="1:18" hidden="1">
      <c r="A102" s="577" t="s">
        <v>1155</v>
      </c>
      <c r="B102" s="582">
        <v>1</v>
      </c>
      <c r="C102" s="588">
        <v>45845</v>
      </c>
      <c r="D102" s="582">
        <f t="shared" si="3"/>
        <v>28</v>
      </c>
      <c r="E102" s="576" t="str">
        <f>+VLOOKUP(Tabla3[[#This Row],[PATENTE]],'BASE DATOS'!F:G,2,0)</f>
        <v>DON NENO - 12P</v>
      </c>
      <c r="F102" s="582" t="str">
        <f>+VLOOKUP(Tabla3[[#This Row],[PATENTE]],'BASE DATOS'!F:H,3,0)</f>
        <v>12P</v>
      </c>
      <c r="G102" s="582" t="str">
        <f>+VLOOKUP(Tabla3[[#This Row],[PATENTE]],'BASE DATOS'!F:I,4,0)</f>
        <v>SI SATELITAL</v>
      </c>
      <c r="H102" s="584" t="str">
        <f>+VLOOKUP(Tabla3[[#This Row],[PATENTE]],'BASE DATOS'!F:J,5,0)</f>
        <v xml:space="preserve">NO </v>
      </c>
      <c r="I102" s="582" t="str">
        <f>+VLOOKUP(Tabla3[[#This Row],[PATENTE]],'BASE DATOS'!F:K,6,0)</f>
        <v>NO</v>
      </c>
      <c r="J102" s="582">
        <f>+VLOOKUP(Tabla3[[#This Row],[PATENTE]],'BASE DATOS'!F:L,7,0)</f>
        <v>1997</v>
      </c>
      <c r="K102" s="593">
        <f>+VLOOKUP(Tabla3[[#This Row],[PATENTE]],'BASE DATOS'!F:M,8,0)</f>
        <v>28</v>
      </c>
      <c r="N102" s="964"/>
      <c r="O102" s="1014"/>
      <c r="P102" s="1014"/>
      <c r="Q102" s="1014"/>
      <c r="R102" s="965" t="str">
        <f t="shared" si="2"/>
        <v>-</v>
      </c>
    </row>
    <row r="103" spans="1:18" hidden="1">
      <c r="A103" s="578" t="s">
        <v>1137</v>
      </c>
      <c r="B103" s="584">
        <v>1</v>
      </c>
      <c r="C103" s="589">
        <v>45845</v>
      </c>
      <c r="D103" s="582">
        <f t="shared" si="3"/>
        <v>28</v>
      </c>
      <c r="E103" s="576" t="str">
        <f>+VLOOKUP(Tabla3[[#This Row],[PATENTE]],'BASE DATOS'!F:G,2,0)</f>
        <v xml:space="preserve">BELLIMAR SRL - AF456PB </v>
      </c>
      <c r="F103" s="582" t="str">
        <f>+VLOOKUP(Tabla3[[#This Row],[PATENTE]],'BASE DATOS'!F:H,3,0)</f>
        <v>8P</v>
      </c>
      <c r="G103" s="582" t="str">
        <f>+VLOOKUP(Tabla3[[#This Row],[PATENTE]],'BASE DATOS'!F:I,4,0)</f>
        <v>NO</v>
      </c>
      <c r="H103" s="584" t="str">
        <f>+VLOOKUP(Tabla3[[#This Row],[PATENTE]],'BASE DATOS'!F:J,5,0)</f>
        <v xml:space="preserve">NO </v>
      </c>
      <c r="I103" s="582" t="str">
        <f>+VLOOKUP(Tabla3[[#This Row],[PATENTE]],'BASE DATOS'!F:K,6,0)</f>
        <v>NO</v>
      </c>
      <c r="J103" s="582">
        <f>+VLOOKUP(Tabla3[[#This Row],[PATENTE]],'BASE DATOS'!F:L,7,0)</f>
        <v>2022</v>
      </c>
      <c r="K103" s="593">
        <f>+VLOOKUP(Tabla3[[#This Row],[PATENTE]],'BASE DATOS'!F:M,8,0)</f>
        <v>3</v>
      </c>
      <c r="N103" s="964"/>
      <c r="O103" s="1014"/>
      <c r="P103" s="1014"/>
      <c r="Q103" s="1014"/>
      <c r="R103" s="965" t="str">
        <f t="shared" si="2"/>
        <v>-</v>
      </c>
    </row>
    <row r="104" spans="1:18" hidden="1">
      <c r="A104" s="577" t="s">
        <v>1156</v>
      </c>
      <c r="B104" s="582">
        <v>1</v>
      </c>
      <c r="C104" s="588">
        <v>45845</v>
      </c>
      <c r="D104" s="582">
        <f t="shared" si="3"/>
        <v>28</v>
      </c>
      <c r="E104" s="576" t="str">
        <f>+VLOOKUP(Tabla3[[#This Row],[PATENTE]],'BASE DATOS'!F:G,2,0)</f>
        <v>TRANSPORTE FILARDI - AE491HU</v>
      </c>
      <c r="F104" s="582" t="str">
        <f>+VLOOKUP(Tabla3[[#This Row],[PATENTE]],'BASE DATOS'!F:H,3,0)</f>
        <v>24P</v>
      </c>
      <c r="G104" s="582" t="str">
        <f>+VLOOKUP(Tabla3[[#This Row],[PATENTE]],'BASE DATOS'!F:I,4,0)</f>
        <v>NO</v>
      </c>
      <c r="H104" s="584" t="str">
        <f>+VLOOKUP(Tabla3[[#This Row],[PATENTE]],'BASE DATOS'!F:J,5,0)</f>
        <v xml:space="preserve">NO </v>
      </c>
      <c r="I104" s="582" t="str">
        <f>+VLOOKUP(Tabla3[[#This Row],[PATENTE]],'BASE DATOS'!F:K,6,0)</f>
        <v>NO</v>
      </c>
      <c r="J104" s="582">
        <f>+VLOOKUP(Tabla3[[#This Row],[PATENTE]],'BASE DATOS'!F:L,7,0)</f>
        <v>0</v>
      </c>
      <c r="K104" s="593">
        <f>+VLOOKUP(Tabla3[[#This Row],[PATENTE]],'BASE DATOS'!F:M,8,0)</f>
        <v>0</v>
      </c>
      <c r="N104" s="964"/>
      <c r="O104" s="1014"/>
      <c r="P104" s="1014"/>
      <c r="Q104" s="1014"/>
      <c r="R104" s="965" t="str">
        <f t="shared" si="2"/>
        <v>-</v>
      </c>
    </row>
    <row r="105" spans="1:18" hidden="1">
      <c r="A105" s="579" t="s">
        <v>1157</v>
      </c>
      <c r="B105" s="585">
        <v>1</v>
      </c>
      <c r="C105" s="873">
        <v>45845</v>
      </c>
      <c r="D105" s="582">
        <f t="shared" si="3"/>
        <v>28</v>
      </c>
      <c r="E105" s="576" t="str">
        <f>+VLOOKUP(Tabla3[[#This Row],[PATENTE]],'BASE DATOS'!F:G,2,0)</f>
        <v xml:space="preserve">PACHECO JULIO - AA176SY </v>
      </c>
      <c r="F105" s="582" t="str">
        <f>+VLOOKUP(Tabla3[[#This Row],[PATENTE]],'BASE DATOS'!F:H,3,0)</f>
        <v>12P</v>
      </c>
      <c r="G105" s="582" t="str">
        <f>+VLOOKUP(Tabla3[[#This Row],[PATENTE]],'BASE DATOS'!F:I,4,0)</f>
        <v>NO</v>
      </c>
      <c r="H105" s="584" t="str">
        <f>+VLOOKUP(Tabla3[[#This Row],[PATENTE]],'BASE DATOS'!F:J,5,0)</f>
        <v xml:space="preserve">NO </v>
      </c>
      <c r="I105" s="582" t="str">
        <f>+VLOOKUP(Tabla3[[#This Row],[PATENTE]],'BASE DATOS'!F:K,6,0)</f>
        <v>SI</v>
      </c>
      <c r="J105" s="582">
        <f>+VLOOKUP(Tabla3[[#This Row],[PATENTE]],'BASE DATOS'!F:L,7,0)</f>
        <v>2017</v>
      </c>
      <c r="K105" s="593">
        <f>+VLOOKUP(Tabla3[[#This Row],[PATENTE]],'BASE DATOS'!F:M,8,0)</f>
        <v>8</v>
      </c>
      <c r="N105" s="964"/>
      <c r="O105" s="1014"/>
      <c r="P105" s="1014"/>
      <c r="Q105" s="1014"/>
      <c r="R105" s="965" t="str">
        <f t="shared" si="2"/>
        <v>-</v>
      </c>
    </row>
    <row r="106" spans="1:18" hidden="1">
      <c r="A106" s="577" t="s">
        <v>899</v>
      </c>
      <c r="B106" s="582">
        <v>7</v>
      </c>
      <c r="C106" s="588">
        <v>45852</v>
      </c>
      <c r="D106" s="582">
        <f t="shared" si="3"/>
        <v>29</v>
      </c>
      <c r="E106" s="576" t="str">
        <f>+VLOOKUP(Tabla3[[#This Row],[PATENTE]],'BASE DATOS'!F:G,2,0)</f>
        <v xml:space="preserve">VAZQUEZ (TRV SRL) - AB176KN </v>
      </c>
      <c r="F106" s="582" t="str">
        <f>+VLOOKUP(Tabla3[[#This Row],[PATENTE]],'BASE DATOS'!F:H,3,0)</f>
        <v>8P</v>
      </c>
      <c r="G106" s="582" t="str">
        <f>+VLOOKUP(Tabla3[[#This Row],[PATENTE]],'BASE DATOS'!F:I,4,0)</f>
        <v>SI</v>
      </c>
      <c r="H106" s="584" t="str">
        <f>+VLOOKUP(Tabla3[[#This Row],[PATENTE]],'BASE DATOS'!F:J,5,0)</f>
        <v>SI</v>
      </c>
      <c r="I106" s="582" t="str">
        <f>+VLOOKUP(Tabla3[[#This Row],[PATENTE]],'BASE DATOS'!F:K,6,0)</f>
        <v>SI</v>
      </c>
      <c r="J106" s="582">
        <f>+VLOOKUP(Tabla3[[#This Row],[PATENTE]],'BASE DATOS'!F:L,7,0)</f>
        <v>2017</v>
      </c>
      <c r="K106" s="593">
        <f>+VLOOKUP(Tabla3[[#This Row],[PATENTE]],'BASE DATOS'!F:M,8,0)</f>
        <v>8</v>
      </c>
      <c r="N106" s="964"/>
      <c r="O106" s="1014"/>
      <c r="P106" s="1014"/>
      <c r="Q106" s="1014"/>
      <c r="R106" s="965" t="str">
        <f t="shared" si="2"/>
        <v>-</v>
      </c>
    </row>
    <row r="107" spans="1:18" hidden="1">
      <c r="A107" s="578" t="s">
        <v>936</v>
      </c>
      <c r="B107" s="584">
        <v>6</v>
      </c>
      <c r="C107" s="589">
        <v>45852</v>
      </c>
      <c r="D107" s="582">
        <f t="shared" si="3"/>
        <v>29</v>
      </c>
      <c r="E107" s="576" t="str">
        <f>+VLOOKUP(Tabla3[[#This Row],[PATENTE]],'BASE DATOS'!F:G,2,0)</f>
        <v>TRANSP YANINA  LUONGO - AA050HC</v>
      </c>
      <c r="F107" s="582" t="str">
        <f>+VLOOKUP(Tabla3[[#This Row],[PATENTE]],'BASE DATOS'!F:H,3,0)</f>
        <v>1.5P</v>
      </c>
      <c r="G107" s="582" t="str">
        <f>+VLOOKUP(Tabla3[[#This Row],[PATENTE]],'BASE DATOS'!F:I,4,0)</f>
        <v>NO</v>
      </c>
      <c r="H107" s="584" t="str">
        <f>+VLOOKUP(Tabla3[[#This Row],[PATENTE]],'BASE DATOS'!F:J,5,0)</f>
        <v>SI</v>
      </c>
      <c r="I107" s="582" t="str">
        <f>+VLOOKUP(Tabla3[[#This Row],[PATENTE]],'BASE DATOS'!F:K,6,0)</f>
        <v>NO</v>
      </c>
      <c r="J107" s="582">
        <f>+VLOOKUP(Tabla3[[#This Row],[PATENTE]],'BASE DATOS'!F:L,7,0)</f>
        <v>2016</v>
      </c>
      <c r="K107" s="593">
        <f>+VLOOKUP(Tabla3[[#This Row],[PATENTE]],'BASE DATOS'!F:M,8,0)</f>
        <v>9</v>
      </c>
      <c r="N107" s="964"/>
      <c r="O107" s="1014"/>
      <c r="P107" s="1014"/>
      <c r="Q107" s="1014"/>
      <c r="R107" s="965" t="str">
        <f t="shared" si="2"/>
        <v>-</v>
      </c>
    </row>
    <row r="108" spans="1:18" hidden="1">
      <c r="A108" s="577" t="s">
        <v>905</v>
      </c>
      <c r="B108" s="582">
        <v>6</v>
      </c>
      <c r="C108" s="588">
        <v>45852</v>
      </c>
      <c r="D108" s="582">
        <f t="shared" si="3"/>
        <v>29</v>
      </c>
      <c r="E108" s="576" t="str">
        <f>+VLOOKUP(Tabla3[[#This Row],[PATENTE]],'BASE DATOS'!F:G,2,0)</f>
        <v xml:space="preserve">J RIMOLDI - AB312SE </v>
      </c>
      <c r="F108" s="582" t="str">
        <f>+VLOOKUP(Tabla3[[#This Row],[PATENTE]],'BASE DATOS'!F:H,3,0)</f>
        <v>8P</v>
      </c>
      <c r="G108" s="582" t="str">
        <f>+VLOOKUP(Tabla3[[#This Row],[PATENTE]],'BASE DATOS'!F:I,4,0)</f>
        <v>SI</v>
      </c>
      <c r="H108" s="584" t="str">
        <f>+VLOOKUP(Tabla3[[#This Row],[PATENTE]],'BASE DATOS'!F:J,5,0)</f>
        <v>SI</v>
      </c>
      <c r="I108" s="582" t="str">
        <f>+VLOOKUP(Tabla3[[#This Row],[PATENTE]],'BASE DATOS'!F:K,6,0)</f>
        <v>NO</v>
      </c>
      <c r="J108" s="582">
        <f>+VLOOKUP(Tabla3[[#This Row],[PATENTE]],'BASE DATOS'!F:L,7,0)</f>
        <v>2017</v>
      </c>
      <c r="K108" s="593">
        <f>+VLOOKUP(Tabla3[[#This Row],[PATENTE]],'BASE DATOS'!F:M,8,0)</f>
        <v>8</v>
      </c>
      <c r="N108" s="964"/>
      <c r="O108" s="1014"/>
      <c r="P108" s="1014"/>
      <c r="Q108" s="1014"/>
      <c r="R108" s="965" t="str">
        <f t="shared" si="2"/>
        <v>-</v>
      </c>
    </row>
    <row r="109" spans="1:18" hidden="1">
      <c r="A109" s="578" t="s">
        <v>880</v>
      </c>
      <c r="B109" s="584">
        <v>6</v>
      </c>
      <c r="C109" s="589">
        <v>45852</v>
      </c>
      <c r="D109" s="582">
        <f t="shared" si="3"/>
        <v>29</v>
      </c>
      <c r="E109" s="576" t="str">
        <f>+VLOOKUP(Tabla3[[#This Row],[PATENTE]],'BASE DATOS'!F:G,2,0)</f>
        <v xml:space="preserve">LAURIA (SERVAL) - AD575XK </v>
      </c>
      <c r="F109" s="582" t="str">
        <f>+VLOOKUP(Tabla3[[#This Row],[PATENTE]],'BASE DATOS'!F:H,3,0)</f>
        <v>8P</v>
      </c>
      <c r="G109" s="582" t="str">
        <f>+VLOOKUP(Tabla3[[#This Row],[PATENTE]],'BASE DATOS'!F:I,4,0)</f>
        <v>SI</v>
      </c>
      <c r="H109" s="584" t="str">
        <f>+VLOOKUP(Tabla3[[#This Row],[PATENTE]],'BASE DATOS'!F:J,5,0)</f>
        <v>SI</v>
      </c>
      <c r="I109" s="582" t="str">
        <f>+VLOOKUP(Tabla3[[#This Row],[PATENTE]],'BASE DATOS'!F:K,6,0)</f>
        <v>NO</v>
      </c>
      <c r="J109" s="582">
        <f>+VLOOKUP(Tabla3[[#This Row],[PATENTE]],'BASE DATOS'!F:L,7,0)</f>
        <v>2019</v>
      </c>
      <c r="K109" s="593">
        <f>+VLOOKUP(Tabla3[[#This Row],[PATENTE]],'BASE DATOS'!F:M,8,0)</f>
        <v>6</v>
      </c>
      <c r="N109" s="964"/>
      <c r="O109" s="1014"/>
      <c r="P109" s="1014"/>
      <c r="Q109" s="1014"/>
      <c r="R109" s="965" t="str">
        <f t="shared" si="2"/>
        <v>-</v>
      </c>
    </row>
    <row r="110" spans="1:18" hidden="1">
      <c r="A110" s="577" t="s">
        <v>904</v>
      </c>
      <c r="B110" s="582">
        <v>6</v>
      </c>
      <c r="C110" s="588">
        <v>45852</v>
      </c>
      <c r="D110" s="582">
        <f t="shared" si="3"/>
        <v>29</v>
      </c>
      <c r="E110" s="576" t="str">
        <f>+VLOOKUP(Tabla3[[#This Row],[PATENTE]],'BASE DATOS'!F:G,2,0)</f>
        <v xml:space="preserve">ENRIQUE ROLLINO - DFO656 </v>
      </c>
      <c r="F110" s="582" t="str">
        <f>+VLOOKUP(Tabla3[[#This Row],[PATENTE]],'BASE DATOS'!F:H,3,0)</f>
        <v>6P</v>
      </c>
      <c r="G110" s="582" t="str">
        <f>+VLOOKUP(Tabla3[[#This Row],[PATENTE]],'BASE DATOS'!F:I,4,0)</f>
        <v>SI</v>
      </c>
      <c r="H110" s="584" t="str">
        <f>+VLOOKUP(Tabla3[[#This Row],[PATENTE]],'BASE DATOS'!F:J,5,0)</f>
        <v>SI</v>
      </c>
      <c r="I110" s="582" t="str">
        <f>+VLOOKUP(Tabla3[[#This Row],[PATENTE]],'BASE DATOS'!F:K,6,0)</f>
        <v>NO</v>
      </c>
      <c r="J110" s="582">
        <f>+VLOOKUP(Tabla3[[#This Row],[PATENTE]],'BASE DATOS'!F:L,7,0)</f>
        <v>2000</v>
      </c>
      <c r="K110" s="593">
        <f>+VLOOKUP(Tabla3[[#This Row],[PATENTE]],'BASE DATOS'!F:M,8,0)</f>
        <v>25</v>
      </c>
      <c r="N110" s="964"/>
      <c r="O110" s="1014"/>
      <c r="P110" s="1014"/>
      <c r="Q110" s="1014"/>
      <c r="R110" s="965" t="str">
        <f t="shared" si="2"/>
        <v>-</v>
      </c>
    </row>
    <row r="111" spans="1:18" hidden="1">
      <c r="A111" s="578" t="s">
        <v>881</v>
      </c>
      <c r="B111" s="584">
        <v>6</v>
      </c>
      <c r="C111" s="589">
        <v>45852</v>
      </c>
      <c r="D111" s="582">
        <f t="shared" si="3"/>
        <v>29</v>
      </c>
      <c r="E111" s="576" t="str">
        <f>+VLOOKUP(Tabla3[[#This Row],[PATENTE]],'BASE DATOS'!F:G,2,0)</f>
        <v xml:space="preserve">MAÑAS NORBERTO - DUQ686 </v>
      </c>
      <c r="F111" s="582" t="str">
        <f>+VLOOKUP(Tabla3[[#This Row],[PATENTE]],'BASE DATOS'!F:H,3,0)</f>
        <v>8P</v>
      </c>
      <c r="G111" s="582" t="str">
        <f>+VLOOKUP(Tabla3[[#This Row],[PATENTE]],'BASE DATOS'!F:I,4,0)</f>
        <v>SI</v>
      </c>
      <c r="H111" s="584" t="str">
        <f>+VLOOKUP(Tabla3[[#This Row],[PATENTE]],'BASE DATOS'!F:J,5,0)</f>
        <v>SI</v>
      </c>
      <c r="I111" s="582" t="str">
        <f>+VLOOKUP(Tabla3[[#This Row],[PATENTE]],'BASE DATOS'!F:K,6,0)</f>
        <v>NO</v>
      </c>
      <c r="J111" s="582">
        <f>+VLOOKUP(Tabla3[[#This Row],[PATENTE]],'BASE DATOS'!F:L,7,0)</f>
        <v>2001</v>
      </c>
      <c r="K111" s="593">
        <f>+VLOOKUP(Tabla3[[#This Row],[PATENTE]],'BASE DATOS'!F:M,8,0)</f>
        <v>24</v>
      </c>
      <c r="N111" s="964"/>
      <c r="O111" s="1014"/>
      <c r="P111" s="1014"/>
      <c r="Q111" s="1014"/>
      <c r="R111" s="965" t="str">
        <f t="shared" si="2"/>
        <v>-</v>
      </c>
    </row>
    <row r="112" spans="1:18" hidden="1">
      <c r="A112" s="577" t="s">
        <v>932</v>
      </c>
      <c r="B112" s="582">
        <v>6</v>
      </c>
      <c r="C112" s="588">
        <v>45852</v>
      </c>
      <c r="D112" s="582">
        <f t="shared" si="3"/>
        <v>29</v>
      </c>
      <c r="E112" s="576" t="str">
        <f>+VLOOKUP(Tabla3[[#This Row],[PATENTE]],'BASE DATOS'!F:G,2,0)</f>
        <v xml:space="preserve">TRANSP MAVIR - EFL176 </v>
      </c>
      <c r="F112" s="582" t="str">
        <f>+VLOOKUP(Tabla3[[#This Row],[PATENTE]],'BASE DATOS'!F:H,3,0)</f>
        <v>12P</v>
      </c>
      <c r="G112" s="582" t="str">
        <f>+VLOOKUP(Tabla3[[#This Row],[PATENTE]],'BASE DATOS'!F:I,4,0)</f>
        <v>SI</v>
      </c>
      <c r="H112" s="584" t="str">
        <f>+VLOOKUP(Tabla3[[#This Row],[PATENTE]],'BASE DATOS'!F:J,5,0)</f>
        <v>SI</v>
      </c>
      <c r="I112" s="582" t="str">
        <f>+VLOOKUP(Tabla3[[#This Row],[PATENTE]],'BASE DATOS'!F:K,6,0)</f>
        <v>NO</v>
      </c>
      <c r="J112" s="582">
        <f>+VLOOKUP(Tabla3[[#This Row],[PATENTE]],'BASE DATOS'!F:L,7,0)</f>
        <v>1998</v>
      </c>
      <c r="K112" s="593">
        <f>+VLOOKUP(Tabla3[[#This Row],[PATENTE]],'BASE DATOS'!F:M,8,0)</f>
        <v>27</v>
      </c>
      <c r="N112" s="964"/>
      <c r="O112" s="1014"/>
      <c r="P112" s="1014"/>
      <c r="Q112" s="1014"/>
      <c r="R112" s="965" t="str">
        <f t="shared" si="2"/>
        <v>-</v>
      </c>
    </row>
    <row r="113" spans="1:18" hidden="1">
      <c r="A113" s="578" t="s">
        <v>916</v>
      </c>
      <c r="B113" s="584">
        <v>6</v>
      </c>
      <c r="C113" s="589">
        <v>45852</v>
      </c>
      <c r="D113" s="582">
        <f t="shared" si="3"/>
        <v>29</v>
      </c>
      <c r="E113" s="576" t="str">
        <f>+VLOOKUP(Tabla3[[#This Row],[PATENTE]],'BASE DATOS'!F:G,2,0)</f>
        <v xml:space="preserve">TRANSP MAIDANA CARLOS - EYP088 </v>
      </c>
      <c r="F113" s="582" t="str">
        <f>+VLOOKUP(Tabla3[[#This Row],[PATENTE]],'BASE DATOS'!F:H,3,0)</f>
        <v>6P</v>
      </c>
      <c r="G113" s="582" t="str">
        <f>+VLOOKUP(Tabla3[[#This Row],[PATENTE]],'BASE DATOS'!F:I,4,0)</f>
        <v>SI</v>
      </c>
      <c r="H113" s="584" t="str">
        <f>+VLOOKUP(Tabla3[[#This Row],[PATENTE]],'BASE DATOS'!F:J,5,0)</f>
        <v>SI</v>
      </c>
      <c r="I113" s="582" t="str">
        <f>+VLOOKUP(Tabla3[[#This Row],[PATENTE]],'BASE DATOS'!F:K,6,0)</f>
        <v>NO</v>
      </c>
      <c r="J113" s="582">
        <f>+VLOOKUP(Tabla3[[#This Row],[PATENTE]],'BASE DATOS'!F:L,7,0)</f>
        <v>2006</v>
      </c>
      <c r="K113" s="593">
        <f>+VLOOKUP(Tabla3[[#This Row],[PATENTE]],'BASE DATOS'!F:M,8,0)</f>
        <v>19</v>
      </c>
      <c r="N113" s="964"/>
      <c r="O113" s="1014"/>
      <c r="P113" s="1014"/>
      <c r="Q113" s="1014"/>
      <c r="R113" s="965" t="str">
        <f t="shared" si="2"/>
        <v>-</v>
      </c>
    </row>
    <row r="114" spans="1:18" hidden="1">
      <c r="A114" s="577" t="s">
        <v>891</v>
      </c>
      <c r="B114" s="582">
        <v>6</v>
      </c>
      <c r="C114" s="588">
        <v>45852</v>
      </c>
      <c r="D114" s="582">
        <f t="shared" si="3"/>
        <v>29</v>
      </c>
      <c r="E114" s="576" t="str">
        <f>+VLOOKUP(Tabla3[[#This Row],[PATENTE]],'BASE DATOS'!F:G,2,0)</f>
        <v xml:space="preserve">GANZINI HUGO - HHA085 </v>
      </c>
      <c r="F114" s="582" t="str">
        <f>+VLOOKUP(Tabla3[[#This Row],[PATENTE]],'BASE DATOS'!F:H,3,0)</f>
        <v>2P</v>
      </c>
      <c r="G114" s="582" t="str">
        <f>+VLOOKUP(Tabla3[[#This Row],[PATENTE]],'BASE DATOS'!F:I,4,0)</f>
        <v>SI</v>
      </c>
      <c r="H114" s="584" t="str">
        <f>+VLOOKUP(Tabla3[[#This Row],[PATENTE]],'BASE DATOS'!F:J,5,0)</f>
        <v>SI</v>
      </c>
      <c r="I114" s="582" t="str">
        <f>+VLOOKUP(Tabla3[[#This Row],[PATENTE]],'BASE DATOS'!F:K,6,0)</f>
        <v>NO</v>
      </c>
      <c r="J114" s="582">
        <f>+VLOOKUP(Tabla3[[#This Row],[PATENTE]],'BASE DATOS'!F:L,7,0)</f>
        <v>2008</v>
      </c>
      <c r="K114" s="593">
        <f>+VLOOKUP(Tabla3[[#This Row],[PATENTE]],'BASE DATOS'!F:M,8,0)</f>
        <v>17</v>
      </c>
      <c r="N114" s="964"/>
      <c r="O114" s="1014"/>
      <c r="P114" s="1014"/>
      <c r="Q114" s="1014"/>
      <c r="R114" s="965" t="str">
        <f t="shared" si="2"/>
        <v>-</v>
      </c>
    </row>
    <row r="115" spans="1:18" hidden="1">
      <c r="A115" s="578" t="s">
        <v>913</v>
      </c>
      <c r="B115" s="584">
        <v>6</v>
      </c>
      <c r="C115" s="589">
        <v>45852</v>
      </c>
      <c r="D115" s="582">
        <f t="shared" si="3"/>
        <v>29</v>
      </c>
      <c r="E115" s="576" t="str">
        <f>+VLOOKUP(Tabla3[[#This Row],[PATENTE]],'BASE DATOS'!F:G,2,0)</f>
        <v xml:space="preserve">TRANSP DON NENO - KSI803 </v>
      </c>
      <c r="F115" s="582" t="str">
        <f>+VLOOKUP(Tabla3[[#This Row],[PATENTE]],'BASE DATOS'!F:H,3,0)</f>
        <v>2P</v>
      </c>
      <c r="G115" s="582" t="str">
        <f>+VLOOKUP(Tabla3[[#This Row],[PATENTE]],'BASE DATOS'!F:I,4,0)</f>
        <v>SI</v>
      </c>
      <c r="H115" s="584" t="str">
        <f>+VLOOKUP(Tabla3[[#This Row],[PATENTE]],'BASE DATOS'!F:J,5,0)</f>
        <v>SI</v>
      </c>
      <c r="I115" s="582" t="str">
        <f>+VLOOKUP(Tabla3[[#This Row],[PATENTE]],'BASE DATOS'!F:K,6,0)</f>
        <v>NO</v>
      </c>
      <c r="J115" s="582">
        <f>+VLOOKUP(Tabla3[[#This Row],[PATENTE]],'BASE DATOS'!F:L,7,0)</f>
        <v>2012</v>
      </c>
      <c r="K115" s="593">
        <f>+VLOOKUP(Tabla3[[#This Row],[PATENTE]],'BASE DATOS'!F:M,8,0)</f>
        <v>13</v>
      </c>
      <c r="N115" s="964"/>
      <c r="O115" s="1014"/>
      <c r="P115" s="1014"/>
      <c r="Q115" s="1014"/>
      <c r="R115" s="965" t="str">
        <f t="shared" si="2"/>
        <v>-</v>
      </c>
    </row>
    <row r="116" spans="1:18" hidden="1">
      <c r="A116" s="577" t="s">
        <v>909</v>
      </c>
      <c r="B116" s="582">
        <v>6</v>
      </c>
      <c r="C116" s="588">
        <v>45852</v>
      </c>
      <c r="D116" s="582">
        <f t="shared" si="3"/>
        <v>29</v>
      </c>
      <c r="E116" s="576" t="str">
        <f>+VLOOKUP(Tabla3[[#This Row],[PATENTE]],'BASE DATOS'!F:G,2,0)</f>
        <v xml:space="preserve">CRISTIAN MOYA - NHR055 </v>
      </c>
      <c r="F116" s="582" t="str">
        <f>+VLOOKUP(Tabla3[[#This Row],[PATENTE]],'BASE DATOS'!F:H,3,0)</f>
        <v>6P</v>
      </c>
      <c r="G116" s="582" t="str">
        <f>+VLOOKUP(Tabla3[[#This Row],[PATENTE]],'BASE DATOS'!F:I,4,0)</f>
        <v>SI</v>
      </c>
      <c r="H116" s="584" t="str">
        <f>+VLOOKUP(Tabla3[[#This Row],[PATENTE]],'BASE DATOS'!F:J,5,0)</f>
        <v>SI</v>
      </c>
      <c r="I116" s="582" t="str">
        <f>+VLOOKUP(Tabla3[[#This Row],[PATENTE]],'BASE DATOS'!F:K,6,0)</f>
        <v>NO</v>
      </c>
      <c r="J116" s="582">
        <f>+VLOOKUP(Tabla3[[#This Row],[PATENTE]],'BASE DATOS'!F:L,7,0)</f>
        <v>2013</v>
      </c>
      <c r="K116" s="593">
        <f>+VLOOKUP(Tabla3[[#This Row],[PATENTE]],'BASE DATOS'!F:M,8,0)</f>
        <v>12</v>
      </c>
      <c r="N116" s="964"/>
      <c r="O116" s="1014"/>
      <c r="P116" s="1014"/>
      <c r="Q116" s="1014"/>
      <c r="R116" s="965" t="str">
        <f t="shared" si="2"/>
        <v>-</v>
      </c>
    </row>
    <row r="117" spans="1:18" hidden="1">
      <c r="A117" s="578" t="s">
        <v>898</v>
      </c>
      <c r="B117" s="584">
        <v>6</v>
      </c>
      <c r="C117" s="589">
        <v>45852</v>
      </c>
      <c r="D117" s="582">
        <f t="shared" si="3"/>
        <v>29</v>
      </c>
      <c r="E117" s="576" t="str">
        <f>+VLOOKUP(Tabla3[[#This Row],[PATENTE]],'BASE DATOS'!F:G,2,0)</f>
        <v xml:space="preserve">TRANSP BERMEJO - NXP980 </v>
      </c>
      <c r="F117" s="582" t="str">
        <f>+VLOOKUP(Tabla3[[#This Row],[PATENTE]],'BASE DATOS'!F:H,3,0)</f>
        <v>12P</v>
      </c>
      <c r="G117" s="582" t="str">
        <f>+VLOOKUP(Tabla3[[#This Row],[PATENTE]],'BASE DATOS'!F:I,4,0)</f>
        <v>SI</v>
      </c>
      <c r="H117" s="584" t="str">
        <f>+VLOOKUP(Tabla3[[#This Row],[PATENTE]],'BASE DATOS'!F:J,5,0)</f>
        <v>SI</v>
      </c>
      <c r="I117" s="582" t="str">
        <f>+VLOOKUP(Tabla3[[#This Row],[PATENTE]],'BASE DATOS'!F:K,6,0)</f>
        <v>SI</v>
      </c>
      <c r="J117" s="582">
        <f>+VLOOKUP(Tabla3[[#This Row],[PATENTE]],'BASE DATOS'!F:L,7,0)</f>
        <v>2015</v>
      </c>
      <c r="K117" s="593">
        <f>+VLOOKUP(Tabla3[[#This Row],[PATENTE]],'BASE DATOS'!F:M,8,0)</f>
        <v>10</v>
      </c>
      <c r="N117" s="964"/>
      <c r="O117" s="1014"/>
      <c r="P117" s="1014"/>
      <c r="Q117" s="1014"/>
      <c r="R117" s="965" t="str">
        <f t="shared" si="2"/>
        <v>-</v>
      </c>
    </row>
    <row r="118" spans="1:18" hidden="1">
      <c r="A118" s="577" t="s">
        <v>879</v>
      </c>
      <c r="B118" s="582">
        <v>6</v>
      </c>
      <c r="C118" s="588">
        <v>45852</v>
      </c>
      <c r="D118" s="582">
        <f t="shared" si="3"/>
        <v>29</v>
      </c>
      <c r="E118" s="576" t="str">
        <f>+VLOOKUP(Tabla3[[#This Row],[PATENTE]],'BASE DATOS'!F:G,2,0)</f>
        <v xml:space="preserve">TRANSP JP - OYP470 </v>
      </c>
      <c r="F118" s="582" t="str">
        <f>+VLOOKUP(Tabla3[[#This Row],[PATENTE]],'BASE DATOS'!F:H,3,0)</f>
        <v>8P</v>
      </c>
      <c r="G118" s="582" t="str">
        <f>+VLOOKUP(Tabla3[[#This Row],[PATENTE]],'BASE DATOS'!F:I,4,0)</f>
        <v>SI</v>
      </c>
      <c r="H118" s="584" t="str">
        <f>+VLOOKUP(Tabla3[[#This Row],[PATENTE]],'BASE DATOS'!F:J,5,0)</f>
        <v>SI</v>
      </c>
      <c r="I118" s="582" t="str">
        <f>+VLOOKUP(Tabla3[[#This Row],[PATENTE]],'BASE DATOS'!F:K,6,0)</f>
        <v>NO</v>
      </c>
      <c r="J118" s="582">
        <f>+VLOOKUP(Tabla3[[#This Row],[PATENTE]],'BASE DATOS'!F:L,7,0)</f>
        <v>2011</v>
      </c>
      <c r="K118" s="593">
        <f>+VLOOKUP(Tabla3[[#This Row],[PATENTE]],'BASE DATOS'!F:M,8,0)</f>
        <v>14</v>
      </c>
      <c r="N118" s="964"/>
      <c r="O118" s="1014"/>
      <c r="P118" s="1014"/>
      <c r="Q118" s="1014"/>
      <c r="R118" s="965" t="str">
        <f t="shared" si="2"/>
        <v>-</v>
      </c>
    </row>
    <row r="119" spans="1:18" hidden="1">
      <c r="A119" s="578" t="s">
        <v>878</v>
      </c>
      <c r="B119" s="584">
        <v>5</v>
      </c>
      <c r="C119" s="589">
        <v>45852</v>
      </c>
      <c r="D119" s="582">
        <f t="shared" si="3"/>
        <v>29</v>
      </c>
      <c r="E119" s="576" t="str">
        <f>+VLOOKUP(Tabla3[[#This Row],[PATENTE]],'BASE DATOS'!F:G,2,0)</f>
        <v xml:space="preserve">PACHECO JULIO - AA854LY </v>
      </c>
      <c r="F119" s="582" t="str">
        <f>+VLOOKUP(Tabla3[[#This Row],[PATENTE]],'BASE DATOS'!F:H,3,0)</f>
        <v>7P</v>
      </c>
      <c r="G119" s="582" t="str">
        <f>+VLOOKUP(Tabla3[[#This Row],[PATENTE]],'BASE DATOS'!F:I,4,0)</f>
        <v>SI</v>
      </c>
      <c r="H119" s="584" t="str">
        <f>+VLOOKUP(Tabla3[[#This Row],[PATENTE]],'BASE DATOS'!F:J,5,0)</f>
        <v>SI</v>
      </c>
      <c r="I119" s="582" t="str">
        <f>+VLOOKUP(Tabla3[[#This Row],[PATENTE]],'BASE DATOS'!F:K,6,0)</f>
        <v>NO</v>
      </c>
      <c r="J119" s="582">
        <f>+VLOOKUP(Tabla3[[#This Row],[PATENTE]],'BASE DATOS'!F:L,7,0)</f>
        <v>2016</v>
      </c>
      <c r="K119" s="593">
        <f>+VLOOKUP(Tabla3[[#This Row],[PATENTE]],'BASE DATOS'!F:M,8,0)</f>
        <v>9</v>
      </c>
      <c r="N119" s="964"/>
      <c r="O119" s="1014"/>
      <c r="P119" s="1014"/>
      <c r="Q119" s="1014"/>
      <c r="R119" s="965" t="str">
        <f t="shared" si="2"/>
        <v>-</v>
      </c>
    </row>
    <row r="120" spans="1:18" hidden="1">
      <c r="A120" s="577" t="s">
        <v>884</v>
      </c>
      <c r="B120" s="582">
        <v>5</v>
      </c>
      <c r="C120" s="588">
        <v>45852</v>
      </c>
      <c r="D120" s="582">
        <f t="shared" si="3"/>
        <v>29</v>
      </c>
      <c r="E120" s="576" t="str">
        <f>+VLOOKUP(Tabla3[[#This Row],[PATENTE]],'BASE DATOS'!F:G,2,0)</f>
        <v xml:space="preserve">LAURIA (SERVAL) - AB233IT </v>
      </c>
      <c r="F120" s="582" t="str">
        <f>+VLOOKUP(Tabla3[[#This Row],[PATENTE]],'BASE DATOS'!F:H,3,0)</f>
        <v>6P</v>
      </c>
      <c r="G120" s="582" t="str">
        <f>+VLOOKUP(Tabla3[[#This Row],[PATENTE]],'BASE DATOS'!F:I,4,0)</f>
        <v>SI</v>
      </c>
      <c r="H120" s="584" t="str">
        <f>+VLOOKUP(Tabla3[[#This Row],[PATENTE]],'BASE DATOS'!F:J,5,0)</f>
        <v>SI</v>
      </c>
      <c r="I120" s="582" t="str">
        <f>+VLOOKUP(Tabla3[[#This Row],[PATENTE]],'BASE DATOS'!F:K,6,0)</f>
        <v>NO</v>
      </c>
      <c r="J120" s="582">
        <f>+VLOOKUP(Tabla3[[#This Row],[PATENTE]],'BASE DATOS'!F:L,7,0)</f>
        <v>2017</v>
      </c>
      <c r="K120" s="593">
        <f>+VLOOKUP(Tabla3[[#This Row],[PATENTE]],'BASE DATOS'!F:M,8,0)</f>
        <v>8</v>
      </c>
      <c r="N120" s="964"/>
      <c r="O120" s="1014"/>
      <c r="P120" s="1014"/>
      <c r="Q120" s="1014"/>
      <c r="R120" s="965" t="str">
        <f t="shared" si="2"/>
        <v>-</v>
      </c>
    </row>
    <row r="121" spans="1:18" hidden="1">
      <c r="A121" s="578" t="s">
        <v>912</v>
      </c>
      <c r="B121" s="584">
        <v>5</v>
      </c>
      <c r="C121" s="589">
        <v>45852</v>
      </c>
      <c r="D121" s="582">
        <f t="shared" si="3"/>
        <v>29</v>
      </c>
      <c r="E121" s="576" t="str">
        <f>+VLOOKUP(Tabla3[[#This Row],[PATENTE]],'BASE DATOS'!F:G,2,0)</f>
        <v xml:space="preserve">PACHECO JULIO - AC028WN </v>
      </c>
      <c r="F121" s="582" t="str">
        <f>+VLOOKUP(Tabla3[[#This Row],[PATENTE]],'BASE DATOS'!F:H,3,0)</f>
        <v>8P</v>
      </c>
      <c r="G121" s="582" t="str">
        <f>+VLOOKUP(Tabla3[[#This Row],[PATENTE]],'BASE DATOS'!F:I,4,0)</f>
        <v>SI</v>
      </c>
      <c r="H121" s="584" t="str">
        <f>+VLOOKUP(Tabla3[[#This Row],[PATENTE]],'BASE DATOS'!F:J,5,0)</f>
        <v>SI</v>
      </c>
      <c r="I121" s="582" t="str">
        <f>+VLOOKUP(Tabla3[[#This Row],[PATENTE]],'BASE DATOS'!F:K,6,0)</f>
        <v>SI</v>
      </c>
      <c r="J121" s="582">
        <f>+VLOOKUP(Tabla3[[#This Row],[PATENTE]],'BASE DATOS'!F:L,7,0)</f>
        <v>2017</v>
      </c>
      <c r="K121" s="593">
        <f>+VLOOKUP(Tabla3[[#This Row],[PATENTE]],'BASE DATOS'!F:M,8,0)</f>
        <v>8</v>
      </c>
      <c r="N121" s="964"/>
      <c r="O121" s="1014"/>
      <c r="P121" s="1014"/>
      <c r="Q121" s="1014"/>
      <c r="R121" s="965" t="str">
        <f t="shared" si="2"/>
        <v>-</v>
      </c>
    </row>
    <row r="122" spans="1:18" hidden="1">
      <c r="A122" s="577" t="s">
        <v>888</v>
      </c>
      <c r="B122" s="582">
        <v>5</v>
      </c>
      <c r="C122" s="588">
        <v>45852</v>
      </c>
      <c r="D122" s="582">
        <f t="shared" si="3"/>
        <v>29</v>
      </c>
      <c r="E122" s="576" t="str">
        <f>+VLOOKUP(Tabla3[[#This Row],[PATENTE]],'BASE DATOS'!F:G,2,0)</f>
        <v xml:space="preserve">TRANSP FIRST CLASS - AD535UI </v>
      </c>
      <c r="F122" s="582" t="str">
        <f>+VLOOKUP(Tabla3[[#This Row],[PATENTE]],'BASE DATOS'!F:H,3,0)</f>
        <v>6P</v>
      </c>
      <c r="G122" s="582" t="str">
        <f>+VLOOKUP(Tabla3[[#This Row],[PATENTE]],'BASE DATOS'!F:I,4,0)</f>
        <v>SI</v>
      </c>
      <c r="H122" s="584" t="str">
        <f>+VLOOKUP(Tabla3[[#This Row],[PATENTE]],'BASE DATOS'!F:J,5,0)</f>
        <v>SI</v>
      </c>
      <c r="I122" s="582" t="str">
        <f>+VLOOKUP(Tabla3[[#This Row],[PATENTE]],'BASE DATOS'!F:K,6,0)</f>
        <v>NO</v>
      </c>
      <c r="J122" s="582">
        <f>+VLOOKUP(Tabla3[[#This Row],[PATENTE]],'BASE DATOS'!F:L,7,0)</f>
        <v>2019</v>
      </c>
      <c r="K122" s="593">
        <f>+VLOOKUP(Tabla3[[#This Row],[PATENTE]],'BASE DATOS'!F:M,8,0)</f>
        <v>6</v>
      </c>
      <c r="N122" s="964"/>
      <c r="O122" s="1014"/>
      <c r="P122" s="1014"/>
      <c r="Q122" s="1014"/>
      <c r="R122" s="965" t="str">
        <f t="shared" si="2"/>
        <v>-</v>
      </c>
    </row>
    <row r="123" spans="1:18" hidden="1">
      <c r="A123" s="578" t="s">
        <v>895</v>
      </c>
      <c r="B123" s="584">
        <v>5</v>
      </c>
      <c r="C123" s="589">
        <v>45852</v>
      </c>
      <c r="D123" s="582">
        <f t="shared" si="3"/>
        <v>29</v>
      </c>
      <c r="E123" s="576" t="str">
        <f>+VLOOKUP(Tabla3[[#This Row],[PATENTE]],'BASE DATOS'!F:G,2,0)</f>
        <v xml:space="preserve">TRANSPORTE MICAELA </v>
      </c>
      <c r="F123" s="582" t="str">
        <f>+VLOOKUP(Tabla3[[#This Row],[PATENTE]],'BASE DATOS'!F:H,3,0)</f>
        <v>2P</v>
      </c>
      <c r="G123" s="582" t="str">
        <f>+VLOOKUP(Tabla3[[#This Row],[PATENTE]],'BASE DATOS'!F:I,4,0)</f>
        <v>NO</v>
      </c>
      <c r="H123" s="584" t="str">
        <f>+VLOOKUP(Tabla3[[#This Row],[PATENTE]],'BASE DATOS'!F:J,5,0)</f>
        <v>SI</v>
      </c>
      <c r="I123" s="582" t="str">
        <f>+VLOOKUP(Tabla3[[#This Row],[PATENTE]],'BASE DATOS'!F:K,6,0)</f>
        <v>NO</v>
      </c>
      <c r="J123" s="582">
        <f>+VLOOKUP(Tabla3[[#This Row],[PATENTE]],'BASE DATOS'!F:L,7,0)</f>
        <v>2024</v>
      </c>
      <c r="K123" s="593">
        <f>+VLOOKUP(Tabla3[[#This Row],[PATENTE]],'BASE DATOS'!F:M,8,0)</f>
        <v>1</v>
      </c>
      <c r="N123" s="964"/>
      <c r="O123" s="1014"/>
      <c r="P123" s="1014"/>
      <c r="Q123" s="1014"/>
      <c r="R123" s="965" t="str">
        <f t="shared" si="2"/>
        <v>-</v>
      </c>
    </row>
    <row r="124" spans="1:18" hidden="1">
      <c r="A124" s="577" t="s">
        <v>903</v>
      </c>
      <c r="B124" s="582">
        <v>5</v>
      </c>
      <c r="C124" s="588">
        <v>45852</v>
      </c>
      <c r="D124" s="582">
        <f t="shared" si="3"/>
        <v>29</v>
      </c>
      <c r="E124" s="576" t="str">
        <f>+VLOOKUP(Tabla3[[#This Row],[PATENTE]],'BASE DATOS'!F:G,2,0)</f>
        <v xml:space="preserve">TRANSP CLAUDIO BUSTOS - AG243PE </v>
      </c>
      <c r="F124" s="582" t="str">
        <f>+VLOOKUP(Tabla3[[#This Row],[PATENTE]],'BASE DATOS'!F:H,3,0)</f>
        <v>1P</v>
      </c>
      <c r="G124" s="582" t="str">
        <f>+VLOOKUP(Tabla3[[#This Row],[PATENTE]],'BASE DATOS'!F:I,4,0)</f>
        <v>SI</v>
      </c>
      <c r="H124" s="584" t="str">
        <f>+VLOOKUP(Tabla3[[#This Row],[PATENTE]],'BASE DATOS'!F:J,5,0)</f>
        <v>SI</v>
      </c>
      <c r="I124" s="582" t="str">
        <f>+VLOOKUP(Tabla3[[#This Row],[PATENTE]],'BASE DATOS'!F:K,6,0)</f>
        <v>NO</v>
      </c>
      <c r="J124" s="582">
        <f>+VLOOKUP(Tabla3[[#This Row],[PATENTE]],'BASE DATOS'!F:L,7,0)</f>
        <v>2024</v>
      </c>
      <c r="K124" s="593">
        <f>+VLOOKUP(Tabla3[[#This Row],[PATENTE]],'BASE DATOS'!F:M,8,0)</f>
        <v>1</v>
      </c>
      <c r="N124" s="964"/>
      <c r="O124" s="1014"/>
      <c r="P124" s="1014"/>
      <c r="Q124" s="1014"/>
      <c r="R124" s="965" t="str">
        <f t="shared" si="2"/>
        <v>-</v>
      </c>
    </row>
    <row r="125" spans="1:18" hidden="1">
      <c r="A125" s="578" t="s">
        <v>915</v>
      </c>
      <c r="B125" s="584">
        <v>5</v>
      </c>
      <c r="C125" s="589">
        <v>45852</v>
      </c>
      <c r="D125" s="582">
        <f t="shared" si="3"/>
        <v>29</v>
      </c>
      <c r="E125" s="576" t="str">
        <f>+VLOOKUP(Tabla3[[#This Row],[PATENTE]],'BASE DATOS'!F:G,2,0)</f>
        <v>TRANSPORTE GRACIELA - FPL254</v>
      </c>
      <c r="F125" s="582" t="str">
        <f>+VLOOKUP(Tabla3[[#This Row],[PATENTE]],'BASE DATOS'!F:H,3,0)</f>
        <v>2P</v>
      </c>
      <c r="G125" s="582" t="str">
        <f>+VLOOKUP(Tabla3[[#This Row],[PATENTE]],'BASE DATOS'!F:I,4,0)</f>
        <v>SI</v>
      </c>
      <c r="H125" s="584" t="str">
        <f>+VLOOKUP(Tabla3[[#This Row],[PATENTE]],'BASE DATOS'!F:J,5,0)</f>
        <v>NO (CAMI)</v>
      </c>
      <c r="I125" s="582" t="str">
        <f>+VLOOKUP(Tabla3[[#This Row],[PATENTE]],'BASE DATOS'!F:K,6,0)</f>
        <v>NO</v>
      </c>
      <c r="J125" s="582">
        <f>+VLOOKUP(Tabla3[[#This Row],[PATENTE]],'BASE DATOS'!F:L,7,0)</f>
        <v>2012</v>
      </c>
      <c r="K125" s="593">
        <f>+VLOOKUP(Tabla3[[#This Row],[PATENTE]],'BASE DATOS'!F:M,8,0)</f>
        <v>13</v>
      </c>
      <c r="N125" s="964"/>
      <c r="O125" s="1014"/>
      <c r="P125" s="1014"/>
      <c r="Q125" s="1014"/>
      <c r="R125" s="965" t="str">
        <f t="shared" si="2"/>
        <v>-</v>
      </c>
    </row>
    <row r="126" spans="1:18" hidden="1">
      <c r="A126" s="577" t="s">
        <v>889</v>
      </c>
      <c r="B126" s="582">
        <v>5</v>
      </c>
      <c r="C126" s="588">
        <v>45852</v>
      </c>
      <c r="D126" s="582">
        <f t="shared" si="3"/>
        <v>29</v>
      </c>
      <c r="E126" s="576" t="str">
        <f>+VLOOKUP(Tabla3[[#This Row],[PATENTE]],'BASE DATOS'!F:G,2,0)</f>
        <v xml:space="preserve">COLO - HAW164 </v>
      </c>
      <c r="F126" s="582" t="str">
        <f>+VLOOKUP(Tabla3[[#This Row],[PATENTE]],'BASE DATOS'!F:H,3,0)</f>
        <v>6P</v>
      </c>
      <c r="G126" s="582" t="str">
        <f>+VLOOKUP(Tabla3[[#This Row],[PATENTE]],'BASE DATOS'!F:I,4,0)</f>
        <v>NO</v>
      </c>
      <c r="H126" s="584" t="str">
        <f>+VLOOKUP(Tabla3[[#This Row],[PATENTE]],'BASE DATOS'!F:J,5,0)</f>
        <v>SI</v>
      </c>
      <c r="I126" s="582" t="str">
        <f>+VLOOKUP(Tabla3[[#This Row],[PATENTE]],'BASE DATOS'!F:K,6,0)</f>
        <v>NO</v>
      </c>
      <c r="J126" s="582">
        <f>+VLOOKUP(Tabla3[[#This Row],[PATENTE]],'BASE DATOS'!F:L,7,0)</f>
        <v>2009</v>
      </c>
      <c r="K126" s="593">
        <f>+VLOOKUP(Tabla3[[#This Row],[PATENTE]],'BASE DATOS'!F:M,8,0)</f>
        <v>16</v>
      </c>
      <c r="N126" s="966"/>
      <c r="O126" s="1016"/>
      <c r="P126" s="1016"/>
      <c r="Q126" s="1016"/>
      <c r="R126" s="1024" t="str">
        <f t="shared" si="2"/>
        <v>-</v>
      </c>
    </row>
    <row r="127" spans="1:18" hidden="1">
      <c r="A127" s="578" t="s">
        <v>900</v>
      </c>
      <c r="B127" s="584">
        <v>5</v>
      </c>
      <c r="C127" s="589">
        <v>45852</v>
      </c>
      <c r="D127" s="582">
        <f t="shared" si="3"/>
        <v>29</v>
      </c>
      <c r="E127" s="576" t="str">
        <f>+VLOOKUP(Tabla3[[#This Row],[PATENTE]],'BASE DATOS'!F:G,2,0)</f>
        <v>TRANSPORTE GENA GAIA - IMO939</v>
      </c>
      <c r="F127" s="582" t="str">
        <f>+VLOOKUP(Tabla3[[#This Row],[PATENTE]],'BASE DATOS'!F:H,3,0)</f>
        <v>24P</v>
      </c>
      <c r="G127" s="582" t="str">
        <f>+VLOOKUP(Tabla3[[#This Row],[PATENTE]],'BASE DATOS'!F:I,4,0)</f>
        <v>Gestya</v>
      </c>
      <c r="H127" s="584" t="str">
        <f>+VLOOKUP(Tabla3[[#This Row],[PATENTE]],'BASE DATOS'!F:J,5,0)</f>
        <v xml:space="preserve">NO </v>
      </c>
      <c r="I127" s="582" t="str">
        <f>+VLOOKUP(Tabla3[[#This Row],[PATENTE]],'BASE DATOS'!F:K,6,0)</f>
        <v>NO</v>
      </c>
      <c r="J127" s="582">
        <f>+VLOOKUP(Tabla3[[#This Row],[PATENTE]],'BASE DATOS'!F:L,7,0)</f>
        <v>2010</v>
      </c>
      <c r="K127" s="593">
        <f>+VLOOKUP(Tabla3[[#This Row],[PATENTE]],'BASE DATOS'!F:M,8,0)</f>
        <v>15</v>
      </c>
      <c r="N127" s="826"/>
      <c r="O127" s="1015"/>
      <c r="P127" s="1015"/>
      <c r="Q127" s="1015"/>
      <c r="R127" s="965" t="str">
        <f t="shared" si="2"/>
        <v>-</v>
      </c>
    </row>
    <row r="128" spans="1:18" hidden="1">
      <c r="A128" s="577" t="s">
        <v>925</v>
      </c>
      <c r="B128" s="582">
        <v>5</v>
      </c>
      <c r="C128" s="588">
        <v>45852</v>
      </c>
      <c r="D128" s="582">
        <f t="shared" si="3"/>
        <v>29</v>
      </c>
      <c r="E128" s="576" t="str">
        <f>+VLOOKUP(Tabla3[[#This Row],[PATENTE]],'BASE DATOS'!F:G,2,0)</f>
        <v xml:space="preserve">TRANSP MAIDANA FACUNDO - KOW745 </v>
      </c>
      <c r="F128" s="582" t="str">
        <f>+VLOOKUP(Tabla3[[#This Row],[PATENTE]],'BASE DATOS'!F:H,3,0)</f>
        <v>8P</v>
      </c>
      <c r="G128" s="582" t="str">
        <f>+VLOOKUP(Tabla3[[#This Row],[PATENTE]],'BASE DATOS'!F:I,4,0)</f>
        <v>SI</v>
      </c>
      <c r="H128" s="584" t="str">
        <f>+VLOOKUP(Tabla3[[#This Row],[PATENTE]],'BASE DATOS'!F:J,5,0)</f>
        <v>SI</v>
      </c>
      <c r="I128" s="582" t="str">
        <f>+VLOOKUP(Tabla3[[#This Row],[PATENTE]],'BASE DATOS'!F:K,6,0)</f>
        <v>NO</v>
      </c>
      <c r="J128" s="582">
        <f>+VLOOKUP(Tabla3[[#This Row],[PATENTE]],'BASE DATOS'!F:L,7,0)</f>
        <v>2012</v>
      </c>
      <c r="K128" s="593">
        <f>+VLOOKUP(Tabla3[[#This Row],[PATENTE]],'BASE DATOS'!F:M,8,0)</f>
        <v>13</v>
      </c>
      <c r="N128" s="826"/>
      <c r="O128" s="1015"/>
      <c r="P128" s="1015"/>
      <c r="Q128" s="1015"/>
      <c r="R128" s="965" t="str">
        <f t="shared" si="2"/>
        <v>-</v>
      </c>
    </row>
    <row r="129" spans="1:18" hidden="1">
      <c r="A129" s="578" t="s">
        <v>920</v>
      </c>
      <c r="B129" s="584">
        <v>5</v>
      </c>
      <c r="C129" s="589">
        <v>45852</v>
      </c>
      <c r="D129" s="582">
        <f t="shared" si="3"/>
        <v>29</v>
      </c>
      <c r="E129" s="576" t="str">
        <f>+VLOOKUP(Tabla3[[#This Row],[PATENTE]],'BASE DATOS'!F:G,2,0)</f>
        <v xml:space="preserve">TRANSP LAGOS - MRV682 </v>
      </c>
      <c r="F129" s="582" t="str">
        <f>+VLOOKUP(Tabla3[[#This Row],[PATENTE]],'BASE DATOS'!F:H,3,0)</f>
        <v>8P</v>
      </c>
      <c r="G129" s="582" t="str">
        <f>+VLOOKUP(Tabla3[[#This Row],[PATENTE]],'BASE DATOS'!F:I,4,0)</f>
        <v>SI</v>
      </c>
      <c r="H129" s="584" t="str">
        <f>+VLOOKUP(Tabla3[[#This Row],[PATENTE]],'BASE DATOS'!F:J,5,0)</f>
        <v>SI</v>
      </c>
      <c r="I129" s="582" t="str">
        <f>+VLOOKUP(Tabla3[[#This Row],[PATENTE]],'BASE DATOS'!F:K,6,0)</f>
        <v>NO</v>
      </c>
      <c r="J129" s="582">
        <f>+VLOOKUP(Tabla3[[#This Row],[PATENTE]],'BASE DATOS'!F:L,7,0)</f>
        <v>2013</v>
      </c>
      <c r="K129" s="593">
        <f>+VLOOKUP(Tabla3[[#This Row],[PATENTE]],'BASE DATOS'!F:M,8,0)</f>
        <v>12</v>
      </c>
      <c r="N129" s="826"/>
      <c r="O129" s="1015"/>
      <c r="P129" s="1015"/>
      <c r="Q129" s="1015"/>
      <c r="R129" s="965" t="str">
        <f t="shared" si="2"/>
        <v>-</v>
      </c>
    </row>
    <row r="130" spans="1:18" hidden="1">
      <c r="A130" s="577" t="s">
        <v>886</v>
      </c>
      <c r="B130" s="582">
        <v>5</v>
      </c>
      <c r="C130" s="588">
        <v>45852</v>
      </c>
      <c r="D130" s="582">
        <f t="shared" si="3"/>
        <v>29</v>
      </c>
      <c r="E130" s="576" t="str">
        <f>+VLOOKUP(Tabla3[[#This Row],[PATENTE]],'BASE DATOS'!F:G,2,0)</f>
        <v xml:space="preserve">TRANSP LAGOS - NOO925 </v>
      </c>
      <c r="F130" s="582" t="str">
        <f>+VLOOKUP(Tabla3[[#This Row],[PATENTE]],'BASE DATOS'!F:H,3,0)</f>
        <v>8P</v>
      </c>
      <c r="G130" s="582" t="str">
        <f>+VLOOKUP(Tabla3[[#This Row],[PATENTE]],'BASE DATOS'!F:I,4,0)</f>
        <v>SI</v>
      </c>
      <c r="H130" s="584" t="str">
        <f>+VLOOKUP(Tabla3[[#This Row],[PATENTE]],'BASE DATOS'!F:J,5,0)</f>
        <v>SI</v>
      </c>
      <c r="I130" s="582" t="str">
        <f>+VLOOKUP(Tabla3[[#This Row],[PATENTE]],'BASE DATOS'!F:K,6,0)</f>
        <v>NO</v>
      </c>
      <c r="J130" s="582">
        <f>+VLOOKUP(Tabla3[[#This Row],[PATENTE]],'BASE DATOS'!F:L,7,0)</f>
        <v>2014</v>
      </c>
      <c r="K130" s="593">
        <f>+VLOOKUP(Tabla3[[#This Row],[PATENTE]],'BASE DATOS'!F:M,8,0)</f>
        <v>11</v>
      </c>
      <c r="N130" s="826"/>
      <c r="O130" s="1015"/>
      <c r="P130" s="1015"/>
      <c r="Q130" s="1015"/>
      <c r="R130" s="965" t="str">
        <f t="shared" ref="R130:R193" si="4">IFERROR(AVERAGE(O130:Q130),"-")</f>
        <v>-</v>
      </c>
    </row>
    <row r="131" spans="1:18" hidden="1">
      <c r="A131" s="578" t="s">
        <v>919</v>
      </c>
      <c r="B131" s="584">
        <v>4</v>
      </c>
      <c r="C131" s="589">
        <v>45852</v>
      </c>
      <c r="D131" s="582">
        <f t="shared" ref="D131:D194" si="5">+WEEKNUM(C131)</f>
        <v>29</v>
      </c>
      <c r="E131" s="576" t="str">
        <f>+VLOOKUP(Tabla3[[#This Row],[PATENTE]],'BASE DATOS'!F:G,2,0)</f>
        <v xml:space="preserve">GUSTAVO CERQUETTA - AA427LT </v>
      </c>
      <c r="F131" s="582" t="str">
        <f>+VLOOKUP(Tabla3[[#This Row],[PATENTE]],'BASE DATOS'!F:H,3,0)</f>
        <v>1P</v>
      </c>
      <c r="G131" s="582" t="str">
        <f>+VLOOKUP(Tabla3[[#This Row],[PATENTE]],'BASE DATOS'!F:I,4,0)</f>
        <v>NO</v>
      </c>
      <c r="H131" s="584" t="str">
        <f>+VLOOKUP(Tabla3[[#This Row],[PATENTE]],'BASE DATOS'!F:J,5,0)</f>
        <v>SI</v>
      </c>
      <c r="I131" s="582" t="str">
        <f>+VLOOKUP(Tabla3[[#This Row],[PATENTE]],'BASE DATOS'!F:K,6,0)</f>
        <v>NO</v>
      </c>
      <c r="J131" s="582">
        <f>+VLOOKUP(Tabla3[[#This Row],[PATENTE]],'BASE DATOS'!F:L,7,0)</f>
        <v>2016</v>
      </c>
      <c r="K131" s="593">
        <f>+VLOOKUP(Tabla3[[#This Row],[PATENTE]],'BASE DATOS'!F:M,8,0)</f>
        <v>9</v>
      </c>
      <c r="N131" s="826"/>
      <c r="O131" s="1015"/>
      <c r="P131" s="1015"/>
      <c r="Q131" s="1015"/>
      <c r="R131" s="965" t="str">
        <f t="shared" si="4"/>
        <v>-</v>
      </c>
    </row>
    <row r="132" spans="1:18" hidden="1">
      <c r="A132" s="577" t="s">
        <v>944</v>
      </c>
      <c r="B132" s="582">
        <v>4</v>
      </c>
      <c r="C132" s="588">
        <v>45852</v>
      </c>
      <c r="D132" s="582">
        <f t="shared" si="5"/>
        <v>29</v>
      </c>
      <c r="E132" s="576" t="str">
        <f>+VLOOKUP(Tabla3[[#This Row],[PATENTE]],'BASE DATOS'!F:G,2,0)</f>
        <v xml:space="preserve">TRANSPORTE GENA GAIA - BHG261 </v>
      </c>
      <c r="F132" s="582" t="str">
        <f>+VLOOKUP(Tabla3[[#This Row],[PATENTE]],'BASE DATOS'!F:H,3,0)</f>
        <v>26P</v>
      </c>
      <c r="G132" s="582" t="str">
        <f>+VLOOKUP(Tabla3[[#This Row],[PATENTE]],'BASE DATOS'!F:I,4,0)</f>
        <v>Gestya</v>
      </c>
      <c r="H132" s="584" t="str">
        <f>+VLOOKUP(Tabla3[[#This Row],[PATENTE]],'BASE DATOS'!F:J,5,0)</f>
        <v xml:space="preserve">NO </v>
      </c>
      <c r="I132" s="582" t="str">
        <f>+VLOOKUP(Tabla3[[#This Row],[PATENTE]],'BASE DATOS'!F:K,6,0)</f>
        <v>NO</v>
      </c>
      <c r="J132" s="582">
        <f>+VLOOKUP(Tabla3[[#This Row],[PATENTE]],'BASE DATOS'!F:L,7,0)</f>
        <v>1997</v>
      </c>
      <c r="K132" s="593">
        <f>+VLOOKUP(Tabla3[[#This Row],[PATENTE]],'BASE DATOS'!F:M,8,0)</f>
        <v>28</v>
      </c>
      <c r="N132" s="826"/>
      <c r="O132" s="1015"/>
      <c r="P132" s="1015"/>
      <c r="Q132" s="1015"/>
      <c r="R132" s="965" t="str">
        <f t="shared" si="4"/>
        <v>-</v>
      </c>
    </row>
    <row r="133" spans="1:18" hidden="1">
      <c r="A133" s="578" t="s">
        <v>921</v>
      </c>
      <c r="B133" s="584">
        <v>4</v>
      </c>
      <c r="C133" s="589">
        <v>45852</v>
      </c>
      <c r="D133" s="582">
        <f t="shared" si="5"/>
        <v>29</v>
      </c>
      <c r="E133" s="576" t="str">
        <f>+VLOOKUP(Tabla3[[#This Row],[PATENTE]],'BASE DATOS'!F:G,2,0)</f>
        <v xml:space="preserve">MAÑAS NORBERTO - CQQ304 </v>
      </c>
      <c r="F133" s="582" t="str">
        <f>+VLOOKUP(Tabla3[[#This Row],[PATENTE]],'BASE DATOS'!F:H,3,0)</f>
        <v>11P</v>
      </c>
      <c r="G133" s="582" t="str">
        <f>+VLOOKUP(Tabla3[[#This Row],[PATENTE]],'BASE DATOS'!F:I,4,0)</f>
        <v>SI</v>
      </c>
      <c r="H133" s="584" t="str">
        <f>+VLOOKUP(Tabla3[[#This Row],[PATENTE]],'BASE DATOS'!F:J,5,0)</f>
        <v>SI</v>
      </c>
      <c r="I133" s="582" t="str">
        <f>+VLOOKUP(Tabla3[[#This Row],[PATENTE]],'BASE DATOS'!F:K,6,0)</f>
        <v>NO</v>
      </c>
      <c r="J133" s="582">
        <f>+VLOOKUP(Tabla3[[#This Row],[PATENTE]],'BASE DATOS'!F:L,7,0)</f>
        <v>2000</v>
      </c>
      <c r="K133" s="593">
        <f>+VLOOKUP(Tabla3[[#This Row],[PATENTE]],'BASE DATOS'!F:M,8,0)</f>
        <v>25</v>
      </c>
      <c r="N133" s="826"/>
      <c r="O133" s="1015"/>
      <c r="P133" s="1015"/>
      <c r="Q133" s="1015"/>
      <c r="R133" s="965" t="str">
        <f t="shared" si="4"/>
        <v>-</v>
      </c>
    </row>
    <row r="134" spans="1:18" hidden="1">
      <c r="A134" s="577" t="s">
        <v>892</v>
      </c>
      <c r="B134" s="582">
        <v>4</v>
      </c>
      <c r="C134" s="588">
        <v>45852</v>
      </c>
      <c r="D134" s="582">
        <f t="shared" si="5"/>
        <v>29</v>
      </c>
      <c r="E134" s="576" t="str">
        <f>+VLOOKUP(Tabla3[[#This Row],[PATENTE]],'BASE DATOS'!F:G,2,0)</f>
        <v xml:space="preserve">COLO - FTL525 </v>
      </c>
      <c r="F134" s="582" t="str">
        <f>+VLOOKUP(Tabla3[[#This Row],[PATENTE]],'BASE DATOS'!F:H,3,0)</f>
        <v>1P</v>
      </c>
      <c r="G134" s="582" t="str">
        <f>+VLOOKUP(Tabla3[[#This Row],[PATENTE]],'BASE DATOS'!F:I,4,0)</f>
        <v>NO</v>
      </c>
      <c r="H134" s="584" t="str">
        <f>+VLOOKUP(Tabla3[[#This Row],[PATENTE]],'BASE DATOS'!F:J,5,0)</f>
        <v>SI</v>
      </c>
      <c r="I134" s="582" t="str">
        <f>+VLOOKUP(Tabla3[[#This Row],[PATENTE]],'BASE DATOS'!F:K,6,0)</f>
        <v>NO</v>
      </c>
      <c r="J134" s="582">
        <f>+VLOOKUP(Tabla3[[#This Row],[PATENTE]],'BASE DATOS'!F:L,7,0)</f>
        <v>2008</v>
      </c>
      <c r="K134" s="593">
        <f>+VLOOKUP(Tabla3[[#This Row],[PATENTE]],'BASE DATOS'!F:M,8,0)</f>
        <v>17</v>
      </c>
      <c r="N134" s="826"/>
      <c r="O134" s="1015"/>
      <c r="P134" s="1015"/>
      <c r="Q134" s="1015"/>
      <c r="R134" s="965" t="str">
        <f t="shared" si="4"/>
        <v>-</v>
      </c>
    </row>
    <row r="135" spans="1:18" hidden="1">
      <c r="A135" s="578" t="s">
        <v>885</v>
      </c>
      <c r="B135" s="584">
        <v>4</v>
      </c>
      <c r="C135" s="589">
        <v>45852</v>
      </c>
      <c r="D135" s="582">
        <f t="shared" si="5"/>
        <v>29</v>
      </c>
      <c r="E135" s="576" t="str">
        <f>+VLOOKUP(Tabla3[[#This Row],[PATENTE]],'BASE DATOS'!F:G,2,0)</f>
        <v xml:space="preserve">TRANSP DON NENO - IES288 </v>
      </c>
      <c r="F135" s="582" t="str">
        <f>+VLOOKUP(Tabla3[[#This Row],[PATENTE]],'BASE DATOS'!F:H,3,0)</f>
        <v>2P</v>
      </c>
      <c r="G135" s="582" t="str">
        <f>+VLOOKUP(Tabla3[[#This Row],[PATENTE]],'BASE DATOS'!F:I,4,0)</f>
        <v>SI</v>
      </c>
      <c r="H135" s="584" t="str">
        <f>+VLOOKUP(Tabla3[[#This Row],[PATENTE]],'BASE DATOS'!F:J,5,0)</f>
        <v>SI</v>
      </c>
      <c r="I135" s="582" t="str">
        <f>+VLOOKUP(Tabla3[[#This Row],[PATENTE]],'BASE DATOS'!F:K,6,0)</f>
        <v>NO</v>
      </c>
      <c r="J135" s="582">
        <f>+VLOOKUP(Tabla3[[#This Row],[PATENTE]],'BASE DATOS'!F:L,7,0)</f>
        <v>2009</v>
      </c>
      <c r="K135" s="593">
        <f>+VLOOKUP(Tabla3[[#This Row],[PATENTE]],'BASE DATOS'!F:M,8,0)</f>
        <v>16</v>
      </c>
      <c r="N135" s="826"/>
      <c r="O135" s="1015"/>
      <c r="P135" s="1015"/>
      <c r="Q135" s="1015"/>
      <c r="R135" s="965" t="str">
        <f t="shared" si="4"/>
        <v>-</v>
      </c>
    </row>
    <row r="136" spans="1:18" hidden="1">
      <c r="A136" s="577" t="s">
        <v>882</v>
      </c>
      <c r="B136" s="582">
        <v>4</v>
      </c>
      <c r="C136" s="588">
        <v>45852</v>
      </c>
      <c r="D136" s="582">
        <f t="shared" si="5"/>
        <v>29</v>
      </c>
      <c r="E136" s="576" t="str">
        <f>+VLOOKUP(Tabla3[[#This Row],[PATENTE]],'BASE DATOS'!F:G,2,0)</f>
        <v xml:space="preserve">MAÑAS - JWN279 </v>
      </c>
      <c r="F136" s="582" t="str">
        <f>+VLOOKUP(Tabla3[[#This Row],[PATENTE]],'BASE DATOS'!F:H,3,0)</f>
        <v>7P</v>
      </c>
      <c r="G136" s="582" t="str">
        <f>+VLOOKUP(Tabla3[[#This Row],[PATENTE]],'BASE DATOS'!F:I,4,0)</f>
        <v>SI</v>
      </c>
      <c r="H136" s="584" t="str">
        <f>+VLOOKUP(Tabla3[[#This Row],[PATENTE]],'BASE DATOS'!F:J,5,0)</f>
        <v>SI</v>
      </c>
      <c r="I136" s="582" t="str">
        <f>+VLOOKUP(Tabla3[[#This Row],[PATENTE]],'BASE DATOS'!F:K,6,0)</f>
        <v>NO</v>
      </c>
      <c r="J136" s="582">
        <f>+VLOOKUP(Tabla3[[#This Row],[PATENTE]],'BASE DATOS'!F:L,7,0)</f>
        <v>2011</v>
      </c>
      <c r="K136" s="593">
        <f>+VLOOKUP(Tabla3[[#This Row],[PATENTE]],'BASE DATOS'!F:M,8,0)</f>
        <v>14</v>
      </c>
      <c r="N136" s="826"/>
      <c r="O136" s="1015"/>
      <c r="P136" s="1015"/>
      <c r="Q136" s="1015"/>
      <c r="R136" s="965" t="str">
        <f t="shared" si="4"/>
        <v>-</v>
      </c>
    </row>
    <row r="137" spans="1:18" hidden="1">
      <c r="A137" s="578" t="s">
        <v>902</v>
      </c>
      <c r="B137" s="584">
        <v>4</v>
      </c>
      <c r="C137" s="589">
        <v>45852</v>
      </c>
      <c r="D137" s="582">
        <f t="shared" si="5"/>
        <v>29</v>
      </c>
      <c r="E137" s="576" t="str">
        <f>+VLOOKUP(Tabla3[[#This Row],[PATENTE]],'BASE DATOS'!F:G,2,0)</f>
        <v xml:space="preserve">GUSTAVO CERQUETTA - KZA644 </v>
      </c>
      <c r="F137" s="582" t="str">
        <f>+VLOOKUP(Tabla3[[#This Row],[PATENTE]],'BASE DATOS'!F:H,3,0)</f>
        <v>2P</v>
      </c>
      <c r="G137" s="582" t="str">
        <f>+VLOOKUP(Tabla3[[#This Row],[PATENTE]],'BASE DATOS'!F:I,4,0)</f>
        <v>NO</v>
      </c>
      <c r="H137" s="584" t="str">
        <f>+VLOOKUP(Tabla3[[#This Row],[PATENTE]],'BASE DATOS'!F:J,5,0)</f>
        <v>SI</v>
      </c>
      <c r="I137" s="582" t="str">
        <f>+VLOOKUP(Tabla3[[#This Row],[PATENTE]],'BASE DATOS'!F:K,6,0)</f>
        <v>NO</v>
      </c>
      <c r="J137" s="582">
        <f>+VLOOKUP(Tabla3[[#This Row],[PATENTE]],'BASE DATOS'!F:L,7,0)</f>
        <v>2012</v>
      </c>
      <c r="K137" s="593">
        <f>+VLOOKUP(Tabla3[[#This Row],[PATENTE]],'BASE DATOS'!F:M,8,0)</f>
        <v>13</v>
      </c>
      <c r="N137" s="826"/>
      <c r="O137" s="1015"/>
      <c r="P137" s="1015"/>
      <c r="Q137" s="1015"/>
      <c r="R137" s="965" t="str">
        <f t="shared" si="4"/>
        <v>-</v>
      </c>
    </row>
    <row r="138" spans="1:18" hidden="1">
      <c r="A138" s="577" t="s">
        <v>883</v>
      </c>
      <c r="B138" s="582">
        <v>3</v>
      </c>
      <c r="C138" s="588">
        <v>45852</v>
      </c>
      <c r="D138" s="582">
        <f t="shared" si="5"/>
        <v>29</v>
      </c>
      <c r="E138" s="576" t="str">
        <f>+VLOOKUP(Tabla3[[#This Row],[PATENTE]],'BASE DATOS'!F:G,2,0)</f>
        <v xml:space="preserve">PACHECO JULIO - ACI503 </v>
      </c>
      <c r="F138" s="582" t="str">
        <f>+VLOOKUP(Tabla3[[#This Row],[PATENTE]],'BASE DATOS'!F:H,3,0)</f>
        <v>12P</v>
      </c>
      <c r="G138" s="582" t="str">
        <f>+VLOOKUP(Tabla3[[#This Row],[PATENTE]],'BASE DATOS'!F:I,4,0)</f>
        <v>NO</v>
      </c>
      <c r="H138" s="584" t="str">
        <f>+VLOOKUP(Tabla3[[#This Row],[PATENTE]],'BASE DATOS'!F:J,5,0)</f>
        <v>SI</v>
      </c>
      <c r="I138" s="582" t="str">
        <f>+VLOOKUP(Tabla3[[#This Row],[PATENTE]],'BASE DATOS'!F:K,6,0)</f>
        <v>SI</v>
      </c>
      <c r="J138" s="582">
        <f>+VLOOKUP(Tabla3[[#This Row],[PATENTE]],'BASE DATOS'!F:L,7,0)</f>
        <v>2000</v>
      </c>
      <c r="K138" s="593">
        <f>+VLOOKUP(Tabla3[[#This Row],[PATENTE]],'BASE DATOS'!F:M,8,0)</f>
        <v>25</v>
      </c>
      <c r="N138" s="826"/>
      <c r="O138" s="1015"/>
      <c r="P138" s="1015"/>
      <c r="Q138" s="1015"/>
      <c r="R138" s="965" t="str">
        <f t="shared" si="4"/>
        <v>-</v>
      </c>
    </row>
    <row r="139" spans="1:18" hidden="1">
      <c r="A139" s="578" t="s">
        <v>906</v>
      </c>
      <c r="B139" s="584">
        <v>3</v>
      </c>
      <c r="C139" s="589">
        <v>45852</v>
      </c>
      <c r="D139" s="582">
        <f t="shared" si="5"/>
        <v>29</v>
      </c>
      <c r="E139" s="576" t="str">
        <f>+VLOOKUP(Tabla3[[#This Row],[PATENTE]],'BASE DATOS'!F:G,2,0)</f>
        <v xml:space="preserve">VAZQUEZ (TRV SRL) - AD472GK </v>
      </c>
      <c r="F139" s="582" t="str">
        <f>+VLOOKUP(Tabla3[[#This Row],[PATENTE]],'BASE DATOS'!F:H,3,0)</f>
        <v>8P</v>
      </c>
      <c r="G139" s="582" t="str">
        <f>+VLOOKUP(Tabla3[[#This Row],[PATENTE]],'BASE DATOS'!F:I,4,0)</f>
        <v>NO</v>
      </c>
      <c r="H139" s="584" t="str">
        <f>+VLOOKUP(Tabla3[[#This Row],[PATENTE]],'BASE DATOS'!F:J,5,0)</f>
        <v>NO</v>
      </c>
      <c r="I139" s="582" t="str">
        <f>+VLOOKUP(Tabla3[[#This Row],[PATENTE]],'BASE DATOS'!F:K,6,0)</f>
        <v>SI</v>
      </c>
      <c r="J139" s="582">
        <f>+VLOOKUP(Tabla3[[#This Row],[PATENTE]],'BASE DATOS'!F:L,7,0)</f>
        <v>2019</v>
      </c>
      <c r="K139" s="593">
        <f>+VLOOKUP(Tabla3[[#This Row],[PATENTE]],'BASE DATOS'!F:M,8,0)</f>
        <v>6</v>
      </c>
      <c r="N139" s="826"/>
      <c r="O139" s="1015"/>
      <c r="P139" s="1015"/>
      <c r="Q139" s="1015"/>
      <c r="R139" s="965" t="str">
        <f t="shared" si="4"/>
        <v>-</v>
      </c>
    </row>
    <row r="140" spans="1:18" hidden="1">
      <c r="A140" s="577" t="s">
        <v>922</v>
      </c>
      <c r="B140" s="582">
        <v>3</v>
      </c>
      <c r="C140" s="588">
        <v>45852</v>
      </c>
      <c r="D140" s="582">
        <f t="shared" si="5"/>
        <v>29</v>
      </c>
      <c r="E140" s="576" t="str">
        <f>+VLOOKUP(Tabla3[[#This Row],[PATENTE]],'BASE DATOS'!F:G,2,0)</f>
        <v>LAURIA (SERVAL) - AF342ZY</v>
      </c>
      <c r="F140" s="582" t="str">
        <f>+VLOOKUP(Tabla3[[#This Row],[PATENTE]],'BASE DATOS'!F:H,3,0)</f>
        <v>8P</v>
      </c>
      <c r="G140" s="582" t="str">
        <f>+VLOOKUP(Tabla3[[#This Row],[PATENTE]],'BASE DATOS'!F:I,4,0)</f>
        <v>SI</v>
      </c>
      <c r="H140" s="584" t="str">
        <f>+VLOOKUP(Tabla3[[#This Row],[PATENTE]],'BASE DATOS'!F:J,5,0)</f>
        <v>SI</v>
      </c>
      <c r="I140" s="582" t="str">
        <f>+VLOOKUP(Tabla3[[#This Row],[PATENTE]],'BASE DATOS'!F:K,6,0)</f>
        <v>NO</v>
      </c>
      <c r="J140" s="582">
        <f>+VLOOKUP(Tabla3[[#This Row],[PATENTE]],'BASE DATOS'!F:L,7,0)</f>
        <v>2022</v>
      </c>
      <c r="K140" s="593">
        <f>+VLOOKUP(Tabla3[[#This Row],[PATENTE]],'BASE DATOS'!F:M,8,0)</f>
        <v>3</v>
      </c>
      <c r="N140" s="826"/>
      <c r="O140" s="1015"/>
      <c r="P140" s="1015"/>
      <c r="Q140" s="1015"/>
      <c r="R140" s="965" t="str">
        <f t="shared" si="4"/>
        <v>-</v>
      </c>
    </row>
    <row r="141" spans="1:18" hidden="1">
      <c r="A141" s="578" t="s">
        <v>929</v>
      </c>
      <c r="B141" s="584">
        <v>3</v>
      </c>
      <c r="C141" s="589">
        <v>45852</v>
      </c>
      <c r="D141" s="582">
        <f t="shared" si="5"/>
        <v>29</v>
      </c>
      <c r="E141" s="576" t="str">
        <f>+VLOOKUP(Tabla3[[#This Row],[PATENTE]],'BASE DATOS'!F:G,2,0)</f>
        <v xml:space="preserve">PRONTOMAR - BAI674 </v>
      </c>
      <c r="F141" s="582" t="str">
        <f>+VLOOKUP(Tabla3[[#This Row],[PATENTE]],'BASE DATOS'!F:H,3,0)</f>
        <v>14P</v>
      </c>
      <c r="G141" s="582" t="str">
        <f>+VLOOKUP(Tabla3[[#This Row],[PATENTE]],'BASE DATOS'!F:I,4,0)</f>
        <v>NO</v>
      </c>
      <c r="H141" s="584" t="str">
        <f>+VLOOKUP(Tabla3[[#This Row],[PATENTE]],'BASE DATOS'!F:J,5,0)</f>
        <v xml:space="preserve">NO </v>
      </c>
      <c r="I141" s="582" t="str">
        <f>+VLOOKUP(Tabla3[[#This Row],[PATENTE]],'BASE DATOS'!F:K,6,0)</f>
        <v>NO</v>
      </c>
      <c r="J141" s="582">
        <f>+VLOOKUP(Tabla3[[#This Row],[PATENTE]],'BASE DATOS'!F:L,7,0)</f>
        <v>1996</v>
      </c>
      <c r="K141" s="593">
        <f>+VLOOKUP(Tabla3[[#This Row],[PATENTE]],'BASE DATOS'!F:M,8,0)</f>
        <v>29</v>
      </c>
      <c r="N141" s="826"/>
      <c r="O141" s="1015"/>
      <c r="P141" s="1015"/>
      <c r="Q141" s="1015"/>
      <c r="R141" s="965" t="str">
        <f t="shared" si="4"/>
        <v>-</v>
      </c>
    </row>
    <row r="142" spans="1:18" hidden="1">
      <c r="A142" s="577" t="s">
        <v>901</v>
      </c>
      <c r="B142" s="582">
        <v>3</v>
      </c>
      <c r="C142" s="588">
        <v>45852</v>
      </c>
      <c r="D142" s="582">
        <f t="shared" si="5"/>
        <v>29</v>
      </c>
      <c r="E142" s="576" t="str">
        <f>+VLOOKUP(Tabla3[[#This Row],[PATENTE]],'BASE DATOS'!F:G,2,0)</f>
        <v xml:space="preserve">TRANSPORTE  GRACIELA - IYE750 </v>
      </c>
      <c r="F142" s="582" t="str">
        <f>+VLOOKUP(Tabla3[[#This Row],[PATENTE]],'BASE DATOS'!F:H,3,0)</f>
        <v>1P</v>
      </c>
      <c r="G142" s="582" t="str">
        <f>+VLOOKUP(Tabla3[[#This Row],[PATENTE]],'BASE DATOS'!F:I,4,0)</f>
        <v>NO</v>
      </c>
      <c r="H142" s="584" t="str">
        <f>+VLOOKUP(Tabla3[[#This Row],[PATENTE]],'BASE DATOS'!F:J,5,0)</f>
        <v>SI</v>
      </c>
      <c r="I142" s="582" t="str">
        <f>+VLOOKUP(Tabla3[[#This Row],[PATENTE]],'BASE DATOS'!F:K,6,0)</f>
        <v>NO</v>
      </c>
      <c r="J142" s="582">
        <f>+VLOOKUP(Tabla3[[#This Row],[PATENTE]],'BASE DATOS'!F:L,7,0)</f>
        <v>2009</v>
      </c>
      <c r="K142" s="593">
        <f>+VLOOKUP(Tabla3[[#This Row],[PATENTE]],'BASE DATOS'!F:M,8,0)</f>
        <v>16</v>
      </c>
      <c r="N142" s="826"/>
      <c r="O142" s="1015"/>
      <c r="P142" s="1015"/>
      <c r="Q142" s="1015"/>
      <c r="R142" s="965" t="str">
        <f t="shared" si="4"/>
        <v>-</v>
      </c>
    </row>
    <row r="143" spans="1:18" hidden="1">
      <c r="A143" s="578" t="s">
        <v>1153</v>
      </c>
      <c r="B143" s="584">
        <v>3</v>
      </c>
      <c r="C143" s="589">
        <v>45852</v>
      </c>
      <c r="D143" s="582">
        <f t="shared" si="5"/>
        <v>29</v>
      </c>
      <c r="E143" s="576" t="str">
        <f>+VLOOKUP(Tabla3[[#This Row],[PATENTE]],'BASE DATOS'!F:G,2,0)</f>
        <v xml:space="preserve">TRANSP LAGOS - KXZ670 </v>
      </c>
      <c r="F143" s="582" t="str">
        <f>+VLOOKUP(Tabla3[[#This Row],[PATENTE]],'BASE DATOS'!F:H,3,0)</f>
        <v>4P</v>
      </c>
      <c r="G143" s="582" t="str">
        <f>+VLOOKUP(Tabla3[[#This Row],[PATENTE]],'BASE DATOS'!F:I,4,0)</f>
        <v>NO</v>
      </c>
      <c r="H143" s="584" t="str">
        <f>+VLOOKUP(Tabla3[[#This Row],[PATENTE]],'BASE DATOS'!F:J,5,0)</f>
        <v xml:space="preserve">NO </v>
      </c>
      <c r="I143" s="582" t="str">
        <f>+VLOOKUP(Tabla3[[#This Row],[PATENTE]],'BASE DATOS'!F:K,6,0)</f>
        <v>NO</v>
      </c>
      <c r="J143" s="582">
        <f>+VLOOKUP(Tabla3[[#This Row],[PATENTE]],'BASE DATOS'!F:L,7,0)</f>
        <v>2011</v>
      </c>
      <c r="K143" s="593">
        <f>+VLOOKUP(Tabla3[[#This Row],[PATENTE]],'BASE DATOS'!F:M,8,0)</f>
        <v>14</v>
      </c>
      <c r="N143" s="826"/>
      <c r="O143" s="1015"/>
      <c r="P143" s="1015"/>
      <c r="Q143" s="1015"/>
      <c r="R143" s="965" t="str">
        <f t="shared" si="4"/>
        <v>-</v>
      </c>
    </row>
    <row r="144" spans="1:18" hidden="1">
      <c r="A144" s="577" t="s">
        <v>890</v>
      </c>
      <c r="B144" s="582">
        <v>2</v>
      </c>
      <c r="C144" s="588">
        <v>45852</v>
      </c>
      <c r="D144" s="582">
        <f t="shared" si="5"/>
        <v>29</v>
      </c>
      <c r="E144" s="576" t="str">
        <f>+VLOOKUP(Tabla3[[#This Row],[PATENTE]],'BASE DATOS'!F:G,2,0)</f>
        <v xml:space="preserve">TRANSPORTE GRACIELA - AC040RO </v>
      </c>
      <c r="F144" s="582" t="str">
        <f>+VLOOKUP(Tabla3[[#This Row],[PATENTE]],'BASE DATOS'!F:H,3,0)</f>
        <v>1P</v>
      </c>
      <c r="G144" s="582" t="str">
        <f>+VLOOKUP(Tabla3[[#This Row],[PATENTE]],'BASE DATOS'!F:I,4,0)</f>
        <v>SI</v>
      </c>
      <c r="H144" s="584" t="str">
        <f>+VLOOKUP(Tabla3[[#This Row],[PATENTE]],'BASE DATOS'!F:J,5,0)</f>
        <v>ACEPTA( VER CAMI)</v>
      </c>
      <c r="I144" s="582" t="str">
        <f>+VLOOKUP(Tabla3[[#This Row],[PATENTE]],'BASE DATOS'!F:K,6,0)</f>
        <v>NO</v>
      </c>
      <c r="J144" s="582">
        <f>+VLOOKUP(Tabla3[[#This Row],[PATENTE]],'BASE DATOS'!F:L,7,0)</f>
        <v>2017</v>
      </c>
      <c r="K144" s="593">
        <f>+VLOOKUP(Tabla3[[#This Row],[PATENTE]],'BASE DATOS'!F:M,8,0)</f>
        <v>8</v>
      </c>
      <c r="N144" s="826"/>
      <c r="O144" s="1015"/>
      <c r="P144" s="1015"/>
      <c r="Q144" s="1015"/>
      <c r="R144" s="965" t="str">
        <f t="shared" si="4"/>
        <v>-</v>
      </c>
    </row>
    <row r="145" spans="1:18" hidden="1">
      <c r="A145" s="578" t="s">
        <v>1129</v>
      </c>
      <c r="B145" s="584">
        <v>2</v>
      </c>
      <c r="C145" s="589">
        <v>45852</v>
      </c>
      <c r="D145" s="582">
        <f t="shared" si="5"/>
        <v>29</v>
      </c>
      <c r="E145" s="576" t="str">
        <f>+VLOOKUP(Tabla3[[#This Row],[PATENTE]],'BASE DATOS'!F:G,2,0)</f>
        <v>CM TRANS - 24P RETIRA CLIENTE</v>
      </c>
      <c r="F145" s="582" t="str">
        <f>+VLOOKUP(Tabla3[[#This Row],[PATENTE]],'BASE DATOS'!F:H,3,0)</f>
        <v>24P</v>
      </c>
      <c r="G145" s="582" t="str">
        <f>+VLOOKUP(Tabla3[[#This Row],[PATENTE]],'BASE DATOS'!F:I,4,0)</f>
        <v>NO</v>
      </c>
      <c r="H145" s="584" t="str">
        <f>+VLOOKUP(Tabla3[[#This Row],[PATENTE]],'BASE DATOS'!F:J,5,0)</f>
        <v xml:space="preserve">NO </v>
      </c>
      <c r="I145" s="582" t="str">
        <f>+VLOOKUP(Tabla3[[#This Row],[PATENTE]],'BASE DATOS'!F:K,6,0)</f>
        <v>NO</v>
      </c>
      <c r="J145" s="582">
        <f>+VLOOKUP(Tabla3[[#This Row],[PATENTE]],'BASE DATOS'!F:L,7,0)</f>
        <v>0</v>
      </c>
      <c r="K145" s="593">
        <f>+VLOOKUP(Tabla3[[#This Row],[PATENTE]],'BASE DATOS'!F:M,8,0)</f>
        <v>2025</v>
      </c>
      <c r="N145" s="826"/>
      <c r="O145" s="1015"/>
      <c r="P145" s="1015"/>
      <c r="Q145" s="1015"/>
      <c r="R145" s="965" t="str">
        <f t="shared" si="4"/>
        <v>-</v>
      </c>
    </row>
    <row r="146" spans="1:18" hidden="1">
      <c r="A146" s="577" t="s">
        <v>917</v>
      </c>
      <c r="B146" s="582">
        <v>2</v>
      </c>
      <c r="C146" s="588">
        <v>45852</v>
      </c>
      <c r="D146" s="582">
        <f t="shared" si="5"/>
        <v>29</v>
      </c>
      <c r="E146" s="576" t="str">
        <f>+VLOOKUP(Tabla3[[#This Row],[PATENTE]],'BASE DATOS'!F:G,2,0)</f>
        <v xml:space="preserve">PRONTOMAR - BUZ242 </v>
      </c>
      <c r="F146" s="582" t="str">
        <f>+VLOOKUP(Tabla3[[#This Row],[PATENTE]],'BASE DATOS'!F:H,3,0)</f>
        <v>16P</v>
      </c>
      <c r="G146" s="582" t="str">
        <f>+VLOOKUP(Tabla3[[#This Row],[PATENTE]],'BASE DATOS'!F:I,4,0)</f>
        <v>NO</v>
      </c>
      <c r="H146" s="584" t="str">
        <f>+VLOOKUP(Tabla3[[#This Row],[PATENTE]],'BASE DATOS'!F:J,5,0)</f>
        <v xml:space="preserve">NO </v>
      </c>
      <c r="I146" s="582" t="str">
        <f>+VLOOKUP(Tabla3[[#This Row],[PATENTE]],'BASE DATOS'!F:K,6,0)</f>
        <v>NO</v>
      </c>
      <c r="J146" s="582">
        <f>+VLOOKUP(Tabla3[[#This Row],[PATENTE]],'BASE DATOS'!F:L,7,0)</f>
        <v>1998</v>
      </c>
      <c r="K146" s="593">
        <f>+VLOOKUP(Tabla3[[#This Row],[PATENTE]],'BASE DATOS'!F:M,8,0)</f>
        <v>27</v>
      </c>
      <c r="N146" s="826"/>
      <c r="O146" s="1015"/>
      <c r="P146" s="1015"/>
      <c r="Q146" s="1015"/>
      <c r="R146" s="965" t="str">
        <f t="shared" si="4"/>
        <v>-</v>
      </c>
    </row>
    <row r="147" spans="1:18" hidden="1">
      <c r="A147" s="578" t="s">
        <v>1151</v>
      </c>
      <c r="B147" s="584">
        <v>1</v>
      </c>
      <c r="C147" s="589">
        <v>45852</v>
      </c>
      <c r="D147" s="582">
        <f t="shared" si="5"/>
        <v>29</v>
      </c>
      <c r="E147" s="576" t="str">
        <f>+VLOOKUP(Tabla3[[#This Row],[PATENTE]],'BASE DATOS'!F:G,2,0)</f>
        <v xml:space="preserve">GANZINI HUGO - AC940KZ </v>
      </c>
      <c r="F147" s="582" t="str">
        <f>+VLOOKUP(Tabla3[[#This Row],[PATENTE]],'BASE DATOS'!F:H,3,0)</f>
        <v>8P</v>
      </c>
      <c r="G147" s="582" t="str">
        <f>+VLOOKUP(Tabla3[[#This Row],[PATENTE]],'BASE DATOS'!F:I,4,0)</f>
        <v>NO</v>
      </c>
      <c r="H147" s="584" t="str">
        <f>+VLOOKUP(Tabla3[[#This Row],[PATENTE]],'BASE DATOS'!F:J,5,0)</f>
        <v xml:space="preserve">NO </v>
      </c>
      <c r="I147" s="582" t="str">
        <f>+VLOOKUP(Tabla3[[#This Row],[PATENTE]],'BASE DATOS'!F:K,6,0)</f>
        <v>SI</v>
      </c>
      <c r="J147" s="582">
        <f>+VLOOKUP(Tabla3[[#This Row],[PATENTE]],'BASE DATOS'!F:L,7,0)</f>
        <v>2018</v>
      </c>
      <c r="K147" s="593">
        <f>+VLOOKUP(Tabla3[[#This Row],[PATENTE]],'BASE DATOS'!F:M,8,0)</f>
        <v>7</v>
      </c>
      <c r="N147" s="826"/>
      <c r="O147" s="1015"/>
      <c r="P147" s="1015"/>
      <c r="Q147" s="1015"/>
      <c r="R147" s="965" t="str">
        <f t="shared" si="4"/>
        <v>-</v>
      </c>
    </row>
    <row r="148" spans="1:18" hidden="1">
      <c r="A148" s="577" t="s">
        <v>1156</v>
      </c>
      <c r="B148" s="582">
        <v>1</v>
      </c>
      <c r="C148" s="588">
        <v>45852</v>
      </c>
      <c r="D148" s="582">
        <f t="shared" si="5"/>
        <v>29</v>
      </c>
      <c r="E148" s="576" t="str">
        <f>+VLOOKUP(Tabla3[[#This Row],[PATENTE]],'BASE DATOS'!F:G,2,0)</f>
        <v>TRANSPORTE FILARDI - AE491HU</v>
      </c>
      <c r="F148" s="582" t="str">
        <f>+VLOOKUP(Tabla3[[#This Row],[PATENTE]],'BASE DATOS'!F:H,3,0)</f>
        <v>24P</v>
      </c>
      <c r="G148" s="582" t="str">
        <f>+VLOOKUP(Tabla3[[#This Row],[PATENTE]],'BASE DATOS'!F:I,4,0)</f>
        <v>NO</v>
      </c>
      <c r="H148" s="584" t="str">
        <f>+VLOOKUP(Tabla3[[#This Row],[PATENTE]],'BASE DATOS'!F:J,5,0)</f>
        <v xml:space="preserve">NO </v>
      </c>
      <c r="I148" s="582" t="str">
        <f>+VLOOKUP(Tabla3[[#This Row],[PATENTE]],'BASE DATOS'!F:K,6,0)</f>
        <v>NO</v>
      </c>
      <c r="J148" s="582">
        <f>+VLOOKUP(Tabla3[[#This Row],[PATENTE]],'BASE DATOS'!F:L,7,0)</f>
        <v>0</v>
      </c>
      <c r="K148" s="593">
        <f>+VLOOKUP(Tabla3[[#This Row],[PATENTE]],'BASE DATOS'!F:M,8,0)</f>
        <v>0</v>
      </c>
      <c r="N148" s="826"/>
      <c r="O148" s="1015"/>
      <c r="P148" s="1015"/>
      <c r="Q148" s="1015"/>
      <c r="R148" s="965" t="str">
        <f t="shared" si="4"/>
        <v>-</v>
      </c>
    </row>
    <row r="149" spans="1:18" hidden="1">
      <c r="A149" s="578" t="s">
        <v>931</v>
      </c>
      <c r="B149" s="584">
        <v>1</v>
      </c>
      <c r="C149" s="589">
        <v>45852</v>
      </c>
      <c r="D149" s="582">
        <f t="shared" si="5"/>
        <v>29</v>
      </c>
      <c r="E149" s="576" t="str">
        <f>+VLOOKUP(Tabla3[[#This Row],[PATENTE]],'BASE DATOS'!F:G,2,0)</f>
        <v xml:space="preserve">BELLIMAR SRL - AG314VN </v>
      </c>
      <c r="F149" s="582" t="str">
        <f>+VLOOKUP(Tabla3[[#This Row],[PATENTE]],'BASE DATOS'!F:H,3,0)</f>
        <v>8P</v>
      </c>
      <c r="G149" s="582" t="str">
        <f>+VLOOKUP(Tabla3[[#This Row],[PATENTE]],'BASE DATOS'!F:I,4,0)</f>
        <v>NO</v>
      </c>
      <c r="H149" s="584" t="str">
        <f>+VLOOKUP(Tabla3[[#This Row],[PATENTE]],'BASE DATOS'!F:J,5,0)</f>
        <v xml:space="preserve">NO </v>
      </c>
      <c r="I149" s="582" t="str">
        <f>+VLOOKUP(Tabla3[[#This Row],[PATENTE]],'BASE DATOS'!F:K,6,0)</f>
        <v>NO</v>
      </c>
      <c r="J149" s="582">
        <f>+VLOOKUP(Tabla3[[#This Row],[PATENTE]],'BASE DATOS'!F:L,7,0)</f>
        <v>2024</v>
      </c>
      <c r="K149" s="593">
        <f>+VLOOKUP(Tabla3[[#This Row],[PATENTE]],'BASE DATOS'!F:M,8,0)</f>
        <v>1</v>
      </c>
      <c r="N149" s="826"/>
      <c r="O149" s="1015"/>
      <c r="P149" s="1015"/>
      <c r="Q149" s="1015"/>
      <c r="R149" s="965" t="str">
        <f t="shared" si="4"/>
        <v>-</v>
      </c>
    </row>
    <row r="150" spans="1:18" hidden="1">
      <c r="A150" s="577" t="s">
        <v>1158</v>
      </c>
      <c r="B150" s="582">
        <v>1</v>
      </c>
      <c r="C150" s="588">
        <v>45852</v>
      </c>
      <c r="D150" s="582">
        <f t="shared" si="5"/>
        <v>29</v>
      </c>
      <c r="E150" s="576" t="str">
        <f>+VLOOKUP(Tabla3[[#This Row],[PATENTE]],'BASE DATOS'!F:G,2,0)</f>
        <v>PRONTOMAR - 12P</v>
      </c>
      <c r="F150" s="582" t="str">
        <f>+VLOOKUP(Tabla3[[#This Row],[PATENTE]],'BASE DATOS'!F:H,3,0)</f>
        <v>12P</v>
      </c>
      <c r="G150" s="582" t="str">
        <f>+VLOOKUP(Tabla3[[#This Row],[PATENTE]],'BASE DATOS'!F:I,4,0)</f>
        <v>NO</v>
      </c>
      <c r="H150" s="584" t="str">
        <f>+VLOOKUP(Tabla3[[#This Row],[PATENTE]],'BASE DATOS'!F:J,5,0)</f>
        <v xml:space="preserve">NO </v>
      </c>
      <c r="I150" s="582" t="str">
        <f>+VLOOKUP(Tabla3[[#This Row],[PATENTE]],'BASE DATOS'!F:K,6,0)</f>
        <v>NO</v>
      </c>
      <c r="J150" s="582">
        <f>+VLOOKUP(Tabla3[[#This Row],[PATENTE]],'BASE DATOS'!F:L,7,0)</f>
        <v>1996</v>
      </c>
      <c r="K150" s="593">
        <f>+VLOOKUP(Tabla3[[#This Row],[PATENTE]],'BASE DATOS'!F:M,8,0)</f>
        <v>29</v>
      </c>
      <c r="N150" s="826"/>
      <c r="O150" s="1015"/>
      <c r="P150" s="1015"/>
      <c r="Q150" s="1015"/>
      <c r="R150" s="965" t="str">
        <f t="shared" si="4"/>
        <v>-</v>
      </c>
    </row>
    <row r="151" spans="1:18" hidden="1">
      <c r="A151" s="578" t="s">
        <v>946</v>
      </c>
      <c r="B151" s="584">
        <v>1</v>
      </c>
      <c r="C151" s="589">
        <v>45852</v>
      </c>
      <c r="D151" s="582">
        <f t="shared" si="5"/>
        <v>29</v>
      </c>
      <c r="E151" s="576" t="str">
        <f>+VLOOKUP(Tabla3[[#This Row],[PATENTE]],'BASE DATOS'!F:G,2,0)</f>
        <v xml:space="preserve">PRONTOMAR - DFE635 </v>
      </c>
      <c r="F151" s="582" t="str">
        <f>+VLOOKUP(Tabla3[[#This Row],[PATENTE]],'BASE DATOS'!F:H,3,0)</f>
        <v>14P</v>
      </c>
      <c r="G151" s="582" t="str">
        <f>+VLOOKUP(Tabla3[[#This Row],[PATENTE]],'BASE DATOS'!F:I,4,0)</f>
        <v>NO</v>
      </c>
      <c r="H151" s="584" t="str">
        <f>+VLOOKUP(Tabla3[[#This Row],[PATENTE]],'BASE DATOS'!F:J,5,0)</f>
        <v xml:space="preserve">NO </v>
      </c>
      <c r="I151" s="582" t="str">
        <f>+VLOOKUP(Tabla3[[#This Row],[PATENTE]],'BASE DATOS'!F:K,6,0)</f>
        <v>NO</v>
      </c>
      <c r="J151" s="582">
        <f>+VLOOKUP(Tabla3[[#This Row],[PATENTE]],'BASE DATOS'!F:L,7,0)</f>
        <v>2000</v>
      </c>
      <c r="K151" s="593">
        <f>+VLOOKUP(Tabla3[[#This Row],[PATENTE]],'BASE DATOS'!F:M,8,0)</f>
        <v>25</v>
      </c>
      <c r="N151" s="826"/>
      <c r="O151" s="1015"/>
      <c r="P151" s="1015"/>
      <c r="Q151" s="1015"/>
      <c r="R151" s="965" t="str">
        <f t="shared" si="4"/>
        <v>-</v>
      </c>
    </row>
    <row r="152" spans="1:18" hidden="1">
      <c r="A152" s="577" t="s">
        <v>918</v>
      </c>
      <c r="B152" s="582">
        <v>1</v>
      </c>
      <c r="C152" s="588">
        <v>45852</v>
      </c>
      <c r="D152" s="582">
        <f t="shared" si="5"/>
        <v>29</v>
      </c>
      <c r="E152" s="576" t="str">
        <f>+VLOOKUP(Tabla3[[#This Row],[PATENTE]],'BASE DATOS'!F:G,2,0)</f>
        <v>TRANSPORTE GENA GAIA - DGO507</v>
      </c>
      <c r="F152" s="582" t="str">
        <f>+VLOOKUP(Tabla3[[#This Row],[PATENTE]],'BASE DATOS'!F:H,3,0)</f>
        <v>24P</v>
      </c>
      <c r="G152" s="582" t="str">
        <f>+VLOOKUP(Tabla3[[#This Row],[PATENTE]],'BASE DATOS'!F:I,4,0)</f>
        <v>Gestya</v>
      </c>
      <c r="H152" s="584" t="str">
        <f>+VLOOKUP(Tabla3[[#This Row],[PATENTE]],'BASE DATOS'!F:J,5,0)</f>
        <v xml:space="preserve">NO </v>
      </c>
      <c r="I152" s="582" t="str">
        <f>+VLOOKUP(Tabla3[[#This Row],[PATENTE]],'BASE DATOS'!F:K,6,0)</f>
        <v>NO</v>
      </c>
      <c r="J152" s="582">
        <f>+VLOOKUP(Tabla3[[#This Row],[PATENTE]],'BASE DATOS'!F:L,7,0)</f>
        <v>2001</v>
      </c>
      <c r="K152" s="593">
        <f>+VLOOKUP(Tabla3[[#This Row],[PATENTE]],'BASE DATOS'!F:M,8,0)</f>
        <v>24</v>
      </c>
      <c r="N152" s="826"/>
      <c r="O152" s="1015"/>
      <c r="P152" s="1015"/>
      <c r="Q152" s="1015"/>
      <c r="R152" s="965" t="str">
        <f t="shared" si="4"/>
        <v>-</v>
      </c>
    </row>
    <row r="153" spans="1:18" hidden="1">
      <c r="A153" s="578" t="s">
        <v>923</v>
      </c>
      <c r="B153" s="584">
        <v>1</v>
      </c>
      <c r="C153" s="589">
        <v>45852</v>
      </c>
      <c r="D153" s="582">
        <f t="shared" si="5"/>
        <v>29</v>
      </c>
      <c r="E153" s="576" t="str">
        <f>+VLOOKUP(Tabla3[[#This Row],[PATENTE]],'BASE DATOS'!F:G,2,0)</f>
        <v xml:space="preserve">TRANSPORTE GENA GAIA - DLP830 </v>
      </c>
      <c r="F153" s="582" t="str">
        <f>+VLOOKUP(Tabla3[[#This Row],[PATENTE]],'BASE DATOS'!F:H,3,0)</f>
        <v>24P</v>
      </c>
      <c r="G153" s="582" t="str">
        <f>+VLOOKUP(Tabla3[[#This Row],[PATENTE]],'BASE DATOS'!F:I,4,0)</f>
        <v>Gestya</v>
      </c>
      <c r="H153" s="584" t="str">
        <f>+VLOOKUP(Tabla3[[#This Row],[PATENTE]],'BASE DATOS'!F:J,5,0)</f>
        <v xml:space="preserve">NO </v>
      </c>
      <c r="I153" s="582" t="str">
        <f>+VLOOKUP(Tabla3[[#This Row],[PATENTE]],'BASE DATOS'!F:K,6,0)</f>
        <v>NO</v>
      </c>
      <c r="J153" s="582">
        <f>+VLOOKUP(Tabla3[[#This Row],[PATENTE]],'BASE DATOS'!F:L,7,0)</f>
        <v>2001</v>
      </c>
      <c r="K153" s="593">
        <f>+VLOOKUP(Tabla3[[#This Row],[PATENTE]],'BASE DATOS'!F:M,8,0)</f>
        <v>24</v>
      </c>
      <c r="N153" s="826"/>
      <c r="O153" s="1015"/>
      <c r="P153" s="1015"/>
      <c r="Q153" s="1015"/>
      <c r="R153" s="965" t="str">
        <f t="shared" si="4"/>
        <v>-</v>
      </c>
    </row>
    <row r="154" spans="1:18" hidden="1">
      <c r="A154" s="577" t="s">
        <v>1128</v>
      </c>
      <c r="B154" s="582">
        <v>1</v>
      </c>
      <c r="C154" s="588">
        <v>45852</v>
      </c>
      <c r="D154" s="582">
        <f t="shared" si="5"/>
        <v>29</v>
      </c>
      <c r="E154" s="576" t="str">
        <f>+VLOOKUP(Tabla3[[#This Row],[PATENTE]],'BASE DATOS'!F:G,2,0)</f>
        <v xml:space="preserve">PRONTOMAR - EDW922 </v>
      </c>
      <c r="F154" s="582" t="str">
        <f>+VLOOKUP(Tabla3[[#This Row],[PATENTE]],'BASE DATOS'!F:H,3,0)</f>
        <v>14P</v>
      </c>
      <c r="G154" s="582" t="str">
        <f>+VLOOKUP(Tabla3[[#This Row],[PATENTE]],'BASE DATOS'!F:I,4,0)</f>
        <v>NO</v>
      </c>
      <c r="H154" s="584" t="str">
        <f>+VLOOKUP(Tabla3[[#This Row],[PATENTE]],'BASE DATOS'!F:J,5,0)</f>
        <v xml:space="preserve">NO </v>
      </c>
      <c r="I154" s="582" t="str">
        <f>+VLOOKUP(Tabla3[[#This Row],[PATENTE]],'BASE DATOS'!F:K,6,0)</f>
        <v>NO</v>
      </c>
      <c r="J154" s="582">
        <f>+VLOOKUP(Tabla3[[#This Row],[PATENTE]],'BASE DATOS'!F:L,7,0)</f>
        <v>2003</v>
      </c>
      <c r="K154" s="593">
        <f>+VLOOKUP(Tabla3[[#This Row],[PATENTE]],'BASE DATOS'!F:M,8,0)</f>
        <v>22</v>
      </c>
      <c r="N154" s="826"/>
      <c r="O154" s="1015"/>
      <c r="P154" s="1015"/>
      <c r="Q154" s="1015"/>
      <c r="R154" s="965" t="str">
        <f t="shared" si="4"/>
        <v>-</v>
      </c>
    </row>
    <row r="155" spans="1:18" hidden="1">
      <c r="A155" s="578" t="s">
        <v>1159</v>
      </c>
      <c r="B155" s="584">
        <v>1</v>
      </c>
      <c r="C155" s="589">
        <v>45852</v>
      </c>
      <c r="D155" s="582">
        <f t="shared" si="5"/>
        <v>29</v>
      </c>
      <c r="E155" s="576" t="str">
        <f>+VLOOKUP(Tabla3[[#This Row],[PATENTE]],'BASE DATOS'!F:G,2,0)</f>
        <v xml:space="preserve">PRONTOMAR - GFJ692 </v>
      </c>
      <c r="F155" s="582" t="str">
        <f>+VLOOKUP(Tabla3[[#This Row],[PATENTE]],'BASE DATOS'!F:H,3,0)</f>
        <v>28P</v>
      </c>
      <c r="G155" s="582" t="str">
        <f>+VLOOKUP(Tabla3[[#This Row],[PATENTE]],'BASE DATOS'!F:I,4,0)</f>
        <v>NO</v>
      </c>
      <c r="H155" s="584" t="str">
        <f>+VLOOKUP(Tabla3[[#This Row],[PATENTE]],'BASE DATOS'!F:J,5,0)</f>
        <v xml:space="preserve">NO </v>
      </c>
      <c r="I155" s="582" t="str">
        <f>+VLOOKUP(Tabla3[[#This Row],[PATENTE]],'BASE DATOS'!F:K,6,0)</f>
        <v>NO</v>
      </c>
      <c r="J155" s="582">
        <f>+VLOOKUP(Tabla3[[#This Row],[PATENTE]],'BASE DATOS'!F:L,7,0)</f>
        <v>2007</v>
      </c>
      <c r="K155" s="593">
        <f>+VLOOKUP(Tabla3[[#This Row],[PATENTE]],'BASE DATOS'!F:M,8,0)</f>
        <v>18</v>
      </c>
      <c r="N155" s="826"/>
      <c r="O155" s="1015"/>
      <c r="P155" s="1015"/>
      <c r="Q155" s="1015"/>
      <c r="R155" s="965" t="str">
        <f t="shared" si="4"/>
        <v>-</v>
      </c>
    </row>
    <row r="156" spans="1:18" hidden="1">
      <c r="A156" s="577" t="s">
        <v>914</v>
      </c>
      <c r="B156" s="582">
        <v>1</v>
      </c>
      <c r="C156" s="588">
        <v>45852</v>
      </c>
      <c r="D156" s="582">
        <f t="shared" si="5"/>
        <v>29</v>
      </c>
      <c r="E156" s="576" t="str">
        <f>+VLOOKUP(Tabla3[[#This Row],[PATENTE]],'BASE DATOS'!F:G,2,0)</f>
        <v>TRANSP DON NENO - HCP674</v>
      </c>
      <c r="F156" s="582" t="str">
        <f>+VLOOKUP(Tabla3[[#This Row],[PATENTE]],'BASE DATOS'!F:H,3,0)</f>
        <v>2P</v>
      </c>
      <c r="G156" s="582" t="str">
        <f>+VLOOKUP(Tabla3[[#This Row],[PATENTE]],'BASE DATOS'!F:I,4,0)</f>
        <v>NO</v>
      </c>
      <c r="H156" s="584" t="str">
        <f>+VLOOKUP(Tabla3[[#This Row],[PATENTE]],'BASE DATOS'!F:J,5,0)</f>
        <v xml:space="preserve">NO </v>
      </c>
      <c r="I156" s="582" t="str">
        <f>+VLOOKUP(Tabla3[[#This Row],[PATENTE]],'BASE DATOS'!F:K,6,0)</f>
        <v>NO</v>
      </c>
      <c r="J156" s="582">
        <f>+VLOOKUP(Tabla3[[#This Row],[PATENTE]],'BASE DATOS'!F:L,7,0)</f>
        <v>2008</v>
      </c>
      <c r="K156" s="593">
        <f>+VLOOKUP(Tabla3[[#This Row],[PATENTE]],'BASE DATOS'!F:M,8,0)</f>
        <v>17</v>
      </c>
      <c r="N156" s="826"/>
      <c r="O156" s="1015"/>
      <c r="P156" s="1015"/>
      <c r="Q156" s="1015"/>
      <c r="R156" s="965" t="str">
        <f t="shared" si="4"/>
        <v>-</v>
      </c>
    </row>
    <row r="157" spans="1:18" hidden="1">
      <c r="A157" s="578" t="s">
        <v>933</v>
      </c>
      <c r="B157" s="584">
        <v>1</v>
      </c>
      <c r="C157" s="589">
        <v>45852</v>
      </c>
      <c r="D157" s="582">
        <f t="shared" si="5"/>
        <v>29</v>
      </c>
      <c r="E157" s="576" t="str">
        <f>+VLOOKUP(Tabla3[[#This Row],[PATENTE]],'BASE DATOS'!F:G,2,0)</f>
        <v xml:space="preserve">TRANSPORTE GENA GAIA - IKE806 </v>
      </c>
      <c r="F157" s="582" t="str">
        <f>+VLOOKUP(Tabla3[[#This Row],[PATENTE]],'BASE DATOS'!F:H,3,0)</f>
        <v>24P</v>
      </c>
      <c r="G157" s="582" t="str">
        <f>+VLOOKUP(Tabla3[[#This Row],[PATENTE]],'BASE DATOS'!F:I,4,0)</f>
        <v>Gestya</v>
      </c>
      <c r="H157" s="584" t="str">
        <f>+VLOOKUP(Tabla3[[#This Row],[PATENTE]],'BASE DATOS'!F:J,5,0)</f>
        <v xml:space="preserve">NO </v>
      </c>
      <c r="I157" s="582" t="str">
        <f>+VLOOKUP(Tabla3[[#This Row],[PATENTE]],'BASE DATOS'!F:K,6,0)</f>
        <v>NO</v>
      </c>
      <c r="J157" s="582">
        <f>+VLOOKUP(Tabla3[[#This Row],[PATENTE]],'BASE DATOS'!F:L,7,0)</f>
        <v>2010</v>
      </c>
      <c r="K157" s="593">
        <f>+VLOOKUP(Tabla3[[#This Row],[PATENTE]],'BASE DATOS'!F:M,8,0)</f>
        <v>15</v>
      </c>
      <c r="N157" s="826"/>
      <c r="O157" s="1015"/>
      <c r="P157" s="1015"/>
      <c r="Q157" s="1015"/>
      <c r="R157" s="965" t="str">
        <f t="shared" si="4"/>
        <v>-</v>
      </c>
    </row>
    <row r="158" spans="1:18" hidden="1">
      <c r="A158" s="577" t="s">
        <v>939</v>
      </c>
      <c r="B158" s="582">
        <v>1</v>
      </c>
      <c r="C158" s="588">
        <v>45852</v>
      </c>
      <c r="D158" s="582">
        <f t="shared" si="5"/>
        <v>29</v>
      </c>
      <c r="E158" s="576" t="str">
        <f>+VLOOKUP(Tabla3[[#This Row],[PATENTE]],'BASE DATOS'!F:G,2,0)</f>
        <v>TRANSP CLAUDIO BUSTOS - JOQ178</v>
      </c>
      <c r="F158" s="582" t="str">
        <f>+VLOOKUP(Tabla3[[#This Row],[PATENTE]],'BASE DATOS'!F:H,3,0)</f>
        <v>1P</v>
      </c>
      <c r="G158" s="582" t="str">
        <f>+VLOOKUP(Tabla3[[#This Row],[PATENTE]],'BASE DATOS'!F:I,4,0)</f>
        <v>NO</v>
      </c>
      <c r="H158" s="584" t="str">
        <f>+VLOOKUP(Tabla3[[#This Row],[PATENTE]],'BASE DATOS'!F:J,5,0)</f>
        <v>SI</v>
      </c>
      <c r="I158" s="582" t="str">
        <f>+VLOOKUP(Tabla3[[#This Row],[PATENTE]],'BASE DATOS'!F:K,6,0)</f>
        <v>NO</v>
      </c>
      <c r="J158" s="582">
        <f>+VLOOKUP(Tabla3[[#This Row],[PATENTE]],'BASE DATOS'!F:L,7,0)</f>
        <v>2010</v>
      </c>
      <c r="K158" s="593">
        <f>+VLOOKUP(Tabla3[[#This Row],[PATENTE]],'BASE DATOS'!F:M,8,0)</f>
        <v>15</v>
      </c>
      <c r="N158" s="826"/>
      <c r="O158" s="1015"/>
      <c r="P158" s="1015"/>
      <c r="Q158" s="1015"/>
      <c r="R158" s="965" t="str">
        <f t="shared" si="4"/>
        <v>-</v>
      </c>
    </row>
    <row r="159" spans="1:18" hidden="1">
      <c r="A159" s="578" t="s">
        <v>1150</v>
      </c>
      <c r="B159" s="584">
        <v>1</v>
      </c>
      <c r="C159" s="589">
        <v>45852</v>
      </c>
      <c r="D159" s="582">
        <f t="shared" si="5"/>
        <v>29</v>
      </c>
      <c r="E159" s="576" t="str">
        <f>+VLOOKUP(Tabla3[[#This Row],[PATENTE]],'BASE DATOS'!F:G,2,0)</f>
        <v xml:space="preserve">PRONTOMAR - JZH 348 </v>
      </c>
      <c r="F159" s="582" t="str">
        <f>+VLOOKUP(Tabla3[[#This Row],[PATENTE]],'BASE DATOS'!F:H,3,0)</f>
        <v>28P</v>
      </c>
      <c r="G159" s="582" t="str">
        <f>+VLOOKUP(Tabla3[[#This Row],[PATENTE]],'BASE DATOS'!F:I,4,0)</f>
        <v>NO</v>
      </c>
      <c r="H159" s="584" t="str">
        <f>+VLOOKUP(Tabla3[[#This Row],[PATENTE]],'BASE DATOS'!F:J,5,0)</f>
        <v xml:space="preserve">NO </v>
      </c>
      <c r="I159" s="582" t="str">
        <f>+VLOOKUP(Tabla3[[#This Row],[PATENTE]],'BASE DATOS'!F:K,6,0)</f>
        <v>NO</v>
      </c>
      <c r="J159" s="582">
        <f>+VLOOKUP(Tabla3[[#This Row],[PATENTE]],'BASE DATOS'!F:L,7,0)</f>
        <v>2011</v>
      </c>
      <c r="K159" s="593">
        <f>+VLOOKUP(Tabla3[[#This Row],[PATENTE]],'BASE DATOS'!F:M,8,0)</f>
        <v>14</v>
      </c>
      <c r="N159" s="826"/>
      <c r="O159" s="1015"/>
      <c r="P159" s="1015"/>
      <c r="Q159" s="1015"/>
      <c r="R159" s="965" t="str">
        <f t="shared" si="4"/>
        <v>-</v>
      </c>
    </row>
    <row r="160" spans="1:18" hidden="1">
      <c r="A160" s="577" t="s">
        <v>897</v>
      </c>
      <c r="B160" s="582">
        <v>1</v>
      </c>
      <c r="C160" s="588">
        <v>45852</v>
      </c>
      <c r="D160" s="582">
        <f t="shared" si="5"/>
        <v>29</v>
      </c>
      <c r="E160" s="576" t="str">
        <f>+VLOOKUP(Tabla3[[#This Row],[PATENTE]],'BASE DATOS'!F:G,2,0)</f>
        <v xml:space="preserve">TRANSP CLAUDIO BUSTOS - LSG801 </v>
      </c>
      <c r="F160" s="582" t="str">
        <f>+VLOOKUP(Tabla3[[#This Row],[PATENTE]],'BASE DATOS'!F:H,3,0)</f>
        <v>2P</v>
      </c>
      <c r="G160" s="582" t="str">
        <f>+VLOOKUP(Tabla3[[#This Row],[PATENTE]],'BASE DATOS'!F:I,4,0)</f>
        <v>SI</v>
      </c>
      <c r="H160" s="584" t="str">
        <f>+VLOOKUP(Tabla3[[#This Row],[PATENTE]],'BASE DATOS'!F:J,5,0)</f>
        <v>SI</v>
      </c>
      <c r="I160" s="582" t="str">
        <f>+VLOOKUP(Tabla3[[#This Row],[PATENTE]],'BASE DATOS'!F:K,6,0)</f>
        <v>NO</v>
      </c>
      <c r="J160" s="582">
        <f>+VLOOKUP(Tabla3[[#This Row],[PATENTE]],'BASE DATOS'!F:L,7,0)</f>
        <v>2013</v>
      </c>
      <c r="K160" s="593">
        <f>+VLOOKUP(Tabla3[[#This Row],[PATENTE]],'BASE DATOS'!F:M,8,0)</f>
        <v>12</v>
      </c>
      <c r="N160" s="826"/>
      <c r="O160" s="1015"/>
      <c r="P160" s="1015"/>
      <c r="Q160" s="1015"/>
      <c r="R160" s="965" t="str">
        <f t="shared" si="4"/>
        <v>-</v>
      </c>
    </row>
    <row r="161" spans="1:18" hidden="1">
      <c r="A161" s="579" t="s">
        <v>896</v>
      </c>
      <c r="B161" s="585">
        <v>1</v>
      </c>
      <c r="C161" s="873">
        <v>45852</v>
      </c>
      <c r="D161" s="582">
        <f t="shared" si="5"/>
        <v>29</v>
      </c>
      <c r="E161" s="576" t="str">
        <f>+VLOOKUP(Tabla3[[#This Row],[PATENTE]],'BASE DATOS'!F:G,2,0)</f>
        <v xml:space="preserve">TRANSP MAVIR - RHQ609 </v>
      </c>
      <c r="F161" s="582" t="str">
        <f>+VLOOKUP(Tabla3[[#This Row],[PATENTE]],'BASE DATOS'!F:H,3,0)</f>
        <v>10P</v>
      </c>
      <c r="G161" s="582" t="str">
        <f>+VLOOKUP(Tabla3[[#This Row],[PATENTE]],'BASE DATOS'!F:I,4,0)</f>
        <v>NO</v>
      </c>
      <c r="H161" s="584" t="str">
        <f>+VLOOKUP(Tabla3[[#This Row],[PATENTE]],'BASE DATOS'!F:J,5,0)</f>
        <v xml:space="preserve">NO </v>
      </c>
      <c r="I161" s="582" t="str">
        <f>+VLOOKUP(Tabla3[[#This Row],[PATENTE]],'BASE DATOS'!F:K,6,0)</f>
        <v>NO</v>
      </c>
      <c r="J161" s="582">
        <f>+VLOOKUP(Tabla3[[#This Row],[PATENTE]],'BASE DATOS'!F:L,7,0)</f>
        <v>1995</v>
      </c>
      <c r="K161" s="593">
        <v>0</v>
      </c>
      <c r="N161" s="826"/>
      <c r="O161" s="1015"/>
      <c r="P161" s="1015"/>
      <c r="Q161" s="1015"/>
      <c r="R161" s="965" t="str">
        <f t="shared" si="4"/>
        <v>-</v>
      </c>
    </row>
    <row r="162" spans="1:18" hidden="1">
      <c r="A162" s="577" t="s">
        <v>899</v>
      </c>
      <c r="B162" s="582">
        <v>7</v>
      </c>
      <c r="C162" s="588">
        <v>45859</v>
      </c>
      <c r="D162" s="582">
        <f t="shared" si="5"/>
        <v>30</v>
      </c>
      <c r="E162" s="576" t="str">
        <f>+VLOOKUP(Tabla3[[#This Row],[PATENTE]],'BASE DATOS'!F:G,2,0)</f>
        <v xml:space="preserve">VAZQUEZ (TRV SRL) - AB176KN </v>
      </c>
      <c r="F162" s="582" t="str">
        <f>+VLOOKUP(Tabla3[[#This Row],[PATENTE]],'BASE DATOS'!F:H,3,0)</f>
        <v>8P</v>
      </c>
      <c r="G162" s="582" t="str">
        <f>+VLOOKUP(Tabla3[[#This Row],[PATENTE]],'BASE DATOS'!F:I,4,0)</f>
        <v>SI</v>
      </c>
      <c r="H162" s="584" t="str">
        <f>+VLOOKUP(Tabla3[[#This Row],[PATENTE]],'BASE DATOS'!F:J,5,0)</f>
        <v>SI</v>
      </c>
      <c r="I162" s="582" t="str">
        <f>+VLOOKUP(Tabla3[[#This Row],[PATENTE]],'BASE DATOS'!F:K,6,0)</f>
        <v>SI</v>
      </c>
      <c r="J162" s="582">
        <f>+VLOOKUP(Tabla3[[#This Row],[PATENTE]],'BASE DATOS'!F:L,7,0)</f>
        <v>2017</v>
      </c>
      <c r="K162" s="593">
        <f>+VLOOKUP(Tabla3[[#This Row],[PATENTE]],'BASE DATOS'!F:M,8,0)</f>
        <v>8</v>
      </c>
      <c r="N162" s="826"/>
      <c r="O162" s="1015"/>
      <c r="P162" s="1015"/>
      <c r="Q162" s="1015"/>
      <c r="R162" s="965" t="str">
        <f t="shared" si="4"/>
        <v>-</v>
      </c>
    </row>
    <row r="163" spans="1:18" hidden="1">
      <c r="A163" s="578" t="s">
        <v>879</v>
      </c>
      <c r="B163" s="584">
        <v>7</v>
      </c>
      <c r="C163" s="589">
        <v>45859</v>
      </c>
      <c r="D163" s="582">
        <f t="shared" si="5"/>
        <v>30</v>
      </c>
      <c r="E163" s="576" t="str">
        <f>+VLOOKUP(Tabla3[[#This Row],[PATENTE]],'BASE DATOS'!F:G,2,0)</f>
        <v xml:space="preserve">TRANSP JP - OYP470 </v>
      </c>
      <c r="F163" s="582" t="str">
        <f>+VLOOKUP(Tabla3[[#This Row],[PATENTE]],'BASE DATOS'!F:H,3,0)</f>
        <v>8P</v>
      </c>
      <c r="G163" s="582" t="str">
        <f>+VLOOKUP(Tabla3[[#This Row],[PATENTE]],'BASE DATOS'!F:I,4,0)</f>
        <v>SI</v>
      </c>
      <c r="H163" s="584" t="str">
        <f>+VLOOKUP(Tabla3[[#This Row],[PATENTE]],'BASE DATOS'!F:J,5,0)</f>
        <v>SI</v>
      </c>
      <c r="I163" s="582" t="str">
        <f>+VLOOKUP(Tabla3[[#This Row],[PATENTE]],'BASE DATOS'!F:K,6,0)</f>
        <v>NO</v>
      </c>
      <c r="J163" s="582">
        <f>+VLOOKUP(Tabla3[[#This Row],[PATENTE]],'BASE DATOS'!F:L,7,0)</f>
        <v>2011</v>
      </c>
      <c r="K163" s="593">
        <f>+VLOOKUP(Tabla3[[#This Row],[PATENTE]],'BASE DATOS'!F:M,8,0)</f>
        <v>14</v>
      </c>
      <c r="N163" s="826"/>
      <c r="O163" s="1015"/>
      <c r="P163" s="1015"/>
      <c r="Q163" s="1015"/>
      <c r="R163" s="965" t="str">
        <f t="shared" si="4"/>
        <v>-</v>
      </c>
    </row>
    <row r="164" spans="1:18" hidden="1">
      <c r="A164" s="577" t="s">
        <v>888</v>
      </c>
      <c r="B164" s="582">
        <v>6</v>
      </c>
      <c r="C164" s="588">
        <v>45859</v>
      </c>
      <c r="D164" s="582">
        <f t="shared" si="5"/>
        <v>30</v>
      </c>
      <c r="E164" s="576" t="str">
        <f>+VLOOKUP(Tabla3[[#This Row],[PATENTE]],'BASE DATOS'!F:G,2,0)</f>
        <v xml:space="preserve">TRANSP FIRST CLASS - AD535UI </v>
      </c>
      <c r="F164" s="582" t="str">
        <f>+VLOOKUP(Tabla3[[#This Row],[PATENTE]],'BASE DATOS'!F:H,3,0)</f>
        <v>6P</v>
      </c>
      <c r="G164" s="582" t="str">
        <f>+VLOOKUP(Tabla3[[#This Row],[PATENTE]],'BASE DATOS'!F:I,4,0)</f>
        <v>SI</v>
      </c>
      <c r="H164" s="584" t="str">
        <f>+VLOOKUP(Tabla3[[#This Row],[PATENTE]],'BASE DATOS'!F:J,5,0)</f>
        <v>SI</v>
      </c>
      <c r="I164" s="582" t="str">
        <f>+VLOOKUP(Tabla3[[#This Row],[PATENTE]],'BASE DATOS'!F:K,6,0)</f>
        <v>NO</v>
      </c>
      <c r="J164" s="582">
        <f>+VLOOKUP(Tabla3[[#This Row],[PATENTE]],'BASE DATOS'!F:L,7,0)</f>
        <v>2019</v>
      </c>
      <c r="K164" s="593">
        <f>+VLOOKUP(Tabla3[[#This Row],[PATENTE]],'BASE DATOS'!F:M,8,0)</f>
        <v>6</v>
      </c>
      <c r="N164" s="826"/>
      <c r="O164" s="1015"/>
      <c r="P164" s="1015"/>
      <c r="Q164" s="1015"/>
      <c r="R164" s="965" t="str">
        <f t="shared" si="4"/>
        <v>-</v>
      </c>
    </row>
    <row r="165" spans="1:18" hidden="1">
      <c r="A165" s="578" t="s">
        <v>880</v>
      </c>
      <c r="B165" s="584">
        <v>6</v>
      </c>
      <c r="C165" s="589">
        <v>45859</v>
      </c>
      <c r="D165" s="582">
        <f t="shared" si="5"/>
        <v>30</v>
      </c>
      <c r="E165" s="576" t="str">
        <f>+VLOOKUP(Tabla3[[#This Row],[PATENTE]],'BASE DATOS'!F:G,2,0)</f>
        <v xml:space="preserve">LAURIA (SERVAL) - AD575XK </v>
      </c>
      <c r="F165" s="582" t="str">
        <f>+VLOOKUP(Tabla3[[#This Row],[PATENTE]],'BASE DATOS'!F:H,3,0)</f>
        <v>8P</v>
      </c>
      <c r="G165" s="582" t="str">
        <f>+VLOOKUP(Tabla3[[#This Row],[PATENTE]],'BASE DATOS'!F:I,4,0)</f>
        <v>SI</v>
      </c>
      <c r="H165" s="584" t="str">
        <f>+VLOOKUP(Tabla3[[#This Row],[PATENTE]],'BASE DATOS'!F:J,5,0)</f>
        <v>SI</v>
      </c>
      <c r="I165" s="582" t="str">
        <f>+VLOOKUP(Tabla3[[#This Row],[PATENTE]],'BASE DATOS'!F:K,6,0)</f>
        <v>NO</v>
      </c>
      <c r="J165" s="582">
        <f>+VLOOKUP(Tabla3[[#This Row],[PATENTE]],'BASE DATOS'!F:L,7,0)</f>
        <v>2019</v>
      </c>
      <c r="K165" s="593">
        <f>+VLOOKUP(Tabla3[[#This Row],[PATENTE]],'BASE DATOS'!F:M,8,0)</f>
        <v>6</v>
      </c>
      <c r="N165" s="826"/>
      <c r="O165" s="1015"/>
      <c r="P165" s="1015"/>
      <c r="Q165" s="1015"/>
      <c r="R165" s="965" t="str">
        <f t="shared" si="4"/>
        <v>-</v>
      </c>
    </row>
    <row r="166" spans="1:18" hidden="1">
      <c r="A166" s="577" t="s">
        <v>895</v>
      </c>
      <c r="B166" s="582">
        <v>6</v>
      </c>
      <c r="C166" s="588">
        <v>45859</v>
      </c>
      <c r="D166" s="582">
        <f t="shared" si="5"/>
        <v>30</v>
      </c>
      <c r="E166" s="576" t="str">
        <f>+VLOOKUP(Tabla3[[#This Row],[PATENTE]],'BASE DATOS'!F:G,2,0)</f>
        <v xml:space="preserve">TRANSPORTE MICAELA </v>
      </c>
      <c r="F166" s="582" t="str">
        <f>+VLOOKUP(Tabla3[[#This Row],[PATENTE]],'BASE DATOS'!F:H,3,0)</f>
        <v>2P</v>
      </c>
      <c r="G166" s="582" t="str">
        <f>+VLOOKUP(Tabla3[[#This Row],[PATENTE]],'BASE DATOS'!F:I,4,0)</f>
        <v>NO</v>
      </c>
      <c r="H166" s="584" t="str">
        <f>+VLOOKUP(Tabla3[[#This Row],[PATENTE]],'BASE DATOS'!F:J,5,0)</f>
        <v>SI</v>
      </c>
      <c r="I166" s="582" t="str">
        <f>+VLOOKUP(Tabla3[[#This Row],[PATENTE]],'BASE DATOS'!F:K,6,0)</f>
        <v>NO</v>
      </c>
      <c r="J166" s="582">
        <f>+VLOOKUP(Tabla3[[#This Row],[PATENTE]],'BASE DATOS'!F:L,7,0)</f>
        <v>2024</v>
      </c>
      <c r="K166" s="593">
        <f>+VLOOKUP(Tabla3[[#This Row],[PATENTE]],'BASE DATOS'!F:M,8,0)</f>
        <v>1</v>
      </c>
      <c r="N166" s="826"/>
      <c r="O166" s="1015"/>
      <c r="P166" s="1015"/>
      <c r="Q166" s="1015"/>
      <c r="R166" s="965" t="str">
        <f t="shared" si="4"/>
        <v>-</v>
      </c>
    </row>
    <row r="167" spans="1:18" hidden="1">
      <c r="A167" s="578" t="s">
        <v>904</v>
      </c>
      <c r="B167" s="584">
        <v>6</v>
      </c>
      <c r="C167" s="589">
        <v>45859</v>
      </c>
      <c r="D167" s="582">
        <f t="shared" si="5"/>
        <v>30</v>
      </c>
      <c r="E167" s="576" t="str">
        <f>+VLOOKUP(Tabla3[[#This Row],[PATENTE]],'BASE DATOS'!F:G,2,0)</f>
        <v xml:space="preserve">ENRIQUE ROLLINO - DFO656 </v>
      </c>
      <c r="F167" s="582" t="str">
        <f>+VLOOKUP(Tabla3[[#This Row],[PATENTE]],'BASE DATOS'!F:H,3,0)</f>
        <v>6P</v>
      </c>
      <c r="G167" s="582" t="str">
        <f>+VLOOKUP(Tabla3[[#This Row],[PATENTE]],'BASE DATOS'!F:I,4,0)</f>
        <v>SI</v>
      </c>
      <c r="H167" s="584" t="str">
        <f>+VLOOKUP(Tabla3[[#This Row],[PATENTE]],'BASE DATOS'!F:J,5,0)</f>
        <v>SI</v>
      </c>
      <c r="I167" s="582" t="str">
        <f>+VLOOKUP(Tabla3[[#This Row],[PATENTE]],'BASE DATOS'!F:K,6,0)</f>
        <v>NO</v>
      </c>
      <c r="J167" s="582">
        <f>+VLOOKUP(Tabla3[[#This Row],[PATENTE]],'BASE DATOS'!F:L,7,0)</f>
        <v>2000</v>
      </c>
      <c r="K167" s="593">
        <f>+VLOOKUP(Tabla3[[#This Row],[PATENTE]],'BASE DATOS'!F:M,8,0)</f>
        <v>25</v>
      </c>
      <c r="N167" s="826"/>
      <c r="O167" s="1015"/>
      <c r="P167" s="1015"/>
      <c r="Q167" s="1015"/>
      <c r="R167" s="965" t="str">
        <f t="shared" si="4"/>
        <v>-</v>
      </c>
    </row>
    <row r="168" spans="1:18" hidden="1">
      <c r="A168" s="577" t="s">
        <v>881</v>
      </c>
      <c r="B168" s="582">
        <v>6</v>
      </c>
      <c r="C168" s="588">
        <v>45859</v>
      </c>
      <c r="D168" s="582">
        <f t="shared" si="5"/>
        <v>30</v>
      </c>
      <c r="E168" s="576" t="str">
        <f>+VLOOKUP(Tabla3[[#This Row],[PATENTE]],'BASE DATOS'!F:G,2,0)</f>
        <v xml:space="preserve">MAÑAS NORBERTO - DUQ686 </v>
      </c>
      <c r="F168" s="582" t="str">
        <f>+VLOOKUP(Tabla3[[#This Row],[PATENTE]],'BASE DATOS'!F:H,3,0)</f>
        <v>8P</v>
      </c>
      <c r="G168" s="582" t="str">
        <f>+VLOOKUP(Tabla3[[#This Row],[PATENTE]],'BASE DATOS'!F:I,4,0)</f>
        <v>SI</v>
      </c>
      <c r="H168" s="584" t="str">
        <f>+VLOOKUP(Tabla3[[#This Row],[PATENTE]],'BASE DATOS'!F:J,5,0)</f>
        <v>SI</v>
      </c>
      <c r="I168" s="582" t="str">
        <f>+VLOOKUP(Tabla3[[#This Row],[PATENTE]],'BASE DATOS'!F:K,6,0)</f>
        <v>NO</v>
      </c>
      <c r="J168" s="582">
        <f>+VLOOKUP(Tabla3[[#This Row],[PATENTE]],'BASE DATOS'!F:L,7,0)</f>
        <v>2001</v>
      </c>
      <c r="K168" s="593">
        <f>+VLOOKUP(Tabla3[[#This Row],[PATENTE]],'BASE DATOS'!F:M,8,0)</f>
        <v>24</v>
      </c>
      <c r="N168" s="826"/>
      <c r="O168" s="1015"/>
      <c r="P168" s="1015"/>
      <c r="Q168" s="1015"/>
      <c r="R168" s="965" t="str">
        <f t="shared" si="4"/>
        <v>-</v>
      </c>
    </row>
    <row r="169" spans="1:18" hidden="1">
      <c r="A169" s="578" t="s">
        <v>916</v>
      </c>
      <c r="B169" s="584">
        <v>6</v>
      </c>
      <c r="C169" s="589">
        <v>45859</v>
      </c>
      <c r="D169" s="582">
        <f t="shared" si="5"/>
        <v>30</v>
      </c>
      <c r="E169" s="576" t="str">
        <f>+VLOOKUP(Tabla3[[#This Row],[PATENTE]],'BASE DATOS'!F:G,2,0)</f>
        <v xml:space="preserve">TRANSP MAIDANA CARLOS - EYP088 </v>
      </c>
      <c r="F169" s="582" t="str">
        <f>+VLOOKUP(Tabla3[[#This Row],[PATENTE]],'BASE DATOS'!F:H,3,0)</f>
        <v>6P</v>
      </c>
      <c r="G169" s="582" t="str">
        <f>+VLOOKUP(Tabla3[[#This Row],[PATENTE]],'BASE DATOS'!F:I,4,0)</f>
        <v>SI</v>
      </c>
      <c r="H169" s="584" t="str">
        <f>+VLOOKUP(Tabla3[[#This Row],[PATENTE]],'BASE DATOS'!F:J,5,0)</f>
        <v>SI</v>
      </c>
      <c r="I169" s="582" t="str">
        <f>+VLOOKUP(Tabla3[[#This Row],[PATENTE]],'BASE DATOS'!F:K,6,0)</f>
        <v>NO</v>
      </c>
      <c r="J169" s="582">
        <f>+VLOOKUP(Tabla3[[#This Row],[PATENTE]],'BASE DATOS'!F:L,7,0)</f>
        <v>2006</v>
      </c>
      <c r="K169" s="593">
        <f>+VLOOKUP(Tabla3[[#This Row],[PATENTE]],'BASE DATOS'!F:M,8,0)</f>
        <v>19</v>
      </c>
      <c r="N169" s="826"/>
      <c r="O169" s="1015"/>
      <c r="P169" s="1015"/>
      <c r="Q169" s="1015"/>
      <c r="R169" s="965" t="str">
        <f t="shared" si="4"/>
        <v>-</v>
      </c>
    </row>
    <row r="170" spans="1:18" hidden="1">
      <c r="A170" s="577" t="s">
        <v>889</v>
      </c>
      <c r="B170" s="582">
        <v>6</v>
      </c>
      <c r="C170" s="588">
        <v>45859</v>
      </c>
      <c r="D170" s="582">
        <f t="shared" si="5"/>
        <v>30</v>
      </c>
      <c r="E170" s="576" t="str">
        <f>+VLOOKUP(Tabla3[[#This Row],[PATENTE]],'BASE DATOS'!F:G,2,0)</f>
        <v xml:space="preserve">COLO - HAW164 </v>
      </c>
      <c r="F170" s="582" t="str">
        <f>+VLOOKUP(Tabla3[[#This Row],[PATENTE]],'BASE DATOS'!F:H,3,0)</f>
        <v>6P</v>
      </c>
      <c r="G170" s="582" t="str">
        <f>+VLOOKUP(Tabla3[[#This Row],[PATENTE]],'BASE DATOS'!F:I,4,0)</f>
        <v>NO</v>
      </c>
      <c r="H170" s="584" t="str">
        <f>+VLOOKUP(Tabla3[[#This Row],[PATENTE]],'BASE DATOS'!F:J,5,0)</f>
        <v>SI</v>
      </c>
      <c r="I170" s="582" t="str">
        <f>+VLOOKUP(Tabla3[[#This Row],[PATENTE]],'BASE DATOS'!F:K,6,0)</f>
        <v>NO</v>
      </c>
      <c r="J170" s="582">
        <f>+VLOOKUP(Tabla3[[#This Row],[PATENTE]],'BASE DATOS'!F:L,7,0)</f>
        <v>2009</v>
      </c>
      <c r="K170" s="593">
        <f>+VLOOKUP(Tabla3[[#This Row],[PATENTE]],'BASE DATOS'!F:M,8,0)</f>
        <v>16</v>
      </c>
      <c r="N170" s="826"/>
      <c r="O170" s="1015"/>
      <c r="P170" s="1015"/>
      <c r="Q170" s="1015"/>
      <c r="R170" s="965" t="str">
        <f t="shared" si="4"/>
        <v>-</v>
      </c>
    </row>
    <row r="171" spans="1:18" hidden="1">
      <c r="A171" s="578" t="s">
        <v>891</v>
      </c>
      <c r="B171" s="584">
        <v>6</v>
      </c>
      <c r="C171" s="589">
        <v>45859</v>
      </c>
      <c r="D171" s="582">
        <f t="shared" si="5"/>
        <v>30</v>
      </c>
      <c r="E171" s="576" t="str">
        <f>+VLOOKUP(Tabla3[[#This Row],[PATENTE]],'BASE DATOS'!F:G,2,0)</f>
        <v xml:space="preserve">GANZINI HUGO - HHA085 </v>
      </c>
      <c r="F171" s="582" t="str">
        <f>+VLOOKUP(Tabla3[[#This Row],[PATENTE]],'BASE DATOS'!F:H,3,0)</f>
        <v>2P</v>
      </c>
      <c r="G171" s="582" t="str">
        <f>+VLOOKUP(Tabla3[[#This Row],[PATENTE]],'BASE DATOS'!F:I,4,0)</f>
        <v>SI</v>
      </c>
      <c r="H171" s="584" t="str">
        <f>+VLOOKUP(Tabla3[[#This Row],[PATENTE]],'BASE DATOS'!F:J,5,0)</f>
        <v>SI</v>
      </c>
      <c r="I171" s="582" t="str">
        <f>+VLOOKUP(Tabla3[[#This Row],[PATENTE]],'BASE DATOS'!F:K,6,0)</f>
        <v>NO</v>
      </c>
      <c r="J171" s="582">
        <f>+VLOOKUP(Tabla3[[#This Row],[PATENTE]],'BASE DATOS'!F:L,7,0)</f>
        <v>2008</v>
      </c>
      <c r="K171" s="593">
        <f>+VLOOKUP(Tabla3[[#This Row],[PATENTE]],'BASE DATOS'!F:M,8,0)</f>
        <v>17</v>
      </c>
      <c r="N171" s="826"/>
      <c r="O171" s="1015"/>
      <c r="P171" s="1015"/>
      <c r="Q171" s="1015"/>
      <c r="R171" s="965" t="str">
        <f t="shared" si="4"/>
        <v>-</v>
      </c>
    </row>
    <row r="172" spans="1:18" hidden="1">
      <c r="A172" s="577" t="s">
        <v>902</v>
      </c>
      <c r="B172" s="582">
        <v>6</v>
      </c>
      <c r="C172" s="588">
        <v>45859</v>
      </c>
      <c r="D172" s="582">
        <f t="shared" si="5"/>
        <v>30</v>
      </c>
      <c r="E172" s="576" t="str">
        <f>+VLOOKUP(Tabla3[[#This Row],[PATENTE]],'BASE DATOS'!F:G,2,0)</f>
        <v xml:space="preserve">GUSTAVO CERQUETTA - KZA644 </v>
      </c>
      <c r="F172" s="582" t="str">
        <f>+VLOOKUP(Tabla3[[#This Row],[PATENTE]],'BASE DATOS'!F:H,3,0)</f>
        <v>2P</v>
      </c>
      <c r="G172" s="582" t="str">
        <f>+VLOOKUP(Tabla3[[#This Row],[PATENTE]],'BASE DATOS'!F:I,4,0)</f>
        <v>NO</v>
      </c>
      <c r="H172" s="584" t="str">
        <f>+VLOOKUP(Tabla3[[#This Row],[PATENTE]],'BASE DATOS'!F:J,5,0)</f>
        <v>SI</v>
      </c>
      <c r="I172" s="582" t="str">
        <f>+VLOOKUP(Tabla3[[#This Row],[PATENTE]],'BASE DATOS'!F:K,6,0)</f>
        <v>NO</v>
      </c>
      <c r="J172" s="582">
        <f>+VLOOKUP(Tabla3[[#This Row],[PATENTE]],'BASE DATOS'!F:L,7,0)</f>
        <v>2012</v>
      </c>
      <c r="K172" s="593">
        <f>+VLOOKUP(Tabla3[[#This Row],[PATENTE]],'BASE DATOS'!F:M,8,0)</f>
        <v>13</v>
      </c>
      <c r="N172" s="826"/>
      <c r="O172" s="1015"/>
      <c r="P172" s="1015"/>
      <c r="Q172" s="1015"/>
      <c r="R172" s="965" t="str">
        <f t="shared" si="4"/>
        <v>-</v>
      </c>
    </row>
    <row r="173" spans="1:18" hidden="1">
      <c r="A173" s="578" t="s">
        <v>897</v>
      </c>
      <c r="B173" s="584">
        <v>6</v>
      </c>
      <c r="C173" s="589">
        <v>45859</v>
      </c>
      <c r="D173" s="582">
        <f t="shared" si="5"/>
        <v>30</v>
      </c>
      <c r="E173" s="576" t="str">
        <f>+VLOOKUP(Tabla3[[#This Row],[PATENTE]],'BASE DATOS'!F:G,2,0)</f>
        <v xml:space="preserve">TRANSP CLAUDIO BUSTOS - LSG801 </v>
      </c>
      <c r="F173" s="582" t="str">
        <f>+VLOOKUP(Tabla3[[#This Row],[PATENTE]],'BASE DATOS'!F:H,3,0)</f>
        <v>2P</v>
      </c>
      <c r="G173" s="582" t="str">
        <f>+VLOOKUP(Tabla3[[#This Row],[PATENTE]],'BASE DATOS'!F:I,4,0)</f>
        <v>SI</v>
      </c>
      <c r="H173" s="584" t="str">
        <f>+VLOOKUP(Tabla3[[#This Row],[PATENTE]],'BASE DATOS'!F:J,5,0)</f>
        <v>SI</v>
      </c>
      <c r="I173" s="582" t="str">
        <f>+VLOOKUP(Tabla3[[#This Row],[PATENTE]],'BASE DATOS'!F:K,6,0)</f>
        <v>NO</v>
      </c>
      <c r="J173" s="582">
        <f>+VLOOKUP(Tabla3[[#This Row],[PATENTE]],'BASE DATOS'!F:L,7,0)</f>
        <v>2013</v>
      </c>
      <c r="K173" s="593">
        <f>+VLOOKUP(Tabla3[[#This Row],[PATENTE]],'BASE DATOS'!F:M,8,0)</f>
        <v>12</v>
      </c>
      <c r="N173" s="826"/>
      <c r="O173" s="1015"/>
      <c r="P173" s="1015"/>
      <c r="Q173" s="1015"/>
      <c r="R173" s="965" t="str">
        <f t="shared" si="4"/>
        <v>-</v>
      </c>
    </row>
    <row r="174" spans="1:18" hidden="1">
      <c r="A174" s="577" t="s">
        <v>909</v>
      </c>
      <c r="B174" s="582">
        <v>6</v>
      </c>
      <c r="C174" s="588">
        <v>45859</v>
      </c>
      <c r="D174" s="582">
        <f t="shared" si="5"/>
        <v>30</v>
      </c>
      <c r="E174" s="576" t="str">
        <f>+VLOOKUP(Tabla3[[#This Row],[PATENTE]],'BASE DATOS'!F:G,2,0)</f>
        <v xml:space="preserve">CRISTIAN MOYA - NHR055 </v>
      </c>
      <c r="F174" s="582" t="str">
        <f>+VLOOKUP(Tabla3[[#This Row],[PATENTE]],'BASE DATOS'!F:H,3,0)</f>
        <v>6P</v>
      </c>
      <c r="G174" s="582" t="str">
        <f>+VLOOKUP(Tabla3[[#This Row],[PATENTE]],'BASE DATOS'!F:I,4,0)</f>
        <v>SI</v>
      </c>
      <c r="H174" s="584" t="str">
        <f>+VLOOKUP(Tabla3[[#This Row],[PATENTE]],'BASE DATOS'!F:J,5,0)</f>
        <v>SI</v>
      </c>
      <c r="I174" s="582" t="str">
        <f>+VLOOKUP(Tabla3[[#This Row],[PATENTE]],'BASE DATOS'!F:K,6,0)</f>
        <v>NO</v>
      </c>
      <c r="J174" s="582">
        <f>+VLOOKUP(Tabla3[[#This Row],[PATENTE]],'BASE DATOS'!F:L,7,0)</f>
        <v>2013</v>
      </c>
      <c r="K174" s="593">
        <f>+VLOOKUP(Tabla3[[#This Row],[PATENTE]],'BASE DATOS'!F:M,8,0)</f>
        <v>12</v>
      </c>
      <c r="N174" s="826"/>
      <c r="O174" s="1015"/>
      <c r="P174" s="1015"/>
      <c r="Q174" s="1015"/>
      <c r="R174" s="965" t="str">
        <f t="shared" si="4"/>
        <v>-</v>
      </c>
    </row>
    <row r="175" spans="1:18" hidden="1">
      <c r="A175" s="578" t="s">
        <v>898</v>
      </c>
      <c r="B175" s="584">
        <v>6</v>
      </c>
      <c r="C175" s="589">
        <v>45859</v>
      </c>
      <c r="D175" s="582">
        <f t="shared" si="5"/>
        <v>30</v>
      </c>
      <c r="E175" s="576" t="str">
        <f>+VLOOKUP(Tabla3[[#This Row],[PATENTE]],'BASE DATOS'!F:G,2,0)</f>
        <v xml:space="preserve">TRANSP BERMEJO - NXP980 </v>
      </c>
      <c r="F175" s="582" t="str">
        <f>+VLOOKUP(Tabla3[[#This Row],[PATENTE]],'BASE DATOS'!F:H,3,0)</f>
        <v>12P</v>
      </c>
      <c r="G175" s="582" t="str">
        <f>+VLOOKUP(Tabla3[[#This Row],[PATENTE]],'BASE DATOS'!F:I,4,0)</f>
        <v>SI</v>
      </c>
      <c r="H175" s="584" t="str">
        <f>+VLOOKUP(Tabla3[[#This Row],[PATENTE]],'BASE DATOS'!F:J,5,0)</f>
        <v>SI</v>
      </c>
      <c r="I175" s="582" t="str">
        <f>+VLOOKUP(Tabla3[[#This Row],[PATENTE]],'BASE DATOS'!F:K,6,0)</f>
        <v>SI</v>
      </c>
      <c r="J175" s="582">
        <f>+VLOOKUP(Tabla3[[#This Row],[PATENTE]],'BASE DATOS'!F:L,7,0)</f>
        <v>2015</v>
      </c>
      <c r="K175" s="593">
        <f>+VLOOKUP(Tabla3[[#This Row],[PATENTE]],'BASE DATOS'!F:M,8,0)</f>
        <v>10</v>
      </c>
      <c r="N175" s="826"/>
      <c r="O175" s="1015"/>
      <c r="P175" s="1015"/>
      <c r="Q175" s="1015"/>
      <c r="R175" s="965" t="str">
        <f t="shared" si="4"/>
        <v>-</v>
      </c>
    </row>
    <row r="176" spans="1:18" hidden="1">
      <c r="A176" s="577" t="s">
        <v>896</v>
      </c>
      <c r="B176" s="582">
        <v>6</v>
      </c>
      <c r="C176" s="588">
        <v>45859</v>
      </c>
      <c r="D176" s="582">
        <f t="shared" si="5"/>
        <v>30</v>
      </c>
      <c r="E176" s="576" t="str">
        <f>+VLOOKUP(Tabla3[[#This Row],[PATENTE]],'BASE DATOS'!F:G,2,0)</f>
        <v xml:space="preserve">TRANSP MAVIR - RHQ609 </v>
      </c>
      <c r="F176" s="582" t="str">
        <f>+VLOOKUP(Tabla3[[#This Row],[PATENTE]],'BASE DATOS'!F:H,3,0)</f>
        <v>10P</v>
      </c>
      <c r="G176" s="582" t="str">
        <f>+VLOOKUP(Tabla3[[#This Row],[PATENTE]],'BASE DATOS'!F:I,4,0)</f>
        <v>NO</v>
      </c>
      <c r="H176" s="584" t="str">
        <f>+VLOOKUP(Tabla3[[#This Row],[PATENTE]],'BASE DATOS'!F:J,5,0)</f>
        <v xml:space="preserve">NO </v>
      </c>
      <c r="I176" s="582" t="str">
        <f>+VLOOKUP(Tabla3[[#This Row],[PATENTE]],'BASE DATOS'!F:K,6,0)</f>
        <v>NO</v>
      </c>
      <c r="J176" s="582">
        <f>+VLOOKUP(Tabla3[[#This Row],[PATENTE]],'BASE DATOS'!F:L,7,0)</f>
        <v>1995</v>
      </c>
      <c r="K176" s="593">
        <v>0</v>
      </c>
      <c r="N176" s="826"/>
      <c r="O176" s="1015"/>
      <c r="P176" s="1015"/>
      <c r="Q176" s="1015"/>
      <c r="R176" s="965" t="str">
        <f t="shared" si="4"/>
        <v>-</v>
      </c>
    </row>
    <row r="177" spans="1:18" hidden="1">
      <c r="A177" s="578" t="s">
        <v>919</v>
      </c>
      <c r="B177" s="584">
        <v>5</v>
      </c>
      <c r="C177" s="589">
        <v>45859</v>
      </c>
      <c r="D177" s="582">
        <f t="shared" si="5"/>
        <v>30</v>
      </c>
      <c r="E177" s="576" t="str">
        <f>+VLOOKUP(Tabla3[[#This Row],[PATENTE]],'BASE DATOS'!F:G,2,0)</f>
        <v xml:space="preserve">GUSTAVO CERQUETTA - AA427LT </v>
      </c>
      <c r="F177" s="582" t="str">
        <f>+VLOOKUP(Tabla3[[#This Row],[PATENTE]],'BASE DATOS'!F:H,3,0)</f>
        <v>1P</v>
      </c>
      <c r="G177" s="582" t="str">
        <f>+VLOOKUP(Tabla3[[#This Row],[PATENTE]],'BASE DATOS'!F:I,4,0)</f>
        <v>NO</v>
      </c>
      <c r="H177" s="584" t="str">
        <f>+VLOOKUP(Tabla3[[#This Row],[PATENTE]],'BASE DATOS'!F:J,5,0)</f>
        <v>SI</v>
      </c>
      <c r="I177" s="582" t="str">
        <f>+VLOOKUP(Tabla3[[#This Row],[PATENTE]],'BASE DATOS'!F:K,6,0)</f>
        <v>NO</v>
      </c>
      <c r="J177" s="582">
        <f>+VLOOKUP(Tabla3[[#This Row],[PATENTE]],'BASE DATOS'!F:L,7,0)</f>
        <v>2016</v>
      </c>
      <c r="K177" s="593">
        <f>+VLOOKUP(Tabla3[[#This Row],[PATENTE]],'BASE DATOS'!F:M,8,0)</f>
        <v>9</v>
      </c>
      <c r="N177" s="826"/>
      <c r="O177" s="1015"/>
      <c r="P177" s="1015"/>
      <c r="Q177" s="1015"/>
      <c r="R177" s="965" t="str">
        <f t="shared" si="4"/>
        <v>-</v>
      </c>
    </row>
    <row r="178" spans="1:18" hidden="1">
      <c r="A178" s="577" t="s">
        <v>922</v>
      </c>
      <c r="B178" s="582">
        <v>5</v>
      </c>
      <c r="C178" s="588">
        <v>45859</v>
      </c>
      <c r="D178" s="582">
        <f t="shared" si="5"/>
        <v>30</v>
      </c>
      <c r="E178" s="576" t="str">
        <f>+VLOOKUP(Tabla3[[#This Row],[PATENTE]],'BASE DATOS'!F:G,2,0)</f>
        <v>LAURIA (SERVAL) - AF342ZY</v>
      </c>
      <c r="F178" s="582" t="str">
        <f>+VLOOKUP(Tabla3[[#This Row],[PATENTE]],'BASE DATOS'!F:H,3,0)</f>
        <v>8P</v>
      </c>
      <c r="G178" s="582" t="str">
        <f>+VLOOKUP(Tabla3[[#This Row],[PATENTE]],'BASE DATOS'!F:I,4,0)</f>
        <v>SI</v>
      </c>
      <c r="H178" s="584" t="str">
        <f>+VLOOKUP(Tabla3[[#This Row],[PATENTE]],'BASE DATOS'!F:J,5,0)</f>
        <v>SI</v>
      </c>
      <c r="I178" s="582" t="str">
        <f>+VLOOKUP(Tabla3[[#This Row],[PATENTE]],'BASE DATOS'!F:K,6,0)</f>
        <v>NO</v>
      </c>
      <c r="J178" s="582">
        <f>+VLOOKUP(Tabla3[[#This Row],[PATENTE]],'BASE DATOS'!F:L,7,0)</f>
        <v>2022</v>
      </c>
      <c r="K178" s="593">
        <f>+VLOOKUP(Tabla3[[#This Row],[PATENTE]],'BASE DATOS'!F:M,8,0)</f>
        <v>3</v>
      </c>
      <c r="N178" s="826"/>
      <c r="O178" s="1015"/>
      <c r="P178" s="1015"/>
      <c r="Q178" s="1015"/>
      <c r="R178" s="965" t="str">
        <f t="shared" si="4"/>
        <v>-</v>
      </c>
    </row>
    <row r="179" spans="1:18" hidden="1">
      <c r="A179" s="578" t="s">
        <v>921</v>
      </c>
      <c r="B179" s="584">
        <v>5</v>
      </c>
      <c r="C179" s="589">
        <v>45859</v>
      </c>
      <c r="D179" s="582">
        <f t="shared" si="5"/>
        <v>30</v>
      </c>
      <c r="E179" s="576" t="str">
        <f>+VLOOKUP(Tabla3[[#This Row],[PATENTE]],'BASE DATOS'!F:G,2,0)</f>
        <v xml:space="preserve">MAÑAS NORBERTO - CQQ304 </v>
      </c>
      <c r="F179" s="582" t="str">
        <f>+VLOOKUP(Tabla3[[#This Row],[PATENTE]],'BASE DATOS'!F:H,3,0)</f>
        <v>11P</v>
      </c>
      <c r="G179" s="582" t="str">
        <f>+VLOOKUP(Tabla3[[#This Row],[PATENTE]],'BASE DATOS'!F:I,4,0)</f>
        <v>SI</v>
      </c>
      <c r="H179" s="584" t="str">
        <f>+VLOOKUP(Tabla3[[#This Row],[PATENTE]],'BASE DATOS'!F:J,5,0)</f>
        <v>SI</v>
      </c>
      <c r="I179" s="582" t="str">
        <f>+VLOOKUP(Tabla3[[#This Row],[PATENTE]],'BASE DATOS'!F:K,6,0)</f>
        <v>NO</v>
      </c>
      <c r="J179" s="582">
        <f>+VLOOKUP(Tabla3[[#This Row],[PATENTE]],'BASE DATOS'!F:L,7,0)</f>
        <v>2000</v>
      </c>
      <c r="K179" s="593">
        <f>+VLOOKUP(Tabla3[[#This Row],[PATENTE]],'BASE DATOS'!F:M,8,0)</f>
        <v>25</v>
      </c>
      <c r="N179" s="826"/>
      <c r="O179" s="1015"/>
      <c r="P179" s="1015"/>
      <c r="Q179" s="1015"/>
      <c r="R179" s="965" t="str">
        <f t="shared" si="4"/>
        <v>-</v>
      </c>
    </row>
    <row r="180" spans="1:18" hidden="1">
      <c r="A180" s="577" t="s">
        <v>915</v>
      </c>
      <c r="B180" s="582">
        <v>5</v>
      </c>
      <c r="C180" s="588">
        <v>45859</v>
      </c>
      <c r="D180" s="582">
        <f t="shared" si="5"/>
        <v>30</v>
      </c>
      <c r="E180" s="576" t="str">
        <f>+VLOOKUP(Tabla3[[#This Row],[PATENTE]],'BASE DATOS'!F:G,2,0)</f>
        <v>TRANSPORTE GRACIELA - FPL254</v>
      </c>
      <c r="F180" s="582" t="str">
        <f>+VLOOKUP(Tabla3[[#This Row],[PATENTE]],'BASE DATOS'!F:H,3,0)</f>
        <v>2P</v>
      </c>
      <c r="G180" s="582" t="str">
        <f>+VLOOKUP(Tabla3[[#This Row],[PATENTE]],'BASE DATOS'!F:I,4,0)</f>
        <v>SI</v>
      </c>
      <c r="H180" s="584" t="str">
        <f>+VLOOKUP(Tabla3[[#This Row],[PATENTE]],'BASE DATOS'!F:J,5,0)</f>
        <v>NO (CAMI)</v>
      </c>
      <c r="I180" s="582" t="str">
        <f>+VLOOKUP(Tabla3[[#This Row],[PATENTE]],'BASE DATOS'!F:K,6,0)</f>
        <v>NO</v>
      </c>
      <c r="J180" s="582">
        <f>+VLOOKUP(Tabla3[[#This Row],[PATENTE]],'BASE DATOS'!F:L,7,0)</f>
        <v>2012</v>
      </c>
      <c r="K180" s="593">
        <f>+VLOOKUP(Tabla3[[#This Row],[PATENTE]],'BASE DATOS'!F:M,8,0)</f>
        <v>13</v>
      </c>
      <c r="N180" s="826"/>
      <c r="O180" s="1015"/>
      <c r="P180" s="1015"/>
      <c r="Q180" s="1015"/>
      <c r="R180" s="965" t="str">
        <f t="shared" si="4"/>
        <v>-</v>
      </c>
    </row>
    <row r="181" spans="1:18" hidden="1">
      <c r="A181" s="578" t="s">
        <v>892</v>
      </c>
      <c r="B181" s="584">
        <v>5</v>
      </c>
      <c r="C181" s="589">
        <v>45859</v>
      </c>
      <c r="D181" s="582">
        <f t="shared" si="5"/>
        <v>30</v>
      </c>
      <c r="E181" s="576" t="str">
        <f>+VLOOKUP(Tabla3[[#This Row],[PATENTE]],'BASE DATOS'!F:G,2,0)</f>
        <v xml:space="preserve">COLO - FTL525 </v>
      </c>
      <c r="F181" s="582" t="str">
        <f>+VLOOKUP(Tabla3[[#This Row],[PATENTE]],'BASE DATOS'!F:H,3,0)</f>
        <v>1P</v>
      </c>
      <c r="G181" s="582" t="str">
        <f>+VLOOKUP(Tabla3[[#This Row],[PATENTE]],'BASE DATOS'!F:I,4,0)</f>
        <v>NO</v>
      </c>
      <c r="H181" s="584" t="str">
        <f>+VLOOKUP(Tabla3[[#This Row],[PATENTE]],'BASE DATOS'!F:J,5,0)</f>
        <v>SI</v>
      </c>
      <c r="I181" s="582" t="str">
        <f>+VLOOKUP(Tabla3[[#This Row],[PATENTE]],'BASE DATOS'!F:K,6,0)</f>
        <v>NO</v>
      </c>
      <c r="J181" s="582">
        <f>+VLOOKUP(Tabla3[[#This Row],[PATENTE]],'BASE DATOS'!F:L,7,0)</f>
        <v>2008</v>
      </c>
      <c r="K181" s="593">
        <f>+VLOOKUP(Tabla3[[#This Row],[PATENTE]],'BASE DATOS'!F:M,8,0)</f>
        <v>17</v>
      </c>
      <c r="N181" s="826"/>
      <c r="O181" s="1015"/>
      <c r="P181" s="1015"/>
      <c r="Q181" s="1015"/>
      <c r="R181" s="965" t="str">
        <f t="shared" si="4"/>
        <v>-</v>
      </c>
    </row>
    <row r="182" spans="1:18" hidden="1">
      <c r="A182" s="577" t="s">
        <v>900</v>
      </c>
      <c r="B182" s="582">
        <v>5</v>
      </c>
      <c r="C182" s="588">
        <v>45859</v>
      </c>
      <c r="D182" s="582">
        <f t="shared" si="5"/>
        <v>30</v>
      </c>
      <c r="E182" s="576" t="str">
        <f>+VLOOKUP(Tabla3[[#This Row],[PATENTE]],'BASE DATOS'!F:G,2,0)</f>
        <v>TRANSPORTE GENA GAIA - IMO939</v>
      </c>
      <c r="F182" s="582" t="str">
        <f>+VLOOKUP(Tabla3[[#This Row],[PATENTE]],'BASE DATOS'!F:H,3,0)</f>
        <v>24P</v>
      </c>
      <c r="G182" s="582" t="str">
        <f>+VLOOKUP(Tabla3[[#This Row],[PATENTE]],'BASE DATOS'!F:I,4,0)</f>
        <v>Gestya</v>
      </c>
      <c r="H182" s="584" t="str">
        <f>+VLOOKUP(Tabla3[[#This Row],[PATENTE]],'BASE DATOS'!F:J,5,0)</f>
        <v xml:space="preserve">NO </v>
      </c>
      <c r="I182" s="582" t="str">
        <f>+VLOOKUP(Tabla3[[#This Row],[PATENTE]],'BASE DATOS'!F:K,6,0)</f>
        <v>NO</v>
      </c>
      <c r="J182" s="582">
        <f>+VLOOKUP(Tabla3[[#This Row],[PATENTE]],'BASE DATOS'!F:L,7,0)</f>
        <v>2010</v>
      </c>
      <c r="K182" s="593">
        <f>+VLOOKUP(Tabla3[[#This Row],[PATENTE]],'BASE DATOS'!F:M,8,0)</f>
        <v>15</v>
      </c>
      <c r="N182" s="826"/>
      <c r="O182" s="1015"/>
      <c r="P182" s="1015"/>
      <c r="Q182" s="1015"/>
      <c r="R182" s="965" t="str">
        <f t="shared" si="4"/>
        <v>-</v>
      </c>
    </row>
    <row r="183" spans="1:18" hidden="1">
      <c r="A183" s="578" t="s">
        <v>925</v>
      </c>
      <c r="B183" s="584">
        <v>5</v>
      </c>
      <c r="C183" s="589">
        <v>45859</v>
      </c>
      <c r="D183" s="582">
        <f t="shared" si="5"/>
        <v>30</v>
      </c>
      <c r="E183" s="576" t="str">
        <f>+VLOOKUP(Tabla3[[#This Row],[PATENTE]],'BASE DATOS'!F:G,2,0)</f>
        <v xml:space="preserve">TRANSP MAIDANA FACUNDO - KOW745 </v>
      </c>
      <c r="F183" s="582" t="str">
        <f>+VLOOKUP(Tabla3[[#This Row],[PATENTE]],'BASE DATOS'!F:H,3,0)</f>
        <v>8P</v>
      </c>
      <c r="G183" s="582" t="str">
        <f>+VLOOKUP(Tabla3[[#This Row],[PATENTE]],'BASE DATOS'!F:I,4,0)</f>
        <v>SI</v>
      </c>
      <c r="H183" s="584" t="str">
        <f>+VLOOKUP(Tabla3[[#This Row],[PATENTE]],'BASE DATOS'!F:J,5,0)</f>
        <v>SI</v>
      </c>
      <c r="I183" s="582" t="str">
        <f>+VLOOKUP(Tabla3[[#This Row],[PATENTE]],'BASE DATOS'!F:K,6,0)</f>
        <v>NO</v>
      </c>
      <c r="J183" s="582">
        <f>+VLOOKUP(Tabla3[[#This Row],[PATENTE]],'BASE DATOS'!F:L,7,0)</f>
        <v>2012</v>
      </c>
      <c r="K183" s="593">
        <f>+VLOOKUP(Tabla3[[#This Row],[PATENTE]],'BASE DATOS'!F:M,8,0)</f>
        <v>13</v>
      </c>
      <c r="N183" s="826"/>
      <c r="O183" s="1015"/>
      <c r="P183" s="1015"/>
      <c r="Q183" s="1015"/>
      <c r="R183" s="965" t="str">
        <f t="shared" si="4"/>
        <v>-</v>
      </c>
    </row>
    <row r="184" spans="1:18" hidden="1">
      <c r="A184" s="577" t="s">
        <v>913</v>
      </c>
      <c r="B184" s="582">
        <v>5</v>
      </c>
      <c r="C184" s="588">
        <v>45859</v>
      </c>
      <c r="D184" s="582">
        <f t="shared" si="5"/>
        <v>30</v>
      </c>
      <c r="E184" s="576" t="str">
        <f>+VLOOKUP(Tabla3[[#This Row],[PATENTE]],'BASE DATOS'!F:G,2,0)</f>
        <v xml:space="preserve">TRANSP DON NENO - KSI803 </v>
      </c>
      <c r="F184" s="582" t="str">
        <f>+VLOOKUP(Tabla3[[#This Row],[PATENTE]],'BASE DATOS'!F:H,3,0)</f>
        <v>2P</v>
      </c>
      <c r="G184" s="582" t="str">
        <f>+VLOOKUP(Tabla3[[#This Row],[PATENTE]],'BASE DATOS'!F:I,4,0)</f>
        <v>SI</v>
      </c>
      <c r="H184" s="584" t="str">
        <f>+VLOOKUP(Tabla3[[#This Row],[PATENTE]],'BASE DATOS'!F:J,5,0)</f>
        <v>SI</v>
      </c>
      <c r="I184" s="582" t="str">
        <f>+VLOOKUP(Tabla3[[#This Row],[PATENTE]],'BASE DATOS'!F:K,6,0)</f>
        <v>NO</v>
      </c>
      <c r="J184" s="582">
        <f>+VLOOKUP(Tabla3[[#This Row],[PATENTE]],'BASE DATOS'!F:L,7,0)</f>
        <v>2012</v>
      </c>
      <c r="K184" s="593">
        <f>+VLOOKUP(Tabla3[[#This Row],[PATENTE]],'BASE DATOS'!F:M,8,0)</f>
        <v>13</v>
      </c>
      <c r="N184" s="826"/>
      <c r="O184" s="1015"/>
      <c r="P184" s="1015"/>
      <c r="Q184" s="1015"/>
      <c r="R184" s="965" t="str">
        <f t="shared" si="4"/>
        <v>-</v>
      </c>
    </row>
    <row r="185" spans="1:18" hidden="1">
      <c r="A185" s="578" t="s">
        <v>920</v>
      </c>
      <c r="B185" s="584">
        <v>5</v>
      </c>
      <c r="C185" s="589">
        <v>45859</v>
      </c>
      <c r="D185" s="582">
        <f t="shared" si="5"/>
        <v>30</v>
      </c>
      <c r="E185" s="576" t="str">
        <f>+VLOOKUP(Tabla3[[#This Row],[PATENTE]],'BASE DATOS'!F:G,2,0)</f>
        <v xml:space="preserve">TRANSP LAGOS - MRV682 </v>
      </c>
      <c r="F185" s="582" t="str">
        <f>+VLOOKUP(Tabla3[[#This Row],[PATENTE]],'BASE DATOS'!F:H,3,0)</f>
        <v>8P</v>
      </c>
      <c r="G185" s="582" t="str">
        <f>+VLOOKUP(Tabla3[[#This Row],[PATENTE]],'BASE DATOS'!F:I,4,0)</f>
        <v>SI</v>
      </c>
      <c r="H185" s="584" t="str">
        <f>+VLOOKUP(Tabla3[[#This Row],[PATENTE]],'BASE DATOS'!F:J,5,0)</f>
        <v>SI</v>
      </c>
      <c r="I185" s="582" t="str">
        <f>+VLOOKUP(Tabla3[[#This Row],[PATENTE]],'BASE DATOS'!F:K,6,0)</f>
        <v>NO</v>
      </c>
      <c r="J185" s="582">
        <f>+VLOOKUP(Tabla3[[#This Row],[PATENTE]],'BASE DATOS'!F:L,7,0)</f>
        <v>2013</v>
      </c>
      <c r="K185" s="593">
        <f>+VLOOKUP(Tabla3[[#This Row],[PATENTE]],'BASE DATOS'!F:M,8,0)</f>
        <v>12</v>
      </c>
      <c r="N185" s="826"/>
      <c r="O185" s="1015"/>
      <c r="P185" s="1015"/>
      <c r="Q185" s="1015"/>
      <c r="R185" s="965" t="str">
        <f t="shared" si="4"/>
        <v>-</v>
      </c>
    </row>
    <row r="186" spans="1:18" hidden="1">
      <c r="A186" s="577" t="s">
        <v>886</v>
      </c>
      <c r="B186" s="582">
        <v>5</v>
      </c>
      <c r="C186" s="588">
        <v>45859</v>
      </c>
      <c r="D186" s="582">
        <f t="shared" si="5"/>
        <v>30</v>
      </c>
      <c r="E186" s="576" t="str">
        <f>+VLOOKUP(Tabla3[[#This Row],[PATENTE]],'BASE DATOS'!F:G,2,0)</f>
        <v xml:space="preserve">TRANSP LAGOS - NOO925 </v>
      </c>
      <c r="F186" s="582" t="str">
        <f>+VLOOKUP(Tabla3[[#This Row],[PATENTE]],'BASE DATOS'!F:H,3,0)</f>
        <v>8P</v>
      </c>
      <c r="G186" s="582" t="str">
        <f>+VLOOKUP(Tabla3[[#This Row],[PATENTE]],'BASE DATOS'!F:I,4,0)</f>
        <v>SI</v>
      </c>
      <c r="H186" s="584" t="str">
        <f>+VLOOKUP(Tabla3[[#This Row],[PATENTE]],'BASE DATOS'!F:J,5,0)</f>
        <v>SI</v>
      </c>
      <c r="I186" s="582" t="str">
        <f>+VLOOKUP(Tabla3[[#This Row],[PATENTE]],'BASE DATOS'!F:K,6,0)</f>
        <v>NO</v>
      </c>
      <c r="J186" s="582">
        <f>+VLOOKUP(Tabla3[[#This Row],[PATENTE]],'BASE DATOS'!F:L,7,0)</f>
        <v>2014</v>
      </c>
      <c r="K186" s="593">
        <f>+VLOOKUP(Tabla3[[#This Row],[PATENTE]],'BASE DATOS'!F:M,8,0)</f>
        <v>11</v>
      </c>
      <c r="N186" s="826"/>
      <c r="O186" s="1015"/>
      <c r="P186" s="1015"/>
      <c r="Q186" s="1015"/>
      <c r="R186" s="965" t="str">
        <f t="shared" si="4"/>
        <v>-</v>
      </c>
    </row>
    <row r="187" spans="1:18" hidden="1">
      <c r="A187" s="578" t="s">
        <v>912</v>
      </c>
      <c r="B187" s="584">
        <v>4</v>
      </c>
      <c r="C187" s="589">
        <v>45859</v>
      </c>
      <c r="D187" s="582">
        <f t="shared" si="5"/>
        <v>30</v>
      </c>
      <c r="E187" s="576" t="str">
        <f>+VLOOKUP(Tabla3[[#This Row],[PATENTE]],'BASE DATOS'!F:G,2,0)</f>
        <v xml:space="preserve">PACHECO JULIO - AC028WN </v>
      </c>
      <c r="F187" s="582" t="str">
        <f>+VLOOKUP(Tabla3[[#This Row],[PATENTE]],'BASE DATOS'!F:H,3,0)</f>
        <v>8P</v>
      </c>
      <c r="G187" s="582" t="str">
        <f>+VLOOKUP(Tabla3[[#This Row],[PATENTE]],'BASE DATOS'!F:I,4,0)</f>
        <v>SI</v>
      </c>
      <c r="H187" s="584" t="str">
        <f>+VLOOKUP(Tabla3[[#This Row],[PATENTE]],'BASE DATOS'!F:J,5,0)</f>
        <v>SI</v>
      </c>
      <c r="I187" s="582" t="str">
        <f>+VLOOKUP(Tabla3[[#This Row],[PATENTE]],'BASE DATOS'!F:K,6,0)</f>
        <v>SI</v>
      </c>
      <c r="J187" s="582">
        <f>+VLOOKUP(Tabla3[[#This Row],[PATENTE]],'BASE DATOS'!F:L,7,0)</f>
        <v>2017</v>
      </c>
      <c r="K187" s="593">
        <f>+VLOOKUP(Tabla3[[#This Row],[PATENTE]],'BASE DATOS'!F:M,8,0)</f>
        <v>8</v>
      </c>
      <c r="N187" s="826"/>
      <c r="O187" s="1015"/>
      <c r="P187" s="1015"/>
      <c r="Q187" s="1015"/>
      <c r="R187" s="965" t="str">
        <f t="shared" si="4"/>
        <v>-</v>
      </c>
    </row>
    <row r="188" spans="1:18" hidden="1">
      <c r="A188" s="577" t="s">
        <v>890</v>
      </c>
      <c r="B188" s="582">
        <v>4</v>
      </c>
      <c r="C188" s="588">
        <v>45859</v>
      </c>
      <c r="D188" s="582">
        <f t="shared" si="5"/>
        <v>30</v>
      </c>
      <c r="E188" s="576" t="str">
        <f>+VLOOKUP(Tabla3[[#This Row],[PATENTE]],'BASE DATOS'!F:G,2,0)</f>
        <v xml:space="preserve">TRANSPORTE GRACIELA - AC040RO </v>
      </c>
      <c r="F188" s="582" t="str">
        <f>+VLOOKUP(Tabla3[[#This Row],[PATENTE]],'BASE DATOS'!F:H,3,0)</f>
        <v>1P</v>
      </c>
      <c r="G188" s="582" t="str">
        <f>+VLOOKUP(Tabla3[[#This Row],[PATENTE]],'BASE DATOS'!F:I,4,0)</f>
        <v>SI</v>
      </c>
      <c r="H188" s="584" t="str">
        <f>+VLOOKUP(Tabla3[[#This Row],[PATENTE]],'BASE DATOS'!F:J,5,0)</f>
        <v>ACEPTA( VER CAMI)</v>
      </c>
      <c r="I188" s="582" t="str">
        <f>+VLOOKUP(Tabla3[[#This Row],[PATENTE]],'BASE DATOS'!F:K,6,0)</f>
        <v>NO</v>
      </c>
      <c r="J188" s="582">
        <f>+VLOOKUP(Tabla3[[#This Row],[PATENTE]],'BASE DATOS'!F:L,7,0)</f>
        <v>2017</v>
      </c>
      <c r="K188" s="593">
        <f>+VLOOKUP(Tabla3[[#This Row],[PATENTE]],'BASE DATOS'!F:M,8,0)</f>
        <v>8</v>
      </c>
      <c r="N188" s="826"/>
      <c r="O188" s="1015"/>
      <c r="P188" s="1015"/>
      <c r="Q188" s="1015"/>
      <c r="R188" s="965" t="str">
        <f t="shared" si="4"/>
        <v>-</v>
      </c>
    </row>
    <row r="189" spans="1:18" hidden="1">
      <c r="A189" s="578" t="s">
        <v>883</v>
      </c>
      <c r="B189" s="584">
        <v>4</v>
      </c>
      <c r="C189" s="589">
        <v>45859</v>
      </c>
      <c r="D189" s="582">
        <f t="shared" si="5"/>
        <v>30</v>
      </c>
      <c r="E189" s="576" t="str">
        <f>+VLOOKUP(Tabla3[[#This Row],[PATENTE]],'BASE DATOS'!F:G,2,0)</f>
        <v xml:space="preserve">PACHECO JULIO - ACI503 </v>
      </c>
      <c r="F189" s="582" t="str">
        <f>+VLOOKUP(Tabla3[[#This Row],[PATENTE]],'BASE DATOS'!F:H,3,0)</f>
        <v>12P</v>
      </c>
      <c r="G189" s="582" t="str">
        <f>+VLOOKUP(Tabla3[[#This Row],[PATENTE]],'BASE DATOS'!F:I,4,0)</f>
        <v>NO</v>
      </c>
      <c r="H189" s="584" t="str">
        <f>+VLOOKUP(Tabla3[[#This Row],[PATENTE]],'BASE DATOS'!F:J,5,0)</f>
        <v>SI</v>
      </c>
      <c r="I189" s="582" t="str">
        <f>+VLOOKUP(Tabla3[[#This Row],[PATENTE]],'BASE DATOS'!F:K,6,0)</f>
        <v>SI</v>
      </c>
      <c r="J189" s="582">
        <f>+VLOOKUP(Tabla3[[#This Row],[PATENTE]],'BASE DATOS'!F:L,7,0)</f>
        <v>2000</v>
      </c>
      <c r="K189" s="593">
        <f>+VLOOKUP(Tabla3[[#This Row],[PATENTE]],'BASE DATOS'!F:M,8,0)</f>
        <v>25</v>
      </c>
      <c r="N189" s="826"/>
      <c r="O189" s="1015"/>
      <c r="P189" s="1015"/>
      <c r="Q189" s="1015"/>
      <c r="R189" s="965" t="str">
        <f t="shared" si="4"/>
        <v>-</v>
      </c>
    </row>
    <row r="190" spans="1:18" hidden="1">
      <c r="A190" s="577" t="s">
        <v>903</v>
      </c>
      <c r="B190" s="582">
        <v>4</v>
      </c>
      <c r="C190" s="588">
        <v>45859</v>
      </c>
      <c r="D190" s="582">
        <f t="shared" si="5"/>
        <v>30</v>
      </c>
      <c r="E190" s="576" t="str">
        <f>+VLOOKUP(Tabla3[[#This Row],[PATENTE]],'BASE DATOS'!F:G,2,0)</f>
        <v xml:space="preserve">TRANSP CLAUDIO BUSTOS - AG243PE </v>
      </c>
      <c r="F190" s="582" t="str">
        <f>+VLOOKUP(Tabla3[[#This Row],[PATENTE]],'BASE DATOS'!F:H,3,0)</f>
        <v>1P</v>
      </c>
      <c r="G190" s="582" t="str">
        <f>+VLOOKUP(Tabla3[[#This Row],[PATENTE]],'BASE DATOS'!F:I,4,0)</f>
        <v>SI</v>
      </c>
      <c r="H190" s="584" t="str">
        <f>+VLOOKUP(Tabla3[[#This Row],[PATENTE]],'BASE DATOS'!F:J,5,0)</f>
        <v>SI</v>
      </c>
      <c r="I190" s="582" t="str">
        <f>+VLOOKUP(Tabla3[[#This Row],[PATENTE]],'BASE DATOS'!F:K,6,0)</f>
        <v>NO</v>
      </c>
      <c r="J190" s="582">
        <f>+VLOOKUP(Tabla3[[#This Row],[PATENTE]],'BASE DATOS'!F:L,7,0)</f>
        <v>2024</v>
      </c>
      <c r="K190" s="593">
        <f>+VLOOKUP(Tabla3[[#This Row],[PATENTE]],'BASE DATOS'!F:M,8,0)</f>
        <v>1</v>
      </c>
      <c r="N190" s="826"/>
      <c r="O190" s="1015"/>
      <c r="P190" s="1015"/>
      <c r="Q190" s="1015"/>
      <c r="R190" s="965" t="str">
        <f t="shared" si="4"/>
        <v>-</v>
      </c>
    </row>
    <row r="191" spans="1:18" hidden="1">
      <c r="A191" s="578" t="s">
        <v>885</v>
      </c>
      <c r="B191" s="584">
        <v>4</v>
      </c>
      <c r="C191" s="589">
        <v>45859</v>
      </c>
      <c r="D191" s="582">
        <f t="shared" si="5"/>
        <v>30</v>
      </c>
      <c r="E191" s="576" t="str">
        <f>+VLOOKUP(Tabla3[[#This Row],[PATENTE]],'BASE DATOS'!F:G,2,0)</f>
        <v xml:space="preserve">TRANSP DON NENO - IES288 </v>
      </c>
      <c r="F191" s="582" t="str">
        <f>+VLOOKUP(Tabla3[[#This Row],[PATENTE]],'BASE DATOS'!F:H,3,0)</f>
        <v>2P</v>
      </c>
      <c r="G191" s="582" t="str">
        <f>+VLOOKUP(Tabla3[[#This Row],[PATENTE]],'BASE DATOS'!F:I,4,0)</f>
        <v>SI</v>
      </c>
      <c r="H191" s="584" t="str">
        <f>+VLOOKUP(Tabla3[[#This Row],[PATENTE]],'BASE DATOS'!F:J,5,0)</f>
        <v>SI</v>
      </c>
      <c r="I191" s="582" t="str">
        <f>+VLOOKUP(Tabla3[[#This Row],[PATENTE]],'BASE DATOS'!F:K,6,0)</f>
        <v>NO</v>
      </c>
      <c r="J191" s="582">
        <f>+VLOOKUP(Tabla3[[#This Row],[PATENTE]],'BASE DATOS'!F:L,7,0)</f>
        <v>2009</v>
      </c>
      <c r="K191" s="593">
        <f>+VLOOKUP(Tabla3[[#This Row],[PATENTE]],'BASE DATOS'!F:M,8,0)</f>
        <v>16</v>
      </c>
      <c r="N191" s="826"/>
      <c r="O191" s="1015"/>
      <c r="P191" s="1015"/>
      <c r="Q191" s="1015"/>
      <c r="R191" s="965" t="str">
        <f t="shared" si="4"/>
        <v>-</v>
      </c>
    </row>
    <row r="192" spans="1:18" hidden="1">
      <c r="A192" s="577" t="s">
        <v>933</v>
      </c>
      <c r="B192" s="582">
        <v>4</v>
      </c>
      <c r="C192" s="588">
        <v>45859</v>
      </c>
      <c r="D192" s="582">
        <f t="shared" si="5"/>
        <v>30</v>
      </c>
      <c r="E192" s="576" t="str">
        <f>+VLOOKUP(Tabla3[[#This Row],[PATENTE]],'BASE DATOS'!F:G,2,0)</f>
        <v xml:space="preserve">TRANSPORTE GENA GAIA - IKE806 </v>
      </c>
      <c r="F192" s="582" t="str">
        <f>+VLOOKUP(Tabla3[[#This Row],[PATENTE]],'BASE DATOS'!F:H,3,0)</f>
        <v>24P</v>
      </c>
      <c r="G192" s="582" t="str">
        <f>+VLOOKUP(Tabla3[[#This Row],[PATENTE]],'BASE DATOS'!F:I,4,0)</f>
        <v>Gestya</v>
      </c>
      <c r="H192" s="584" t="str">
        <f>+VLOOKUP(Tabla3[[#This Row],[PATENTE]],'BASE DATOS'!F:J,5,0)</f>
        <v xml:space="preserve">NO </v>
      </c>
      <c r="I192" s="582" t="str">
        <f>+VLOOKUP(Tabla3[[#This Row],[PATENTE]],'BASE DATOS'!F:K,6,0)</f>
        <v>NO</v>
      </c>
      <c r="J192" s="582">
        <f>+VLOOKUP(Tabla3[[#This Row],[PATENTE]],'BASE DATOS'!F:L,7,0)</f>
        <v>2010</v>
      </c>
      <c r="K192" s="593">
        <f>+VLOOKUP(Tabla3[[#This Row],[PATENTE]],'BASE DATOS'!F:M,8,0)</f>
        <v>15</v>
      </c>
      <c r="N192" s="826"/>
      <c r="O192" s="1015"/>
      <c r="P192" s="1015"/>
      <c r="Q192" s="1015"/>
      <c r="R192" s="965" t="str">
        <f t="shared" si="4"/>
        <v>-</v>
      </c>
    </row>
    <row r="193" spans="1:18" hidden="1">
      <c r="A193" s="578" t="s">
        <v>882</v>
      </c>
      <c r="B193" s="584">
        <v>4</v>
      </c>
      <c r="C193" s="589">
        <v>45859</v>
      </c>
      <c r="D193" s="582">
        <f t="shared" si="5"/>
        <v>30</v>
      </c>
      <c r="E193" s="576" t="str">
        <f>+VLOOKUP(Tabla3[[#This Row],[PATENTE]],'BASE DATOS'!F:G,2,0)</f>
        <v xml:space="preserve">MAÑAS - JWN279 </v>
      </c>
      <c r="F193" s="582" t="str">
        <f>+VLOOKUP(Tabla3[[#This Row],[PATENTE]],'BASE DATOS'!F:H,3,0)</f>
        <v>7P</v>
      </c>
      <c r="G193" s="582" t="str">
        <f>+VLOOKUP(Tabla3[[#This Row],[PATENTE]],'BASE DATOS'!F:I,4,0)</f>
        <v>SI</v>
      </c>
      <c r="H193" s="584" t="str">
        <f>+VLOOKUP(Tabla3[[#This Row],[PATENTE]],'BASE DATOS'!F:J,5,0)</f>
        <v>SI</v>
      </c>
      <c r="I193" s="582" t="str">
        <f>+VLOOKUP(Tabla3[[#This Row],[PATENTE]],'BASE DATOS'!F:K,6,0)</f>
        <v>NO</v>
      </c>
      <c r="J193" s="582">
        <f>+VLOOKUP(Tabla3[[#This Row],[PATENTE]],'BASE DATOS'!F:L,7,0)</f>
        <v>2011</v>
      </c>
      <c r="K193" s="593">
        <f>+VLOOKUP(Tabla3[[#This Row],[PATENTE]],'BASE DATOS'!F:M,8,0)</f>
        <v>14</v>
      </c>
      <c r="N193" s="826"/>
      <c r="O193" s="1015"/>
      <c r="P193" s="1015"/>
      <c r="Q193" s="1015"/>
      <c r="R193" s="965" t="str">
        <f t="shared" si="4"/>
        <v>-</v>
      </c>
    </row>
    <row r="194" spans="1:18" hidden="1">
      <c r="A194" s="577" t="s">
        <v>878</v>
      </c>
      <c r="B194" s="582">
        <v>3</v>
      </c>
      <c r="C194" s="588">
        <v>45859</v>
      </c>
      <c r="D194" s="582">
        <f t="shared" si="5"/>
        <v>30</v>
      </c>
      <c r="E194" s="576" t="str">
        <f>+VLOOKUP(Tabla3[[#This Row],[PATENTE]],'BASE DATOS'!F:G,2,0)</f>
        <v xml:space="preserve">PACHECO JULIO - AA854LY </v>
      </c>
      <c r="F194" s="582" t="str">
        <f>+VLOOKUP(Tabla3[[#This Row],[PATENTE]],'BASE DATOS'!F:H,3,0)</f>
        <v>7P</v>
      </c>
      <c r="G194" s="582" t="str">
        <f>+VLOOKUP(Tabla3[[#This Row],[PATENTE]],'BASE DATOS'!F:I,4,0)</f>
        <v>SI</v>
      </c>
      <c r="H194" s="584" t="str">
        <f>+VLOOKUP(Tabla3[[#This Row],[PATENTE]],'BASE DATOS'!F:J,5,0)</f>
        <v>SI</v>
      </c>
      <c r="I194" s="582" t="str">
        <f>+VLOOKUP(Tabla3[[#This Row],[PATENTE]],'BASE DATOS'!F:K,6,0)</f>
        <v>NO</v>
      </c>
      <c r="J194" s="582">
        <f>+VLOOKUP(Tabla3[[#This Row],[PATENTE]],'BASE DATOS'!F:L,7,0)</f>
        <v>2016</v>
      </c>
      <c r="K194" s="593">
        <f>+VLOOKUP(Tabla3[[#This Row],[PATENTE]],'BASE DATOS'!F:M,8,0)</f>
        <v>9</v>
      </c>
      <c r="N194" s="826"/>
      <c r="O194" s="1015"/>
      <c r="P194" s="1015"/>
      <c r="Q194" s="1015"/>
      <c r="R194" s="965" t="str">
        <f t="shared" ref="R194:R257" si="6">IFERROR(AVERAGE(O194:Q194),"-")</f>
        <v>-</v>
      </c>
    </row>
    <row r="195" spans="1:18" hidden="1">
      <c r="A195" s="578" t="s">
        <v>906</v>
      </c>
      <c r="B195" s="584">
        <v>3</v>
      </c>
      <c r="C195" s="589">
        <v>45859</v>
      </c>
      <c r="D195" s="582">
        <f t="shared" ref="D195:D258" si="7">+WEEKNUM(C195)</f>
        <v>30</v>
      </c>
      <c r="E195" s="576" t="str">
        <f>+VLOOKUP(Tabla3[[#This Row],[PATENTE]],'BASE DATOS'!F:G,2,0)</f>
        <v xml:space="preserve">VAZQUEZ (TRV SRL) - AD472GK </v>
      </c>
      <c r="F195" s="582" t="str">
        <f>+VLOOKUP(Tabla3[[#This Row],[PATENTE]],'BASE DATOS'!F:H,3,0)</f>
        <v>8P</v>
      </c>
      <c r="G195" s="582" t="str">
        <f>+VLOOKUP(Tabla3[[#This Row],[PATENTE]],'BASE DATOS'!F:I,4,0)</f>
        <v>NO</v>
      </c>
      <c r="H195" s="584" t="str">
        <f>+VLOOKUP(Tabla3[[#This Row],[PATENTE]],'BASE DATOS'!F:J,5,0)</f>
        <v>NO</v>
      </c>
      <c r="I195" s="582" t="str">
        <f>+VLOOKUP(Tabla3[[#This Row],[PATENTE]],'BASE DATOS'!F:K,6,0)</f>
        <v>SI</v>
      </c>
      <c r="J195" s="582">
        <f>+VLOOKUP(Tabla3[[#This Row],[PATENTE]],'BASE DATOS'!F:L,7,0)</f>
        <v>2019</v>
      </c>
      <c r="K195" s="593">
        <f>+VLOOKUP(Tabla3[[#This Row],[PATENTE]],'BASE DATOS'!F:M,8,0)</f>
        <v>6</v>
      </c>
      <c r="N195" s="826"/>
      <c r="O195" s="1015"/>
      <c r="P195" s="1015"/>
      <c r="Q195" s="1015"/>
      <c r="R195" s="965" t="str">
        <f t="shared" si="6"/>
        <v>-</v>
      </c>
    </row>
    <row r="196" spans="1:18" hidden="1">
      <c r="A196" s="577" t="s">
        <v>887</v>
      </c>
      <c r="B196" s="582">
        <v>3</v>
      </c>
      <c r="C196" s="588">
        <v>45859</v>
      </c>
      <c r="D196" s="582">
        <f t="shared" si="7"/>
        <v>30</v>
      </c>
      <c r="E196" s="576" t="str">
        <f>+VLOOKUP(Tabla3[[#This Row],[PATENTE]],'BASE DATOS'!F:G,2,0)</f>
        <v>ENRIQUE ROLLINO - BXB394</v>
      </c>
      <c r="F196" s="582" t="str">
        <f>+VLOOKUP(Tabla3[[#This Row],[PATENTE]],'BASE DATOS'!F:H,3,0)</f>
        <v>2P</v>
      </c>
      <c r="G196" s="582" t="str">
        <f>+VLOOKUP(Tabla3[[#This Row],[PATENTE]],'BASE DATOS'!F:I,4,0)</f>
        <v>SI</v>
      </c>
      <c r="H196" s="584" t="str">
        <f>+VLOOKUP(Tabla3[[#This Row],[PATENTE]],'BASE DATOS'!F:J,5,0)</f>
        <v>SI</v>
      </c>
      <c r="I196" s="582" t="str">
        <f>+VLOOKUP(Tabla3[[#This Row],[PATENTE]],'BASE DATOS'!F:K,6,0)</f>
        <v>NO</v>
      </c>
      <c r="J196" s="582">
        <f>+VLOOKUP(Tabla3[[#This Row],[PATENTE]],'BASE DATOS'!F:L,7,0)</f>
        <v>1998</v>
      </c>
      <c r="K196" s="593">
        <f>+VLOOKUP(Tabla3[[#This Row],[PATENTE]],'BASE DATOS'!F:M,8,0)</f>
        <v>27</v>
      </c>
      <c r="N196" s="826"/>
      <c r="O196" s="1015"/>
      <c r="P196" s="1015"/>
      <c r="Q196" s="1015"/>
      <c r="R196" s="965" t="str">
        <f t="shared" si="6"/>
        <v>-</v>
      </c>
    </row>
    <row r="197" spans="1:18" hidden="1">
      <c r="A197" s="578" t="s">
        <v>918</v>
      </c>
      <c r="B197" s="584">
        <v>3</v>
      </c>
      <c r="C197" s="589">
        <v>45859</v>
      </c>
      <c r="D197" s="582">
        <f t="shared" si="7"/>
        <v>30</v>
      </c>
      <c r="E197" s="576" t="str">
        <f>+VLOOKUP(Tabla3[[#This Row],[PATENTE]],'BASE DATOS'!F:G,2,0)</f>
        <v>TRANSPORTE GENA GAIA - DGO507</v>
      </c>
      <c r="F197" s="582" t="str">
        <f>+VLOOKUP(Tabla3[[#This Row],[PATENTE]],'BASE DATOS'!F:H,3,0)</f>
        <v>24P</v>
      </c>
      <c r="G197" s="582" t="str">
        <f>+VLOOKUP(Tabla3[[#This Row],[PATENTE]],'BASE DATOS'!F:I,4,0)</f>
        <v>Gestya</v>
      </c>
      <c r="H197" s="584" t="str">
        <f>+VLOOKUP(Tabla3[[#This Row],[PATENTE]],'BASE DATOS'!F:J,5,0)</f>
        <v xml:space="preserve">NO </v>
      </c>
      <c r="I197" s="582" t="str">
        <f>+VLOOKUP(Tabla3[[#This Row],[PATENTE]],'BASE DATOS'!F:K,6,0)</f>
        <v>NO</v>
      </c>
      <c r="J197" s="582">
        <f>+VLOOKUP(Tabla3[[#This Row],[PATENTE]],'BASE DATOS'!F:L,7,0)</f>
        <v>2001</v>
      </c>
      <c r="K197" s="593">
        <f>+VLOOKUP(Tabla3[[#This Row],[PATENTE]],'BASE DATOS'!F:M,8,0)</f>
        <v>24</v>
      </c>
      <c r="N197" s="826"/>
      <c r="O197" s="1015"/>
      <c r="P197" s="1015"/>
      <c r="Q197" s="1015"/>
      <c r="R197" s="965" t="str">
        <f t="shared" si="6"/>
        <v>-</v>
      </c>
    </row>
    <row r="198" spans="1:18" hidden="1">
      <c r="A198" s="577" t="s">
        <v>1128</v>
      </c>
      <c r="B198" s="582">
        <v>3</v>
      </c>
      <c r="C198" s="588">
        <v>45859</v>
      </c>
      <c r="D198" s="582">
        <f t="shared" si="7"/>
        <v>30</v>
      </c>
      <c r="E198" s="576" t="str">
        <f>+VLOOKUP(Tabla3[[#This Row],[PATENTE]],'BASE DATOS'!F:G,2,0)</f>
        <v xml:space="preserve">PRONTOMAR - EDW922 </v>
      </c>
      <c r="F198" s="582" t="str">
        <f>+VLOOKUP(Tabla3[[#This Row],[PATENTE]],'BASE DATOS'!F:H,3,0)</f>
        <v>14P</v>
      </c>
      <c r="G198" s="582" t="str">
        <f>+VLOOKUP(Tabla3[[#This Row],[PATENTE]],'BASE DATOS'!F:I,4,0)</f>
        <v>NO</v>
      </c>
      <c r="H198" s="584" t="str">
        <f>+VLOOKUP(Tabla3[[#This Row],[PATENTE]],'BASE DATOS'!F:J,5,0)</f>
        <v xml:space="preserve">NO </v>
      </c>
      <c r="I198" s="582" t="str">
        <f>+VLOOKUP(Tabla3[[#This Row],[PATENTE]],'BASE DATOS'!F:K,6,0)</f>
        <v>NO</v>
      </c>
      <c r="J198" s="582">
        <f>+VLOOKUP(Tabla3[[#This Row],[PATENTE]],'BASE DATOS'!F:L,7,0)</f>
        <v>2003</v>
      </c>
      <c r="K198" s="593">
        <f>+VLOOKUP(Tabla3[[#This Row],[PATENTE]],'BASE DATOS'!F:M,8,0)</f>
        <v>22</v>
      </c>
      <c r="N198" s="826"/>
      <c r="O198" s="1015"/>
      <c r="P198" s="1015"/>
      <c r="Q198" s="1015"/>
      <c r="R198" s="965" t="str">
        <f t="shared" si="6"/>
        <v>-</v>
      </c>
    </row>
    <row r="199" spans="1:18" hidden="1">
      <c r="A199" s="578" t="s">
        <v>932</v>
      </c>
      <c r="B199" s="584">
        <v>3</v>
      </c>
      <c r="C199" s="589">
        <v>45859</v>
      </c>
      <c r="D199" s="582">
        <f t="shared" si="7"/>
        <v>30</v>
      </c>
      <c r="E199" s="576" t="str">
        <f>+VLOOKUP(Tabla3[[#This Row],[PATENTE]],'BASE DATOS'!F:G,2,0)</f>
        <v xml:space="preserve">TRANSP MAVIR - EFL176 </v>
      </c>
      <c r="F199" s="582" t="str">
        <f>+VLOOKUP(Tabla3[[#This Row],[PATENTE]],'BASE DATOS'!F:H,3,0)</f>
        <v>12P</v>
      </c>
      <c r="G199" s="582" t="str">
        <f>+VLOOKUP(Tabla3[[#This Row],[PATENTE]],'BASE DATOS'!F:I,4,0)</f>
        <v>SI</v>
      </c>
      <c r="H199" s="584" t="str">
        <f>+VLOOKUP(Tabla3[[#This Row],[PATENTE]],'BASE DATOS'!F:J,5,0)</f>
        <v>SI</v>
      </c>
      <c r="I199" s="582" t="str">
        <f>+VLOOKUP(Tabla3[[#This Row],[PATENTE]],'BASE DATOS'!F:K,6,0)</f>
        <v>NO</v>
      </c>
      <c r="J199" s="582">
        <f>+VLOOKUP(Tabla3[[#This Row],[PATENTE]],'BASE DATOS'!F:L,7,0)</f>
        <v>1998</v>
      </c>
      <c r="K199" s="593">
        <f>+VLOOKUP(Tabla3[[#This Row],[PATENTE]],'BASE DATOS'!F:M,8,0)</f>
        <v>27</v>
      </c>
      <c r="N199" s="826"/>
      <c r="O199" s="1015"/>
      <c r="P199" s="1015"/>
      <c r="Q199" s="1015"/>
      <c r="R199" s="965" t="str">
        <f t="shared" si="6"/>
        <v>-</v>
      </c>
    </row>
    <row r="200" spans="1:18" hidden="1">
      <c r="A200" s="577" t="s">
        <v>939</v>
      </c>
      <c r="B200" s="582">
        <v>3</v>
      </c>
      <c r="C200" s="588">
        <v>45859</v>
      </c>
      <c r="D200" s="582">
        <f t="shared" si="7"/>
        <v>30</v>
      </c>
      <c r="E200" s="576" t="str">
        <f>+VLOOKUP(Tabla3[[#This Row],[PATENTE]],'BASE DATOS'!F:G,2,0)</f>
        <v>TRANSP CLAUDIO BUSTOS - JOQ178</v>
      </c>
      <c r="F200" s="582" t="str">
        <f>+VLOOKUP(Tabla3[[#This Row],[PATENTE]],'BASE DATOS'!F:H,3,0)</f>
        <v>1P</v>
      </c>
      <c r="G200" s="582" t="str">
        <f>+VLOOKUP(Tabla3[[#This Row],[PATENTE]],'BASE DATOS'!F:I,4,0)</f>
        <v>NO</v>
      </c>
      <c r="H200" s="584" t="str">
        <f>+VLOOKUP(Tabla3[[#This Row],[PATENTE]],'BASE DATOS'!F:J,5,0)</f>
        <v>SI</v>
      </c>
      <c r="I200" s="582" t="str">
        <f>+VLOOKUP(Tabla3[[#This Row],[PATENTE]],'BASE DATOS'!F:K,6,0)</f>
        <v>NO</v>
      </c>
      <c r="J200" s="582">
        <f>+VLOOKUP(Tabla3[[#This Row],[PATENTE]],'BASE DATOS'!F:L,7,0)</f>
        <v>2010</v>
      </c>
      <c r="K200" s="593">
        <f>+VLOOKUP(Tabla3[[#This Row],[PATENTE]],'BASE DATOS'!F:M,8,0)</f>
        <v>15</v>
      </c>
      <c r="N200" s="826"/>
      <c r="O200" s="1015"/>
      <c r="P200" s="1015"/>
      <c r="Q200" s="1015"/>
      <c r="R200" s="965" t="str">
        <f t="shared" si="6"/>
        <v>-</v>
      </c>
    </row>
    <row r="201" spans="1:18" hidden="1">
      <c r="A201" s="578" t="s">
        <v>884</v>
      </c>
      <c r="B201" s="584">
        <v>2</v>
      </c>
      <c r="C201" s="589">
        <v>45859</v>
      </c>
      <c r="D201" s="582">
        <f t="shared" si="7"/>
        <v>30</v>
      </c>
      <c r="E201" s="576" t="str">
        <f>+VLOOKUP(Tabla3[[#This Row],[PATENTE]],'BASE DATOS'!F:G,2,0)</f>
        <v xml:space="preserve">LAURIA (SERVAL) - AB233IT </v>
      </c>
      <c r="F201" s="582" t="str">
        <f>+VLOOKUP(Tabla3[[#This Row],[PATENTE]],'BASE DATOS'!F:H,3,0)</f>
        <v>6P</v>
      </c>
      <c r="G201" s="582" t="str">
        <f>+VLOOKUP(Tabla3[[#This Row],[PATENTE]],'BASE DATOS'!F:I,4,0)</f>
        <v>SI</v>
      </c>
      <c r="H201" s="584" t="str">
        <f>+VLOOKUP(Tabla3[[#This Row],[PATENTE]],'BASE DATOS'!F:J,5,0)</f>
        <v>SI</v>
      </c>
      <c r="I201" s="582" t="str">
        <f>+VLOOKUP(Tabla3[[#This Row],[PATENTE]],'BASE DATOS'!F:K,6,0)</f>
        <v>NO</v>
      </c>
      <c r="J201" s="582">
        <f>+VLOOKUP(Tabla3[[#This Row],[PATENTE]],'BASE DATOS'!F:L,7,0)</f>
        <v>2017</v>
      </c>
      <c r="K201" s="593">
        <f>+VLOOKUP(Tabla3[[#This Row],[PATENTE]],'BASE DATOS'!F:M,8,0)</f>
        <v>8</v>
      </c>
      <c r="N201" s="826"/>
      <c r="O201" s="1015"/>
      <c r="P201" s="1015"/>
      <c r="Q201" s="1015"/>
      <c r="R201" s="965" t="str">
        <f t="shared" si="6"/>
        <v>-</v>
      </c>
    </row>
    <row r="202" spans="1:18" hidden="1">
      <c r="A202" s="577" t="s">
        <v>1151</v>
      </c>
      <c r="B202" s="582">
        <v>2</v>
      </c>
      <c r="C202" s="588">
        <v>45859</v>
      </c>
      <c r="D202" s="582">
        <f t="shared" si="7"/>
        <v>30</v>
      </c>
      <c r="E202" s="576" t="str">
        <f>+VLOOKUP(Tabla3[[#This Row],[PATENTE]],'BASE DATOS'!F:G,2,0)</f>
        <v xml:space="preserve">GANZINI HUGO - AC940KZ </v>
      </c>
      <c r="F202" s="582" t="str">
        <f>+VLOOKUP(Tabla3[[#This Row],[PATENTE]],'BASE DATOS'!F:H,3,0)</f>
        <v>8P</v>
      </c>
      <c r="G202" s="582" t="str">
        <f>+VLOOKUP(Tabla3[[#This Row],[PATENTE]],'BASE DATOS'!F:I,4,0)</f>
        <v>NO</v>
      </c>
      <c r="H202" s="584" t="str">
        <f>+VLOOKUP(Tabla3[[#This Row],[PATENTE]],'BASE DATOS'!F:J,5,0)</f>
        <v xml:space="preserve">NO </v>
      </c>
      <c r="I202" s="582" t="str">
        <f>+VLOOKUP(Tabla3[[#This Row],[PATENTE]],'BASE DATOS'!F:K,6,0)</f>
        <v>SI</v>
      </c>
      <c r="J202" s="582">
        <f>+VLOOKUP(Tabla3[[#This Row],[PATENTE]],'BASE DATOS'!F:L,7,0)</f>
        <v>2018</v>
      </c>
      <c r="K202" s="593">
        <f>+VLOOKUP(Tabla3[[#This Row],[PATENTE]],'BASE DATOS'!F:M,8,0)</f>
        <v>7</v>
      </c>
      <c r="N202" s="826"/>
      <c r="O202" s="1015"/>
      <c r="P202" s="1015"/>
      <c r="Q202" s="1015"/>
      <c r="R202" s="965" t="str">
        <f t="shared" si="6"/>
        <v>-</v>
      </c>
    </row>
    <row r="203" spans="1:18" hidden="1">
      <c r="A203" s="578" t="s">
        <v>929</v>
      </c>
      <c r="B203" s="584">
        <v>2</v>
      </c>
      <c r="C203" s="589">
        <v>45859</v>
      </c>
      <c r="D203" s="582">
        <f t="shared" si="7"/>
        <v>30</v>
      </c>
      <c r="E203" s="576" t="str">
        <f>+VLOOKUP(Tabla3[[#This Row],[PATENTE]],'BASE DATOS'!F:G,2,0)</f>
        <v xml:space="preserve">PRONTOMAR - BAI674 </v>
      </c>
      <c r="F203" s="582" t="str">
        <f>+VLOOKUP(Tabla3[[#This Row],[PATENTE]],'BASE DATOS'!F:H,3,0)</f>
        <v>14P</v>
      </c>
      <c r="G203" s="582" t="str">
        <f>+VLOOKUP(Tabla3[[#This Row],[PATENTE]],'BASE DATOS'!F:I,4,0)</f>
        <v>NO</v>
      </c>
      <c r="H203" s="584" t="str">
        <f>+VLOOKUP(Tabla3[[#This Row],[PATENTE]],'BASE DATOS'!F:J,5,0)</f>
        <v xml:space="preserve">NO </v>
      </c>
      <c r="I203" s="582" t="str">
        <f>+VLOOKUP(Tabla3[[#This Row],[PATENTE]],'BASE DATOS'!F:K,6,0)</f>
        <v>NO</v>
      </c>
      <c r="J203" s="582">
        <f>+VLOOKUP(Tabla3[[#This Row],[PATENTE]],'BASE DATOS'!F:L,7,0)</f>
        <v>1996</v>
      </c>
      <c r="K203" s="593">
        <f>+VLOOKUP(Tabla3[[#This Row],[PATENTE]],'BASE DATOS'!F:M,8,0)</f>
        <v>29</v>
      </c>
      <c r="N203" s="826"/>
      <c r="O203" s="1015"/>
      <c r="P203" s="1015"/>
      <c r="Q203" s="1015"/>
      <c r="R203" s="965" t="str">
        <f t="shared" si="6"/>
        <v>-</v>
      </c>
    </row>
    <row r="204" spans="1:18" hidden="1">
      <c r="A204" s="577" t="s">
        <v>1127</v>
      </c>
      <c r="B204" s="582">
        <v>2</v>
      </c>
      <c r="C204" s="588">
        <v>45859</v>
      </c>
      <c r="D204" s="582">
        <f t="shared" si="7"/>
        <v>30</v>
      </c>
      <c r="E204" s="576" t="str">
        <f>+VLOOKUP(Tabla3[[#This Row],[PATENTE]],'BASE DATOS'!F:G,2,0)</f>
        <v xml:space="preserve">BELLIMAR SRL - BIS283 </v>
      </c>
      <c r="F204" s="582" t="str">
        <f>+VLOOKUP(Tabla3[[#This Row],[PATENTE]],'BASE DATOS'!F:H,3,0)</f>
        <v>28P</v>
      </c>
      <c r="G204" s="582" t="str">
        <f>+VLOOKUP(Tabla3[[#This Row],[PATENTE]],'BASE DATOS'!F:I,4,0)</f>
        <v>NO</v>
      </c>
      <c r="H204" s="584" t="str">
        <f>+VLOOKUP(Tabla3[[#This Row],[PATENTE]],'BASE DATOS'!F:J,5,0)</f>
        <v xml:space="preserve">NO </v>
      </c>
      <c r="I204" s="582" t="str">
        <f>+VLOOKUP(Tabla3[[#This Row],[PATENTE]],'BASE DATOS'!F:K,6,0)</f>
        <v>NO</v>
      </c>
      <c r="J204" s="582">
        <f>+VLOOKUP(Tabla3[[#This Row],[PATENTE]],'BASE DATOS'!F:L,7,0)</f>
        <v>1999</v>
      </c>
      <c r="K204" s="593">
        <f>+VLOOKUP(Tabla3[[#This Row],[PATENTE]],'BASE DATOS'!F:M,8,0)</f>
        <v>26</v>
      </c>
      <c r="N204" s="826"/>
      <c r="O204" s="1015"/>
      <c r="P204" s="1015"/>
      <c r="Q204" s="1015"/>
      <c r="R204" s="965" t="str">
        <f t="shared" si="6"/>
        <v>-</v>
      </c>
    </row>
    <row r="205" spans="1:18" hidden="1">
      <c r="A205" s="578" t="s">
        <v>1160</v>
      </c>
      <c r="B205" s="584">
        <v>2</v>
      </c>
      <c r="C205" s="589">
        <v>45859</v>
      </c>
      <c r="D205" s="582">
        <f t="shared" si="7"/>
        <v>30</v>
      </c>
      <c r="E205" s="576" t="str">
        <f>+VLOOKUP(Tabla3[[#This Row],[PATENTE]],'BASE DATOS'!F:G,2,0)</f>
        <v xml:space="preserve">TRANSP MAVIR - EFL158 </v>
      </c>
      <c r="F205" s="582" t="str">
        <f>+VLOOKUP(Tabla3[[#This Row],[PATENTE]],'BASE DATOS'!F:H,3,0)</f>
        <v>11P</v>
      </c>
      <c r="G205" s="582" t="str">
        <f>+VLOOKUP(Tabla3[[#This Row],[PATENTE]],'BASE DATOS'!F:I,4,0)</f>
        <v>NO</v>
      </c>
      <c r="H205" s="584" t="str">
        <f>+VLOOKUP(Tabla3[[#This Row],[PATENTE]],'BASE DATOS'!F:J,5,0)</f>
        <v xml:space="preserve">NO </v>
      </c>
      <c r="I205" s="582" t="str">
        <f>+VLOOKUP(Tabla3[[#This Row],[PATENTE]],'BASE DATOS'!F:K,6,0)</f>
        <v>SI</v>
      </c>
      <c r="J205" s="582">
        <f>+VLOOKUP(Tabla3[[#This Row],[PATENTE]],'BASE DATOS'!F:L,7,0)</f>
        <v>2003</v>
      </c>
      <c r="K205" s="593">
        <v>0</v>
      </c>
      <c r="N205" s="826"/>
      <c r="O205" s="1015"/>
      <c r="P205" s="1015"/>
      <c r="Q205" s="1015"/>
      <c r="R205" s="965" t="str">
        <f t="shared" si="6"/>
        <v>-</v>
      </c>
    </row>
    <row r="206" spans="1:18" hidden="1">
      <c r="A206" s="577" t="s">
        <v>1153</v>
      </c>
      <c r="B206" s="582">
        <v>2</v>
      </c>
      <c r="C206" s="588">
        <v>45859</v>
      </c>
      <c r="D206" s="582">
        <f t="shared" si="7"/>
        <v>30</v>
      </c>
      <c r="E206" s="576" t="str">
        <f>+VLOOKUP(Tabla3[[#This Row],[PATENTE]],'BASE DATOS'!F:G,2,0)</f>
        <v xml:space="preserve">TRANSP LAGOS - KXZ670 </v>
      </c>
      <c r="F206" s="582" t="str">
        <f>+VLOOKUP(Tabla3[[#This Row],[PATENTE]],'BASE DATOS'!F:H,3,0)</f>
        <v>4P</v>
      </c>
      <c r="G206" s="582" t="str">
        <f>+VLOOKUP(Tabla3[[#This Row],[PATENTE]],'BASE DATOS'!F:I,4,0)</f>
        <v>NO</v>
      </c>
      <c r="H206" s="584" t="str">
        <f>+VLOOKUP(Tabla3[[#This Row],[PATENTE]],'BASE DATOS'!F:J,5,0)</f>
        <v xml:space="preserve">NO </v>
      </c>
      <c r="I206" s="582" t="str">
        <f>+VLOOKUP(Tabla3[[#This Row],[PATENTE]],'BASE DATOS'!F:K,6,0)</f>
        <v>NO</v>
      </c>
      <c r="J206" s="582">
        <f>+VLOOKUP(Tabla3[[#This Row],[PATENTE]],'BASE DATOS'!F:L,7,0)</f>
        <v>2011</v>
      </c>
      <c r="K206" s="593">
        <f>+VLOOKUP(Tabla3[[#This Row],[PATENTE]],'BASE DATOS'!F:M,8,0)</f>
        <v>14</v>
      </c>
      <c r="N206" s="826"/>
      <c r="O206" s="1015"/>
      <c r="P206" s="1015"/>
      <c r="Q206" s="1015"/>
      <c r="R206" s="965" t="str">
        <f t="shared" si="6"/>
        <v>-</v>
      </c>
    </row>
    <row r="207" spans="1:18" hidden="1">
      <c r="A207" s="578" t="s">
        <v>936</v>
      </c>
      <c r="B207" s="584">
        <v>1</v>
      </c>
      <c r="C207" s="589">
        <v>45859</v>
      </c>
      <c r="D207" s="582">
        <f t="shared" si="7"/>
        <v>30</v>
      </c>
      <c r="E207" s="576" t="str">
        <f>+VLOOKUP(Tabla3[[#This Row],[PATENTE]],'BASE DATOS'!F:G,2,0)</f>
        <v>TRANSP YANINA  LUONGO - AA050HC</v>
      </c>
      <c r="F207" s="582" t="str">
        <f>+VLOOKUP(Tabla3[[#This Row],[PATENTE]],'BASE DATOS'!F:H,3,0)</f>
        <v>1.5P</v>
      </c>
      <c r="G207" s="582" t="str">
        <f>+VLOOKUP(Tabla3[[#This Row],[PATENTE]],'BASE DATOS'!F:I,4,0)</f>
        <v>NO</v>
      </c>
      <c r="H207" s="584" t="str">
        <f>+VLOOKUP(Tabla3[[#This Row],[PATENTE]],'BASE DATOS'!F:J,5,0)</f>
        <v>SI</v>
      </c>
      <c r="I207" s="582" t="str">
        <f>+VLOOKUP(Tabla3[[#This Row],[PATENTE]],'BASE DATOS'!F:K,6,0)</f>
        <v>NO</v>
      </c>
      <c r="J207" s="582">
        <f>+VLOOKUP(Tabla3[[#This Row],[PATENTE]],'BASE DATOS'!F:L,7,0)</f>
        <v>2016</v>
      </c>
      <c r="K207" s="593">
        <f>+VLOOKUP(Tabla3[[#This Row],[PATENTE]],'BASE DATOS'!F:M,8,0)</f>
        <v>9</v>
      </c>
      <c r="N207" s="826"/>
      <c r="O207" s="1015"/>
      <c r="P207" s="1015"/>
      <c r="Q207" s="1015"/>
      <c r="R207" s="965" t="str">
        <f t="shared" si="6"/>
        <v>-</v>
      </c>
    </row>
    <row r="208" spans="1:18" hidden="1">
      <c r="A208" s="577" t="s">
        <v>940</v>
      </c>
      <c r="B208" s="582">
        <v>1</v>
      </c>
      <c r="C208" s="588">
        <v>45859</v>
      </c>
      <c r="D208" s="582">
        <f t="shared" si="7"/>
        <v>30</v>
      </c>
      <c r="E208" s="576" t="str">
        <f>+VLOOKUP(Tabla3[[#This Row],[PATENTE]],'BASE DATOS'!F:G,2,0)</f>
        <v xml:space="preserve">BELLIMAR SRL - AA358EQ </v>
      </c>
      <c r="F208" s="582" t="str">
        <f>+VLOOKUP(Tabla3[[#This Row],[PATENTE]],'BASE DATOS'!F:H,3,0)</f>
        <v>8P</v>
      </c>
      <c r="G208" s="582" t="str">
        <f>+VLOOKUP(Tabla3[[#This Row],[PATENTE]],'BASE DATOS'!F:I,4,0)</f>
        <v>NO</v>
      </c>
      <c r="H208" s="584" t="str">
        <f>+VLOOKUP(Tabla3[[#This Row],[PATENTE]],'BASE DATOS'!F:J,5,0)</f>
        <v xml:space="preserve">NO </v>
      </c>
      <c r="I208" s="582" t="str">
        <f>+VLOOKUP(Tabla3[[#This Row],[PATENTE]],'BASE DATOS'!F:K,6,0)</f>
        <v>NO</v>
      </c>
      <c r="J208" s="582">
        <f>+VLOOKUP(Tabla3[[#This Row],[PATENTE]],'BASE DATOS'!F:L,7,0)</f>
        <v>2016</v>
      </c>
      <c r="K208" s="593">
        <f>+VLOOKUP(Tabla3[[#This Row],[PATENTE]],'BASE DATOS'!F:M,8,0)</f>
        <v>9</v>
      </c>
      <c r="N208" s="826"/>
      <c r="O208" s="1015"/>
      <c r="P208" s="1015"/>
      <c r="Q208" s="1015"/>
      <c r="R208" s="965" t="str">
        <f t="shared" si="6"/>
        <v>-</v>
      </c>
    </row>
    <row r="209" spans="1:18" hidden="1">
      <c r="A209" s="578" t="s">
        <v>937</v>
      </c>
      <c r="B209" s="584">
        <v>1</v>
      </c>
      <c r="C209" s="589">
        <v>45859</v>
      </c>
      <c r="D209" s="582">
        <f t="shared" si="7"/>
        <v>30</v>
      </c>
      <c r="E209" s="576" t="str">
        <f>+VLOOKUP(Tabla3[[#This Row],[PATENTE]],'BASE DATOS'!F:G,2,0)</f>
        <v>TRANSP. CM TRANZ - AC049FP CALZIA RETIRA CLIENTE</v>
      </c>
      <c r="F209" s="582" t="str">
        <f>+VLOOKUP(Tabla3[[#This Row],[PATENTE]],'BASE DATOS'!F:H,3,0)</f>
        <v>24P</v>
      </c>
      <c r="G209" s="582" t="str">
        <f>+VLOOKUP(Tabla3[[#This Row],[PATENTE]],'BASE DATOS'!F:I,4,0)</f>
        <v>NO</v>
      </c>
      <c r="H209" s="584" t="str">
        <f>+VLOOKUP(Tabla3[[#This Row],[PATENTE]],'BASE DATOS'!F:J,5,0)</f>
        <v xml:space="preserve">NO </v>
      </c>
      <c r="I209" s="582" t="str">
        <f>+VLOOKUP(Tabla3[[#This Row],[PATENTE]],'BASE DATOS'!F:K,6,0)</f>
        <v>NO</v>
      </c>
      <c r="J209" s="582">
        <f>+VLOOKUP(Tabla3[[#This Row],[PATENTE]],'BASE DATOS'!F:L,7,0)</f>
        <v>0</v>
      </c>
      <c r="K209" s="593">
        <f>+VLOOKUP(Tabla3[[#This Row],[PATENTE]],'BASE DATOS'!F:M,8,0)</f>
        <v>0</v>
      </c>
      <c r="N209" s="826"/>
      <c r="O209" s="1015"/>
      <c r="P209" s="1015"/>
      <c r="Q209" s="1015"/>
      <c r="R209" s="965" t="str">
        <f t="shared" si="6"/>
        <v>-</v>
      </c>
    </row>
    <row r="210" spans="1:18" hidden="1">
      <c r="A210" s="577" t="s">
        <v>944</v>
      </c>
      <c r="B210" s="582">
        <v>1</v>
      </c>
      <c r="C210" s="588">
        <v>45859</v>
      </c>
      <c r="D210" s="582">
        <f t="shared" si="7"/>
        <v>30</v>
      </c>
      <c r="E210" s="576" t="str">
        <f>+VLOOKUP(Tabla3[[#This Row],[PATENTE]],'BASE DATOS'!F:G,2,0)</f>
        <v xml:space="preserve">TRANSPORTE GENA GAIA - BHG261 </v>
      </c>
      <c r="F210" s="582" t="str">
        <f>+VLOOKUP(Tabla3[[#This Row],[PATENTE]],'BASE DATOS'!F:H,3,0)</f>
        <v>26P</v>
      </c>
      <c r="G210" s="582" t="str">
        <f>+VLOOKUP(Tabla3[[#This Row],[PATENTE]],'BASE DATOS'!F:I,4,0)</f>
        <v>Gestya</v>
      </c>
      <c r="H210" s="584" t="str">
        <f>+VLOOKUP(Tabla3[[#This Row],[PATENTE]],'BASE DATOS'!F:J,5,0)</f>
        <v xml:space="preserve">NO </v>
      </c>
      <c r="I210" s="582" t="str">
        <f>+VLOOKUP(Tabla3[[#This Row],[PATENTE]],'BASE DATOS'!F:K,6,0)</f>
        <v>NO</v>
      </c>
      <c r="J210" s="582">
        <f>+VLOOKUP(Tabla3[[#This Row],[PATENTE]],'BASE DATOS'!F:L,7,0)</f>
        <v>1997</v>
      </c>
      <c r="K210" s="593">
        <f>+VLOOKUP(Tabla3[[#This Row],[PATENTE]],'BASE DATOS'!F:M,8,0)</f>
        <v>28</v>
      </c>
      <c r="N210" s="826"/>
      <c r="O210" s="1015"/>
      <c r="P210" s="1015"/>
      <c r="Q210" s="1015"/>
      <c r="R210" s="965" t="str">
        <f t="shared" si="6"/>
        <v>-</v>
      </c>
    </row>
    <row r="211" spans="1:18" hidden="1">
      <c r="A211" s="578" t="s">
        <v>893</v>
      </c>
      <c r="B211" s="584">
        <v>1</v>
      </c>
      <c r="C211" s="589">
        <v>45859</v>
      </c>
      <c r="D211" s="582">
        <f t="shared" si="7"/>
        <v>30</v>
      </c>
      <c r="E211" s="576" t="str">
        <f>+VLOOKUP(Tabla3[[#This Row],[PATENTE]],'BASE DATOS'!F:G,2,0)</f>
        <v xml:space="preserve">GANZINI HUGO - CFF038 </v>
      </c>
      <c r="F211" s="582" t="str">
        <f>+VLOOKUP(Tabla3[[#This Row],[PATENTE]],'BASE DATOS'!F:H,3,0)</f>
        <v>2P</v>
      </c>
      <c r="G211" s="582" t="str">
        <f>+VLOOKUP(Tabla3[[#This Row],[PATENTE]],'BASE DATOS'!F:I,4,0)</f>
        <v>SI</v>
      </c>
      <c r="H211" s="584" t="str">
        <f>+VLOOKUP(Tabla3[[#This Row],[PATENTE]],'BASE DATOS'!F:J,5,0)</f>
        <v>SI</v>
      </c>
      <c r="I211" s="582" t="str">
        <f>+VLOOKUP(Tabla3[[#This Row],[PATENTE]],'BASE DATOS'!F:K,6,0)</f>
        <v>NO</v>
      </c>
      <c r="J211" s="582">
        <f>+VLOOKUP(Tabla3[[#This Row],[PATENTE]],'BASE DATOS'!F:L,7,0)</f>
        <v>1999</v>
      </c>
      <c r="K211" s="593">
        <f>+VLOOKUP(Tabla3[[#This Row],[PATENTE]],'BASE DATOS'!F:M,8,0)</f>
        <v>26</v>
      </c>
      <c r="N211" s="826"/>
      <c r="O211" s="1015"/>
      <c r="P211" s="1015"/>
      <c r="Q211" s="1015"/>
      <c r="R211" s="965" t="str">
        <f t="shared" si="6"/>
        <v>-</v>
      </c>
    </row>
    <row r="212" spans="1:18" hidden="1">
      <c r="A212" s="577" t="s">
        <v>926</v>
      </c>
      <c r="B212" s="582">
        <v>1</v>
      </c>
      <c r="C212" s="588">
        <v>45859</v>
      </c>
      <c r="D212" s="582">
        <f t="shared" si="7"/>
        <v>30</v>
      </c>
      <c r="E212" s="576" t="str">
        <f>+VLOOKUP(Tabla3[[#This Row],[PATENTE]],'BASE DATOS'!F:G,2,0)</f>
        <v xml:space="preserve">TRANSPORTE GENA GAIA - DUF042 </v>
      </c>
      <c r="F212" s="582" t="str">
        <f>+VLOOKUP(Tabla3[[#This Row],[PATENTE]],'BASE DATOS'!F:H,3,0)</f>
        <v>24P</v>
      </c>
      <c r="G212" s="582" t="str">
        <f>+VLOOKUP(Tabla3[[#This Row],[PATENTE]],'BASE DATOS'!F:I,4,0)</f>
        <v>Gestya</v>
      </c>
      <c r="H212" s="584" t="str">
        <f>+VLOOKUP(Tabla3[[#This Row],[PATENTE]],'BASE DATOS'!F:J,5,0)</f>
        <v xml:space="preserve">NO </v>
      </c>
      <c r="I212" s="582" t="str">
        <f>+VLOOKUP(Tabla3[[#This Row],[PATENTE]],'BASE DATOS'!F:K,6,0)</f>
        <v>NO</v>
      </c>
      <c r="J212" s="582">
        <f>+VLOOKUP(Tabla3[[#This Row],[PATENTE]],'BASE DATOS'!F:L,7,0)</f>
        <v>2001</v>
      </c>
      <c r="K212" s="593">
        <f>+VLOOKUP(Tabla3[[#This Row],[PATENTE]],'BASE DATOS'!F:M,8,0)</f>
        <v>24</v>
      </c>
      <c r="N212" s="826"/>
      <c r="O212" s="1015"/>
      <c r="P212" s="1015"/>
      <c r="Q212" s="1015"/>
      <c r="R212" s="965" t="str">
        <f t="shared" si="6"/>
        <v>-</v>
      </c>
    </row>
    <row r="213" spans="1:18" hidden="1">
      <c r="A213" s="578" t="s">
        <v>927</v>
      </c>
      <c r="B213" s="584">
        <v>1</v>
      </c>
      <c r="C213" s="589">
        <v>45859</v>
      </c>
      <c r="D213" s="582">
        <f t="shared" si="7"/>
        <v>30</v>
      </c>
      <c r="E213" s="576" t="str">
        <f>+VLOOKUP(Tabla3[[#This Row],[PATENTE]],'BASE DATOS'!F:G,2,0)</f>
        <v xml:space="preserve">TRANSP MAVIR - EKE275 </v>
      </c>
      <c r="F213" s="582" t="str">
        <f>+VLOOKUP(Tabla3[[#This Row],[PATENTE]],'BASE DATOS'!F:H,3,0)</f>
        <v>11P</v>
      </c>
      <c r="G213" s="582" t="str">
        <f>+VLOOKUP(Tabla3[[#This Row],[PATENTE]],'BASE DATOS'!F:I,4,0)</f>
        <v>NO</v>
      </c>
      <c r="H213" s="584" t="str">
        <f>+VLOOKUP(Tabla3[[#This Row],[PATENTE]],'BASE DATOS'!F:J,5,0)</f>
        <v xml:space="preserve">NO </v>
      </c>
      <c r="I213" s="582" t="str">
        <f>+VLOOKUP(Tabla3[[#This Row],[PATENTE]],'BASE DATOS'!F:K,6,0)</f>
        <v>NO</v>
      </c>
      <c r="J213" s="582">
        <f>+VLOOKUP(Tabla3[[#This Row],[PATENTE]],'BASE DATOS'!F:L,7,0)</f>
        <v>2004</v>
      </c>
      <c r="K213" s="593">
        <v>0</v>
      </c>
      <c r="N213" s="826"/>
      <c r="O213" s="1015"/>
      <c r="P213" s="1015"/>
      <c r="Q213" s="1015"/>
      <c r="R213" s="965" t="str">
        <f t="shared" si="6"/>
        <v>-</v>
      </c>
    </row>
    <row r="214" spans="1:18" hidden="1">
      <c r="A214" s="577" t="s">
        <v>901</v>
      </c>
      <c r="B214" s="582">
        <v>1</v>
      </c>
      <c r="C214" s="588">
        <v>45859</v>
      </c>
      <c r="D214" s="582">
        <f t="shared" si="7"/>
        <v>30</v>
      </c>
      <c r="E214" s="576" t="str">
        <f>+VLOOKUP(Tabla3[[#This Row],[PATENTE]],'BASE DATOS'!F:G,2,0)</f>
        <v xml:space="preserve">TRANSPORTE  GRACIELA - IYE750 </v>
      </c>
      <c r="F214" s="582" t="str">
        <f>+VLOOKUP(Tabla3[[#This Row],[PATENTE]],'BASE DATOS'!F:H,3,0)</f>
        <v>1P</v>
      </c>
      <c r="G214" s="582" t="str">
        <f>+VLOOKUP(Tabla3[[#This Row],[PATENTE]],'BASE DATOS'!F:I,4,0)</f>
        <v>NO</v>
      </c>
      <c r="H214" s="584" t="str">
        <f>+VLOOKUP(Tabla3[[#This Row],[PATENTE]],'BASE DATOS'!F:J,5,0)</f>
        <v>SI</v>
      </c>
      <c r="I214" s="582" t="str">
        <f>+VLOOKUP(Tabla3[[#This Row],[PATENTE]],'BASE DATOS'!F:K,6,0)</f>
        <v>NO</v>
      </c>
      <c r="J214" s="582">
        <f>+VLOOKUP(Tabla3[[#This Row],[PATENTE]],'BASE DATOS'!F:L,7,0)</f>
        <v>2009</v>
      </c>
      <c r="K214" s="593">
        <f>+VLOOKUP(Tabla3[[#This Row],[PATENTE]],'BASE DATOS'!F:M,8,0)</f>
        <v>16</v>
      </c>
      <c r="N214" s="826"/>
      <c r="O214" s="1015"/>
      <c r="P214" s="1015"/>
      <c r="Q214" s="1015"/>
      <c r="R214" s="965" t="str">
        <f t="shared" si="6"/>
        <v>-</v>
      </c>
    </row>
    <row r="215" spans="1:18" hidden="1">
      <c r="A215" s="578" t="s">
        <v>930</v>
      </c>
      <c r="B215" s="584">
        <v>1</v>
      </c>
      <c r="C215" s="589">
        <v>45859</v>
      </c>
      <c r="D215" s="582">
        <f t="shared" si="7"/>
        <v>30</v>
      </c>
      <c r="E215" s="576" t="str">
        <f>+VLOOKUP(Tabla3[[#This Row],[PATENTE]],'BASE DATOS'!F:G,2,0)</f>
        <v xml:space="preserve">GANZINI HUGO - JJF375 </v>
      </c>
      <c r="F215" s="582" t="str">
        <f>+VLOOKUP(Tabla3[[#This Row],[PATENTE]],'BASE DATOS'!F:H,3,0)</f>
        <v>14P</v>
      </c>
      <c r="G215" s="582" t="str">
        <f>+VLOOKUP(Tabla3[[#This Row],[PATENTE]],'BASE DATOS'!F:I,4,0)</f>
        <v>SI</v>
      </c>
      <c r="H215" s="584" t="str">
        <f>+VLOOKUP(Tabla3[[#This Row],[PATENTE]],'BASE DATOS'!F:J,5,0)</f>
        <v xml:space="preserve">NO </v>
      </c>
      <c r="I215" s="582" t="str">
        <f>+VLOOKUP(Tabla3[[#This Row],[PATENTE]],'BASE DATOS'!F:K,6,0)</f>
        <v>NO</v>
      </c>
      <c r="J215" s="582">
        <f>+VLOOKUP(Tabla3[[#This Row],[PATENTE]],'BASE DATOS'!F:L,7,0)</f>
        <v>2011</v>
      </c>
      <c r="K215" s="593">
        <f>+VLOOKUP(Tabla3[[#This Row],[PATENTE]],'BASE DATOS'!F:M,8,0)</f>
        <v>14</v>
      </c>
      <c r="N215" s="826"/>
      <c r="O215" s="1015"/>
      <c r="P215" s="1015"/>
      <c r="Q215" s="1015"/>
      <c r="R215" s="965" t="str">
        <f t="shared" si="6"/>
        <v>-</v>
      </c>
    </row>
    <row r="216" spans="1:18" hidden="1">
      <c r="A216" s="580" t="s">
        <v>947</v>
      </c>
      <c r="B216" s="586">
        <v>1</v>
      </c>
      <c r="C216" s="873">
        <v>45859</v>
      </c>
      <c r="D216" s="582">
        <f t="shared" si="7"/>
        <v>30</v>
      </c>
      <c r="E216" s="576" t="str">
        <f>+VLOOKUP(Tabla3[[#This Row],[PATENTE]],'BASE DATOS'!F:G,2,0)</f>
        <v xml:space="preserve">PRONTOMAR - WSC211 </v>
      </c>
      <c r="F216" s="582" t="str">
        <f>+VLOOKUP(Tabla3[[#This Row],[PATENTE]],'BASE DATOS'!F:H,3,0)</f>
        <v>10P</v>
      </c>
      <c r="G216" s="582" t="str">
        <f>+VLOOKUP(Tabla3[[#This Row],[PATENTE]],'BASE DATOS'!F:I,4,0)</f>
        <v>NO</v>
      </c>
      <c r="H216" s="584" t="str">
        <f>+VLOOKUP(Tabla3[[#This Row],[PATENTE]],'BASE DATOS'!F:J,5,0)</f>
        <v xml:space="preserve">NO </v>
      </c>
      <c r="I216" s="582" t="str">
        <f>+VLOOKUP(Tabla3[[#This Row],[PATENTE]],'BASE DATOS'!F:K,6,0)</f>
        <v>NO</v>
      </c>
      <c r="J216" s="582">
        <f>+VLOOKUP(Tabla3[[#This Row],[PATENTE]],'BASE DATOS'!F:L,7,0)</f>
        <v>1992</v>
      </c>
      <c r="K216" s="593">
        <f>+VLOOKUP(Tabla3[[#This Row],[PATENTE]],'BASE DATOS'!F:M,8,0)</f>
        <v>33</v>
      </c>
      <c r="N216" s="826"/>
      <c r="O216" s="1015"/>
      <c r="P216" s="1015"/>
      <c r="Q216" s="1015"/>
      <c r="R216" s="965" t="str">
        <f t="shared" si="6"/>
        <v>-</v>
      </c>
    </row>
    <row r="217" spans="1:18" hidden="1">
      <c r="A217" s="578" t="s">
        <v>884</v>
      </c>
      <c r="B217" s="584">
        <v>7</v>
      </c>
      <c r="C217" s="589">
        <v>45866</v>
      </c>
      <c r="D217" s="582">
        <f t="shared" si="7"/>
        <v>31</v>
      </c>
      <c r="E217" s="576" t="str">
        <f>+VLOOKUP(Tabla3[[#This Row],[PATENTE]],'BASE DATOS'!F:G,2,0)</f>
        <v xml:space="preserve">LAURIA (SERVAL) - AB233IT </v>
      </c>
      <c r="F217" s="582" t="str">
        <f>+VLOOKUP(Tabla3[[#This Row],[PATENTE]],'BASE DATOS'!F:H,3,0)</f>
        <v>6P</v>
      </c>
      <c r="G217" s="582" t="str">
        <f>+VLOOKUP(Tabla3[[#This Row],[PATENTE]],'BASE DATOS'!F:I,4,0)</f>
        <v>SI</v>
      </c>
      <c r="H217" s="584" t="str">
        <f>+VLOOKUP(Tabla3[[#This Row],[PATENTE]],'BASE DATOS'!F:J,5,0)</f>
        <v>SI</v>
      </c>
      <c r="I217" s="582" t="str">
        <f>+VLOOKUP(Tabla3[[#This Row],[PATENTE]],'BASE DATOS'!F:K,6,0)</f>
        <v>NO</v>
      </c>
      <c r="J217" s="582">
        <f>+VLOOKUP(Tabla3[[#This Row],[PATENTE]],'BASE DATOS'!F:L,7,0)</f>
        <v>2017</v>
      </c>
      <c r="K217" s="593">
        <f>+VLOOKUP(Tabla3[[#This Row],[PATENTE]],'BASE DATOS'!F:M,8,0)</f>
        <v>8</v>
      </c>
      <c r="N217" s="826"/>
      <c r="O217" s="1015"/>
      <c r="P217" s="1015"/>
      <c r="Q217" s="1015"/>
      <c r="R217" s="965" t="str">
        <f t="shared" si="6"/>
        <v>-</v>
      </c>
    </row>
    <row r="218" spans="1:18" hidden="1">
      <c r="A218" s="577" t="s">
        <v>898</v>
      </c>
      <c r="B218" s="582">
        <v>7</v>
      </c>
      <c r="C218" s="588">
        <v>45866</v>
      </c>
      <c r="D218" s="582">
        <f t="shared" si="7"/>
        <v>31</v>
      </c>
      <c r="E218" s="576" t="str">
        <f>+VLOOKUP(Tabla3[[#This Row],[PATENTE]],'BASE DATOS'!F:G,2,0)</f>
        <v xml:space="preserve">TRANSP BERMEJO - NXP980 </v>
      </c>
      <c r="F218" s="582" t="str">
        <f>+VLOOKUP(Tabla3[[#This Row],[PATENTE]],'BASE DATOS'!F:H,3,0)</f>
        <v>12P</v>
      </c>
      <c r="G218" s="582" t="str">
        <f>+VLOOKUP(Tabla3[[#This Row],[PATENTE]],'BASE DATOS'!F:I,4,0)</f>
        <v>SI</v>
      </c>
      <c r="H218" s="584" t="str">
        <f>+VLOOKUP(Tabla3[[#This Row],[PATENTE]],'BASE DATOS'!F:J,5,0)</f>
        <v>SI</v>
      </c>
      <c r="I218" s="582" t="str">
        <f>+VLOOKUP(Tabla3[[#This Row],[PATENTE]],'BASE DATOS'!F:K,6,0)</f>
        <v>SI</v>
      </c>
      <c r="J218" s="582">
        <f>+VLOOKUP(Tabla3[[#This Row],[PATENTE]],'BASE DATOS'!F:L,7,0)</f>
        <v>2015</v>
      </c>
      <c r="K218" s="593">
        <f>+VLOOKUP(Tabla3[[#This Row],[PATENTE]],'BASE DATOS'!F:M,8,0)</f>
        <v>10</v>
      </c>
      <c r="N218" s="826"/>
      <c r="O218" s="1015"/>
      <c r="P218" s="1015"/>
      <c r="Q218" s="1015"/>
      <c r="R218" s="965" t="str">
        <f t="shared" si="6"/>
        <v>-</v>
      </c>
    </row>
    <row r="219" spans="1:18" hidden="1">
      <c r="A219" s="578" t="s">
        <v>912</v>
      </c>
      <c r="B219" s="584">
        <v>6</v>
      </c>
      <c r="C219" s="589">
        <v>45866</v>
      </c>
      <c r="D219" s="582">
        <f t="shared" si="7"/>
        <v>31</v>
      </c>
      <c r="E219" s="576" t="str">
        <f>+VLOOKUP(Tabla3[[#This Row],[PATENTE]],'BASE DATOS'!F:G,2,0)</f>
        <v xml:space="preserve">PACHECO JULIO - AC028WN </v>
      </c>
      <c r="F219" s="582" t="str">
        <f>+VLOOKUP(Tabla3[[#This Row],[PATENTE]],'BASE DATOS'!F:H,3,0)</f>
        <v>8P</v>
      </c>
      <c r="G219" s="582" t="str">
        <f>+VLOOKUP(Tabla3[[#This Row],[PATENTE]],'BASE DATOS'!F:I,4,0)</f>
        <v>SI</v>
      </c>
      <c r="H219" s="584" t="str">
        <f>+VLOOKUP(Tabla3[[#This Row],[PATENTE]],'BASE DATOS'!F:J,5,0)</f>
        <v>SI</v>
      </c>
      <c r="I219" s="582" t="str">
        <f>+VLOOKUP(Tabla3[[#This Row],[PATENTE]],'BASE DATOS'!F:K,6,0)</f>
        <v>SI</v>
      </c>
      <c r="J219" s="582">
        <f>+VLOOKUP(Tabla3[[#This Row],[PATENTE]],'BASE DATOS'!F:L,7,0)</f>
        <v>2017</v>
      </c>
      <c r="K219" s="593">
        <f>+VLOOKUP(Tabla3[[#This Row],[PATENTE]],'BASE DATOS'!F:M,8,0)</f>
        <v>8</v>
      </c>
      <c r="N219" s="826"/>
      <c r="O219" s="1015"/>
      <c r="P219" s="1015"/>
      <c r="Q219" s="1015"/>
      <c r="R219" s="965" t="str">
        <f t="shared" si="6"/>
        <v>-</v>
      </c>
    </row>
    <row r="220" spans="1:18" hidden="1">
      <c r="A220" s="577" t="s">
        <v>889</v>
      </c>
      <c r="B220" s="582">
        <v>6</v>
      </c>
      <c r="C220" s="588">
        <v>45866</v>
      </c>
      <c r="D220" s="582">
        <f t="shared" si="7"/>
        <v>31</v>
      </c>
      <c r="E220" s="576" t="str">
        <f>+VLOOKUP(Tabla3[[#This Row],[PATENTE]],'BASE DATOS'!F:G,2,0)</f>
        <v xml:space="preserve">COLO - HAW164 </v>
      </c>
      <c r="F220" s="582" t="str">
        <f>+VLOOKUP(Tabla3[[#This Row],[PATENTE]],'BASE DATOS'!F:H,3,0)</f>
        <v>6P</v>
      </c>
      <c r="G220" s="582" t="str">
        <f>+VLOOKUP(Tabla3[[#This Row],[PATENTE]],'BASE DATOS'!F:I,4,0)</f>
        <v>NO</v>
      </c>
      <c r="H220" s="584" t="str">
        <f>+VLOOKUP(Tabla3[[#This Row],[PATENTE]],'BASE DATOS'!F:J,5,0)</f>
        <v>SI</v>
      </c>
      <c r="I220" s="582" t="str">
        <f>+VLOOKUP(Tabla3[[#This Row],[PATENTE]],'BASE DATOS'!F:K,6,0)</f>
        <v>NO</v>
      </c>
      <c r="J220" s="582">
        <f>+VLOOKUP(Tabla3[[#This Row],[PATENTE]],'BASE DATOS'!F:L,7,0)</f>
        <v>2009</v>
      </c>
      <c r="K220" s="593">
        <f>+VLOOKUP(Tabla3[[#This Row],[PATENTE]],'BASE DATOS'!F:M,8,0)</f>
        <v>16</v>
      </c>
      <c r="N220" s="826"/>
      <c r="O220" s="1015"/>
      <c r="P220" s="1015"/>
      <c r="Q220" s="1015"/>
      <c r="R220" s="965" t="str">
        <f t="shared" si="6"/>
        <v>-</v>
      </c>
    </row>
    <row r="221" spans="1:18" hidden="1">
      <c r="A221" s="578" t="s">
        <v>882</v>
      </c>
      <c r="B221" s="584">
        <v>6</v>
      </c>
      <c r="C221" s="589">
        <v>45866</v>
      </c>
      <c r="D221" s="582">
        <f t="shared" si="7"/>
        <v>31</v>
      </c>
      <c r="E221" s="576" t="str">
        <f>+VLOOKUP(Tabla3[[#This Row],[PATENTE]],'BASE DATOS'!F:G,2,0)</f>
        <v xml:space="preserve">MAÑAS - JWN279 </v>
      </c>
      <c r="F221" s="582" t="str">
        <f>+VLOOKUP(Tabla3[[#This Row],[PATENTE]],'BASE DATOS'!F:H,3,0)</f>
        <v>7P</v>
      </c>
      <c r="G221" s="582" t="str">
        <f>+VLOOKUP(Tabla3[[#This Row],[PATENTE]],'BASE DATOS'!F:I,4,0)</f>
        <v>SI</v>
      </c>
      <c r="H221" s="584" t="str">
        <f>+VLOOKUP(Tabla3[[#This Row],[PATENTE]],'BASE DATOS'!F:J,5,0)</f>
        <v>SI</v>
      </c>
      <c r="I221" s="582" t="str">
        <f>+VLOOKUP(Tabla3[[#This Row],[PATENTE]],'BASE DATOS'!F:K,6,0)</f>
        <v>NO</v>
      </c>
      <c r="J221" s="582">
        <f>+VLOOKUP(Tabla3[[#This Row],[PATENTE]],'BASE DATOS'!F:L,7,0)</f>
        <v>2011</v>
      </c>
      <c r="K221" s="593">
        <f>+VLOOKUP(Tabla3[[#This Row],[PATENTE]],'BASE DATOS'!F:M,8,0)</f>
        <v>14</v>
      </c>
      <c r="N221" s="826"/>
      <c r="O221" s="1015"/>
      <c r="P221" s="1015"/>
      <c r="Q221" s="1015"/>
      <c r="R221" s="965" t="str">
        <f t="shared" si="6"/>
        <v>-</v>
      </c>
    </row>
    <row r="222" spans="1:18" hidden="1">
      <c r="A222" s="577" t="s">
        <v>913</v>
      </c>
      <c r="B222" s="582">
        <v>6</v>
      </c>
      <c r="C222" s="588">
        <v>45866</v>
      </c>
      <c r="D222" s="582">
        <f t="shared" si="7"/>
        <v>31</v>
      </c>
      <c r="E222" s="576" t="str">
        <f>+VLOOKUP(Tabla3[[#This Row],[PATENTE]],'BASE DATOS'!F:G,2,0)</f>
        <v xml:space="preserve">TRANSP DON NENO - KSI803 </v>
      </c>
      <c r="F222" s="582" t="str">
        <f>+VLOOKUP(Tabla3[[#This Row],[PATENTE]],'BASE DATOS'!F:H,3,0)</f>
        <v>2P</v>
      </c>
      <c r="G222" s="582" t="str">
        <f>+VLOOKUP(Tabla3[[#This Row],[PATENTE]],'BASE DATOS'!F:I,4,0)</f>
        <v>SI</v>
      </c>
      <c r="H222" s="584" t="str">
        <f>+VLOOKUP(Tabla3[[#This Row],[PATENTE]],'BASE DATOS'!F:J,5,0)</f>
        <v>SI</v>
      </c>
      <c r="I222" s="582" t="str">
        <f>+VLOOKUP(Tabla3[[#This Row],[PATENTE]],'BASE DATOS'!F:K,6,0)</f>
        <v>NO</v>
      </c>
      <c r="J222" s="582">
        <f>+VLOOKUP(Tabla3[[#This Row],[PATENTE]],'BASE DATOS'!F:L,7,0)</f>
        <v>2012</v>
      </c>
      <c r="K222" s="593">
        <f>+VLOOKUP(Tabla3[[#This Row],[PATENTE]],'BASE DATOS'!F:M,8,0)</f>
        <v>13</v>
      </c>
      <c r="N222" s="826"/>
      <c r="O222" s="1015"/>
      <c r="P222" s="1015"/>
      <c r="Q222" s="1015"/>
      <c r="R222" s="965" t="str">
        <f t="shared" si="6"/>
        <v>-</v>
      </c>
    </row>
    <row r="223" spans="1:18" hidden="1">
      <c r="A223" s="578" t="s">
        <v>899</v>
      </c>
      <c r="B223" s="584">
        <v>5</v>
      </c>
      <c r="C223" s="589">
        <v>45866</v>
      </c>
      <c r="D223" s="582">
        <f t="shared" si="7"/>
        <v>31</v>
      </c>
      <c r="E223" s="576" t="str">
        <f>+VLOOKUP(Tabla3[[#This Row],[PATENTE]],'BASE DATOS'!F:G,2,0)</f>
        <v xml:space="preserve">VAZQUEZ (TRV SRL) - AB176KN </v>
      </c>
      <c r="F223" s="582" t="str">
        <f>+VLOOKUP(Tabla3[[#This Row],[PATENTE]],'BASE DATOS'!F:H,3,0)</f>
        <v>8P</v>
      </c>
      <c r="G223" s="582" t="str">
        <f>+VLOOKUP(Tabla3[[#This Row],[PATENTE]],'BASE DATOS'!F:I,4,0)</f>
        <v>SI</v>
      </c>
      <c r="H223" s="584" t="str">
        <f>+VLOOKUP(Tabla3[[#This Row],[PATENTE]],'BASE DATOS'!F:J,5,0)</f>
        <v>SI</v>
      </c>
      <c r="I223" s="582" t="str">
        <f>+VLOOKUP(Tabla3[[#This Row],[PATENTE]],'BASE DATOS'!F:K,6,0)</f>
        <v>SI</v>
      </c>
      <c r="J223" s="582">
        <f>+VLOOKUP(Tabla3[[#This Row],[PATENTE]],'BASE DATOS'!F:L,7,0)</f>
        <v>2017</v>
      </c>
      <c r="K223" s="593">
        <f>+VLOOKUP(Tabla3[[#This Row],[PATENTE]],'BASE DATOS'!F:M,8,0)</f>
        <v>8</v>
      </c>
      <c r="N223" s="826"/>
      <c r="O223" s="1015"/>
      <c r="P223" s="1015"/>
      <c r="Q223" s="1015"/>
      <c r="R223" s="965" t="str">
        <f t="shared" si="6"/>
        <v>-</v>
      </c>
    </row>
    <row r="224" spans="1:18" hidden="1">
      <c r="A224" s="577" t="s">
        <v>905</v>
      </c>
      <c r="B224" s="582">
        <v>5</v>
      </c>
      <c r="C224" s="588">
        <v>45866</v>
      </c>
      <c r="D224" s="582">
        <f t="shared" si="7"/>
        <v>31</v>
      </c>
      <c r="E224" s="576" t="str">
        <f>+VLOOKUP(Tabla3[[#This Row],[PATENTE]],'BASE DATOS'!F:G,2,0)</f>
        <v xml:space="preserve">J RIMOLDI - AB312SE </v>
      </c>
      <c r="F224" s="582" t="str">
        <f>+VLOOKUP(Tabla3[[#This Row],[PATENTE]],'BASE DATOS'!F:H,3,0)</f>
        <v>8P</v>
      </c>
      <c r="G224" s="582" t="str">
        <f>+VLOOKUP(Tabla3[[#This Row],[PATENTE]],'BASE DATOS'!F:I,4,0)</f>
        <v>SI</v>
      </c>
      <c r="H224" s="584" t="str">
        <f>+VLOOKUP(Tabla3[[#This Row],[PATENTE]],'BASE DATOS'!F:J,5,0)</f>
        <v>SI</v>
      </c>
      <c r="I224" s="582" t="str">
        <f>+VLOOKUP(Tabla3[[#This Row],[PATENTE]],'BASE DATOS'!F:K,6,0)</f>
        <v>NO</v>
      </c>
      <c r="J224" s="582">
        <f>+VLOOKUP(Tabla3[[#This Row],[PATENTE]],'BASE DATOS'!F:L,7,0)</f>
        <v>2017</v>
      </c>
      <c r="K224" s="593">
        <f>+VLOOKUP(Tabla3[[#This Row],[PATENTE]],'BASE DATOS'!F:M,8,0)</f>
        <v>8</v>
      </c>
      <c r="N224" s="826"/>
      <c r="O224" s="1015"/>
      <c r="P224" s="1015"/>
      <c r="Q224" s="1015"/>
      <c r="R224" s="965" t="str">
        <f t="shared" si="6"/>
        <v>-</v>
      </c>
    </row>
    <row r="225" spans="1:18" hidden="1">
      <c r="A225" s="578" t="s">
        <v>888</v>
      </c>
      <c r="B225" s="584">
        <v>5</v>
      </c>
      <c r="C225" s="589">
        <v>45866</v>
      </c>
      <c r="D225" s="582">
        <f t="shared" si="7"/>
        <v>31</v>
      </c>
      <c r="E225" s="576" t="str">
        <f>+VLOOKUP(Tabla3[[#This Row],[PATENTE]],'BASE DATOS'!F:G,2,0)</f>
        <v xml:space="preserve">TRANSP FIRST CLASS - AD535UI </v>
      </c>
      <c r="F225" s="582" t="str">
        <f>+VLOOKUP(Tabla3[[#This Row],[PATENTE]],'BASE DATOS'!F:H,3,0)</f>
        <v>6P</v>
      </c>
      <c r="G225" s="582" t="str">
        <f>+VLOOKUP(Tabla3[[#This Row],[PATENTE]],'BASE DATOS'!F:I,4,0)</f>
        <v>SI</v>
      </c>
      <c r="H225" s="584" t="str">
        <f>+VLOOKUP(Tabla3[[#This Row],[PATENTE]],'BASE DATOS'!F:J,5,0)</f>
        <v>SI</v>
      </c>
      <c r="I225" s="582" t="str">
        <f>+VLOOKUP(Tabla3[[#This Row],[PATENTE]],'BASE DATOS'!F:K,6,0)</f>
        <v>NO</v>
      </c>
      <c r="J225" s="582">
        <f>+VLOOKUP(Tabla3[[#This Row],[PATENTE]],'BASE DATOS'!F:L,7,0)</f>
        <v>2019</v>
      </c>
      <c r="K225" s="593">
        <f>+VLOOKUP(Tabla3[[#This Row],[PATENTE]],'BASE DATOS'!F:M,8,0)</f>
        <v>6</v>
      </c>
      <c r="N225" s="826"/>
      <c r="O225" s="1015"/>
      <c r="P225" s="1015"/>
      <c r="Q225" s="1015"/>
      <c r="R225" s="965" t="str">
        <f t="shared" si="6"/>
        <v>-</v>
      </c>
    </row>
    <row r="226" spans="1:18" hidden="1">
      <c r="A226" s="577" t="s">
        <v>922</v>
      </c>
      <c r="B226" s="582">
        <v>5</v>
      </c>
      <c r="C226" s="588">
        <v>45866</v>
      </c>
      <c r="D226" s="582">
        <f t="shared" si="7"/>
        <v>31</v>
      </c>
      <c r="E226" s="576" t="str">
        <f>+VLOOKUP(Tabla3[[#This Row],[PATENTE]],'BASE DATOS'!F:G,2,0)</f>
        <v>LAURIA (SERVAL) - AF342ZY</v>
      </c>
      <c r="F226" s="582" t="str">
        <f>+VLOOKUP(Tabla3[[#This Row],[PATENTE]],'BASE DATOS'!F:H,3,0)</f>
        <v>8P</v>
      </c>
      <c r="G226" s="582" t="str">
        <f>+VLOOKUP(Tabla3[[#This Row],[PATENTE]],'BASE DATOS'!F:I,4,0)</f>
        <v>SI</v>
      </c>
      <c r="H226" s="584" t="str">
        <f>+VLOOKUP(Tabla3[[#This Row],[PATENTE]],'BASE DATOS'!F:J,5,0)</f>
        <v>SI</v>
      </c>
      <c r="I226" s="582" t="str">
        <f>+VLOOKUP(Tabla3[[#This Row],[PATENTE]],'BASE DATOS'!F:K,6,0)</f>
        <v>NO</v>
      </c>
      <c r="J226" s="582">
        <f>+VLOOKUP(Tabla3[[#This Row],[PATENTE]],'BASE DATOS'!F:L,7,0)</f>
        <v>2022</v>
      </c>
      <c r="K226" s="593">
        <f>+VLOOKUP(Tabla3[[#This Row],[PATENTE]],'BASE DATOS'!F:M,8,0)</f>
        <v>3</v>
      </c>
      <c r="N226" s="826"/>
      <c r="O226" s="1015"/>
      <c r="P226" s="1015"/>
      <c r="Q226" s="1015"/>
      <c r="R226" s="965" t="str">
        <f t="shared" si="6"/>
        <v>-</v>
      </c>
    </row>
    <row r="227" spans="1:18" hidden="1">
      <c r="A227" s="578" t="s">
        <v>895</v>
      </c>
      <c r="B227" s="584">
        <v>5</v>
      </c>
      <c r="C227" s="589">
        <v>45866</v>
      </c>
      <c r="D227" s="582">
        <f t="shared" si="7"/>
        <v>31</v>
      </c>
      <c r="E227" s="576" t="str">
        <f>+VLOOKUP(Tabla3[[#This Row],[PATENTE]],'BASE DATOS'!F:G,2,0)</f>
        <v xml:space="preserve">TRANSPORTE MICAELA </v>
      </c>
      <c r="F227" s="582" t="str">
        <f>+VLOOKUP(Tabla3[[#This Row],[PATENTE]],'BASE DATOS'!F:H,3,0)</f>
        <v>2P</v>
      </c>
      <c r="G227" s="582" t="str">
        <f>+VLOOKUP(Tabla3[[#This Row],[PATENTE]],'BASE DATOS'!F:I,4,0)</f>
        <v>NO</v>
      </c>
      <c r="H227" s="584" t="str">
        <f>+VLOOKUP(Tabla3[[#This Row],[PATENTE]],'BASE DATOS'!F:J,5,0)</f>
        <v>SI</v>
      </c>
      <c r="I227" s="582" t="str">
        <f>+VLOOKUP(Tabla3[[#This Row],[PATENTE]],'BASE DATOS'!F:K,6,0)</f>
        <v>NO</v>
      </c>
      <c r="J227" s="582">
        <f>+VLOOKUP(Tabla3[[#This Row],[PATENTE]],'BASE DATOS'!F:L,7,0)</f>
        <v>2024</v>
      </c>
      <c r="K227" s="593">
        <f>+VLOOKUP(Tabla3[[#This Row],[PATENTE]],'BASE DATOS'!F:M,8,0)</f>
        <v>1</v>
      </c>
      <c r="N227" s="826"/>
      <c r="O227" s="1015"/>
      <c r="P227" s="1015"/>
      <c r="Q227" s="1015"/>
      <c r="R227" s="965" t="str">
        <f t="shared" si="6"/>
        <v>-</v>
      </c>
    </row>
    <row r="228" spans="1:18" hidden="1">
      <c r="A228" s="577" t="s">
        <v>903</v>
      </c>
      <c r="B228" s="582">
        <v>5</v>
      </c>
      <c r="C228" s="588">
        <v>45866</v>
      </c>
      <c r="D228" s="582">
        <f t="shared" si="7"/>
        <v>31</v>
      </c>
      <c r="E228" s="576" t="str">
        <f>+VLOOKUP(Tabla3[[#This Row],[PATENTE]],'BASE DATOS'!F:G,2,0)</f>
        <v xml:space="preserve">TRANSP CLAUDIO BUSTOS - AG243PE </v>
      </c>
      <c r="F228" s="582" t="str">
        <f>+VLOOKUP(Tabla3[[#This Row],[PATENTE]],'BASE DATOS'!F:H,3,0)</f>
        <v>1P</v>
      </c>
      <c r="G228" s="582" t="str">
        <f>+VLOOKUP(Tabla3[[#This Row],[PATENTE]],'BASE DATOS'!F:I,4,0)</f>
        <v>SI</v>
      </c>
      <c r="H228" s="584" t="str">
        <f>+VLOOKUP(Tabla3[[#This Row],[PATENTE]],'BASE DATOS'!F:J,5,0)</f>
        <v>SI</v>
      </c>
      <c r="I228" s="582" t="str">
        <f>+VLOOKUP(Tabla3[[#This Row],[PATENTE]],'BASE DATOS'!F:K,6,0)</f>
        <v>NO</v>
      </c>
      <c r="J228" s="582">
        <f>+VLOOKUP(Tabla3[[#This Row],[PATENTE]],'BASE DATOS'!F:L,7,0)</f>
        <v>2024</v>
      </c>
      <c r="K228" s="593">
        <f>+VLOOKUP(Tabla3[[#This Row],[PATENTE]],'BASE DATOS'!F:M,8,0)</f>
        <v>1</v>
      </c>
      <c r="N228" s="826"/>
      <c r="O228" s="1015"/>
      <c r="P228" s="1015"/>
      <c r="Q228" s="1015"/>
      <c r="R228" s="965" t="str">
        <f t="shared" si="6"/>
        <v>-</v>
      </c>
    </row>
    <row r="229" spans="1:18" hidden="1">
      <c r="A229" s="578" t="s">
        <v>887</v>
      </c>
      <c r="B229" s="584">
        <v>5</v>
      </c>
      <c r="C229" s="589">
        <v>45866</v>
      </c>
      <c r="D229" s="582">
        <f t="shared" si="7"/>
        <v>31</v>
      </c>
      <c r="E229" s="576" t="str">
        <f>+VLOOKUP(Tabla3[[#This Row],[PATENTE]],'BASE DATOS'!F:G,2,0)</f>
        <v>ENRIQUE ROLLINO - BXB394</v>
      </c>
      <c r="F229" s="582" t="str">
        <f>+VLOOKUP(Tabla3[[#This Row],[PATENTE]],'BASE DATOS'!F:H,3,0)</f>
        <v>2P</v>
      </c>
      <c r="G229" s="582" t="str">
        <f>+VLOOKUP(Tabla3[[#This Row],[PATENTE]],'BASE DATOS'!F:I,4,0)</f>
        <v>SI</v>
      </c>
      <c r="H229" s="584" t="str">
        <f>+VLOOKUP(Tabla3[[#This Row],[PATENTE]],'BASE DATOS'!F:J,5,0)</f>
        <v>SI</v>
      </c>
      <c r="I229" s="582" t="str">
        <f>+VLOOKUP(Tabla3[[#This Row],[PATENTE]],'BASE DATOS'!F:K,6,0)</f>
        <v>NO</v>
      </c>
      <c r="J229" s="582">
        <f>+VLOOKUP(Tabla3[[#This Row],[PATENTE]],'BASE DATOS'!F:L,7,0)</f>
        <v>1998</v>
      </c>
      <c r="K229" s="593">
        <f>+VLOOKUP(Tabla3[[#This Row],[PATENTE]],'BASE DATOS'!F:M,8,0)</f>
        <v>27</v>
      </c>
      <c r="N229" s="826"/>
      <c r="O229" s="1015"/>
      <c r="P229" s="1015"/>
      <c r="Q229" s="1015"/>
      <c r="R229" s="965" t="str">
        <f t="shared" si="6"/>
        <v>-</v>
      </c>
    </row>
    <row r="230" spans="1:18" hidden="1">
      <c r="A230" s="577" t="s">
        <v>891</v>
      </c>
      <c r="B230" s="582">
        <v>5</v>
      </c>
      <c r="C230" s="588">
        <v>45866</v>
      </c>
      <c r="D230" s="582">
        <f t="shared" si="7"/>
        <v>31</v>
      </c>
      <c r="E230" s="576" t="str">
        <f>+VLOOKUP(Tabla3[[#This Row],[PATENTE]],'BASE DATOS'!F:G,2,0)</f>
        <v xml:space="preserve">GANZINI HUGO - HHA085 </v>
      </c>
      <c r="F230" s="582" t="str">
        <f>+VLOOKUP(Tabla3[[#This Row],[PATENTE]],'BASE DATOS'!F:H,3,0)</f>
        <v>2P</v>
      </c>
      <c r="G230" s="582" t="str">
        <f>+VLOOKUP(Tabla3[[#This Row],[PATENTE]],'BASE DATOS'!F:I,4,0)</f>
        <v>SI</v>
      </c>
      <c r="H230" s="584" t="str">
        <f>+VLOOKUP(Tabla3[[#This Row],[PATENTE]],'BASE DATOS'!F:J,5,0)</f>
        <v>SI</v>
      </c>
      <c r="I230" s="582" t="str">
        <f>+VLOOKUP(Tabla3[[#This Row],[PATENTE]],'BASE DATOS'!F:K,6,0)</f>
        <v>NO</v>
      </c>
      <c r="J230" s="582">
        <f>+VLOOKUP(Tabla3[[#This Row],[PATENTE]],'BASE DATOS'!F:L,7,0)</f>
        <v>2008</v>
      </c>
      <c r="K230" s="593">
        <f>+VLOOKUP(Tabla3[[#This Row],[PATENTE]],'BASE DATOS'!F:M,8,0)</f>
        <v>17</v>
      </c>
      <c r="N230" s="826"/>
      <c r="O230" s="1015"/>
      <c r="P230" s="1015"/>
      <c r="Q230" s="1015"/>
      <c r="R230" s="965" t="str">
        <f t="shared" si="6"/>
        <v>-</v>
      </c>
    </row>
    <row r="231" spans="1:18" hidden="1">
      <c r="A231" s="578" t="s">
        <v>885</v>
      </c>
      <c r="B231" s="584">
        <v>5</v>
      </c>
      <c r="C231" s="589">
        <v>45866</v>
      </c>
      <c r="D231" s="582">
        <f t="shared" si="7"/>
        <v>31</v>
      </c>
      <c r="E231" s="576" t="str">
        <f>+VLOOKUP(Tabla3[[#This Row],[PATENTE]],'BASE DATOS'!F:G,2,0)</f>
        <v xml:space="preserve">TRANSP DON NENO - IES288 </v>
      </c>
      <c r="F231" s="582" t="str">
        <f>+VLOOKUP(Tabla3[[#This Row],[PATENTE]],'BASE DATOS'!F:H,3,0)</f>
        <v>2P</v>
      </c>
      <c r="G231" s="582" t="str">
        <f>+VLOOKUP(Tabla3[[#This Row],[PATENTE]],'BASE DATOS'!F:I,4,0)</f>
        <v>SI</v>
      </c>
      <c r="H231" s="584" t="str">
        <f>+VLOOKUP(Tabla3[[#This Row],[PATENTE]],'BASE DATOS'!F:J,5,0)</f>
        <v>SI</v>
      </c>
      <c r="I231" s="582" t="str">
        <f>+VLOOKUP(Tabla3[[#This Row],[PATENTE]],'BASE DATOS'!F:K,6,0)</f>
        <v>NO</v>
      </c>
      <c r="J231" s="582">
        <f>+VLOOKUP(Tabla3[[#This Row],[PATENTE]],'BASE DATOS'!F:L,7,0)</f>
        <v>2009</v>
      </c>
      <c r="K231" s="593">
        <f>+VLOOKUP(Tabla3[[#This Row],[PATENTE]],'BASE DATOS'!F:M,8,0)</f>
        <v>16</v>
      </c>
      <c r="N231" s="826"/>
      <c r="O231" s="1015"/>
      <c r="P231" s="1015"/>
      <c r="Q231" s="1015"/>
      <c r="R231" s="965" t="str">
        <f t="shared" si="6"/>
        <v>-</v>
      </c>
    </row>
    <row r="232" spans="1:18" hidden="1">
      <c r="A232" s="577" t="s">
        <v>925</v>
      </c>
      <c r="B232" s="582">
        <v>5</v>
      </c>
      <c r="C232" s="588">
        <v>45866</v>
      </c>
      <c r="D232" s="582">
        <f t="shared" si="7"/>
        <v>31</v>
      </c>
      <c r="E232" s="576" t="str">
        <f>+VLOOKUP(Tabla3[[#This Row],[PATENTE]],'BASE DATOS'!F:G,2,0)</f>
        <v xml:space="preserve">TRANSP MAIDANA FACUNDO - KOW745 </v>
      </c>
      <c r="F232" s="582" t="str">
        <f>+VLOOKUP(Tabla3[[#This Row],[PATENTE]],'BASE DATOS'!F:H,3,0)</f>
        <v>8P</v>
      </c>
      <c r="G232" s="582" t="str">
        <f>+VLOOKUP(Tabla3[[#This Row],[PATENTE]],'BASE DATOS'!F:I,4,0)</f>
        <v>SI</v>
      </c>
      <c r="H232" s="584" t="str">
        <f>+VLOOKUP(Tabla3[[#This Row],[PATENTE]],'BASE DATOS'!F:J,5,0)</f>
        <v>SI</v>
      </c>
      <c r="I232" s="582" t="str">
        <f>+VLOOKUP(Tabla3[[#This Row],[PATENTE]],'BASE DATOS'!F:K,6,0)</f>
        <v>NO</v>
      </c>
      <c r="J232" s="582">
        <f>+VLOOKUP(Tabla3[[#This Row],[PATENTE]],'BASE DATOS'!F:L,7,0)</f>
        <v>2012</v>
      </c>
      <c r="K232" s="593">
        <f>+VLOOKUP(Tabla3[[#This Row],[PATENTE]],'BASE DATOS'!F:M,8,0)</f>
        <v>13</v>
      </c>
      <c r="N232" s="826"/>
      <c r="O232" s="1015"/>
      <c r="P232" s="1015"/>
      <c r="Q232" s="1015"/>
      <c r="R232" s="965" t="str">
        <f t="shared" si="6"/>
        <v>-</v>
      </c>
    </row>
    <row r="233" spans="1:18" hidden="1">
      <c r="A233" s="578" t="s">
        <v>902</v>
      </c>
      <c r="B233" s="584">
        <v>5</v>
      </c>
      <c r="C233" s="589">
        <v>45866</v>
      </c>
      <c r="D233" s="582">
        <f t="shared" si="7"/>
        <v>31</v>
      </c>
      <c r="E233" s="576" t="str">
        <f>+VLOOKUP(Tabla3[[#This Row],[PATENTE]],'BASE DATOS'!F:G,2,0)</f>
        <v xml:space="preserve">GUSTAVO CERQUETTA - KZA644 </v>
      </c>
      <c r="F233" s="582" t="str">
        <f>+VLOOKUP(Tabla3[[#This Row],[PATENTE]],'BASE DATOS'!F:H,3,0)</f>
        <v>2P</v>
      </c>
      <c r="G233" s="582" t="str">
        <f>+VLOOKUP(Tabla3[[#This Row],[PATENTE]],'BASE DATOS'!F:I,4,0)</f>
        <v>NO</v>
      </c>
      <c r="H233" s="584" t="str">
        <f>+VLOOKUP(Tabla3[[#This Row],[PATENTE]],'BASE DATOS'!F:J,5,0)</f>
        <v>SI</v>
      </c>
      <c r="I233" s="582" t="str">
        <f>+VLOOKUP(Tabla3[[#This Row],[PATENTE]],'BASE DATOS'!F:K,6,0)</f>
        <v>NO</v>
      </c>
      <c r="J233" s="582">
        <f>+VLOOKUP(Tabla3[[#This Row],[PATENTE]],'BASE DATOS'!F:L,7,0)</f>
        <v>2012</v>
      </c>
      <c r="K233" s="593">
        <f>+VLOOKUP(Tabla3[[#This Row],[PATENTE]],'BASE DATOS'!F:M,8,0)</f>
        <v>13</v>
      </c>
      <c r="N233" s="826"/>
      <c r="O233" s="1015"/>
      <c r="P233" s="1015"/>
      <c r="Q233" s="1015"/>
      <c r="R233" s="965" t="str">
        <f t="shared" si="6"/>
        <v>-</v>
      </c>
    </row>
    <row r="234" spans="1:18" hidden="1">
      <c r="A234" s="577" t="s">
        <v>909</v>
      </c>
      <c r="B234" s="582">
        <v>5</v>
      </c>
      <c r="C234" s="588">
        <v>45866</v>
      </c>
      <c r="D234" s="582">
        <f t="shared" si="7"/>
        <v>31</v>
      </c>
      <c r="E234" s="576" t="str">
        <f>+VLOOKUP(Tabla3[[#This Row],[PATENTE]],'BASE DATOS'!F:G,2,0)</f>
        <v xml:space="preserve">CRISTIAN MOYA - NHR055 </v>
      </c>
      <c r="F234" s="582" t="str">
        <f>+VLOOKUP(Tabla3[[#This Row],[PATENTE]],'BASE DATOS'!F:H,3,0)</f>
        <v>6P</v>
      </c>
      <c r="G234" s="582" t="str">
        <f>+VLOOKUP(Tabla3[[#This Row],[PATENTE]],'BASE DATOS'!F:I,4,0)</f>
        <v>SI</v>
      </c>
      <c r="H234" s="584" t="str">
        <f>+VLOOKUP(Tabla3[[#This Row],[PATENTE]],'BASE DATOS'!F:J,5,0)</f>
        <v>SI</v>
      </c>
      <c r="I234" s="582" t="str">
        <f>+VLOOKUP(Tabla3[[#This Row],[PATENTE]],'BASE DATOS'!F:K,6,0)</f>
        <v>NO</v>
      </c>
      <c r="J234" s="582">
        <f>+VLOOKUP(Tabla3[[#This Row],[PATENTE]],'BASE DATOS'!F:L,7,0)</f>
        <v>2013</v>
      </c>
      <c r="K234" s="593">
        <f>+VLOOKUP(Tabla3[[#This Row],[PATENTE]],'BASE DATOS'!F:M,8,0)</f>
        <v>12</v>
      </c>
      <c r="N234" s="826"/>
      <c r="O234" s="1015"/>
      <c r="P234" s="1015"/>
      <c r="Q234" s="1015"/>
      <c r="R234" s="965" t="str">
        <f t="shared" si="6"/>
        <v>-</v>
      </c>
    </row>
    <row r="235" spans="1:18" hidden="1">
      <c r="A235" s="578" t="s">
        <v>886</v>
      </c>
      <c r="B235" s="584">
        <v>5</v>
      </c>
      <c r="C235" s="589">
        <v>45866</v>
      </c>
      <c r="D235" s="582">
        <f t="shared" si="7"/>
        <v>31</v>
      </c>
      <c r="E235" s="576" t="str">
        <f>+VLOOKUP(Tabla3[[#This Row],[PATENTE]],'BASE DATOS'!F:G,2,0)</f>
        <v xml:space="preserve">TRANSP LAGOS - NOO925 </v>
      </c>
      <c r="F235" s="582" t="str">
        <f>+VLOOKUP(Tabla3[[#This Row],[PATENTE]],'BASE DATOS'!F:H,3,0)</f>
        <v>8P</v>
      </c>
      <c r="G235" s="582" t="str">
        <f>+VLOOKUP(Tabla3[[#This Row],[PATENTE]],'BASE DATOS'!F:I,4,0)</f>
        <v>SI</v>
      </c>
      <c r="H235" s="584" t="str">
        <f>+VLOOKUP(Tabla3[[#This Row],[PATENTE]],'BASE DATOS'!F:J,5,0)</f>
        <v>SI</v>
      </c>
      <c r="I235" s="582" t="str">
        <f>+VLOOKUP(Tabla3[[#This Row],[PATENTE]],'BASE DATOS'!F:K,6,0)</f>
        <v>NO</v>
      </c>
      <c r="J235" s="582">
        <f>+VLOOKUP(Tabla3[[#This Row],[PATENTE]],'BASE DATOS'!F:L,7,0)</f>
        <v>2014</v>
      </c>
      <c r="K235" s="593">
        <f>+VLOOKUP(Tabla3[[#This Row],[PATENTE]],'BASE DATOS'!F:M,8,0)</f>
        <v>11</v>
      </c>
      <c r="N235" s="826"/>
      <c r="O235" s="1015"/>
      <c r="P235" s="1015"/>
      <c r="Q235" s="1015"/>
      <c r="R235" s="965" t="str">
        <f t="shared" si="6"/>
        <v>-</v>
      </c>
    </row>
    <row r="236" spans="1:18" hidden="1">
      <c r="A236" s="577" t="s">
        <v>879</v>
      </c>
      <c r="B236" s="582">
        <v>5</v>
      </c>
      <c r="C236" s="588">
        <v>45866</v>
      </c>
      <c r="D236" s="582">
        <f t="shared" si="7"/>
        <v>31</v>
      </c>
      <c r="E236" s="576" t="str">
        <f>+VLOOKUP(Tabla3[[#This Row],[PATENTE]],'BASE DATOS'!F:G,2,0)</f>
        <v xml:space="preserve">TRANSP JP - OYP470 </v>
      </c>
      <c r="F236" s="582" t="str">
        <f>+VLOOKUP(Tabla3[[#This Row],[PATENTE]],'BASE DATOS'!F:H,3,0)</f>
        <v>8P</v>
      </c>
      <c r="G236" s="582" t="str">
        <f>+VLOOKUP(Tabla3[[#This Row],[PATENTE]],'BASE DATOS'!F:I,4,0)</f>
        <v>SI</v>
      </c>
      <c r="H236" s="584" t="str">
        <f>+VLOOKUP(Tabla3[[#This Row],[PATENTE]],'BASE DATOS'!F:J,5,0)</f>
        <v>SI</v>
      </c>
      <c r="I236" s="582" t="str">
        <f>+VLOOKUP(Tabla3[[#This Row],[PATENTE]],'BASE DATOS'!F:K,6,0)</f>
        <v>NO</v>
      </c>
      <c r="J236" s="582">
        <f>+VLOOKUP(Tabla3[[#This Row],[PATENTE]],'BASE DATOS'!F:L,7,0)</f>
        <v>2011</v>
      </c>
      <c r="K236" s="593">
        <f>+VLOOKUP(Tabla3[[#This Row],[PATENTE]],'BASE DATOS'!F:M,8,0)</f>
        <v>14</v>
      </c>
      <c r="N236" s="826"/>
      <c r="O236" s="1015"/>
      <c r="P236" s="1015"/>
      <c r="Q236" s="1015"/>
      <c r="R236" s="965" t="str">
        <f t="shared" si="6"/>
        <v>-</v>
      </c>
    </row>
    <row r="237" spans="1:18" hidden="1">
      <c r="A237" s="578" t="s">
        <v>890</v>
      </c>
      <c r="B237" s="584">
        <v>4</v>
      </c>
      <c r="C237" s="589">
        <v>45866</v>
      </c>
      <c r="D237" s="582">
        <f t="shared" si="7"/>
        <v>31</v>
      </c>
      <c r="E237" s="576" t="str">
        <f>+VLOOKUP(Tabla3[[#This Row],[PATENTE]],'BASE DATOS'!F:G,2,0)</f>
        <v xml:space="preserve">TRANSPORTE GRACIELA - AC040RO </v>
      </c>
      <c r="F237" s="582" t="str">
        <f>+VLOOKUP(Tabla3[[#This Row],[PATENTE]],'BASE DATOS'!F:H,3,0)</f>
        <v>1P</v>
      </c>
      <c r="G237" s="582" t="str">
        <f>+VLOOKUP(Tabla3[[#This Row],[PATENTE]],'BASE DATOS'!F:I,4,0)</f>
        <v>SI</v>
      </c>
      <c r="H237" s="584" t="str">
        <f>+VLOOKUP(Tabla3[[#This Row],[PATENTE]],'BASE DATOS'!F:J,5,0)</f>
        <v>ACEPTA( VER CAMI)</v>
      </c>
      <c r="I237" s="582" t="str">
        <f>+VLOOKUP(Tabla3[[#This Row],[PATENTE]],'BASE DATOS'!F:K,6,0)</f>
        <v>NO</v>
      </c>
      <c r="J237" s="582">
        <f>+VLOOKUP(Tabla3[[#This Row],[PATENTE]],'BASE DATOS'!F:L,7,0)</f>
        <v>2017</v>
      </c>
      <c r="K237" s="593">
        <f>+VLOOKUP(Tabla3[[#This Row],[PATENTE]],'BASE DATOS'!F:M,8,0)</f>
        <v>8</v>
      </c>
      <c r="N237" s="826"/>
      <c r="O237" s="1015"/>
      <c r="P237" s="1015"/>
      <c r="Q237" s="1015"/>
      <c r="R237" s="965" t="str">
        <f t="shared" si="6"/>
        <v>-</v>
      </c>
    </row>
    <row r="238" spans="1:18" hidden="1">
      <c r="A238" s="577" t="s">
        <v>883</v>
      </c>
      <c r="B238" s="582">
        <v>4</v>
      </c>
      <c r="C238" s="588">
        <v>45866</v>
      </c>
      <c r="D238" s="582">
        <f t="shared" si="7"/>
        <v>31</v>
      </c>
      <c r="E238" s="576" t="str">
        <f>+VLOOKUP(Tabla3[[#This Row],[PATENTE]],'BASE DATOS'!F:G,2,0)</f>
        <v xml:space="preserve">PACHECO JULIO - ACI503 </v>
      </c>
      <c r="F238" s="582" t="str">
        <f>+VLOOKUP(Tabla3[[#This Row],[PATENTE]],'BASE DATOS'!F:H,3,0)</f>
        <v>12P</v>
      </c>
      <c r="G238" s="582" t="str">
        <f>+VLOOKUP(Tabla3[[#This Row],[PATENTE]],'BASE DATOS'!F:I,4,0)</f>
        <v>NO</v>
      </c>
      <c r="H238" s="584" t="str">
        <f>+VLOOKUP(Tabla3[[#This Row],[PATENTE]],'BASE DATOS'!F:J,5,0)</f>
        <v>SI</v>
      </c>
      <c r="I238" s="582" t="str">
        <f>+VLOOKUP(Tabla3[[#This Row],[PATENTE]],'BASE DATOS'!F:K,6,0)</f>
        <v>SI</v>
      </c>
      <c r="J238" s="582">
        <f>+VLOOKUP(Tabla3[[#This Row],[PATENTE]],'BASE DATOS'!F:L,7,0)</f>
        <v>2000</v>
      </c>
      <c r="K238" s="593">
        <f>+VLOOKUP(Tabla3[[#This Row],[PATENTE]],'BASE DATOS'!F:M,8,0)</f>
        <v>25</v>
      </c>
      <c r="N238" s="826"/>
      <c r="O238" s="1015"/>
      <c r="P238" s="1015"/>
      <c r="Q238" s="1015"/>
      <c r="R238" s="965" t="str">
        <f t="shared" si="6"/>
        <v>-</v>
      </c>
    </row>
    <row r="239" spans="1:18" hidden="1">
      <c r="A239" s="578" t="s">
        <v>906</v>
      </c>
      <c r="B239" s="584">
        <v>4</v>
      </c>
      <c r="C239" s="589">
        <v>45866</v>
      </c>
      <c r="D239" s="582">
        <f t="shared" si="7"/>
        <v>31</v>
      </c>
      <c r="E239" s="576" t="str">
        <f>+VLOOKUP(Tabla3[[#This Row],[PATENTE]],'BASE DATOS'!F:G,2,0)</f>
        <v xml:space="preserve">VAZQUEZ (TRV SRL) - AD472GK </v>
      </c>
      <c r="F239" s="582" t="str">
        <f>+VLOOKUP(Tabla3[[#This Row],[PATENTE]],'BASE DATOS'!F:H,3,0)</f>
        <v>8P</v>
      </c>
      <c r="G239" s="582" t="str">
        <f>+VLOOKUP(Tabla3[[#This Row],[PATENTE]],'BASE DATOS'!F:I,4,0)</f>
        <v>NO</v>
      </c>
      <c r="H239" s="584" t="str">
        <f>+VLOOKUP(Tabla3[[#This Row],[PATENTE]],'BASE DATOS'!F:J,5,0)</f>
        <v>NO</v>
      </c>
      <c r="I239" s="582" t="str">
        <f>+VLOOKUP(Tabla3[[#This Row],[PATENTE]],'BASE DATOS'!F:K,6,0)</f>
        <v>SI</v>
      </c>
      <c r="J239" s="582">
        <f>+VLOOKUP(Tabla3[[#This Row],[PATENTE]],'BASE DATOS'!F:L,7,0)</f>
        <v>2019</v>
      </c>
      <c r="K239" s="593">
        <f>+VLOOKUP(Tabla3[[#This Row],[PATENTE]],'BASE DATOS'!F:M,8,0)</f>
        <v>6</v>
      </c>
      <c r="N239" s="826"/>
      <c r="O239" s="1015"/>
      <c r="P239" s="1015"/>
      <c r="Q239" s="1015"/>
      <c r="R239" s="965" t="str">
        <f t="shared" si="6"/>
        <v>-</v>
      </c>
    </row>
    <row r="240" spans="1:18" hidden="1">
      <c r="A240" s="577" t="s">
        <v>880</v>
      </c>
      <c r="B240" s="582">
        <v>4</v>
      </c>
      <c r="C240" s="588">
        <v>45866</v>
      </c>
      <c r="D240" s="582">
        <f t="shared" si="7"/>
        <v>31</v>
      </c>
      <c r="E240" s="576" t="str">
        <f>+VLOOKUP(Tabla3[[#This Row],[PATENTE]],'BASE DATOS'!F:G,2,0)</f>
        <v xml:space="preserve">LAURIA (SERVAL) - AD575XK </v>
      </c>
      <c r="F240" s="582" t="str">
        <f>+VLOOKUP(Tabla3[[#This Row],[PATENTE]],'BASE DATOS'!F:H,3,0)</f>
        <v>8P</v>
      </c>
      <c r="G240" s="582" t="str">
        <f>+VLOOKUP(Tabla3[[#This Row],[PATENTE]],'BASE DATOS'!F:I,4,0)</f>
        <v>SI</v>
      </c>
      <c r="H240" s="584" t="str">
        <f>+VLOOKUP(Tabla3[[#This Row],[PATENTE]],'BASE DATOS'!F:J,5,0)</f>
        <v>SI</v>
      </c>
      <c r="I240" s="582" t="str">
        <f>+VLOOKUP(Tabla3[[#This Row],[PATENTE]],'BASE DATOS'!F:K,6,0)</f>
        <v>NO</v>
      </c>
      <c r="J240" s="582">
        <f>+VLOOKUP(Tabla3[[#This Row],[PATENTE]],'BASE DATOS'!F:L,7,0)</f>
        <v>2019</v>
      </c>
      <c r="K240" s="593">
        <f>+VLOOKUP(Tabla3[[#This Row],[PATENTE]],'BASE DATOS'!F:M,8,0)</f>
        <v>6</v>
      </c>
      <c r="N240" s="826"/>
      <c r="O240" s="1015"/>
      <c r="P240" s="1015"/>
      <c r="Q240" s="1015"/>
      <c r="R240" s="965" t="str">
        <f t="shared" si="6"/>
        <v>-</v>
      </c>
    </row>
    <row r="241" spans="1:18" hidden="1">
      <c r="A241" s="578" t="s">
        <v>893</v>
      </c>
      <c r="B241" s="584">
        <v>4</v>
      </c>
      <c r="C241" s="589">
        <v>45866</v>
      </c>
      <c r="D241" s="582">
        <f t="shared" si="7"/>
        <v>31</v>
      </c>
      <c r="E241" s="576" t="str">
        <f>+VLOOKUP(Tabla3[[#This Row],[PATENTE]],'BASE DATOS'!F:G,2,0)</f>
        <v xml:space="preserve">GANZINI HUGO - CFF038 </v>
      </c>
      <c r="F241" s="582" t="str">
        <f>+VLOOKUP(Tabla3[[#This Row],[PATENTE]],'BASE DATOS'!F:H,3,0)</f>
        <v>2P</v>
      </c>
      <c r="G241" s="582" t="str">
        <f>+VLOOKUP(Tabla3[[#This Row],[PATENTE]],'BASE DATOS'!F:I,4,0)</f>
        <v>SI</v>
      </c>
      <c r="H241" s="584" t="str">
        <f>+VLOOKUP(Tabla3[[#This Row],[PATENTE]],'BASE DATOS'!F:J,5,0)</f>
        <v>SI</v>
      </c>
      <c r="I241" s="582" t="str">
        <f>+VLOOKUP(Tabla3[[#This Row],[PATENTE]],'BASE DATOS'!F:K,6,0)</f>
        <v>NO</v>
      </c>
      <c r="J241" s="582">
        <f>+VLOOKUP(Tabla3[[#This Row],[PATENTE]],'BASE DATOS'!F:L,7,0)</f>
        <v>1999</v>
      </c>
      <c r="K241" s="593">
        <f>+VLOOKUP(Tabla3[[#This Row],[PATENTE]],'BASE DATOS'!F:M,8,0)</f>
        <v>26</v>
      </c>
      <c r="N241" s="826"/>
      <c r="O241" s="1015"/>
      <c r="P241" s="1015"/>
      <c r="Q241" s="1015"/>
      <c r="R241" s="965" t="str">
        <f t="shared" si="6"/>
        <v>-</v>
      </c>
    </row>
    <row r="242" spans="1:18" hidden="1">
      <c r="A242" s="577" t="s">
        <v>921</v>
      </c>
      <c r="B242" s="582">
        <v>4</v>
      </c>
      <c r="C242" s="588">
        <v>45866</v>
      </c>
      <c r="D242" s="582">
        <f t="shared" si="7"/>
        <v>31</v>
      </c>
      <c r="E242" s="576" t="str">
        <f>+VLOOKUP(Tabla3[[#This Row],[PATENTE]],'BASE DATOS'!F:G,2,0)</f>
        <v xml:space="preserve">MAÑAS NORBERTO - CQQ304 </v>
      </c>
      <c r="F242" s="582" t="str">
        <f>+VLOOKUP(Tabla3[[#This Row],[PATENTE]],'BASE DATOS'!F:H,3,0)</f>
        <v>11P</v>
      </c>
      <c r="G242" s="582" t="str">
        <f>+VLOOKUP(Tabla3[[#This Row],[PATENTE]],'BASE DATOS'!F:I,4,0)</f>
        <v>SI</v>
      </c>
      <c r="H242" s="584" t="str">
        <f>+VLOOKUP(Tabla3[[#This Row],[PATENTE]],'BASE DATOS'!F:J,5,0)</f>
        <v>SI</v>
      </c>
      <c r="I242" s="582" t="str">
        <f>+VLOOKUP(Tabla3[[#This Row],[PATENTE]],'BASE DATOS'!F:K,6,0)</f>
        <v>NO</v>
      </c>
      <c r="J242" s="582">
        <f>+VLOOKUP(Tabla3[[#This Row],[PATENTE]],'BASE DATOS'!F:L,7,0)</f>
        <v>2000</v>
      </c>
      <c r="K242" s="593">
        <f>+VLOOKUP(Tabla3[[#This Row],[PATENTE]],'BASE DATOS'!F:M,8,0)</f>
        <v>25</v>
      </c>
      <c r="N242" s="826"/>
      <c r="O242" s="1015"/>
      <c r="P242" s="1015"/>
      <c r="Q242" s="1015"/>
      <c r="R242" s="965" t="str">
        <f t="shared" si="6"/>
        <v>-</v>
      </c>
    </row>
    <row r="243" spans="1:18" hidden="1">
      <c r="A243" s="578" t="s">
        <v>881</v>
      </c>
      <c r="B243" s="584">
        <v>4</v>
      </c>
      <c r="C243" s="589">
        <v>45866</v>
      </c>
      <c r="D243" s="582">
        <f t="shared" si="7"/>
        <v>31</v>
      </c>
      <c r="E243" s="576" t="str">
        <f>+VLOOKUP(Tabla3[[#This Row],[PATENTE]],'BASE DATOS'!F:G,2,0)</f>
        <v xml:space="preserve">MAÑAS NORBERTO - DUQ686 </v>
      </c>
      <c r="F243" s="582" t="str">
        <f>+VLOOKUP(Tabla3[[#This Row],[PATENTE]],'BASE DATOS'!F:H,3,0)</f>
        <v>8P</v>
      </c>
      <c r="G243" s="582" t="str">
        <f>+VLOOKUP(Tabla3[[#This Row],[PATENTE]],'BASE DATOS'!F:I,4,0)</f>
        <v>SI</v>
      </c>
      <c r="H243" s="584" t="str">
        <f>+VLOOKUP(Tabla3[[#This Row],[PATENTE]],'BASE DATOS'!F:J,5,0)</f>
        <v>SI</v>
      </c>
      <c r="I243" s="582" t="str">
        <f>+VLOOKUP(Tabla3[[#This Row],[PATENTE]],'BASE DATOS'!F:K,6,0)</f>
        <v>NO</v>
      </c>
      <c r="J243" s="582">
        <f>+VLOOKUP(Tabla3[[#This Row],[PATENTE]],'BASE DATOS'!F:L,7,0)</f>
        <v>2001</v>
      </c>
      <c r="K243" s="593">
        <f>+VLOOKUP(Tabla3[[#This Row],[PATENTE]],'BASE DATOS'!F:M,8,0)</f>
        <v>24</v>
      </c>
      <c r="N243" s="826"/>
      <c r="O243" s="1015"/>
      <c r="P243" s="1015"/>
      <c r="Q243" s="1015"/>
      <c r="R243" s="965" t="str">
        <f t="shared" si="6"/>
        <v>-</v>
      </c>
    </row>
    <row r="244" spans="1:18" hidden="1">
      <c r="A244" s="577" t="s">
        <v>916</v>
      </c>
      <c r="B244" s="582">
        <v>4</v>
      </c>
      <c r="C244" s="588">
        <v>45866</v>
      </c>
      <c r="D244" s="582">
        <f t="shared" si="7"/>
        <v>31</v>
      </c>
      <c r="E244" s="576" t="str">
        <f>+VLOOKUP(Tabla3[[#This Row],[PATENTE]],'BASE DATOS'!F:G,2,0)</f>
        <v xml:space="preserve">TRANSP MAIDANA CARLOS - EYP088 </v>
      </c>
      <c r="F244" s="582" t="str">
        <f>+VLOOKUP(Tabla3[[#This Row],[PATENTE]],'BASE DATOS'!F:H,3,0)</f>
        <v>6P</v>
      </c>
      <c r="G244" s="582" t="str">
        <f>+VLOOKUP(Tabla3[[#This Row],[PATENTE]],'BASE DATOS'!F:I,4,0)</f>
        <v>SI</v>
      </c>
      <c r="H244" s="584" t="str">
        <f>+VLOOKUP(Tabla3[[#This Row],[PATENTE]],'BASE DATOS'!F:J,5,0)</f>
        <v>SI</v>
      </c>
      <c r="I244" s="582" t="str">
        <f>+VLOOKUP(Tabla3[[#This Row],[PATENTE]],'BASE DATOS'!F:K,6,0)</f>
        <v>NO</v>
      </c>
      <c r="J244" s="582">
        <f>+VLOOKUP(Tabla3[[#This Row],[PATENTE]],'BASE DATOS'!F:L,7,0)</f>
        <v>2006</v>
      </c>
      <c r="K244" s="593">
        <f>+VLOOKUP(Tabla3[[#This Row],[PATENTE]],'BASE DATOS'!F:M,8,0)</f>
        <v>19</v>
      </c>
      <c r="N244" s="826"/>
      <c r="O244" s="1015"/>
      <c r="P244" s="1015"/>
      <c r="Q244" s="1015"/>
      <c r="R244" s="965" t="str">
        <f t="shared" si="6"/>
        <v>-</v>
      </c>
    </row>
    <row r="245" spans="1:18" hidden="1">
      <c r="A245" s="578" t="s">
        <v>892</v>
      </c>
      <c r="B245" s="584">
        <v>4</v>
      </c>
      <c r="C245" s="589">
        <v>45866</v>
      </c>
      <c r="D245" s="582">
        <f t="shared" si="7"/>
        <v>31</v>
      </c>
      <c r="E245" s="576" t="str">
        <f>+VLOOKUP(Tabla3[[#This Row],[PATENTE]],'BASE DATOS'!F:G,2,0)</f>
        <v xml:space="preserve">COLO - FTL525 </v>
      </c>
      <c r="F245" s="582" t="str">
        <f>+VLOOKUP(Tabla3[[#This Row],[PATENTE]],'BASE DATOS'!F:H,3,0)</f>
        <v>1P</v>
      </c>
      <c r="G245" s="582" t="str">
        <f>+VLOOKUP(Tabla3[[#This Row],[PATENTE]],'BASE DATOS'!F:I,4,0)</f>
        <v>NO</v>
      </c>
      <c r="H245" s="584" t="str">
        <f>+VLOOKUP(Tabla3[[#This Row],[PATENTE]],'BASE DATOS'!F:J,5,0)</f>
        <v>SI</v>
      </c>
      <c r="I245" s="582" t="str">
        <f>+VLOOKUP(Tabla3[[#This Row],[PATENTE]],'BASE DATOS'!F:K,6,0)</f>
        <v>NO</v>
      </c>
      <c r="J245" s="582">
        <f>+VLOOKUP(Tabla3[[#This Row],[PATENTE]],'BASE DATOS'!F:L,7,0)</f>
        <v>2008</v>
      </c>
      <c r="K245" s="593">
        <f>+VLOOKUP(Tabla3[[#This Row],[PATENTE]],'BASE DATOS'!F:M,8,0)</f>
        <v>17</v>
      </c>
      <c r="N245" s="826"/>
      <c r="O245" s="1015"/>
      <c r="P245" s="1015"/>
      <c r="Q245" s="1015"/>
      <c r="R245" s="965" t="str">
        <f t="shared" si="6"/>
        <v>-</v>
      </c>
    </row>
    <row r="246" spans="1:18" hidden="1">
      <c r="A246" s="577" t="s">
        <v>900</v>
      </c>
      <c r="B246" s="582">
        <v>4</v>
      </c>
      <c r="C246" s="588">
        <v>45866</v>
      </c>
      <c r="D246" s="582">
        <f t="shared" si="7"/>
        <v>31</v>
      </c>
      <c r="E246" s="576" t="str">
        <f>+VLOOKUP(Tabla3[[#This Row],[PATENTE]],'BASE DATOS'!F:G,2,0)</f>
        <v>TRANSPORTE GENA GAIA - IMO939</v>
      </c>
      <c r="F246" s="582" t="str">
        <f>+VLOOKUP(Tabla3[[#This Row],[PATENTE]],'BASE DATOS'!F:H,3,0)</f>
        <v>24P</v>
      </c>
      <c r="G246" s="582" t="str">
        <f>+VLOOKUP(Tabla3[[#This Row],[PATENTE]],'BASE DATOS'!F:I,4,0)</f>
        <v>Gestya</v>
      </c>
      <c r="H246" s="584" t="str">
        <f>+VLOOKUP(Tabla3[[#This Row],[PATENTE]],'BASE DATOS'!F:J,5,0)</f>
        <v xml:space="preserve">NO </v>
      </c>
      <c r="I246" s="582" t="str">
        <f>+VLOOKUP(Tabla3[[#This Row],[PATENTE]],'BASE DATOS'!F:K,6,0)</f>
        <v>NO</v>
      </c>
      <c r="J246" s="582">
        <f>+VLOOKUP(Tabla3[[#This Row],[PATENTE]],'BASE DATOS'!F:L,7,0)</f>
        <v>2010</v>
      </c>
      <c r="K246" s="593">
        <f>+VLOOKUP(Tabla3[[#This Row],[PATENTE]],'BASE DATOS'!F:M,8,0)</f>
        <v>15</v>
      </c>
      <c r="N246" s="826"/>
      <c r="O246" s="1015"/>
      <c r="P246" s="1015"/>
      <c r="Q246" s="1015"/>
      <c r="R246" s="965" t="str">
        <f t="shared" si="6"/>
        <v>-</v>
      </c>
    </row>
    <row r="247" spans="1:18" hidden="1">
      <c r="A247" s="578" t="s">
        <v>901</v>
      </c>
      <c r="B247" s="584">
        <v>4</v>
      </c>
      <c r="C247" s="589">
        <v>45866</v>
      </c>
      <c r="D247" s="582">
        <f t="shared" si="7"/>
        <v>31</v>
      </c>
      <c r="E247" s="576" t="str">
        <f>+VLOOKUP(Tabla3[[#This Row],[PATENTE]],'BASE DATOS'!F:G,2,0)</f>
        <v xml:space="preserve">TRANSPORTE  GRACIELA - IYE750 </v>
      </c>
      <c r="F247" s="582" t="str">
        <f>+VLOOKUP(Tabla3[[#This Row],[PATENTE]],'BASE DATOS'!F:H,3,0)</f>
        <v>1P</v>
      </c>
      <c r="G247" s="582" t="str">
        <f>+VLOOKUP(Tabla3[[#This Row],[PATENTE]],'BASE DATOS'!F:I,4,0)</f>
        <v>NO</v>
      </c>
      <c r="H247" s="584" t="str">
        <f>+VLOOKUP(Tabla3[[#This Row],[PATENTE]],'BASE DATOS'!F:J,5,0)</f>
        <v>SI</v>
      </c>
      <c r="I247" s="582" t="str">
        <f>+VLOOKUP(Tabla3[[#This Row],[PATENTE]],'BASE DATOS'!F:K,6,0)</f>
        <v>NO</v>
      </c>
      <c r="J247" s="582">
        <f>+VLOOKUP(Tabla3[[#This Row],[PATENTE]],'BASE DATOS'!F:L,7,0)</f>
        <v>2009</v>
      </c>
      <c r="K247" s="593">
        <f>+VLOOKUP(Tabla3[[#This Row],[PATENTE]],'BASE DATOS'!F:M,8,0)</f>
        <v>16</v>
      </c>
      <c r="N247" s="826"/>
      <c r="O247" s="1015"/>
      <c r="P247" s="1015"/>
      <c r="Q247" s="1015"/>
      <c r="R247" s="965" t="str">
        <f t="shared" si="6"/>
        <v>-</v>
      </c>
    </row>
    <row r="248" spans="1:18" hidden="1">
      <c r="A248" s="577" t="s">
        <v>897</v>
      </c>
      <c r="B248" s="582">
        <v>4</v>
      </c>
      <c r="C248" s="588">
        <v>45866</v>
      </c>
      <c r="D248" s="582">
        <f t="shared" si="7"/>
        <v>31</v>
      </c>
      <c r="E248" s="576" t="str">
        <f>+VLOOKUP(Tabla3[[#This Row],[PATENTE]],'BASE DATOS'!F:G,2,0)</f>
        <v xml:space="preserve">TRANSP CLAUDIO BUSTOS - LSG801 </v>
      </c>
      <c r="F248" s="582" t="str">
        <f>+VLOOKUP(Tabla3[[#This Row],[PATENTE]],'BASE DATOS'!F:H,3,0)</f>
        <v>2P</v>
      </c>
      <c r="G248" s="582" t="str">
        <f>+VLOOKUP(Tabla3[[#This Row],[PATENTE]],'BASE DATOS'!F:I,4,0)</f>
        <v>SI</v>
      </c>
      <c r="H248" s="584" t="str">
        <f>+VLOOKUP(Tabla3[[#This Row],[PATENTE]],'BASE DATOS'!F:J,5,0)</f>
        <v>SI</v>
      </c>
      <c r="I248" s="582" t="str">
        <f>+VLOOKUP(Tabla3[[#This Row],[PATENTE]],'BASE DATOS'!F:K,6,0)</f>
        <v>NO</v>
      </c>
      <c r="J248" s="582">
        <f>+VLOOKUP(Tabla3[[#This Row],[PATENTE]],'BASE DATOS'!F:L,7,0)</f>
        <v>2013</v>
      </c>
      <c r="K248" s="593">
        <f>+VLOOKUP(Tabla3[[#This Row],[PATENTE]],'BASE DATOS'!F:M,8,0)</f>
        <v>12</v>
      </c>
      <c r="N248" s="826"/>
      <c r="O248" s="1015"/>
      <c r="P248" s="1015"/>
      <c r="Q248" s="1015"/>
      <c r="R248" s="965" t="str">
        <f t="shared" si="6"/>
        <v>-</v>
      </c>
    </row>
    <row r="249" spans="1:18" hidden="1">
      <c r="A249" s="578" t="s">
        <v>920</v>
      </c>
      <c r="B249" s="584">
        <v>4</v>
      </c>
      <c r="C249" s="589">
        <v>45866</v>
      </c>
      <c r="D249" s="582">
        <f t="shared" si="7"/>
        <v>31</v>
      </c>
      <c r="E249" s="576" t="str">
        <f>+VLOOKUP(Tabla3[[#This Row],[PATENTE]],'BASE DATOS'!F:G,2,0)</f>
        <v xml:space="preserve">TRANSP LAGOS - MRV682 </v>
      </c>
      <c r="F249" s="582" t="str">
        <f>+VLOOKUP(Tabla3[[#This Row],[PATENTE]],'BASE DATOS'!F:H,3,0)</f>
        <v>8P</v>
      </c>
      <c r="G249" s="582" t="str">
        <f>+VLOOKUP(Tabla3[[#This Row],[PATENTE]],'BASE DATOS'!F:I,4,0)</f>
        <v>SI</v>
      </c>
      <c r="H249" s="584" t="str">
        <f>+VLOOKUP(Tabla3[[#This Row],[PATENTE]],'BASE DATOS'!F:J,5,0)</f>
        <v>SI</v>
      </c>
      <c r="I249" s="582" t="str">
        <f>+VLOOKUP(Tabla3[[#This Row],[PATENTE]],'BASE DATOS'!F:K,6,0)</f>
        <v>NO</v>
      </c>
      <c r="J249" s="582">
        <f>+VLOOKUP(Tabla3[[#This Row],[PATENTE]],'BASE DATOS'!F:L,7,0)</f>
        <v>2013</v>
      </c>
      <c r="K249" s="593">
        <f>+VLOOKUP(Tabla3[[#This Row],[PATENTE]],'BASE DATOS'!F:M,8,0)</f>
        <v>12</v>
      </c>
      <c r="N249" s="826"/>
      <c r="O249" s="1015"/>
      <c r="P249" s="1015"/>
      <c r="Q249" s="1015"/>
      <c r="R249" s="965" t="str">
        <f t="shared" si="6"/>
        <v>-</v>
      </c>
    </row>
    <row r="250" spans="1:18" hidden="1">
      <c r="A250" s="577" t="s">
        <v>896</v>
      </c>
      <c r="B250" s="582">
        <v>4</v>
      </c>
      <c r="C250" s="588">
        <v>45866</v>
      </c>
      <c r="D250" s="582">
        <f t="shared" si="7"/>
        <v>31</v>
      </c>
      <c r="E250" s="576" t="str">
        <f>+VLOOKUP(Tabla3[[#This Row],[PATENTE]],'BASE DATOS'!F:G,2,0)</f>
        <v xml:space="preserve">TRANSP MAVIR - RHQ609 </v>
      </c>
      <c r="F250" s="582" t="str">
        <f>+VLOOKUP(Tabla3[[#This Row],[PATENTE]],'BASE DATOS'!F:H,3,0)</f>
        <v>10P</v>
      </c>
      <c r="G250" s="582" t="str">
        <f>+VLOOKUP(Tabla3[[#This Row],[PATENTE]],'BASE DATOS'!F:I,4,0)</f>
        <v>NO</v>
      </c>
      <c r="H250" s="584" t="str">
        <f>+VLOOKUP(Tabla3[[#This Row],[PATENTE]],'BASE DATOS'!F:J,5,0)</f>
        <v xml:space="preserve">NO </v>
      </c>
      <c r="I250" s="582" t="str">
        <f>+VLOOKUP(Tabla3[[#This Row],[PATENTE]],'BASE DATOS'!F:K,6,0)</f>
        <v>NO</v>
      </c>
      <c r="J250" s="582">
        <f>+VLOOKUP(Tabla3[[#This Row],[PATENTE]],'BASE DATOS'!F:L,7,0)</f>
        <v>1995</v>
      </c>
      <c r="K250" s="593">
        <v>0</v>
      </c>
      <c r="N250" s="826"/>
      <c r="O250" s="1015"/>
      <c r="P250" s="1015"/>
      <c r="Q250" s="1015"/>
      <c r="R250" s="965" t="str">
        <f t="shared" si="6"/>
        <v>-</v>
      </c>
    </row>
    <row r="251" spans="1:18" hidden="1">
      <c r="A251" s="578" t="s">
        <v>919</v>
      </c>
      <c r="B251" s="584">
        <v>3</v>
      </c>
      <c r="C251" s="589">
        <v>45866</v>
      </c>
      <c r="D251" s="582">
        <f t="shared" si="7"/>
        <v>31</v>
      </c>
      <c r="E251" s="576" t="str">
        <f>+VLOOKUP(Tabla3[[#This Row],[PATENTE]],'BASE DATOS'!F:G,2,0)</f>
        <v xml:space="preserve">GUSTAVO CERQUETTA - AA427LT </v>
      </c>
      <c r="F251" s="582" t="str">
        <f>+VLOOKUP(Tabla3[[#This Row],[PATENTE]],'BASE DATOS'!F:H,3,0)</f>
        <v>1P</v>
      </c>
      <c r="G251" s="582" t="str">
        <f>+VLOOKUP(Tabla3[[#This Row],[PATENTE]],'BASE DATOS'!F:I,4,0)</f>
        <v>NO</v>
      </c>
      <c r="H251" s="584" t="str">
        <f>+VLOOKUP(Tabla3[[#This Row],[PATENTE]],'BASE DATOS'!F:J,5,0)</f>
        <v>SI</v>
      </c>
      <c r="I251" s="582" t="str">
        <f>+VLOOKUP(Tabla3[[#This Row],[PATENTE]],'BASE DATOS'!F:K,6,0)</f>
        <v>NO</v>
      </c>
      <c r="J251" s="582">
        <f>+VLOOKUP(Tabla3[[#This Row],[PATENTE]],'BASE DATOS'!F:L,7,0)</f>
        <v>2016</v>
      </c>
      <c r="K251" s="593">
        <f>+VLOOKUP(Tabla3[[#This Row],[PATENTE]],'BASE DATOS'!F:M,8,0)</f>
        <v>9</v>
      </c>
      <c r="N251" s="826"/>
      <c r="O251" s="1015"/>
      <c r="P251" s="1015"/>
      <c r="Q251" s="1015"/>
      <c r="R251" s="965" t="str">
        <f t="shared" si="6"/>
        <v>-</v>
      </c>
    </row>
    <row r="252" spans="1:18" hidden="1">
      <c r="A252" s="577" t="s">
        <v>878</v>
      </c>
      <c r="B252" s="582">
        <v>3</v>
      </c>
      <c r="C252" s="588">
        <v>45866</v>
      </c>
      <c r="D252" s="582">
        <f t="shared" si="7"/>
        <v>31</v>
      </c>
      <c r="E252" s="576" t="str">
        <f>+VLOOKUP(Tabla3[[#This Row],[PATENTE]],'BASE DATOS'!F:G,2,0)</f>
        <v xml:space="preserve">PACHECO JULIO - AA854LY </v>
      </c>
      <c r="F252" s="582" t="str">
        <f>+VLOOKUP(Tabla3[[#This Row],[PATENTE]],'BASE DATOS'!F:H,3,0)</f>
        <v>7P</v>
      </c>
      <c r="G252" s="582" t="str">
        <f>+VLOOKUP(Tabla3[[#This Row],[PATENTE]],'BASE DATOS'!F:I,4,0)</f>
        <v>SI</v>
      </c>
      <c r="H252" s="584" t="str">
        <f>+VLOOKUP(Tabla3[[#This Row],[PATENTE]],'BASE DATOS'!F:J,5,0)</f>
        <v>SI</v>
      </c>
      <c r="I252" s="582" t="str">
        <f>+VLOOKUP(Tabla3[[#This Row],[PATENTE]],'BASE DATOS'!F:K,6,0)</f>
        <v>NO</v>
      </c>
      <c r="J252" s="582">
        <f>+VLOOKUP(Tabla3[[#This Row],[PATENTE]],'BASE DATOS'!F:L,7,0)</f>
        <v>2016</v>
      </c>
      <c r="K252" s="593">
        <f>+VLOOKUP(Tabla3[[#This Row],[PATENTE]],'BASE DATOS'!F:M,8,0)</f>
        <v>9</v>
      </c>
      <c r="N252" s="826"/>
      <c r="O252" s="1017"/>
      <c r="P252" s="1017"/>
      <c r="Q252" s="1017"/>
      <c r="R252" s="965" t="str">
        <f t="shared" si="6"/>
        <v>-</v>
      </c>
    </row>
    <row r="253" spans="1:18" hidden="1">
      <c r="A253" s="578" t="s">
        <v>1127</v>
      </c>
      <c r="B253" s="584">
        <v>3</v>
      </c>
      <c r="C253" s="589">
        <v>45866</v>
      </c>
      <c r="D253" s="582">
        <f t="shared" si="7"/>
        <v>31</v>
      </c>
      <c r="E253" s="576" t="str">
        <f>+VLOOKUP(Tabla3[[#This Row],[PATENTE]],'BASE DATOS'!F:G,2,0)</f>
        <v xml:space="preserve">BELLIMAR SRL - BIS283 </v>
      </c>
      <c r="F253" s="582" t="str">
        <f>+VLOOKUP(Tabla3[[#This Row],[PATENTE]],'BASE DATOS'!F:H,3,0)</f>
        <v>28P</v>
      </c>
      <c r="G253" s="582" t="str">
        <f>+VLOOKUP(Tabla3[[#This Row],[PATENTE]],'BASE DATOS'!F:I,4,0)</f>
        <v>NO</v>
      </c>
      <c r="H253" s="584" t="str">
        <f>+VLOOKUP(Tabla3[[#This Row],[PATENTE]],'BASE DATOS'!F:J,5,0)</f>
        <v xml:space="preserve">NO </v>
      </c>
      <c r="I253" s="582" t="str">
        <f>+VLOOKUP(Tabla3[[#This Row],[PATENTE]],'BASE DATOS'!F:K,6,0)</f>
        <v>NO</v>
      </c>
      <c r="J253" s="582">
        <f>+VLOOKUP(Tabla3[[#This Row],[PATENTE]],'BASE DATOS'!F:L,7,0)</f>
        <v>1999</v>
      </c>
      <c r="K253" s="593">
        <f>+VLOOKUP(Tabla3[[#This Row],[PATENTE]],'BASE DATOS'!F:M,8,0)</f>
        <v>26</v>
      </c>
      <c r="N253" s="826"/>
      <c r="O253" s="1017"/>
      <c r="P253" s="1017"/>
      <c r="Q253" s="1017"/>
      <c r="R253" s="965" t="str">
        <f t="shared" si="6"/>
        <v>-</v>
      </c>
    </row>
    <row r="254" spans="1:18" hidden="1">
      <c r="A254" s="577" t="s">
        <v>918</v>
      </c>
      <c r="B254" s="582">
        <v>3</v>
      </c>
      <c r="C254" s="588">
        <v>45866</v>
      </c>
      <c r="D254" s="582">
        <f t="shared" si="7"/>
        <v>31</v>
      </c>
      <c r="E254" s="576" t="str">
        <f>+VLOOKUP(Tabla3[[#This Row],[PATENTE]],'BASE DATOS'!F:G,2,0)</f>
        <v>TRANSPORTE GENA GAIA - DGO507</v>
      </c>
      <c r="F254" s="582" t="str">
        <f>+VLOOKUP(Tabla3[[#This Row],[PATENTE]],'BASE DATOS'!F:H,3,0)</f>
        <v>24P</v>
      </c>
      <c r="G254" s="582" t="str">
        <f>+VLOOKUP(Tabla3[[#This Row],[PATENTE]],'BASE DATOS'!F:I,4,0)</f>
        <v>Gestya</v>
      </c>
      <c r="H254" s="584" t="str">
        <f>+VLOOKUP(Tabla3[[#This Row],[PATENTE]],'BASE DATOS'!F:J,5,0)</f>
        <v xml:space="preserve">NO </v>
      </c>
      <c r="I254" s="582" t="str">
        <f>+VLOOKUP(Tabla3[[#This Row],[PATENTE]],'BASE DATOS'!F:K,6,0)</f>
        <v>NO</v>
      </c>
      <c r="J254" s="582">
        <f>+VLOOKUP(Tabla3[[#This Row],[PATENTE]],'BASE DATOS'!F:L,7,0)</f>
        <v>2001</v>
      </c>
      <c r="K254" s="593">
        <f>+VLOOKUP(Tabla3[[#This Row],[PATENTE]],'BASE DATOS'!F:M,8,0)</f>
        <v>24</v>
      </c>
      <c r="N254" s="826"/>
      <c r="O254" s="1017"/>
      <c r="P254" s="1017"/>
      <c r="Q254" s="1017"/>
      <c r="R254" s="965" t="str">
        <f t="shared" si="6"/>
        <v>-</v>
      </c>
    </row>
    <row r="255" spans="1:18" hidden="1">
      <c r="A255" s="578" t="s">
        <v>915</v>
      </c>
      <c r="B255" s="584">
        <v>3</v>
      </c>
      <c r="C255" s="589">
        <v>45866</v>
      </c>
      <c r="D255" s="582">
        <f t="shared" si="7"/>
        <v>31</v>
      </c>
      <c r="E255" s="576" t="str">
        <f>+VLOOKUP(Tabla3[[#This Row],[PATENTE]],'BASE DATOS'!F:G,2,0)</f>
        <v>TRANSPORTE GRACIELA - FPL254</v>
      </c>
      <c r="F255" s="582" t="str">
        <f>+VLOOKUP(Tabla3[[#This Row],[PATENTE]],'BASE DATOS'!F:H,3,0)</f>
        <v>2P</v>
      </c>
      <c r="G255" s="582" t="str">
        <f>+VLOOKUP(Tabla3[[#This Row],[PATENTE]],'BASE DATOS'!F:I,4,0)</f>
        <v>SI</v>
      </c>
      <c r="H255" s="584" t="str">
        <f>+VLOOKUP(Tabla3[[#This Row],[PATENTE]],'BASE DATOS'!F:J,5,0)</f>
        <v>NO (CAMI)</v>
      </c>
      <c r="I255" s="582" t="str">
        <f>+VLOOKUP(Tabla3[[#This Row],[PATENTE]],'BASE DATOS'!F:K,6,0)</f>
        <v>NO</v>
      </c>
      <c r="J255" s="582">
        <f>+VLOOKUP(Tabla3[[#This Row],[PATENTE]],'BASE DATOS'!F:L,7,0)</f>
        <v>2012</v>
      </c>
      <c r="K255" s="593">
        <f>+VLOOKUP(Tabla3[[#This Row],[PATENTE]],'BASE DATOS'!F:M,8,0)</f>
        <v>13</v>
      </c>
      <c r="N255" s="826"/>
      <c r="O255" s="1017"/>
      <c r="P255" s="1017"/>
      <c r="Q255" s="1017"/>
      <c r="R255" s="965" t="str">
        <f t="shared" si="6"/>
        <v>-</v>
      </c>
    </row>
    <row r="256" spans="1:18" hidden="1">
      <c r="A256" s="577" t="s">
        <v>940</v>
      </c>
      <c r="B256" s="582">
        <v>2</v>
      </c>
      <c r="C256" s="588">
        <v>45866</v>
      </c>
      <c r="D256" s="582">
        <f t="shared" si="7"/>
        <v>31</v>
      </c>
      <c r="E256" s="576" t="str">
        <f>+VLOOKUP(Tabla3[[#This Row],[PATENTE]],'BASE DATOS'!F:G,2,0)</f>
        <v xml:space="preserve">BELLIMAR SRL - AA358EQ </v>
      </c>
      <c r="F256" s="582" t="str">
        <f>+VLOOKUP(Tabla3[[#This Row],[PATENTE]],'BASE DATOS'!F:H,3,0)</f>
        <v>8P</v>
      </c>
      <c r="G256" s="582" t="str">
        <f>+VLOOKUP(Tabla3[[#This Row],[PATENTE]],'BASE DATOS'!F:I,4,0)</f>
        <v>NO</v>
      </c>
      <c r="H256" s="584" t="str">
        <f>+VLOOKUP(Tabla3[[#This Row],[PATENTE]],'BASE DATOS'!F:J,5,0)</f>
        <v xml:space="preserve">NO </v>
      </c>
      <c r="I256" s="582" t="str">
        <f>+VLOOKUP(Tabla3[[#This Row],[PATENTE]],'BASE DATOS'!F:K,6,0)</f>
        <v>NO</v>
      </c>
      <c r="J256" s="582">
        <f>+VLOOKUP(Tabla3[[#This Row],[PATENTE]],'BASE DATOS'!F:L,7,0)</f>
        <v>2016</v>
      </c>
      <c r="K256" s="593">
        <f>+VLOOKUP(Tabla3[[#This Row],[PATENTE]],'BASE DATOS'!F:M,8,0)</f>
        <v>9</v>
      </c>
      <c r="N256" s="826"/>
      <c r="O256" s="1017"/>
      <c r="P256" s="1017"/>
      <c r="Q256" s="1017"/>
      <c r="R256" s="965" t="str">
        <f t="shared" si="6"/>
        <v>-</v>
      </c>
    </row>
    <row r="257" spans="1:18" hidden="1">
      <c r="A257" s="578" t="s">
        <v>904</v>
      </c>
      <c r="B257" s="584">
        <v>2</v>
      </c>
      <c r="C257" s="589">
        <v>45866</v>
      </c>
      <c r="D257" s="582">
        <f t="shared" si="7"/>
        <v>31</v>
      </c>
      <c r="E257" s="576" t="str">
        <f>+VLOOKUP(Tabla3[[#This Row],[PATENTE]],'BASE DATOS'!F:G,2,0)</f>
        <v xml:space="preserve">ENRIQUE ROLLINO - DFO656 </v>
      </c>
      <c r="F257" s="582" t="str">
        <f>+VLOOKUP(Tabla3[[#This Row],[PATENTE]],'BASE DATOS'!F:H,3,0)</f>
        <v>6P</v>
      </c>
      <c r="G257" s="582" t="str">
        <f>+VLOOKUP(Tabla3[[#This Row],[PATENTE]],'BASE DATOS'!F:I,4,0)</f>
        <v>SI</v>
      </c>
      <c r="H257" s="584" t="str">
        <f>+VLOOKUP(Tabla3[[#This Row],[PATENTE]],'BASE DATOS'!F:J,5,0)</f>
        <v>SI</v>
      </c>
      <c r="I257" s="582" t="str">
        <f>+VLOOKUP(Tabla3[[#This Row],[PATENTE]],'BASE DATOS'!F:K,6,0)</f>
        <v>NO</v>
      </c>
      <c r="J257" s="582">
        <f>+VLOOKUP(Tabla3[[#This Row],[PATENTE]],'BASE DATOS'!F:L,7,0)</f>
        <v>2000</v>
      </c>
      <c r="K257" s="593">
        <f>+VLOOKUP(Tabla3[[#This Row],[PATENTE]],'BASE DATOS'!F:M,8,0)</f>
        <v>25</v>
      </c>
      <c r="N257" s="826"/>
      <c r="O257" s="1017"/>
      <c r="P257" s="1017"/>
      <c r="Q257" s="1017"/>
      <c r="R257" s="965" t="str">
        <f t="shared" si="6"/>
        <v>-</v>
      </c>
    </row>
    <row r="258" spans="1:18" hidden="1">
      <c r="A258" s="577" t="s">
        <v>926</v>
      </c>
      <c r="B258" s="582">
        <v>2</v>
      </c>
      <c r="C258" s="588">
        <v>45866</v>
      </c>
      <c r="D258" s="582">
        <f t="shared" si="7"/>
        <v>31</v>
      </c>
      <c r="E258" s="576" t="str">
        <f>+VLOOKUP(Tabla3[[#This Row],[PATENTE]],'BASE DATOS'!F:G,2,0)</f>
        <v xml:space="preserve">TRANSPORTE GENA GAIA - DUF042 </v>
      </c>
      <c r="F258" s="582" t="str">
        <f>+VLOOKUP(Tabla3[[#This Row],[PATENTE]],'BASE DATOS'!F:H,3,0)</f>
        <v>24P</v>
      </c>
      <c r="G258" s="582" t="str">
        <f>+VLOOKUP(Tabla3[[#This Row],[PATENTE]],'BASE DATOS'!F:I,4,0)</f>
        <v>Gestya</v>
      </c>
      <c r="H258" s="584" t="str">
        <f>+VLOOKUP(Tabla3[[#This Row],[PATENTE]],'BASE DATOS'!F:J,5,0)</f>
        <v xml:space="preserve">NO </v>
      </c>
      <c r="I258" s="582" t="str">
        <f>+VLOOKUP(Tabla3[[#This Row],[PATENTE]],'BASE DATOS'!F:K,6,0)</f>
        <v>NO</v>
      </c>
      <c r="J258" s="582">
        <f>+VLOOKUP(Tabla3[[#This Row],[PATENTE]],'BASE DATOS'!F:L,7,0)</f>
        <v>2001</v>
      </c>
      <c r="K258" s="593">
        <f>+VLOOKUP(Tabla3[[#This Row],[PATENTE]],'BASE DATOS'!F:M,8,0)</f>
        <v>24</v>
      </c>
      <c r="N258" s="826"/>
      <c r="O258" s="1017"/>
      <c r="P258" s="1017"/>
      <c r="Q258" s="1017"/>
      <c r="R258" s="965" t="str">
        <f t="shared" ref="R258:R321" si="8">IFERROR(AVERAGE(O258:Q258),"-")</f>
        <v>-</v>
      </c>
    </row>
    <row r="259" spans="1:18" hidden="1">
      <c r="A259" s="578" t="s">
        <v>1128</v>
      </c>
      <c r="B259" s="584">
        <v>2</v>
      </c>
      <c r="C259" s="589">
        <v>45866</v>
      </c>
      <c r="D259" s="582">
        <f t="shared" ref="D259:D266" si="9">+WEEKNUM(C259)</f>
        <v>31</v>
      </c>
      <c r="E259" s="576" t="str">
        <f>+VLOOKUP(Tabla3[[#This Row],[PATENTE]],'BASE DATOS'!F:G,2,0)</f>
        <v xml:space="preserve">PRONTOMAR - EDW922 </v>
      </c>
      <c r="F259" s="582" t="str">
        <f>+VLOOKUP(Tabla3[[#This Row],[PATENTE]],'BASE DATOS'!F:H,3,0)</f>
        <v>14P</v>
      </c>
      <c r="G259" s="582" t="str">
        <f>+VLOOKUP(Tabla3[[#This Row],[PATENTE]],'BASE DATOS'!F:I,4,0)</f>
        <v>NO</v>
      </c>
      <c r="H259" s="584" t="str">
        <f>+VLOOKUP(Tabla3[[#This Row],[PATENTE]],'BASE DATOS'!F:J,5,0)</f>
        <v xml:space="preserve">NO </v>
      </c>
      <c r="I259" s="582" t="str">
        <f>+VLOOKUP(Tabla3[[#This Row],[PATENTE]],'BASE DATOS'!F:K,6,0)</f>
        <v>NO</v>
      </c>
      <c r="J259" s="582">
        <f>+VLOOKUP(Tabla3[[#This Row],[PATENTE]],'BASE DATOS'!F:L,7,0)</f>
        <v>2003</v>
      </c>
      <c r="K259" s="593">
        <f>+VLOOKUP(Tabla3[[#This Row],[PATENTE]],'BASE DATOS'!F:M,8,0)</f>
        <v>22</v>
      </c>
      <c r="N259" s="826"/>
      <c r="O259" s="1017"/>
      <c r="P259" s="1017"/>
      <c r="Q259" s="1017"/>
      <c r="R259" s="965" t="str">
        <f t="shared" si="8"/>
        <v>-</v>
      </c>
    </row>
    <row r="260" spans="1:18" hidden="1">
      <c r="A260" s="577" t="s">
        <v>932</v>
      </c>
      <c r="B260" s="582">
        <v>2</v>
      </c>
      <c r="C260" s="588">
        <v>45866</v>
      </c>
      <c r="D260" s="582">
        <f t="shared" si="9"/>
        <v>31</v>
      </c>
      <c r="E260" s="576" t="str">
        <f>+VLOOKUP(Tabla3[[#This Row],[PATENTE]],'BASE DATOS'!F:G,2,0)</f>
        <v xml:space="preserve">TRANSP MAVIR - EFL176 </v>
      </c>
      <c r="F260" s="582" t="str">
        <f>+VLOOKUP(Tabla3[[#This Row],[PATENTE]],'BASE DATOS'!F:H,3,0)</f>
        <v>12P</v>
      </c>
      <c r="G260" s="582" t="str">
        <f>+VLOOKUP(Tabla3[[#This Row],[PATENTE]],'BASE DATOS'!F:I,4,0)</f>
        <v>SI</v>
      </c>
      <c r="H260" s="584" t="str">
        <f>+VLOOKUP(Tabla3[[#This Row],[PATENTE]],'BASE DATOS'!F:J,5,0)</f>
        <v>SI</v>
      </c>
      <c r="I260" s="582" t="str">
        <f>+VLOOKUP(Tabla3[[#This Row],[PATENTE]],'BASE DATOS'!F:K,6,0)</f>
        <v>NO</v>
      </c>
      <c r="J260" s="582">
        <f>+VLOOKUP(Tabla3[[#This Row],[PATENTE]],'BASE DATOS'!F:L,7,0)</f>
        <v>1998</v>
      </c>
      <c r="K260" s="593">
        <f>+VLOOKUP(Tabla3[[#This Row],[PATENTE]],'BASE DATOS'!F:M,8,0)</f>
        <v>27</v>
      </c>
      <c r="N260" s="826"/>
      <c r="O260" s="1017"/>
      <c r="P260" s="1017"/>
      <c r="Q260" s="1017"/>
      <c r="R260" s="965" t="str">
        <f t="shared" si="8"/>
        <v>-</v>
      </c>
    </row>
    <row r="261" spans="1:18" hidden="1">
      <c r="A261" s="578" t="s">
        <v>933</v>
      </c>
      <c r="B261" s="584">
        <v>2</v>
      </c>
      <c r="C261" s="589">
        <v>45866</v>
      </c>
      <c r="D261" s="582">
        <f t="shared" si="9"/>
        <v>31</v>
      </c>
      <c r="E261" s="576" t="str">
        <f>+VLOOKUP(Tabla3[[#This Row],[PATENTE]],'BASE DATOS'!F:G,2,0)</f>
        <v xml:space="preserve">TRANSPORTE GENA GAIA - IKE806 </v>
      </c>
      <c r="F261" s="582" t="str">
        <f>+VLOOKUP(Tabla3[[#This Row],[PATENTE]],'BASE DATOS'!F:H,3,0)</f>
        <v>24P</v>
      </c>
      <c r="G261" s="582" t="str">
        <f>+VLOOKUP(Tabla3[[#This Row],[PATENTE]],'BASE DATOS'!F:I,4,0)</f>
        <v>Gestya</v>
      </c>
      <c r="H261" s="584" t="str">
        <f>+VLOOKUP(Tabla3[[#This Row],[PATENTE]],'BASE DATOS'!F:J,5,0)</f>
        <v xml:space="preserve">NO </v>
      </c>
      <c r="I261" s="582" t="str">
        <f>+VLOOKUP(Tabla3[[#This Row],[PATENTE]],'BASE DATOS'!F:K,6,0)</f>
        <v>NO</v>
      </c>
      <c r="J261" s="582">
        <f>+VLOOKUP(Tabla3[[#This Row],[PATENTE]],'BASE DATOS'!F:L,7,0)</f>
        <v>2010</v>
      </c>
      <c r="K261" s="593">
        <f>+VLOOKUP(Tabla3[[#This Row],[PATENTE]],'BASE DATOS'!F:M,8,0)</f>
        <v>15</v>
      </c>
      <c r="N261" s="826"/>
      <c r="O261" s="1017"/>
      <c r="P261" s="1017"/>
      <c r="Q261" s="1017"/>
      <c r="R261" s="965" t="str">
        <f t="shared" si="8"/>
        <v>-</v>
      </c>
    </row>
    <row r="262" spans="1:18" hidden="1">
      <c r="A262" s="577" t="s">
        <v>939</v>
      </c>
      <c r="B262" s="582">
        <v>2</v>
      </c>
      <c r="C262" s="588">
        <v>45866</v>
      </c>
      <c r="D262" s="582">
        <f t="shared" si="9"/>
        <v>31</v>
      </c>
      <c r="E262" s="576" t="str">
        <f>+VLOOKUP(Tabla3[[#This Row],[PATENTE]],'BASE DATOS'!F:G,2,0)</f>
        <v>TRANSP CLAUDIO BUSTOS - JOQ178</v>
      </c>
      <c r="F262" s="582" t="str">
        <f>+VLOOKUP(Tabla3[[#This Row],[PATENTE]],'BASE DATOS'!F:H,3,0)</f>
        <v>1P</v>
      </c>
      <c r="G262" s="582" t="str">
        <f>+VLOOKUP(Tabla3[[#This Row],[PATENTE]],'BASE DATOS'!F:I,4,0)</f>
        <v>NO</v>
      </c>
      <c r="H262" s="584" t="str">
        <f>+VLOOKUP(Tabla3[[#This Row],[PATENTE]],'BASE DATOS'!F:J,5,0)</f>
        <v>SI</v>
      </c>
      <c r="I262" s="582" t="str">
        <f>+VLOOKUP(Tabla3[[#This Row],[PATENTE]],'BASE DATOS'!F:K,6,0)</f>
        <v>NO</v>
      </c>
      <c r="J262" s="582">
        <f>+VLOOKUP(Tabla3[[#This Row],[PATENTE]],'BASE DATOS'!F:L,7,0)</f>
        <v>2010</v>
      </c>
      <c r="K262" s="593">
        <f>+VLOOKUP(Tabla3[[#This Row],[PATENTE]],'BASE DATOS'!F:M,8,0)</f>
        <v>15</v>
      </c>
      <c r="N262" s="826"/>
      <c r="O262" s="1017"/>
      <c r="P262" s="1017"/>
      <c r="Q262" s="1017"/>
      <c r="R262" s="965" t="str">
        <f t="shared" si="8"/>
        <v>-</v>
      </c>
    </row>
    <row r="263" spans="1:18" hidden="1">
      <c r="A263" s="578" t="s">
        <v>1153</v>
      </c>
      <c r="B263" s="584">
        <v>2</v>
      </c>
      <c r="C263" s="589">
        <v>45866</v>
      </c>
      <c r="D263" s="582">
        <f t="shared" si="9"/>
        <v>31</v>
      </c>
      <c r="E263" s="576" t="str">
        <f>+VLOOKUP(Tabla3[[#This Row],[PATENTE]],'BASE DATOS'!F:G,2,0)</f>
        <v xml:space="preserve">TRANSP LAGOS - KXZ670 </v>
      </c>
      <c r="F263" s="582" t="str">
        <f>+VLOOKUP(Tabla3[[#This Row],[PATENTE]],'BASE DATOS'!F:H,3,0)</f>
        <v>4P</v>
      </c>
      <c r="G263" s="582" t="str">
        <f>+VLOOKUP(Tabla3[[#This Row],[PATENTE]],'BASE DATOS'!F:I,4,0)</f>
        <v>NO</v>
      </c>
      <c r="H263" s="584" t="str">
        <f>+VLOOKUP(Tabla3[[#This Row],[PATENTE]],'BASE DATOS'!F:J,5,0)</f>
        <v xml:space="preserve">NO </v>
      </c>
      <c r="I263" s="582" t="str">
        <f>+VLOOKUP(Tabla3[[#This Row],[PATENTE]],'BASE DATOS'!F:K,6,0)</f>
        <v>NO</v>
      </c>
      <c r="J263" s="582">
        <f>+VLOOKUP(Tabla3[[#This Row],[PATENTE]],'BASE DATOS'!F:L,7,0)</f>
        <v>2011</v>
      </c>
      <c r="K263" s="593">
        <f>+VLOOKUP(Tabla3[[#This Row],[PATENTE]],'BASE DATOS'!F:M,8,0)</f>
        <v>14</v>
      </c>
      <c r="N263" s="826"/>
      <c r="O263" s="1017"/>
      <c r="P263" s="1017"/>
      <c r="Q263" s="1017"/>
      <c r="R263" s="965" t="str">
        <f t="shared" si="8"/>
        <v>-</v>
      </c>
    </row>
    <row r="264" spans="1:18" hidden="1">
      <c r="A264" s="577" t="s">
        <v>937</v>
      </c>
      <c r="B264" s="582">
        <v>1</v>
      </c>
      <c r="C264" s="588">
        <v>45866</v>
      </c>
      <c r="D264" s="582">
        <f t="shared" si="9"/>
        <v>31</v>
      </c>
      <c r="E264" s="576" t="str">
        <f>+VLOOKUP(Tabla3[[#This Row],[PATENTE]],'BASE DATOS'!F:G,2,0)</f>
        <v>TRANSP. CM TRANZ - AC049FP CALZIA RETIRA CLIENTE</v>
      </c>
      <c r="F264" s="582" t="str">
        <f>+VLOOKUP(Tabla3[[#This Row],[PATENTE]],'BASE DATOS'!F:H,3,0)</f>
        <v>24P</v>
      </c>
      <c r="G264" s="582" t="str">
        <f>+VLOOKUP(Tabla3[[#This Row],[PATENTE]],'BASE DATOS'!F:I,4,0)</f>
        <v>NO</v>
      </c>
      <c r="H264" s="584" t="str">
        <f>+VLOOKUP(Tabla3[[#This Row],[PATENTE]],'BASE DATOS'!F:J,5,0)</f>
        <v xml:space="preserve">NO </v>
      </c>
      <c r="I264" s="582" t="str">
        <f>+VLOOKUP(Tabla3[[#This Row],[PATENTE]],'BASE DATOS'!F:K,6,0)</f>
        <v>NO</v>
      </c>
      <c r="J264" s="582">
        <f>+VLOOKUP(Tabla3[[#This Row],[PATENTE]],'BASE DATOS'!F:L,7,0)</f>
        <v>0</v>
      </c>
      <c r="K264" s="593">
        <f>+VLOOKUP(Tabla3[[#This Row],[PATENTE]],'BASE DATOS'!F:M,8,0)</f>
        <v>0</v>
      </c>
      <c r="N264" s="826"/>
      <c r="O264" s="1017"/>
      <c r="P264" s="1017"/>
      <c r="Q264" s="1017"/>
      <c r="R264" s="965" t="str">
        <f t="shared" si="8"/>
        <v>-</v>
      </c>
    </row>
    <row r="265" spans="1:18" hidden="1">
      <c r="A265" s="578" t="s">
        <v>1137</v>
      </c>
      <c r="B265" s="584">
        <v>1</v>
      </c>
      <c r="C265" s="589">
        <v>45866</v>
      </c>
      <c r="D265" s="582">
        <f t="shared" si="9"/>
        <v>31</v>
      </c>
      <c r="E265" s="576" t="str">
        <f>+VLOOKUP(Tabla3[[#This Row],[PATENTE]],'BASE DATOS'!F:G,2,0)</f>
        <v xml:space="preserve">BELLIMAR SRL - AF456PB </v>
      </c>
      <c r="F265" s="582" t="str">
        <f>+VLOOKUP(Tabla3[[#This Row],[PATENTE]],'BASE DATOS'!F:H,3,0)</f>
        <v>8P</v>
      </c>
      <c r="G265" s="582" t="str">
        <f>+VLOOKUP(Tabla3[[#This Row],[PATENTE]],'BASE DATOS'!F:I,4,0)</f>
        <v>NO</v>
      </c>
      <c r="H265" s="584" t="str">
        <f>+VLOOKUP(Tabla3[[#This Row],[PATENTE]],'BASE DATOS'!F:J,5,0)</f>
        <v xml:space="preserve">NO </v>
      </c>
      <c r="I265" s="582" t="str">
        <f>+VLOOKUP(Tabla3[[#This Row],[PATENTE]],'BASE DATOS'!F:K,6,0)</f>
        <v>NO</v>
      </c>
      <c r="J265" s="582">
        <f>+VLOOKUP(Tabla3[[#This Row],[PATENTE]],'BASE DATOS'!F:L,7,0)</f>
        <v>2022</v>
      </c>
      <c r="K265" s="593">
        <f>+VLOOKUP(Tabla3[[#This Row],[PATENTE]],'BASE DATOS'!F:M,8,0)</f>
        <v>3</v>
      </c>
      <c r="N265" s="826"/>
      <c r="O265" s="1017"/>
      <c r="P265" s="1017"/>
      <c r="Q265" s="1017"/>
      <c r="R265" s="965" t="str">
        <f t="shared" si="8"/>
        <v>-</v>
      </c>
    </row>
    <row r="266" spans="1:18" hidden="1">
      <c r="A266" s="577" t="s">
        <v>929</v>
      </c>
      <c r="B266" s="582">
        <v>1</v>
      </c>
      <c r="C266" s="588">
        <v>45866</v>
      </c>
      <c r="D266" s="582">
        <f t="shared" si="9"/>
        <v>31</v>
      </c>
      <c r="E266" s="576" t="str">
        <f>+VLOOKUP(Tabla3[[#This Row],[PATENTE]],'BASE DATOS'!F:G,2,0)</f>
        <v xml:space="preserve">PRONTOMAR - BAI674 </v>
      </c>
      <c r="F266" s="582" t="str">
        <f>+VLOOKUP(Tabla3[[#This Row],[PATENTE]],'BASE DATOS'!F:H,3,0)</f>
        <v>14P</v>
      </c>
      <c r="G266" s="582" t="str">
        <f>+VLOOKUP(Tabla3[[#This Row],[PATENTE]],'BASE DATOS'!F:I,4,0)</f>
        <v>NO</v>
      </c>
      <c r="H266" s="584" t="str">
        <f>+VLOOKUP(Tabla3[[#This Row],[PATENTE]],'BASE DATOS'!F:J,5,0)</f>
        <v xml:space="preserve">NO </v>
      </c>
      <c r="I266" s="582" t="str">
        <f>+VLOOKUP(Tabla3[[#This Row],[PATENTE]],'BASE DATOS'!F:K,6,0)</f>
        <v>NO</v>
      </c>
      <c r="J266" s="582">
        <f>+VLOOKUP(Tabla3[[#This Row],[PATENTE]],'BASE DATOS'!F:L,7,0)</f>
        <v>1996</v>
      </c>
      <c r="K266" s="593">
        <f>+VLOOKUP(Tabla3[[#This Row],[PATENTE]],'BASE DATOS'!F:M,8,0)</f>
        <v>29</v>
      </c>
      <c r="N266" s="826"/>
      <c r="O266" s="1017"/>
      <c r="P266" s="1017"/>
      <c r="Q266" s="1017"/>
      <c r="R266" s="965" t="str">
        <f t="shared" si="8"/>
        <v>-</v>
      </c>
    </row>
    <row r="267" spans="1:18" hidden="1">
      <c r="A267" s="578" t="s">
        <v>944</v>
      </c>
      <c r="B267" s="584">
        <v>1</v>
      </c>
      <c r="C267" s="588">
        <v>45866</v>
      </c>
      <c r="D267" s="582">
        <f t="shared" ref="D267:D330" si="10">+WEEKNUM(C267)</f>
        <v>31</v>
      </c>
      <c r="E267" s="576" t="str">
        <f>+VLOOKUP(Tabla3[[#This Row],[PATENTE]],'BASE DATOS'!F:G,2,0)</f>
        <v xml:space="preserve">TRANSPORTE GENA GAIA - BHG261 </v>
      </c>
      <c r="F267" s="582" t="str">
        <f>+VLOOKUP(Tabla3[[#This Row],[PATENTE]],'BASE DATOS'!F:H,3,0)</f>
        <v>26P</v>
      </c>
      <c r="G267" s="582" t="str">
        <f>+VLOOKUP(Tabla3[[#This Row],[PATENTE]],'BASE DATOS'!F:I,4,0)</f>
        <v>Gestya</v>
      </c>
      <c r="H267" s="584" t="str">
        <f>+VLOOKUP(Tabla3[[#This Row],[PATENTE]],'BASE DATOS'!F:J,5,0)</f>
        <v xml:space="preserve">NO </v>
      </c>
      <c r="I267" s="582" t="str">
        <f>+VLOOKUP(Tabla3[[#This Row],[PATENTE]],'BASE DATOS'!F:K,6,0)</f>
        <v>NO</v>
      </c>
      <c r="J267" s="582">
        <f>+VLOOKUP(Tabla3[[#This Row],[PATENTE]],'BASE DATOS'!F:L,7,0)</f>
        <v>1997</v>
      </c>
      <c r="K267" s="593">
        <f>+VLOOKUP(Tabla3[[#This Row],[PATENTE]],'BASE DATOS'!F:M,8,0)</f>
        <v>28</v>
      </c>
      <c r="N267" s="826"/>
      <c r="O267" s="1017"/>
      <c r="P267" s="1017"/>
      <c r="Q267" s="1017"/>
      <c r="R267" s="965" t="str">
        <f t="shared" si="8"/>
        <v>-</v>
      </c>
    </row>
    <row r="268" spans="1:18" hidden="1">
      <c r="A268" s="577" t="s">
        <v>1160</v>
      </c>
      <c r="B268" s="582">
        <v>1</v>
      </c>
      <c r="C268" s="873">
        <v>45866</v>
      </c>
      <c r="D268" s="582">
        <f t="shared" si="10"/>
        <v>31</v>
      </c>
      <c r="E268" s="576" t="str">
        <f>+VLOOKUP(Tabla3[[#This Row],[PATENTE]],'BASE DATOS'!F:G,2,0)</f>
        <v xml:space="preserve">TRANSP MAVIR - EFL158 </v>
      </c>
      <c r="F268" s="582" t="str">
        <f>+VLOOKUP(Tabla3[[#This Row],[PATENTE]],'BASE DATOS'!F:H,3,0)</f>
        <v>11P</v>
      </c>
      <c r="G268" s="582" t="str">
        <f>+VLOOKUP(Tabla3[[#This Row],[PATENTE]],'BASE DATOS'!F:I,4,0)</f>
        <v>NO</v>
      </c>
      <c r="H268" s="584" t="str">
        <f>+VLOOKUP(Tabla3[[#This Row],[PATENTE]],'BASE DATOS'!F:J,5,0)</f>
        <v xml:space="preserve">NO </v>
      </c>
      <c r="I268" s="582" t="str">
        <f>+VLOOKUP(Tabla3[[#This Row],[PATENTE]],'BASE DATOS'!F:K,6,0)</f>
        <v>SI</v>
      </c>
      <c r="J268" s="582">
        <f>+VLOOKUP(Tabla3[[#This Row],[PATENTE]],'BASE DATOS'!F:L,7,0)</f>
        <v>2003</v>
      </c>
      <c r="K268" s="593">
        <v>0</v>
      </c>
      <c r="N268" s="826"/>
      <c r="O268" s="1017"/>
      <c r="P268" s="1017"/>
      <c r="Q268" s="1017"/>
      <c r="R268" s="965" t="str">
        <f t="shared" si="8"/>
        <v>-</v>
      </c>
    </row>
    <row r="269" spans="1:18" hidden="1">
      <c r="A269" s="578" t="s">
        <v>905</v>
      </c>
      <c r="B269" s="584">
        <v>6</v>
      </c>
      <c r="C269" s="589">
        <v>45873</v>
      </c>
      <c r="D269" s="582">
        <f t="shared" si="10"/>
        <v>32</v>
      </c>
      <c r="E269" s="576" t="str">
        <f>+VLOOKUP(Tabla3[[#This Row],[PATENTE]],'BASE DATOS'!F:G,2,0)</f>
        <v xml:space="preserve">J RIMOLDI - AB312SE </v>
      </c>
      <c r="F269" s="582" t="str">
        <f>+VLOOKUP(Tabla3[[#This Row],[PATENTE]],'BASE DATOS'!F:H,3,0)</f>
        <v>8P</v>
      </c>
      <c r="G269" s="582" t="str">
        <f>+VLOOKUP(Tabla3[[#This Row],[PATENTE]],'BASE DATOS'!F:I,4,0)</f>
        <v>SI</v>
      </c>
      <c r="H269" s="584" t="str">
        <f>+VLOOKUP(Tabla3[[#This Row],[PATENTE]],'BASE DATOS'!F:J,5,0)</f>
        <v>SI</v>
      </c>
      <c r="I269" s="582" t="str">
        <f>+VLOOKUP(Tabla3[[#This Row],[PATENTE]],'BASE DATOS'!F:K,6,0)</f>
        <v>NO</v>
      </c>
      <c r="J269" s="582">
        <f>+VLOOKUP(Tabla3[[#This Row],[PATENTE]],'BASE DATOS'!F:L,7,0)</f>
        <v>2017</v>
      </c>
      <c r="K269" s="593">
        <f>+VLOOKUP(Tabla3[[#This Row],[PATENTE]],'BASE DATOS'!F:M,8,0)</f>
        <v>8</v>
      </c>
      <c r="N269" s="826"/>
      <c r="O269" s="1017"/>
      <c r="P269" s="1017"/>
      <c r="Q269" s="1017"/>
      <c r="R269" s="965" t="str">
        <f t="shared" si="8"/>
        <v>-</v>
      </c>
    </row>
    <row r="270" spans="1:18" hidden="1">
      <c r="A270" s="577" t="s">
        <v>912</v>
      </c>
      <c r="B270" s="582">
        <v>6</v>
      </c>
      <c r="C270" s="589">
        <v>45873</v>
      </c>
      <c r="D270" s="582">
        <f t="shared" si="10"/>
        <v>32</v>
      </c>
      <c r="E270" s="576" t="str">
        <f>+VLOOKUP(Tabla3[[#This Row],[PATENTE]],'BASE DATOS'!F:G,2,0)</f>
        <v xml:space="preserve">PACHECO JULIO - AC028WN </v>
      </c>
      <c r="F270" s="582" t="str">
        <f>+VLOOKUP(Tabla3[[#This Row],[PATENTE]],'BASE DATOS'!F:H,3,0)</f>
        <v>8P</v>
      </c>
      <c r="G270" s="582" t="str">
        <f>+VLOOKUP(Tabla3[[#This Row],[PATENTE]],'BASE DATOS'!F:I,4,0)</f>
        <v>SI</v>
      </c>
      <c r="H270" s="584" t="str">
        <f>+VLOOKUP(Tabla3[[#This Row],[PATENTE]],'BASE DATOS'!F:J,5,0)</f>
        <v>SI</v>
      </c>
      <c r="I270" s="582" t="str">
        <f>+VLOOKUP(Tabla3[[#This Row],[PATENTE]],'BASE DATOS'!F:K,6,0)</f>
        <v>SI</v>
      </c>
      <c r="J270" s="582">
        <f>+VLOOKUP(Tabla3[[#This Row],[PATENTE]],'BASE DATOS'!F:L,7,0)</f>
        <v>2017</v>
      </c>
      <c r="K270" s="593">
        <f>+VLOOKUP(Tabla3[[#This Row],[PATENTE]],'BASE DATOS'!F:M,8,0)</f>
        <v>8</v>
      </c>
      <c r="N270" s="826"/>
      <c r="O270" s="1017"/>
      <c r="P270" s="1017"/>
      <c r="Q270" s="1017"/>
      <c r="R270" s="965" t="str">
        <f t="shared" si="8"/>
        <v>-</v>
      </c>
    </row>
    <row r="271" spans="1:18" hidden="1">
      <c r="A271" s="578" t="s">
        <v>890</v>
      </c>
      <c r="B271" s="584">
        <v>6</v>
      </c>
      <c r="C271" s="589">
        <v>45873</v>
      </c>
      <c r="D271" s="582">
        <f t="shared" si="10"/>
        <v>32</v>
      </c>
      <c r="E271" s="576" t="str">
        <f>+VLOOKUP(Tabla3[[#This Row],[PATENTE]],'BASE DATOS'!F:G,2,0)</f>
        <v xml:space="preserve">TRANSPORTE GRACIELA - AC040RO </v>
      </c>
      <c r="F271" s="582" t="str">
        <f>+VLOOKUP(Tabla3[[#This Row],[PATENTE]],'BASE DATOS'!F:H,3,0)</f>
        <v>1P</v>
      </c>
      <c r="G271" s="582" t="str">
        <f>+VLOOKUP(Tabla3[[#This Row],[PATENTE]],'BASE DATOS'!F:I,4,0)</f>
        <v>SI</v>
      </c>
      <c r="H271" s="584" t="str">
        <f>+VLOOKUP(Tabla3[[#This Row],[PATENTE]],'BASE DATOS'!F:J,5,0)</f>
        <v>ACEPTA( VER CAMI)</v>
      </c>
      <c r="I271" s="582" t="str">
        <f>+VLOOKUP(Tabla3[[#This Row],[PATENTE]],'BASE DATOS'!F:K,6,0)</f>
        <v>NO</v>
      </c>
      <c r="J271" s="582">
        <f>+VLOOKUP(Tabla3[[#This Row],[PATENTE]],'BASE DATOS'!F:L,7,0)</f>
        <v>2017</v>
      </c>
      <c r="K271" s="593">
        <f>+VLOOKUP(Tabla3[[#This Row],[PATENTE]],'BASE DATOS'!F:M,8,0)</f>
        <v>8</v>
      </c>
      <c r="N271" s="826"/>
      <c r="O271" s="1017"/>
      <c r="P271" s="1017"/>
      <c r="Q271" s="1017"/>
      <c r="R271" s="965" t="str">
        <f t="shared" si="8"/>
        <v>-</v>
      </c>
    </row>
    <row r="272" spans="1:18" hidden="1">
      <c r="A272" s="577" t="s">
        <v>906</v>
      </c>
      <c r="B272" s="582">
        <v>6</v>
      </c>
      <c r="C272" s="589">
        <v>45873</v>
      </c>
      <c r="D272" s="582">
        <f t="shared" si="10"/>
        <v>32</v>
      </c>
      <c r="E272" s="576" t="str">
        <f>+VLOOKUP(Tabla3[[#This Row],[PATENTE]],'BASE DATOS'!F:G,2,0)</f>
        <v xml:space="preserve">VAZQUEZ (TRV SRL) - AD472GK </v>
      </c>
      <c r="F272" s="582" t="str">
        <f>+VLOOKUP(Tabla3[[#This Row],[PATENTE]],'BASE DATOS'!F:H,3,0)</f>
        <v>8P</v>
      </c>
      <c r="G272" s="582" t="str">
        <f>+VLOOKUP(Tabla3[[#This Row],[PATENTE]],'BASE DATOS'!F:I,4,0)</f>
        <v>NO</v>
      </c>
      <c r="H272" s="584" t="str">
        <f>+VLOOKUP(Tabla3[[#This Row],[PATENTE]],'BASE DATOS'!F:J,5,0)</f>
        <v>NO</v>
      </c>
      <c r="I272" s="582" t="str">
        <f>+VLOOKUP(Tabla3[[#This Row],[PATENTE]],'BASE DATOS'!F:K,6,0)</f>
        <v>SI</v>
      </c>
      <c r="J272" s="582">
        <f>+VLOOKUP(Tabla3[[#This Row],[PATENTE]],'BASE DATOS'!F:L,7,0)</f>
        <v>2019</v>
      </c>
      <c r="K272" s="593">
        <f>+VLOOKUP(Tabla3[[#This Row],[PATENTE]],'BASE DATOS'!F:M,8,0)</f>
        <v>6</v>
      </c>
      <c r="N272" s="826"/>
      <c r="O272" s="1017"/>
      <c r="P272" s="1017"/>
      <c r="Q272" s="1017"/>
      <c r="R272" s="965" t="str">
        <f t="shared" si="8"/>
        <v>-</v>
      </c>
    </row>
    <row r="273" spans="1:18" hidden="1">
      <c r="A273" s="578" t="s">
        <v>880</v>
      </c>
      <c r="B273" s="584">
        <v>6</v>
      </c>
      <c r="C273" s="589">
        <v>45873</v>
      </c>
      <c r="D273" s="582">
        <f t="shared" si="10"/>
        <v>32</v>
      </c>
      <c r="E273" s="576" t="str">
        <f>+VLOOKUP(Tabla3[[#This Row],[PATENTE]],'BASE DATOS'!F:G,2,0)</f>
        <v xml:space="preserve">LAURIA (SERVAL) - AD575XK </v>
      </c>
      <c r="F273" s="582" t="str">
        <f>+VLOOKUP(Tabla3[[#This Row],[PATENTE]],'BASE DATOS'!F:H,3,0)</f>
        <v>8P</v>
      </c>
      <c r="G273" s="582" t="str">
        <f>+VLOOKUP(Tabla3[[#This Row],[PATENTE]],'BASE DATOS'!F:I,4,0)</f>
        <v>SI</v>
      </c>
      <c r="H273" s="584" t="str">
        <f>+VLOOKUP(Tabla3[[#This Row],[PATENTE]],'BASE DATOS'!F:J,5,0)</f>
        <v>SI</v>
      </c>
      <c r="I273" s="582" t="str">
        <f>+VLOOKUP(Tabla3[[#This Row],[PATENTE]],'BASE DATOS'!F:K,6,0)</f>
        <v>NO</v>
      </c>
      <c r="J273" s="582">
        <f>+VLOOKUP(Tabla3[[#This Row],[PATENTE]],'BASE DATOS'!F:L,7,0)</f>
        <v>2019</v>
      </c>
      <c r="K273" s="593">
        <f>+VLOOKUP(Tabla3[[#This Row],[PATENTE]],'BASE DATOS'!F:M,8,0)</f>
        <v>6</v>
      </c>
      <c r="N273" s="826"/>
      <c r="O273" s="1017"/>
      <c r="P273" s="1017"/>
      <c r="Q273" s="1017"/>
      <c r="R273" s="965" t="str">
        <f t="shared" si="8"/>
        <v>-</v>
      </c>
    </row>
    <row r="274" spans="1:18" hidden="1">
      <c r="A274" s="577" t="s">
        <v>922</v>
      </c>
      <c r="B274" s="582">
        <v>6</v>
      </c>
      <c r="C274" s="589">
        <v>45873</v>
      </c>
      <c r="D274" s="582">
        <f t="shared" si="10"/>
        <v>32</v>
      </c>
      <c r="E274" s="576" t="str">
        <f>+VLOOKUP(Tabla3[[#This Row],[PATENTE]],'BASE DATOS'!F:G,2,0)</f>
        <v>LAURIA (SERVAL) - AF342ZY</v>
      </c>
      <c r="F274" s="582" t="str">
        <f>+VLOOKUP(Tabla3[[#This Row],[PATENTE]],'BASE DATOS'!F:H,3,0)</f>
        <v>8P</v>
      </c>
      <c r="G274" s="582" t="str">
        <f>+VLOOKUP(Tabla3[[#This Row],[PATENTE]],'BASE DATOS'!F:I,4,0)</f>
        <v>SI</v>
      </c>
      <c r="H274" s="584" t="str">
        <f>+VLOOKUP(Tabla3[[#This Row],[PATENTE]],'BASE DATOS'!F:J,5,0)</f>
        <v>SI</v>
      </c>
      <c r="I274" s="582" t="str">
        <f>+VLOOKUP(Tabla3[[#This Row],[PATENTE]],'BASE DATOS'!F:K,6,0)</f>
        <v>NO</v>
      </c>
      <c r="J274" s="582">
        <f>+VLOOKUP(Tabla3[[#This Row],[PATENTE]],'BASE DATOS'!F:L,7,0)</f>
        <v>2022</v>
      </c>
      <c r="K274" s="593">
        <f>+VLOOKUP(Tabla3[[#This Row],[PATENTE]],'BASE DATOS'!F:M,8,0)</f>
        <v>3</v>
      </c>
      <c r="N274" s="826"/>
      <c r="O274" s="1017"/>
      <c r="P274" s="1017"/>
      <c r="Q274" s="1017"/>
      <c r="R274" s="965" t="str">
        <f t="shared" si="8"/>
        <v>-</v>
      </c>
    </row>
    <row r="275" spans="1:18" hidden="1">
      <c r="A275" s="578" t="s">
        <v>895</v>
      </c>
      <c r="B275" s="584">
        <v>6</v>
      </c>
      <c r="C275" s="589">
        <v>45873</v>
      </c>
      <c r="D275" s="582">
        <f t="shared" si="10"/>
        <v>32</v>
      </c>
      <c r="E275" s="576" t="str">
        <f>+VLOOKUP(Tabla3[[#This Row],[PATENTE]],'BASE DATOS'!F:G,2,0)</f>
        <v xml:space="preserve">TRANSPORTE MICAELA </v>
      </c>
      <c r="F275" s="582" t="str">
        <f>+VLOOKUP(Tabla3[[#This Row],[PATENTE]],'BASE DATOS'!F:H,3,0)</f>
        <v>2P</v>
      </c>
      <c r="G275" s="582" t="str">
        <f>+VLOOKUP(Tabla3[[#This Row],[PATENTE]],'BASE DATOS'!F:I,4,0)</f>
        <v>NO</v>
      </c>
      <c r="H275" s="584" t="str">
        <f>+VLOOKUP(Tabla3[[#This Row],[PATENTE]],'BASE DATOS'!F:J,5,0)</f>
        <v>SI</v>
      </c>
      <c r="I275" s="582" t="str">
        <f>+VLOOKUP(Tabla3[[#This Row],[PATENTE]],'BASE DATOS'!F:K,6,0)</f>
        <v>NO</v>
      </c>
      <c r="J275" s="582">
        <f>+VLOOKUP(Tabla3[[#This Row],[PATENTE]],'BASE DATOS'!F:L,7,0)</f>
        <v>2024</v>
      </c>
      <c r="K275" s="593">
        <f>+VLOOKUP(Tabla3[[#This Row],[PATENTE]],'BASE DATOS'!F:M,8,0)</f>
        <v>1</v>
      </c>
      <c r="N275" s="826"/>
      <c r="O275" s="1017"/>
      <c r="P275" s="1017"/>
      <c r="Q275" s="1017"/>
      <c r="R275" s="965" t="str">
        <f t="shared" si="8"/>
        <v>-</v>
      </c>
    </row>
    <row r="276" spans="1:18" hidden="1">
      <c r="A276" s="577" t="s">
        <v>903</v>
      </c>
      <c r="B276" s="582">
        <v>6</v>
      </c>
      <c r="C276" s="589">
        <v>45873</v>
      </c>
      <c r="D276" s="582">
        <f t="shared" si="10"/>
        <v>32</v>
      </c>
      <c r="E276" s="576" t="str">
        <f>+VLOOKUP(Tabla3[[#This Row],[PATENTE]],'BASE DATOS'!F:G,2,0)</f>
        <v xml:space="preserve">TRANSP CLAUDIO BUSTOS - AG243PE </v>
      </c>
      <c r="F276" s="582" t="str">
        <f>+VLOOKUP(Tabla3[[#This Row],[PATENTE]],'BASE DATOS'!F:H,3,0)</f>
        <v>1P</v>
      </c>
      <c r="G276" s="582" t="str">
        <f>+VLOOKUP(Tabla3[[#This Row],[PATENTE]],'BASE DATOS'!F:I,4,0)</f>
        <v>SI</v>
      </c>
      <c r="H276" s="584" t="str">
        <f>+VLOOKUP(Tabla3[[#This Row],[PATENTE]],'BASE DATOS'!F:J,5,0)</f>
        <v>SI</v>
      </c>
      <c r="I276" s="582" t="str">
        <f>+VLOOKUP(Tabla3[[#This Row],[PATENTE]],'BASE DATOS'!F:K,6,0)</f>
        <v>NO</v>
      </c>
      <c r="J276" s="582">
        <f>+VLOOKUP(Tabla3[[#This Row],[PATENTE]],'BASE DATOS'!F:L,7,0)</f>
        <v>2024</v>
      </c>
      <c r="K276" s="593">
        <f>+VLOOKUP(Tabla3[[#This Row],[PATENTE]],'BASE DATOS'!F:M,8,0)</f>
        <v>1</v>
      </c>
      <c r="N276" s="826"/>
      <c r="O276" s="1017"/>
      <c r="P276" s="1017"/>
      <c r="Q276" s="1017"/>
      <c r="R276" s="965" t="str">
        <f t="shared" si="8"/>
        <v>-</v>
      </c>
    </row>
    <row r="277" spans="1:18" hidden="1">
      <c r="A277" s="578" t="s">
        <v>889</v>
      </c>
      <c r="B277" s="584">
        <v>6</v>
      </c>
      <c r="C277" s="589">
        <v>45873</v>
      </c>
      <c r="D277" s="582">
        <f t="shared" si="10"/>
        <v>32</v>
      </c>
      <c r="E277" s="576" t="str">
        <f>+VLOOKUP(Tabla3[[#This Row],[PATENTE]],'BASE DATOS'!F:G,2,0)</f>
        <v xml:space="preserve">COLO - HAW164 </v>
      </c>
      <c r="F277" s="582" t="str">
        <f>+VLOOKUP(Tabla3[[#This Row],[PATENTE]],'BASE DATOS'!F:H,3,0)</f>
        <v>6P</v>
      </c>
      <c r="G277" s="582" t="str">
        <f>+VLOOKUP(Tabla3[[#This Row],[PATENTE]],'BASE DATOS'!F:I,4,0)</f>
        <v>NO</v>
      </c>
      <c r="H277" s="584" t="str">
        <f>+VLOOKUP(Tabla3[[#This Row],[PATENTE]],'BASE DATOS'!F:J,5,0)</f>
        <v>SI</v>
      </c>
      <c r="I277" s="582" t="str">
        <f>+VLOOKUP(Tabla3[[#This Row],[PATENTE]],'BASE DATOS'!F:K,6,0)</f>
        <v>NO</v>
      </c>
      <c r="J277" s="582">
        <f>+VLOOKUP(Tabla3[[#This Row],[PATENTE]],'BASE DATOS'!F:L,7,0)</f>
        <v>2009</v>
      </c>
      <c r="K277" s="593">
        <f>+VLOOKUP(Tabla3[[#This Row],[PATENTE]],'BASE DATOS'!F:M,8,0)</f>
        <v>16</v>
      </c>
      <c r="N277" s="826"/>
      <c r="O277" s="1017"/>
      <c r="P277" s="1017"/>
      <c r="Q277" s="1017"/>
      <c r="R277" s="965" t="str">
        <f t="shared" si="8"/>
        <v>-</v>
      </c>
    </row>
    <row r="278" spans="1:18" hidden="1">
      <c r="A278" s="577" t="s">
        <v>882</v>
      </c>
      <c r="B278" s="582">
        <v>6</v>
      </c>
      <c r="C278" s="589">
        <v>45873</v>
      </c>
      <c r="D278" s="582">
        <f t="shared" si="10"/>
        <v>32</v>
      </c>
      <c r="E278" s="576" t="str">
        <f>+VLOOKUP(Tabla3[[#This Row],[PATENTE]],'BASE DATOS'!F:G,2,0)</f>
        <v xml:space="preserve">MAÑAS - JWN279 </v>
      </c>
      <c r="F278" s="582" t="str">
        <f>+VLOOKUP(Tabla3[[#This Row],[PATENTE]],'BASE DATOS'!F:H,3,0)</f>
        <v>7P</v>
      </c>
      <c r="G278" s="582" t="str">
        <f>+VLOOKUP(Tabla3[[#This Row],[PATENTE]],'BASE DATOS'!F:I,4,0)</f>
        <v>SI</v>
      </c>
      <c r="H278" s="584" t="str">
        <f>+VLOOKUP(Tabla3[[#This Row],[PATENTE]],'BASE DATOS'!F:J,5,0)</f>
        <v>SI</v>
      </c>
      <c r="I278" s="582" t="str">
        <f>+VLOOKUP(Tabla3[[#This Row],[PATENTE]],'BASE DATOS'!F:K,6,0)</f>
        <v>NO</v>
      </c>
      <c r="J278" s="582">
        <f>+VLOOKUP(Tabla3[[#This Row],[PATENTE]],'BASE DATOS'!F:L,7,0)</f>
        <v>2011</v>
      </c>
      <c r="K278" s="593">
        <f>+VLOOKUP(Tabla3[[#This Row],[PATENTE]],'BASE DATOS'!F:M,8,0)</f>
        <v>14</v>
      </c>
      <c r="N278" s="826"/>
      <c r="O278" s="1017"/>
      <c r="P278" s="1017"/>
      <c r="Q278" s="1017"/>
      <c r="R278" s="965" t="str">
        <f t="shared" si="8"/>
        <v>-</v>
      </c>
    </row>
    <row r="279" spans="1:18" hidden="1">
      <c r="A279" s="578" t="s">
        <v>909</v>
      </c>
      <c r="B279" s="584">
        <v>6</v>
      </c>
      <c r="C279" s="589">
        <v>45873</v>
      </c>
      <c r="D279" s="582">
        <f t="shared" si="10"/>
        <v>32</v>
      </c>
      <c r="E279" s="576" t="str">
        <f>+VLOOKUP(Tabla3[[#This Row],[PATENTE]],'BASE DATOS'!F:G,2,0)</f>
        <v xml:space="preserve">CRISTIAN MOYA - NHR055 </v>
      </c>
      <c r="F279" s="582" t="str">
        <f>+VLOOKUP(Tabla3[[#This Row],[PATENTE]],'BASE DATOS'!F:H,3,0)</f>
        <v>6P</v>
      </c>
      <c r="G279" s="582" t="str">
        <f>+VLOOKUP(Tabla3[[#This Row],[PATENTE]],'BASE DATOS'!F:I,4,0)</f>
        <v>SI</v>
      </c>
      <c r="H279" s="584" t="str">
        <f>+VLOOKUP(Tabla3[[#This Row],[PATENTE]],'BASE DATOS'!F:J,5,0)</f>
        <v>SI</v>
      </c>
      <c r="I279" s="582" t="str">
        <f>+VLOOKUP(Tabla3[[#This Row],[PATENTE]],'BASE DATOS'!F:K,6,0)</f>
        <v>NO</v>
      </c>
      <c r="J279" s="582">
        <f>+VLOOKUP(Tabla3[[#This Row],[PATENTE]],'BASE DATOS'!F:L,7,0)</f>
        <v>2013</v>
      </c>
      <c r="K279" s="593">
        <f>+VLOOKUP(Tabla3[[#This Row],[PATENTE]],'BASE DATOS'!F:M,8,0)</f>
        <v>12</v>
      </c>
      <c r="N279" s="826"/>
      <c r="O279" s="1017"/>
      <c r="P279" s="1017"/>
      <c r="Q279" s="1017"/>
      <c r="R279" s="965" t="str">
        <f t="shared" si="8"/>
        <v>-</v>
      </c>
    </row>
    <row r="280" spans="1:18" hidden="1">
      <c r="A280" s="577" t="s">
        <v>886</v>
      </c>
      <c r="B280" s="582">
        <v>6</v>
      </c>
      <c r="C280" s="589">
        <v>45873</v>
      </c>
      <c r="D280" s="582">
        <f t="shared" si="10"/>
        <v>32</v>
      </c>
      <c r="E280" s="576" t="str">
        <f>+VLOOKUP(Tabla3[[#This Row],[PATENTE]],'BASE DATOS'!F:G,2,0)</f>
        <v xml:space="preserve">TRANSP LAGOS - NOO925 </v>
      </c>
      <c r="F280" s="582" t="str">
        <f>+VLOOKUP(Tabla3[[#This Row],[PATENTE]],'BASE DATOS'!F:H,3,0)</f>
        <v>8P</v>
      </c>
      <c r="G280" s="582" t="str">
        <f>+VLOOKUP(Tabla3[[#This Row],[PATENTE]],'BASE DATOS'!F:I,4,0)</f>
        <v>SI</v>
      </c>
      <c r="H280" s="584" t="str">
        <f>+VLOOKUP(Tabla3[[#This Row],[PATENTE]],'BASE DATOS'!F:J,5,0)</f>
        <v>SI</v>
      </c>
      <c r="I280" s="582" t="str">
        <f>+VLOOKUP(Tabla3[[#This Row],[PATENTE]],'BASE DATOS'!F:K,6,0)</f>
        <v>NO</v>
      </c>
      <c r="J280" s="582">
        <f>+VLOOKUP(Tabla3[[#This Row],[PATENTE]],'BASE DATOS'!F:L,7,0)</f>
        <v>2014</v>
      </c>
      <c r="K280" s="593">
        <f>+VLOOKUP(Tabla3[[#This Row],[PATENTE]],'BASE DATOS'!F:M,8,0)</f>
        <v>11</v>
      </c>
      <c r="N280" s="826"/>
      <c r="O280" s="1017"/>
      <c r="P280" s="1017"/>
      <c r="Q280" s="1017"/>
      <c r="R280" s="965" t="str">
        <f t="shared" si="8"/>
        <v>-</v>
      </c>
    </row>
    <row r="281" spans="1:18" hidden="1">
      <c r="A281" s="578" t="s">
        <v>919</v>
      </c>
      <c r="B281" s="584">
        <v>5</v>
      </c>
      <c r="C281" s="589">
        <v>45873</v>
      </c>
      <c r="D281" s="582">
        <f t="shared" si="10"/>
        <v>32</v>
      </c>
      <c r="E281" s="576" t="str">
        <f>+VLOOKUP(Tabla3[[#This Row],[PATENTE]],'BASE DATOS'!F:G,2,0)</f>
        <v xml:space="preserve">GUSTAVO CERQUETTA - AA427LT </v>
      </c>
      <c r="F281" s="582" t="str">
        <f>+VLOOKUP(Tabla3[[#This Row],[PATENTE]],'BASE DATOS'!F:H,3,0)</f>
        <v>1P</v>
      </c>
      <c r="G281" s="582" t="str">
        <f>+VLOOKUP(Tabla3[[#This Row],[PATENTE]],'BASE DATOS'!F:I,4,0)</f>
        <v>NO</v>
      </c>
      <c r="H281" s="584" t="str">
        <f>+VLOOKUP(Tabla3[[#This Row],[PATENTE]],'BASE DATOS'!F:J,5,0)</f>
        <v>SI</v>
      </c>
      <c r="I281" s="582" t="str">
        <f>+VLOOKUP(Tabla3[[#This Row],[PATENTE]],'BASE DATOS'!F:K,6,0)</f>
        <v>NO</v>
      </c>
      <c r="J281" s="582">
        <f>+VLOOKUP(Tabla3[[#This Row],[PATENTE]],'BASE DATOS'!F:L,7,0)</f>
        <v>2016</v>
      </c>
      <c r="K281" s="593">
        <f>+VLOOKUP(Tabla3[[#This Row],[PATENTE]],'BASE DATOS'!F:M,8,0)</f>
        <v>9</v>
      </c>
      <c r="N281" s="826"/>
      <c r="O281" s="1017"/>
      <c r="P281" s="1017"/>
      <c r="Q281" s="1017"/>
      <c r="R281" s="965" t="str">
        <f t="shared" si="8"/>
        <v>-</v>
      </c>
    </row>
    <row r="282" spans="1:18" hidden="1">
      <c r="A282" s="577" t="s">
        <v>888</v>
      </c>
      <c r="B282" s="582">
        <v>5</v>
      </c>
      <c r="C282" s="589">
        <v>45873</v>
      </c>
      <c r="D282" s="582">
        <f t="shared" si="10"/>
        <v>32</v>
      </c>
      <c r="E282" s="576" t="str">
        <f>+VLOOKUP(Tabla3[[#This Row],[PATENTE]],'BASE DATOS'!F:G,2,0)</f>
        <v xml:space="preserve">TRANSP FIRST CLASS - AD535UI </v>
      </c>
      <c r="F282" s="582" t="str">
        <f>+VLOOKUP(Tabla3[[#This Row],[PATENTE]],'BASE DATOS'!F:H,3,0)</f>
        <v>6P</v>
      </c>
      <c r="G282" s="582" t="str">
        <f>+VLOOKUP(Tabla3[[#This Row],[PATENTE]],'BASE DATOS'!F:I,4,0)</f>
        <v>SI</v>
      </c>
      <c r="H282" s="584" t="str">
        <f>+VLOOKUP(Tabla3[[#This Row],[PATENTE]],'BASE DATOS'!F:J,5,0)</f>
        <v>SI</v>
      </c>
      <c r="I282" s="582" t="str">
        <f>+VLOOKUP(Tabla3[[#This Row],[PATENTE]],'BASE DATOS'!F:K,6,0)</f>
        <v>NO</v>
      </c>
      <c r="J282" s="582">
        <f>+VLOOKUP(Tabla3[[#This Row],[PATENTE]],'BASE DATOS'!F:L,7,0)</f>
        <v>2019</v>
      </c>
      <c r="K282" s="593">
        <f>+VLOOKUP(Tabla3[[#This Row],[PATENTE]],'BASE DATOS'!F:M,8,0)</f>
        <v>6</v>
      </c>
      <c r="N282" s="826"/>
      <c r="O282" s="1017"/>
      <c r="P282" s="1017"/>
      <c r="Q282" s="1017"/>
      <c r="R282" s="965" t="str">
        <f t="shared" si="8"/>
        <v>-</v>
      </c>
    </row>
    <row r="283" spans="1:18" hidden="1">
      <c r="A283" s="578" t="s">
        <v>887</v>
      </c>
      <c r="B283" s="584">
        <v>5</v>
      </c>
      <c r="C283" s="589">
        <v>45873</v>
      </c>
      <c r="D283" s="582">
        <f t="shared" si="10"/>
        <v>32</v>
      </c>
      <c r="E283" s="576" t="str">
        <f>+VLOOKUP(Tabla3[[#This Row],[PATENTE]],'BASE DATOS'!F:G,2,0)</f>
        <v>ENRIQUE ROLLINO - BXB394</v>
      </c>
      <c r="F283" s="582" t="str">
        <f>+VLOOKUP(Tabla3[[#This Row],[PATENTE]],'BASE DATOS'!F:H,3,0)</f>
        <v>2P</v>
      </c>
      <c r="G283" s="582" t="str">
        <f>+VLOOKUP(Tabla3[[#This Row],[PATENTE]],'BASE DATOS'!F:I,4,0)</f>
        <v>SI</v>
      </c>
      <c r="H283" s="584" t="str">
        <f>+VLOOKUP(Tabla3[[#This Row],[PATENTE]],'BASE DATOS'!F:J,5,0)</f>
        <v>SI</v>
      </c>
      <c r="I283" s="582" t="str">
        <f>+VLOOKUP(Tabla3[[#This Row],[PATENTE]],'BASE DATOS'!F:K,6,0)</f>
        <v>NO</v>
      </c>
      <c r="J283" s="582">
        <f>+VLOOKUP(Tabla3[[#This Row],[PATENTE]],'BASE DATOS'!F:L,7,0)</f>
        <v>1998</v>
      </c>
      <c r="K283" s="593">
        <f>+VLOOKUP(Tabla3[[#This Row],[PATENTE]],'BASE DATOS'!F:M,8,0)</f>
        <v>27</v>
      </c>
      <c r="N283" s="826"/>
      <c r="O283" s="1017"/>
      <c r="P283" s="1017"/>
      <c r="Q283" s="1017"/>
      <c r="R283" s="965" t="str">
        <f t="shared" si="8"/>
        <v>-</v>
      </c>
    </row>
    <row r="284" spans="1:18" hidden="1">
      <c r="A284" s="577" t="s">
        <v>893</v>
      </c>
      <c r="B284" s="582">
        <v>5</v>
      </c>
      <c r="C284" s="589">
        <v>45873</v>
      </c>
      <c r="D284" s="582">
        <f t="shared" si="10"/>
        <v>32</v>
      </c>
      <c r="E284" s="576" t="str">
        <f>+VLOOKUP(Tabla3[[#This Row],[PATENTE]],'BASE DATOS'!F:G,2,0)</f>
        <v xml:space="preserve">GANZINI HUGO - CFF038 </v>
      </c>
      <c r="F284" s="582" t="str">
        <f>+VLOOKUP(Tabla3[[#This Row],[PATENTE]],'BASE DATOS'!F:H,3,0)</f>
        <v>2P</v>
      </c>
      <c r="G284" s="582" t="str">
        <f>+VLOOKUP(Tabla3[[#This Row],[PATENTE]],'BASE DATOS'!F:I,4,0)</f>
        <v>SI</v>
      </c>
      <c r="H284" s="584" t="str">
        <f>+VLOOKUP(Tabla3[[#This Row],[PATENTE]],'BASE DATOS'!F:J,5,0)</f>
        <v>SI</v>
      </c>
      <c r="I284" s="582" t="str">
        <f>+VLOOKUP(Tabla3[[#This Row],[PATENTE]],'BASE DATOS'!F:K,6,0)</f>
        <v>NO</v>
      </c>
      <c r="J284" s="582">
        <f>+VLOOKUP(Tabla3[[#This Row],[PATENTE]],'BASE DATOS'!F:L,7,0)</f>
        <v>1999</v>
      </c>
      <c r="K284" s="593">
        <f>+VLOOKUP(Tabla3[[#This Row],[PATENTE]],'BASE DATOS'!F:M,8,0)</f>
        <v>26</v>
      </c>
      <c r="N284" s="826"/>
      <c r="O284" s="1017"/>
      <c r="P284" s="1017"/>
      <c r="Q284" s="1017"/>
      <c r="R284" s="965" t="str">
        <f t="shared" si="8"/>
        <v>-</v>
      </c>
    </row>
    <row r="285" spans="1:18" hidden="1">
      <c r="A285" s="578" t="s">
        <v>904</v>
      </c>
      <c r="B285" s="584">
        <v>5</v>
      </c>
      <c r="C285" s="589">
        <v>45873</v>
      </c>
      <c r="D285" s="582">
        <f t="shared" si="10"/>
        <v>32</v>
      </c>
      <c r="E285" s="576" t="str">
        <f>+VLOOKUP(Tabla3[[#This Row],[PATENTE]],'BASE DATOS'!F:G,2,0)</f>
        <v xml:space="preserve">ENRIQUE ROLLINO - DFO656 </v>
      </c>
      <c r="F285" s="582" t="str">
        <f>+VLOOKUP(Tabla3[[#This Row],[PATENTE]],'BASE DATOS'!F:H,3,0)</f>
        <v>6P</v>
      </c>
      <c r="G285" s="582" t="str">
        <f>+VLOOKUP(Tabla3[[#This Row],[PATENTE]],'BASE DATOS'!F:I,4,0)</f>
        <v>SI</v>
      </c>
      <c r="H285" s="584" t="str">
        <f>+VLOOKUP(Tabla3[[#This Row],[PATENTE]],'BASE DATOS'!F:J,5,0)</f>
        <v>SI</v>
      </c>
      <c r="I285" s="582" t="str">
        <f>+VLOOKUP(Tabla3[[#This Row],[PATENTE]],'BASE DATOS'!F:K,6,0)</f>
        <v>NO</v>
      </c>
      <c r="J285" s="582">
        <f>+VLOOKUP(Tabla3[[#This Row],[PATENTE]],'BASE DATOS'!F:L,7,0)</f>
        <v>2000</v>
      </c>
      <c r="K285" s="593">
        <f>+VLOOKUP(Tabla3[[#This Row],[PATENTE]],'BASE DATOS'!F:M,8,0)</f>
        <v>25</v>
      </c>
      <c r="N285" s="826"/>
      <c r="O285" s="1017"/>
      <c r="P285" s="1017"/>
      <c r="Q285" s="1017"/>
      <c r="R285" s="965" t="str">
        <f t="shared" si="8"/>
        <v>-</v>
      </c>
    </row>
    <row r="286" spans="1:18" hidden="1">
      <c r="A286" s="577" t="s">
        <v>881</v>
      </c>
      <c r="B286" s="582">
        <v>5</v>
      </c>
      <c r="C286" s="589">
        <v>45873</v>
      </c>
      <c r="D286" s="582">
        <f t="shared" si="10"/>
        <v>32</v>
      </c>
      <c r="E286" s="576" t="str">
        <f>+VLOOKUP(Tabla3[[#This Row],[PATENTE]],'BASE DATOS'!F:G,2,0)</f>
        <v xml:space="preserve">MAÑAS NORBERTO - DUQ686 </v>
      </c>
      <c r="F286" s="582" t="str">
        <f>+VLOOKUP(Tabla3[[#This Row],[PATENTE]],'BASE DATOS'!F:H,3,0)</f>
        <v>8P</v>
      </c>
      <c r="G286" s="582" t="str">
        <f>+VLOOKUP(Tabla3[[#This Row],[PATENTE]],'BASE DATOS'!F:I,4,0)</f>
        <v>SI</v>
      </c>
      <c r="H286" s="584" t="str">
        <f>+VLOOKUP(Tabla3[[#This Row],[PATENTE]],'BASE DATOS'!F:J,5,0)</f>
        <v>SI</v>
      </c>
      <c r="I286" s="582" t="str">
        <f>+VLOOKUP(Tabla3[[#This Row],[PATENTE]],'BASE DATOS'!F:K,6,0)</f>
        <v>NO</v>
      </c>
      <c r="J286" s="582">
        <f>+VLOOKUP(Tabla3[[#This Row],[PATENTE]],'BASE DATOS'!F:L,7,0)</f>
        <v>2001</v>
      </c>
      <c r="K286" s="593">
        <f>+VLOOKUP(Tabla3[[#This Row],[PATENTE]],'BASE DATOS'!F:M,8,0)</f>
        <v>24</v>
      </c>
      <c r="N286" s="826"/>
      <c r="O286" s="1017"/>
      <c r="P286" s="1017"/>
      <c r="Q286" s="1017"/>
      <c r="R286" s="965" t="str">
        <f t="shared" si="8"/>
        <v>-</v>
      </c>
    </row>
    <row r="287" spans="1:18" hidden="1">
      <c r="A287" s="578" t="s">
        <v>916</v>
      </c>
      <c r="B287" s="584">
        <v>5</v>
      </c>
      <c r="C287" s="589">
        <v>45873</v>
      </c>
      <c r="D287" s="582">
        <f t="shared" si="10"/>
        <v>32</v>
      </c>
      <c r="E287" s="576" t="str">
        <f>+VLOOKUP(Tabla3[[#This Row],[PATENTE]],'BASE DATOS'!F:G,2,0)</f>
        <v xml:space="preserve">TRANSP MAIDANA CARLOS - EYP088 </v>
      </c>
      <c r="F287" s="582" t="str">
        <f>+VLOOKUP(Tabla3[[#This Row],[PATENTE]],'BASE DATOS'!F:H,3,0)</f>
        <v>6P</v>
      </c>
      <c r="G287" s="582" t="str">
        <f>+VLOOKUP(Tabla3[[#This Row],[PATENTE]],'BASE DATOS'!F:I,4,0)</f>
        <v>SI</v>
      </c>
      <c r="H287" s="584" t="str">
        <f>+VLOOKUP(Tabla3[[#This Row],[PATENTE]],'BASE DATOS'!F:J,5,0)</f>
        <v>SI</v>
      </c>
      <c r="I287" s="582" t="str">
        <f>+VLOOKUP(Tabla3[[#This Row],[PATENTE]],'BASE DATOS'!F:K,6,0)</f>
        <v>NO</v>
      </c>
      <c r="J287" s="582">
        <f>+VLOOKUP(Tabla3[[#This Row],[PATENTE]],'BASE DATOS'!F:L,7,0)</f>
        <v>2006</v>
      </c>
      <c r="K287" s="593">
        <f>+VLOOKUP(Tabla3[[#This Row],[PATENTE]],'BASE DATOS'!F:M,8,0)</f>
        <v>19</v>
      </c>
      <c r="N287" s="826"/>
      <c r="O287" s="1017"/>
      <c r="P287" s="1017"/>
      <c r="Q287" s="1017"/>
      <c r="R287" s="965" t="str">
        <f t="shared" si="8"/>
        <v>-</v>
      </c>
    </row>
    <row r="288" spans="1:18" hidden="1">
      <c r="A288" s="577" t="s">
        <v>892</v>
      </c>
      <c r="B288" s="582">
        <v>5</v>
      </c>
      <c r="C288" s="589">
        <v>45873</v>
      </c>
      <c r="D288" s="582">
        <f t="shared" si="10"/>
        <v>32</v>
      </c>
      <c r="E288" s="576" t="str">
        <f>+VLOOKUP(Tabla3[[#This Row],[PATENTE]],'BASE DATOS'!F:G,2,0)</f>
        <v xml:space="preserve">COLO - FTL525 </v>
      </c>
      <c r="F288" s="582" t="str">
        <f>+VLOOKUP(Tabla3[[#This Row],[PATENTE]],'BASE DATOS'!F:H,3,0)</f>
        <v>1P</v>
      </c>
      <c r="G288" s="582" t="str">
        <f>+VLOOKUP(Tabla3[[#This Row],[PATENTE]],'BASE DATOS'!F:I,4,0)</f>
        <v>NO</v>
      </c>
      <c r="H288" s="584" t="str">
        <f>+VLOOKUP(Tabla3[[#This Row],[PATENTE]],'BASE DATOS'!F:J,5,0)</f>
        <v>SI</v>
      </c>
      <c r="I288" s="582" t="str">
        <f>+VLOOKUP(Tabla3[[#This Row],[PATENTE]],'BASE DATOS'!F:K,6,0)</f>
        <v>NO</v>
      </c>
      <c r="J288" s="582">
        <f>+VLOOKUP(Tabla3[[#This Row],[PATENTE]],'BASE DATOS'!F:L,7,0)</f>
        <v>2008</v>
      </c>
      <c r="K288" s="593">
        <f>+VLOOKUP(Tabla3[[#This Row],[PATENTE]],'BASE DATOS'!F:M,8,0)</f>
        <v>17</v>
      </c>
      <c r="N288" s="826"/>
      <c r="O288" s="1017"/>
      <c r="P288" s="1017"/>
      <c r="Q288" s="1017"/>
      <c r="R288" s="965" t="str">
        <f t="shared" si="8"/>
        <v>-</v>
      </c>
    </row>
    <row r="289" spans="1:18" hidden="1">
      <c r="A289" s="578" t="s">
        <v>891</v>
      </c>
      <c r="B289" s="584">
        <v>5</v>
      </c>
      <c r="C289" s="589">
        <v>45873</v>
      </c>
      <c r="D289" s="582">
        <f t="shared" si="10"/>
        <v>32</v>
      </c>
      <c r="E289" s="576" t="str">
        <f>+VLOOKUP(Tabla3[[#This Row],[PATENTE]],'BASE DATOS'!F:G,2,0)</f>
        <v xml:space="preserve">GANZINI HUGO - HHA085 </v>
      </c>
      <c r="F289" s="582" t="str">
        <f>+VLOOKUP(Tabla3[[#This Row],[PATENTE]],'BASE DATOS'!F:H,3,0)</f>
        <v>2P</v>
      </c>
      <c r="G289" s="582" t="str">
        <f>+VLOOKUP(Tabla3[[#This Row],[PATENTE]],'BASE DATOS'!F:I,4,0)</f>
        <v>SI</v>
      </c>
      <c r="H289" s="584" t="str">
        <f>+VLOOKUP(Tabla3[[#This Row],[PATENTE]],'BASE DATOS'!F:J,5,0)</f>
        <v>SI</v>
      </c>
      <c r="I289" s="582" t="str">
        <f>+VLOOKUP(Tabla3[[#This Row],[PATENTE]],'BASE DATOS'!F:K,6,0)</f>
        <v>NO</v>
      </c>
      <c r="J289" s="582">
        <f>+VLOOKUP(Tabla3[[#This Row],[PATENTE]],'BASE DATOS'!F:L,7,0)</f>
        <v>2008</v>
      </c>
      <c r="K289" s="593">
        <f>+VLOOKUP(Tabla3[[#This Row],[PATENTE]],'BASE DATOS'!F:M,8,0)</f>
        <v>17</v>
      </c>
      <c r="N289" s="826"/>
      <c r="O289" s="1017"/>
      <c r="P289" s="1017"/>
      <c r="Q289" s="1017"/>
      <c r="R289" s="965" t="str">
        <f t="shared" si="8"/>
        <v>-</v>
      </c>
    </row>
    <row r="290" spans="1:18" hidden="1">
      <c r="A290" s="577" t="s">
        <v>885</v>
      </c>
      <c r="B290" s="582">
        <v>5</v>
      </c>
      <c r="C290" s="589">
        <v>45873</v>
      </c>
      <c r="D290" s="582">
        <f t="shared" si="10"/>
        <v>32</v>
      </c>
      <c r="E290" s="576" t="str">
        <f>+VLOOKUP(Tabla3[[#This Row],[PATENTE]],'BASE DATOS'!F:G,2,0)</f>
        <v xml:space="preserve">TRANSP DON NENO - IES288 </v>
      </c>
      <c r="F290" s="582" t="str">
        <f>+VLOOKUP(Tabla3[[#This Row],[PATENTE]],'BASE DATOS'!F:H,3,0)</f>
        <v>2P</v>
      </c>
      <c r="G290" s="582" t="str">
        <f>+VLOOKUP(Tabla3[[#This Row],[PATENTE]],'BASE DATOS'!F:I,4,0)</f>
        <v>SI</v>
      </c>
      <c r="H290" s="584" t="str">
        <f>+VLOOKUP(Tabla3[[#This Row],[PATENTE]],'BASE DATOS'!F:J,5,0)</f>
        <v>SI</v>
      </c>
      <c r="I290" s="582" t="str">
        <f>+VLOOKUP(Tabla3[[#This Row],[PATENTE]],'BASE DATOS'!F:K,6,0)</f>
        <v>NO</v>
      </c>
      <c r="J290" s="582">
        <f>+VLOOKUP(Tabla3[[#This Row],[PATENTE]],'BASE DATOS'!F:L,7,0)</f>
        <v>2009</v>
      </c>
      <c r="K290" s="593">
        <f>+VLOOKUP(Tabla3[[#This Row],[PATENTE]],'BASE DATOS'!F:M,8,0)</f>
        <v>16</v>
      </c>
      <c r="N290" s="826"/>
      <c r="O290" s="1017"/>
      <c r="P290" s="1017"/>
      <c r="Q290" s="1017"/>
      <c r="R290" s="965" t="str">
        <f t="shared" si="8"/>
        <v>-</v>
      </c>
    </row>
    <row r="291" spans="1:18" hidden="1">
      <c r="A291" s="578" t="s">
        <v>913</v>
      </c>
      <c r="B291" s="584">
        <v>5</v>
      </c>
      <c r="C291" s="589">
        <v>45873</v>
      </c>
      <c r="D291" s="582">
        <f t="shared" si="10"/>
        <v>32</v>
      </c>
      <c r="E291" s="576" t="str">
        <f>+VLOOKUP(Tabla3[[#This Row],[PATENTE]],'BASE DATOS'!F:G,2,0)</f>
        <v xml:space="preserve">TRANSP DON NENO - KSI803 </v>
      </c>
      <c r="F291" s="582" t="str">
        <f>+VLOOKUP(Tabla3[[#This Row],[PATENTE]],'BASE DATOS'!F:H,3,0)</f>
        <v>2P</v>
      </c>
      <c r="G291" s="582" t="str">
        <f>+VLOOKUP(Tabla3[[#This Row],[PATENTE]],'BASE DATOS'!F:I,4,0)</f>
        <v>SI</v>
      </c>
      <c r="H291" s="584" t="str">
        <f>+VLOOKUP(Tabla3[[#This Row],[PATENTE]],'BASE DATOS'!F:J,5,0)</f>
        <v>SI</v>
      </c>
      <c r="I291" s="582" t="str">
        <f>+VLOOKUP(Tabla3[[#This Row],[PATENTE]],'BASE DATOS'!F:K,6,0)</f>
        <v>NO</v>
      </c>
      <c r="J291" s="582">
        <f>+VLOOKUP(Tabla3[[#This Row],[PATENTE]],'BASE DATOS'!F:L,7,0)</f>
        <v>2012</v>
      </c>
      <c r="K291" s="593">
        <f>+VLOOKUP(Tabla3[[#This Row],[PATENTE]],'BASE DATOS'!F:M,8,0)</f>
        <v>13</v>
      </c>
      <c r="N291" s="826"/>
      <c r="O291" s="1015"/>
      <c r="P291" s="1015"/>
      <c r="Q291" s="1015"/>
      <c r="R291" s="965" t="str">
        <f t="shared" si="8"/>
        <v>-</v>
      </c>
    </row>
    <row r="292" spans="1:18" hidden="1">
      <c r="A292" s="577" t="s">
        <v>902</v>
      </c>
      <c r="B292" s="582">
        <v>5</v>
      </c>
      <c r="C292" s="589">
        <v>45873</v>
      </c>
      <c r="D292" s="582">
        <f t="shared" si="10"/>
        <v>32</v>
      </c>
      <c r="E292" s="576" t="str">
        <f>+VLOOKUP(Tabla3[[#This Row],[PATENTE]],'BASE DATOS'!F:G,2,0)</f>
        <v xml:space="preserve">GUSTAVO CERQUETTA - KZA644 </v>
      </c>
      <c r="F292" s="582" t="str">
        <f>+VLOOKUP(Tabla3[[#This Row],[PATENTE]],'BASE DATOS'!F:H,3,0)</f>
        <v>2P</v>
      </c>
      <c r="G292" s="582" t="str">
        <f>+VLOOKUP(Tabla3[[#This Row],[PATENTE]],'BASE DATOS'!F:I,4,0)</f>
        <v>NO</v>
      </c>
      <c r="H292" s="584" t="str">
        <f>+VLOOKUP(Tabla3[[#This Row],[PATENTE]],'BASE DATOS'!F:J,5,0)</f>
        <v>SI</v>
      </c>
      <c r="I292" s="582" t="str">
        <f>+VLOOKUP(Tabla3[[#This Row],[PATENTE]],'BASE DATOS'!F:K,6,0)</f>
        <v>NO</v>
      </c>
      <c r="J292" s="582">
        <f>+VLOOKUP(Tabla3[[#This Row],[PATENTE]],'BASE DATOS'!F:L,7,0)</f>
        <v>2012</v>
      </c>
      <c r="K292" s="593">
        <f>+VLOOKUP(Tabla3[[#This Row],[PATENTE]],'BASE DATOS'!F:M,8,0)</f>
        <v>13</v>
      </c>
      <c r="N292" s="826"/>
      <c r="O292" s="1015"/>
      <c r="P292" s="1015"/>
      <c r="Q292" s="1015"/>
      <c r="R292" s="965" t="str">
        <f t="shared" si="8"/>
        <v>-</v>
      </c>
    </row>
    <row r="293" spans="1:18" hidden="1">
      <c r="A293" s="578" t="s">
        <v>897</v>
      </c>
      <c r="B293" s="584">
        <v>5</v>
      </c>
      <c r="C293" s="589">
        <v>45873</v>
      </c>
      <c r="D293" s="582">
        <f t="shared" si="10"/>
        <v>32</v>
      </c>
      <c r="E293" s="576" t="str">
        <f>+VLOOKUP(Tabla3[[#This Row],[PATENTE]],'BASE DATOS'!F:G,2,0)</f>
        <v xml:space="preserve">TRANSP CLAUDIO BUSTOS - LSG801 </v>
      </c>
      <c r="F293" s="582" t="str">
        <f>+VLOOKUP(Tabla3[[#This Row],[PATENTE]],'BASE DATOS'!F:H,3,0)</f>
        <v>2P</v>
      </c>
      <c r="G293" s="582" t="str">
        <f>+VLOOKUP(Tabla3[[#This Row],[PATENTE]],'BASE DATOS'!F:I,4,0)</f>
        <v>SI</v>
      </c>
      <c r="H293" s="584" t="str">
        <f>+VLOOKUP(Tabla3[[#This Row],[PATENTE]],'BASE DATOS'!F:J,5,0)</f>
        <v>SI</v>
      </c>
      <c r="I293" s="582" t="str">
        <f>+VLOOKUP(Tabla3[[#This Row],[PATENTE]],'BASE DATOS'!F:K,6,0)</f>
        <v>NO</v>
      </c>
      <c r="J293" s="582">
        <f>+VLOOKUP(Tabla3[[#This Row],[PATENTE]],'BASE DATOS'!F:L,7,0)</f>
        <v>2013</v>
      </c>
      <c r="K293" s="593">
        <f>+VLOOKUP(Tabla3[[#This Row],[PATENTE]],'BASE DATOS'!F:M,8,0)</f>
        <v>12</v>
      </c>
      <c r="N293" s="826"/>
      <c r="O293" s="1015"/>
      <c r="P293" s="1015"/>
      <c r="Q293" s="1015"/>
      <c r="R293" s="965" t="str">
        <f t="shared" si="8"/>
        <v>-</v>
      </c>
    </row>
    <row r="294" spans="1:18" hidden="1">
      <c r="A294" s="577" t="s">
        <v>898</v>
      </c>
      <c r="B294" s="582">
        <v>5</v>
      </c>
      <c r="C294" s="589">
        <v>45873</v>
      </c>
      <c r="D294" s="582">
        <f t="shared" si="10"/>
        <v>32</v>
      </c>
      <c r="E294" s="576" t="str">
        <f>+VLOOKUP(Tabla3[[#This Row],[PATENTE]],'BASE DATOS'!F:G,2,0)</f>
        <v xml:space="preserve">TRANSP BERMEJO - NXP980 </v>
      </c>
      <c r="F294" s="582" t="str">
        <f>+VLOOKUP(Tabla3[[#This Row],[PATENTE]],'BASE DATOS'!F:H,3,0)</f>
        <v>12P</v>
      </c>
      <c r="G294" s="582" t="str">
        <f>+VLOOKUP(Tabla3[[#This Row],[PATENTE]],'BASE DATOS'!F:I,4,0)</f>
        <v>SI</v>
      </c>
      <c r="H294" s="584" t="str">
        <f>+VLOOKUP(Tabla3[[#This Row],[PATENTE]],'BASE DATOS'!F:J,5,0)</f>
        <v>SI</v>
      </c>
      <c r="I294" s="582" t="str">
        <f>+VLOOKUP(Tabla3[[#This Row],[PATENTE]],'BASE DATOS'!F:K,6,0)</f>
        <v>SI</v>
      </c>
      <c r="J294" s="582">
        <f>+VLOOKUP(Tabla3[[#This Row],[PATENTE]],'BASE DATOS'!F:L,7,0)</f>
        <v>2015</v>
      </c>
      <c r="K294" s="593">
        <f>+VLOOKUP(Tabla3[[#This Row],[PATENTE]],'BASE DATOS'!F:M,8,0)</f>
        <v>10</v>
      </c>
      <c r="N294" s="826"/>
      <c r="O294" s="1015"/>
      <c r="P294" s="1015"/>
      <c r="Q294" s="1015"/>
      <c r="R294" s="965" t="str">
        <f t="shared" si="8"/>
        <v>-</v>
      </c>
    </row>
    <row r="295" spans="1:18" hidden="1">
      <c r="A295" s="578" t="s">
        <v>879</v>
      </c>
      <c r="B295" s="584">
        <v>5</v>
      </c>
      <c r="C295" s="589">
        <v>45873</v>
      </c>
      <c r="D295" s="582">
        <f t="shared" si="10"/>
        <v>32</v>
      </c>
      <c r="E295" s="576" t="str">
        <f>+VLOOKUP(Tabla3[[#This Row],[PATENTE]],'BASE DATOS'!F:G,2,0)</f>
        <v xml:space="preserve">TRANSP JP - OYP470 </v>
      </c>
      <c r="F295" s="582" t="str">
        <f>+VLOOKUP(Tabla3[[#This Row],[PATENTE]],'BASE DATOS'!F:H,3,0)</f>
        <v>8P</v>
      </c>
      <c r="G295" s="582" t="str">
        <f>+VLOOKUP(Tabla3[[#This Row],[PATENTE]],'BASE DATOS'!F:I,4,0)</f>
        <v>SI</v>
      </c>
      <c r="H295" s="584" t="str">
        <f>+VLOOKUP(Tabla3[[#This Row],[PATENTE]],'BASE DATOS'!F:J,5,0)</f>
        <v>SI</v>
      </c>
      <c r="I295" s="582" t="str">
        <f>+VLOOKUP(Tabla3[[#This Row],[PATENTE]],'BASE DATOS'!F:K,6,0)</f>
        <v>NO</v>
      </c>
      <c r="J295" s="582">
        <f>+VLOOKUP(Tabla3[[#This Row],[PATENTE]],'BASE DATOS'!F:L,7,0)</f>
        <v>2011</v>
      </c>
      <c r="K295" s="593">
        <f>+VLOOKUP(Tabla3[[#This Row],[PATENTE]],'BASE DATOS'!F:M,8,0)</f>
        <v>14</v>
      </c>
      <c r="N295" s="826"/>
      <c r="O295" s="1015"/>
      <c r="P295" s="1015"/>
      <c r="Q295" s="1015"/>
      <c r="R295" s="965" t="str">
        <f t="shared" si="8"/>
        <v>-</v>
      </c>
    </row>
    <row r="296" spans="1:18" hidden="1">
      <c r="A296" s="577" t="s">
        <v>921</v>
      </c>
      <c r="B296" s="582">
        <v>4</v>
      </c>
      <c r="C296" s="589">
        <v>45873</v>
      </c>
      <c r="D296" s="582">
        <f t="shared" si="10"/>
        <v>32</v>
      </c>
      <c r="E296" s="576" t="str">
        <f>+VLOOKUP(Tabla3[[#This Row],[PATENTE]],'BASE DATOS'!F:G,2,0)</f>
        <v xml:space="preserve">MAÑAS NORBERTO - CQQ304 </v>
      </c>
      <c r="F296" s="582" t="str">
        <f>+VLOOKUP(Tabla3[[#This Row],[PATENTE]],'BASE DATOS'!F:H,3,0)</f>
        <v>11P</v>
      </c>
      <c r="G296" s="582" t="str">
        <f>+VLOOKUP(Tabla3[[#This Row],[PATENTE]],'BASE DATOS'!F:I,4,0)</f>
        <v>SI</v>
      </c>
      <c r="H296" s="584" t="str">
        <f>+VLOOKUP(Tabla3[[#This Row],[PATENTE]],'BASE DATOS'!F:J,5,0)</f>
        <v>SI</v>
      </c>
      <c r="I296" s="582" t="str">
        <f>+VLOOKUP(Tabla3[[#This Row],[PATENTE]],'BASE DATOS'!F:K,6,0)</f>
        <v>NO</v>
      </c>
      <c r="J296" s="582">
        <f>+VLOOKUP(Tabla3[[#This Row],[PATENTE]],'BASE DATOS'!F:L,7,0)</f>
        <v>2000</v>
      </c>
      <c r="K296" s="593">
        <f>+VLOOKUP(Tabla3[[#This Row],[PATENTE]],'BASE DATOS'!F:M,8,0)</f>
        <v>25</v>
      </c>
      <c r="N296" s="826"/>
      <c r="O296" s="1015"/>
      <c r="P296" s="1015"/>
      <c r="Q296" s="1015"/>
      <c r="R296" s="965" t="str">
        <f t="shared" si="8"/>
        <v>-</v>
      </c>
    </row>
    <row r="297" spans="1:18" hidden="1">
      <c r="A297" s="578" t="s">
        <v>932</v>
      </c>
      <c r="B297" s="584">
        <v>4</v>
      </c>
      <c r="C297" s="589">
        <v>45873</v>
      </c>
      <c r="D297" s="582">
        <f t="shared" si="10"/>
        <v>32</v>
      </c>
      <c r="E297" s="576" t="str">
        <f>+VLOOKUP(Tabla3[[#This Row],[PATENTE]],'BASE DATOS'!F:G,2,0)</f>
        <v xml:space="preserve">TRANSP MAVIR - EFL176 </v>
      </c>
      <c r="F297" s="582" t="str">
        <f>+VLOOKUP(Tabla3[[#This Row],[PATENTE]],'BASE DATOS'!F:H,3,0)</f>
        <v>12P</v>
      </c>
      <c r="G297" s="582" t="str">
        <f>+VLOOKUP(Tabla3[[#This Row],[PATENTE]],'BASE DATOS'!F:I,4,0)</f>
        <v>SI</v>
      </c>
      <c r="H297" s="584" t="str">
        <f>+VLOOKUP(Tabla3[[#This Row],[PATENTE]],'BASE DATOS'!F:J,5,0)</f>
        <v>SI</v>
      </c>
      <c r="I297" s="582" t="str">
        <f>+VLOOKUP(Tabla3[[#This Row],[PATENTE]],'BASE DATOS'!F:K,6,0)</f>
        <v>NO</v>
      </c>
      <c r="J297" s="582">
        <f>+VLOOKUP(Tabla3[[#This Row],[PATENTE]],'BASE DATOS'!F:L,7,0)</f>
        <v>1998</v>
      </c>
      <c r="K297" s="593">
        <f>+VLOOKUP(Tabla3[[#This Row],[PATENTE]],'BASE DATOS'!F:M,8,0)</f>
        <v>27</v>
      </c>
      <c r="N297" s="826"/>
      <c r="O297" s="1015"/>
      <c r="P297" s="1015"/>
      <c r="Q297" s="1015"/>
      <c r="R297" s="965" t="str">
        <f t="shared" si="8"/>
        <v>-</v>
      </c>
    </row>
    <row r="298" spans="1:18" hidden="1">
      <c r="A298" s="577" t="s">
        <v>915</v>
      </c>
      <c r="B298" s="582">
        <v>4</v>
      </c>
      <c r="C298" s="589">
        <v>45873</v>
      </c>
      <c r="D298" s="582">
        <f t="shared" si="10"/>
        <v>32</v>
      </c>
      <c r="E298" s="576" t="str">
        <f>+VLOOKUP(Tabla3[[#This Row],[PATENTE]],'BASE DATOS'!F:G,2,0)</f>
        <v>TRANSPORTE GRACIELA - FPL254</v>
      </c>
      <c r="F298" s="582" t="str">
        <f>+VLOOKUP(Tabla3[[#This Row],[PATENTE]],'BASE DATOS'!F:H,3,0)</f>
        <v>2P</v>
      </c>
      <c r="G298" s="582" t="str">
        <f>+VLOOKUP(Tabla3[[#This Row],[PATENTE]],'BASE DATOS'!F:I,4,0)</f>
        <v>SI</v>
      </c>
      <c r="H298" s="584" t="str">
        <f>+VLOOKUP(Tabla3[[#This Row],[PATENTE]],'BASE DATOS'!F:J,5,0)</f>
        <v>NO (CAMI)</v>
      </c>
      <c r="I298" s="582" t="str">
        <f>+VLOOKUP(Tabla3[[#This Row],[PATENTE]],'BASE DATOS'!F:K,6,0)</f>
        <v>NO</v>
      </c>
      <c r="J298" s="582">
        <f>+VLOOKUP(Tabla3[[#This Row],[PATENTE]],'BASE DATOS'!F:L,7,0)</f>
        <v>2012</v>
      </c>
      <c r="K298" s="593">
        <f>+VLOOKUP(Tabla3[[#This Row],[PATENTE]],'BASE DATOS'!F:M,8,0)</f>
        <v>13</v>
      </c>
      <c r="N298" s="826"/>
      <c r="O298" s="1015"/>
      <c r="P298" s="1015"/>
      <c r="Q298" s="1015"/>
      <c r="R298" s="965" t="str">
        <f t="shared" si="8"/>
        <v>-</v>
      </c>
    </row>
    <row r="299" spans="1:18" hidden="1">
      <c r="A299" s="578" t="s">
        <v>900</v>
      </c>
      <c r="B299" s="584">
        <v>4</v>
      </c>
      <c r="C299" s="589">
        <v>45873</v>
      </c>
      <c r="D299" s="582">
        <f t="shared" si="10"/>
        <v>32</v>
      </c>
      <c r="E299" s="576" t="str">
        <f>+VLOOKUP(Tabla3[[#This Row],[PATENTE]],'BASE DATOS'!F:G,2,0)</f>
        <v>TRANSPORTE GENA GAIA - IMO939</v>
      </c>
      <c r="F299" s="582" t="str">
        <f>+VLOOKUP(Tabla3[[#This Row],[PATENTE]],'BASE DATOS'!F:H,3,0)</f>
        <v>24P</v>
      </c>
      <c r="G299" s="582" t="str">
        <f>+VLOOKUP(Tabla3[[#This Row],[PATENTE]],'BASE DATOS'!F:I,4,0)</f>
        <v>Gestya</v>
      </c>
      <c r="H299" s="584" t="str">
        <f>+VLOOKUP(Tabla3[[#This Row],[PATENTE]],'BASE DATOS'!F:J,5,0)</f>
        <v xml:space="preserve">NO </v>
      </c>
      <c r="I299" s="582" t="str">
        <f>+VLOOKUP(Tabla3[[#This Row],[PATENTE]],'BASE DATOS'!F:K,6,0)</f>
        <v>NO</v>
      </c>
      <c r="J299" s="582">
        <f>+VLOOKUP(Tabla3[[#This Row],[PATENTE]],'BASE DATOS'!F:L,7,0)</f>
        <v>2010</v>
      </c>
      <c r="K299" s="593">
        <f>+VLOOKUP(Tabla3[[#This Row],[PATENTE]],'BASE DATOS'!F:M,8,0)</f>
        <v>15</v>
      </c>
      <c r="N299" s="826"/>
      <c r="O299" s="1015"/>
      <c r="P299" s="1015"/>
      <c r="Q299" s="1015"/>
      <c r="R299" s="965" t="str">
        <f t="shared" si="8"/>
        <v>-</v>
      </c>
    </row>
    <row r="300" spans="1:18" hidden="1">
      <c r="A300" s="577" t="s">
        <v>901</v>
      </c>
      <c r="B300" s="582">
        <v>4</v>
      </c>
      <c r="C300" s="589">
        <v>45873</v>
      </c>
      <c r="D300" s="582">
        <f t="shared" si="10"/>
        <v>32</v>
      </c>
      <c r="E300" s="576" t="str">
        <f>+VLOOKUP(Tabla3[[#This Row],[PATENTE]],'BASE DATOS'!F:G,2,0)</f>
        <v xml:space="preserve">TRANSPORTE  GRACIELA - IYE750 </v>
      </c>
      <c r="F300" s="582" t="str">
        <f>+VLOOKUP(Tabla3[[#This Row],[PATENTE]],'BASE DATOS'!F:H,3,0)</f>
        <v>1P</v>
      </c>
      <c r="G300" s="582" t="str">
        <f>+VLOOKUP(Tabla3[[#This Row],[PATENTE]],'BASE DATOS'!F:I,4,0)</f>
        <v>NO</v>
      </c>
      <c r="H300" s="584" t="str">
        <f>+VLOOKUP(Tabla3[[#This Row],[PATENTE]],'BASE DATOS'!F:J,5,0)</f>
        <v>SI</v>
      </c>
      <c r="I300" s="582" t="str">
        <f>+VLOOKUP(Tabla3[[#This Row],[PATENTE]],'BASE DATOS'!F:K,6,0)</f>
        <v>NO</v>
      </c>
      <c r="J300" s="582">
        <f>+VLOOKUP(Tabla3[[#This Row],[PATENTE]],'BASE DATOS'!F:L,7,0)</f>
        <v>2009</v>
      </c>
      <c r="K300" s="593">
        <f>+VLOOKUP(Tabla3[[#This Row],[PATENTE]],'BASE DATOS'!F:M,8,0)</f>
        <v>16</v>
      </c>
      <c r="N300" s="826"/>
      <c r="O300" s="1015"/>
      <c r="P300" s="1015"/>
      <c r="Q300" s="1015"/>
      <c r="R300" s="965" t="str">
        <f t="shared" si="8"/>
        <v>-</v>
      </c>
    </row>
    <row r="301" spans="1:18" hidden="1">
      <c r="A301" s="578" t="s">
        <v>920</v>
      </c>
      <c r="B301" s="584">
        <v>4</v>
      </c>
      <c r="C301" s="589">
        <v>45873</v>
      </c>
      <c r="D301" s="582">
        <f t="shared" si="10"/>
        <v>32</v>
      </c>
      <c r="E301" s="576" t="str">
        <f>+VLOOKUP(Tabla3[[#This Row],[PATENTE]],'BASE DATOS'!F:G,2,0)</f>
        <v xml:space="preserve">TRANSP LAGOS - MRV682 </v>
      </c>
      <c r="F301" s="582" t="str">
        <f>+VLOOKUP(Tabla3[[#This Row],[PATENTE]],'BASE DATOS'!F:H,3,0)</f>
        <v>8P</v>
      </c>
      <c r="G301" s="582" t="str">
        <f>+VLOOKUP(Tabla3[[#This Row],[PATENTE]],'BASE DATOS'!F:I,4,0)</f>
        <v>SI</v>
      </c>
      <c r="H301" s="584" t="str">
        <f>+VLOOKUP(Tabla3[[#This Row],[PATENTE]],'BASE DATOS'!F:J,5,0)</f>
        <v>SI</v>
      </c>
      <c r="I301" s="582" t="str">
        <f>+VLOOKUP(Tabla3[[#This Row],[PATENTE]],'BASE DATOS'!F:K,6,0)</f>
        <v>NO</v>
      </c>
      <c r="J301" s="582">
        <f>+VLOOKUP(Tabla3[[#This Row],[PATENTE]],'BASE DATOS'!F:L,7,0)</f>
        <v>2013</v>
      </c>
      <c r="K301" s="593">
        <f>+VLOOKUP(Tabla3[[#This Row],[PATENTE]],'BASE DATOS'!F:M,8,0)</f>
        <v>12</v>
      </c>
      <c r="N301" s="826"/>
      <c r="O301" s="1015"/>
      <c r="P301" s="1015"/>
      <c r="Q301" s="1015"/>
      <c r="R301" s="965" t="str">
        <f t="shared" si="8"/>
        <v>-</v>
      </c>
    </row>
    <row r="302" spans="1:18" hidden="1">
      <c r="A302" s="577" t="s">
        <v>896</v>
      </c>
      <c r="B302" s="582">
        <v>4</v>
      </c>
      <c r="C302" s="589">
        <v>45873</v>
      </c>
      <c r="D302" s="582">
        <f t="shared" si="10"/>
        <v>32</v>
      </c>
      <c r="E302" s="576" t="str">
        <f>+VLOOKUP(Tabla3[[#This Row],[PATENTE]],'BASE DATOS'!F:G,2,0)</f>
        <v xml:space="preserve">TRANSP MAVIR - RHQ609 </v>
      </c>
      <c r="F302" s="582" t="str">
        <f>+VLOOKUP(Tabla3[[#This Row],[PATENTE]],'BASE DATOS'!F:H,3,0)</f>
        <v>10P</v>
      </c>
      <c r="G302" s="582" t="str">
        <f>+VLOOKUP(Tabla3[[#This Row],[PATENTE]],'BASE DATOS'!F:I,4,0)</f>
        <v>NO</v>
      </c>
      <c r="H302" s="584" t="str">
        <f>+VLOOKUP(Tabla3[[#This Row],[PATENTE]],'BASE DATOS'!F:J,5,0)</f>
        <v xml:space="preserve">NO </v>
      </c>
      <c r="I302" s="582" t="str">
        <f>+VLOOKUP(Tabla3[[#This Row],[PATENTE]],'BASE DATOS'!F:K,6,0)</f>
        <v>NO</v>
      </c>
      <c r="J302" s="582">
        <f>+VLOOKUP(Tabla3[[#This Row],[PATENTE]],'BASE DATOS'!F:L,7,0)</f>
        <v>1995</v>
      </c>
      <c r="K302" s="593">
        <v>0</v>
      </c>
      <c r="N302" s="826"/>
      <c r="O302" s="1015"/>
      <c r="P302" s="1015"/>
      <c r="Q302" s="1015"/>
      <c r="R302" s="965" t="str">
        <f t="shared" si="8"/>
        <v>-</v>
      </c>
    </row>
    <row r="303" spans="1:18" hidden="1">
      <c r="A303" s="578" t="s">
        <v>878</v>
      </c>
      <c r="B303" s="584">
        <v>3</v>
      </c>
      <c r="C303" s="589">
        <v>45873</v>
      </c>
      <c r="D303" s="582">
        <f t="shared" si="10"/>
        <v>32</v>
      </c>
      <c r="E303" s="576" t="str">
        <f>+VLOOKUP(Tabla3[[#This Row],[PATENTE]],'BASE DATOS'!F:G,2,0)</f>
        <v xml:space="preserve">PACHECO JULIO - AA854LY </v>
      </c>
      <c r="F303" s="582" t="str">
        <f>+VLOOKUP(Tabla3[[#This Row],[PATENTE]],'BASE DATOS'!F:H,3,0)</f>
        <v>7P</v>
      </c>
      <c r="G303" s="582" t="str">
        <f>+VLOOKUP(Tabla3[[#This Row],[PATENTE]],'BASE DATOS'!F:I,4,0)</f>
        <v>SI</v>
      </c>
      <c r="H303" s="584" t="str">
        <f>+VLOOKUP(Tabla3[[#This Row],[PATENTE]],'BASE DATOS'!F:J,5,0)</f>
        <v>SI</v>
      </c>
      <c r="I303" s="582" t="str">
        <f>+VLOOKUP(Tabla3[[#This Row],[PATENTE]],'BASE DATOS'!F:K,6,0)</f>
        <v>NO</v>
      </c>
      <c r="J303" s="582">
        <f>+VLOOKUP(Tabla3[[#This Row],[PATENTE]],'BASE DATOS'!F:L,7,0)</f>
        <v>2016</v>
      </c>
      <c r="K303" s="593">
        <f>+VLOOKUP(Tabla3[[#This Row],[PATENTE]],'BASE DATOS'!F:M,8,0)</f>
        <v>9</v>
      </c>
      <c r="N303" s="826"/>
      <c r="O303" s="1015"/>
      <c r="P303" s="1015"/>
      <c r="Q303" s="1015"/>
      <c r="R303" s="965" t="str">
        <f t="shared" si="8"/>
        <v>-</v>
      </c>
    </row>
    <row r="304" spans="1:18" hidden="1">
      <c r="A304" s="577" t="s">
        <v>884</v>
      </c>
      <c r="B304" s="582">
        <v>3</v>
      </c>
      <c r="C304" s="589">
        <v>45873</v>
      </c>
      <c r="D304" s="582">
        <f t="shared" si="10"/>
        <v>32</v>
      </c>
      <c r="E304" s="576" t="str">
        <f>+VLOOKUP(Tabla3[[#This Row],[PATENTE]],'BASE DATOS'!F:G,2,0)</f>
        <v xml:space="preserve">LAURIA (SERVAL) - AB233IT </v>
      </c>
      <c r="F304" s="582" t="str">
        <f>+VLOOKUP(Tabla3[[#This Row],[PATENTE]],'BASE DATOS'!F:H,3,0)</f>
        <v>6P</v>
      </c>
      <c r="G304" s="582" t="str">
        <f>+VLOOKUP(Tabla3[[#This Row],[PATENTE]],'BASE DATOS'!F:I,4,0)</f>
        <v>SI</v>
      </c>
      <c r="H304" s="584" t="str">
        <f>+VLOOKUP(Tabla3[[#This Row],[PATENTE]],'BASE DATOS'!F:J,5,0)</f>
        <v>SI</v>
      </c>
      <c r="I304" s="582" t="str">
        <f>+VLOOKUP(Tabla3[[#This Row],[PATENTE]],'BASE DATOS'!F:K,6,0)</f>
        <v>NO</v>
      </c>
      <c r="J304" s="582">
        <f>+VLOOKUP(Tabla3[[#This Row],[PATENTE]],'BASE DATOS'!F:L,7,0)</f>
        <v>2017</v>
      </c>
      <c r="K304" s="593">
        <f>+VLOOKUP(Tabla3[[#This Row],[PATENTE]],'BASE DATOS'!F:M,8,0)</f>
        <v>8</v>
      </c>
      <c r="N304" s="826"/>
      <c r="O304" s="1015"/>
      <c r="P304" s="1015"/>
      <c r="Q304" s="1015"/>
      <c r="R304" s="965" t="str">
        <f t="shared" si="8"/>
        <v>-</v>
      </c>
    </row>
    <row r="305" spans="1:18" hidden="1">
      <c r="A305" s="578" t="s">
        <v>917</v>
      </c>
      <c r="B305" s="584">
        <v>3</v>
      </c>
      <c r="C305" s="589">
        <v>45873</v>
      </c>
      <c r="D305" s="582">
        <f t="shared" si="10"/>
        <v>32</v>
      </c>
      <c r="E305" s="576" t="str">
        <f>+VLOOKUP(Tabla3[[#This Row],[PATENTE]],'BASE DATOS'!F:G,2,0)</f>
        <v xml:space="preserve">PRONTOMAR - BUZ242 </v>
      </c>
      <c r="F305" s="582" t="str">
        <f>+VLOOKUP(Tabla3[[#This Row],[PATENTE]],'BASE DATOS'!F:H,3,0)</f>
        <v>16P</v>
      </c>
      <c r="G305" s="582" t="str">
        <f>+VLOOKUP(Tabla3[[#This Row],[PATENTE]],'BASE DATOS'!F:I,4,0)</f>
        <v>NO</v>
      </c>
      <c r="H305" s="584" t="str">
        <f>+VLOOKUP(Tabla3[[#This Row],[PATENTE]],'BASE DATOS'!F:J,5,0)</f>
        <v xml:space="preserve">NO </v>
      </c>
      <c r="I305" s="582" t="str">
        <f>+VLOOKUP(Tabla3[[#This Row],[PATENTE]],'BASE DATOS'!F:K,6,0)</f>
        <v>NO</v>
      </c>
      <c r="J305" s="582">
        <f>+VLOOKUP(Tabla3[[#This Row],[PATENTE]],'BASE DATOS'!F:L,7,0)</f>
        <v>1998</v>
      </c>
      <c r="K305" s="593">
        <f>+VLOOKUP(Tabla3[[#This Row],[PATENTE]],'BASE DATOS'!F:M,8,0)</f>
        <v>27</v>
      </c>
      <c r="N305" s="826"/>
      <c r="O305" s="1015"/>
      <c r="P305" s="1015"/>
      <c r="Q305" s="1015"/>
      <c r="R305" s="965" t="str">
        <f t="shared" si="8"/>
        <v>-</v>
      </c>
    </row>
    <row r="306" spans="1:18" hidden="1">
      <c r="A306" s="577" t="s">
        <v>926</v>
      </c>
      <c r="B306" s="582">
        <v>3</v>
      </c>
      <c r="C306" s="589">
        <v>45873</v>
      </c>
      <c r="D306" s="582">
        <f t="shared" si="10"/>
        <v>32</v>
      </c>
      <c r="E306" s="576" t="str">
        <f>+VLOOKUP(Tabla3[[#This Row],[PATENTE]],'BASE DATOS'!F:G,2,0)</f>
        <v xml:space="preserve">TRANSPORTE GENA GAIA - DUF042 </v>
      </c>
      <c r="F306" s="582" t="str">
        <f>+VLOOKUP(Tabla3[[#This Row],[PATENTE]],'BASE DATOS'!F:H,3,0)</f>
        <v>24P</v>
      </c>
      <c r="G306" s="582" t="str">
        <f>+VLOOKUP(Tabla3[[#This Row],[PATENTE]],'BASE DATOS'!F:I,4,0)</f>
        <v>Gestya</v>
      </c>
      <c r="H306" s="584" t="str">
        <f>+VLOOKUP(Tabla3[[#This Row],[PATENTE]],'BASE DATOS'!F:J,5,0)</f>
        <v xml:space="preserve">NO </v>
      </c>
      <c r="I306" s="582" t="str">
        <f>+VLOOKUP(Tabla3[[#This Row],[PATENTE]],'BASE DATOS'!F:K,6,0)</f>
        <v>NO</v>
      </c>
      <c r="J306" s="582">
        <f>+VLOOKUP(Tabla3[[#This Row],[PATENTE]],'BASE DATOS'!F:L,7,0)</f>
        <v>2001</v>
      </c>
      <c r="K306" s="593">
        <f>+VLOOKUP(Tabla3[[#This Row],[PATENTE]],'BASE DATOS'!F:M,8,0)</f>
        <v>24</v>
      </c>
      <c r="N306" s="826"/>
      <c r="O306" s="1015"/>
      <c r="P306" s="1015"/>
      <c r="Q306" s="1015"/>
      <c r="R306" s="965" t="str">
        <f t="shared" si="8"/>
        <v>-</v>
      </c>
    </row>
    <row r="307" spans="1:18" hidden="1">
      <c r="A307" s="578" t="s">
        <v>925</v>
      </c>
      <c r="B307" s="584">
        <v>3</v>
      </c>
      <c r="C307" s="589">
        <v>45873</v>
      </c>
      <c r="D307" s="582">
        <f t="shared" si="10"/>
        <v>32</v>
      </c>
      <c r="E307" s="576" t="str">
        <f>+VLOOKUP(Tabla3[[#This Row],[PATENTE]],'BASE DATOS'!F:G,2,0)</f>
        <v xml:space="preserve">TRANSP MAIDANA FACUNDO - KOW745 </v>
      </c>
      <c r="F307" s="582" t="str">
        <f>+VLOOKUP(Tabla3[[#This Row],[PATENTE]],'BASE DATOS'!F:H,3,0)</f>
        <v>8P</v>
      </c>
      <c r="G307" s="582" t="str">
        <f>+VLOOKUP(Tabla3[[#This Row],[PATENTE]],'BASE DATOS'!F:I,4,0)</f>
        <v>SI</v>
      </c>
      <c r="H307" s="584" t="str">
        <f>+VLOOKUP(Tabla3[[#This Row],[PATENTE]],'BASE DATOS'!F:J,5,0)</f>
        <v>SI</v>
      </c>
      <c r="I307" s="582" t="str">
        <f>+VLOOKUP(Tabla3[[#This Row],[PATENTE]],'BASE DATOS'!F:K,6,0)</f>
        <v>NO</v>
      </c>
      <c r="J307" s="582">
        <f>+VLOOKUP(Tabla3[[#This Row],[PATENTE]],'BASE DATOS'!F:L,7,0)</f>
        <v>2012</v>
      </c>
      <c r="K307" s="593">
        <f>+VLOOKUP(Tabla3[[#This Row],[PATENTE]],'BASE DATOS'!F:M,8,0)</f>
        <v>13</v>
      </c>
      <c r="N307" s="826"/>
      <c r="O307" s="1015"/>
      <c r="P307" s="1015"/>
      <c r="Q307" s="1015"/>
      <c r="R307" s="965" t="str">
        <f t="shared" si="8"/>
        <v>-</v>
      </c>
    </row>
    <row r="308" spans="1:18" hidden="1">
      <c r="A308" s="577" t="s">
        <v>899</v>
      </c>
      <c r="B308" s="582">
        <v>2</v>
      </c>
      <c r="C308" s="589">
        <v>45873</v>
      </c>
      <c r="D308" s="582">
        <f t="shared" si="10"/>
        <v>32</v>
      </c>
      <c r="E308" s="576" t="str">
        <f>+VLOOKUP(Tabla3[[#This Row],[PATENTE]],'BASE DATOS'!F:G,2,0)</f>
        <v xml:space="preserve">VAZQUEZ (TRV SRL) - AB176KN </v>
      </c>
      <c r="F308" s="582" t="str">
        <f>+VLOOKUP(Tabla3[[#This Row],[PATENTE]],'BASE DATOS'!F:H,3,0)</f>
        <v>8P</v>
      </c>
      <c r="G308" s="582" t="str">
        <f>+VLOOKUP(Tabla3[[#This Row],[PATENTE]],'BASE DATOS'!F:I,4,0)</f>
        <v>SI</v>
      </c>
      <c r="H308" s="584" t="str">
        <f>+VLOOKUP(Tabla3[[#This Row],[PATENTE]],'BASE DATOS'!F:J,5,0)</f>
        <v>SI</v>
      </c>
      <c r="I308" s="582" t="str">
        <f>+VLOOKUP(Tabla3[[#This Row],[PATENTE]],'BASE DATOS'!F:K,6,0)</f>
        <v>SI</v>
      </c>
      <c r="J308" s="582">
        <f>+VLOOKUP(Tabla3[[#This Row],[PATENTE]],'BASE DATOS'!F:L,7,0)</f>
        <v>2017</v>
      </c>
      <c r="K308" s="593">
        <f>+VLOOKUP(Tabla3[[#This Row],[PATENTE]],'BASE DATOS'!F:M,8,0)</f>
        <v>8</v>
      </c>
      <c r="N308" s="826"/>
      <c r="O308" s="1015"/>
      <c r="P308" s="1015"/>
      <c r="Q308" s="1015"/>
      <c r="R308" s="965" t="str">
        <f t="shared" si="8"/>
        <v>-</v>
      </c>
    </row>
    <row r="309" spans="1:18" hidden="1">
      <c r="A309" s="578" t="s">
        <v>883</v>
      </c>
      <c r="B309" s="584">
        <v>2</v>
      </c>
      <c r="C309" s="589">
        <v>45873</v>
      </c>
      <c r="D309" s="582">
        <f t="shared" si="10"/>
        <v>32</v>
      </c>
      <c r="E309" s="576" t="str">
        <f>+VLOOKUP(Tabla3[[#This Row],[PATENTE]],'BASE DATOS'!F:G,2,0)</f>
        <v xml:space="preserve">PACHECO JULIO - ACI503 </v>
      </c>
      <c r="F309" s="582" t="str">
        <f>+VLOOKUP(Tabla3[[#This Row],[PATENTE]],'BASE DATOS'!F:H,3,0)</f>
        <v>12P</v>
      </c>
      <c r="G309" s="582" t="str">
        <f>+VLOOKUP(Tabla3[[#This Row],[PATENTE]],'BASE DATOS'!F:I,4,0)</f>
        <v>NO</v>
      </c>
      <c r="H309" s="584" t="str">
        <f>+VLOOKUP(Tabla3[[#This Row],[PATENTE]],'BASE DATOS'!F:J,5,0)</f>
        <v>SI</v>
      </c>
      <c r="I309" s="582" t="str">
        <f>+VLOOKUP(Tabla3[[#This Row],[PATENTE]],'BASE DATOS'!F:K,6,0)</f>
        <v>SI</v>
      </c>
      <c r="J309" s="582">
        <f>+VLOOKUP(Tabla3[[#This Row],[PATENTE]],'BASE DATOS'!F:L,7,0)</f>
        <v>2000</v>
      </c>
      <c r="K309" s="593">
        <f>+VLOOKUP(Tabla3[[#This Row],[PATENTE]],'BASE DATOS'!F:M,8,0)</f>
        <v>25</v>
      </c>
      <c r="N309" s="826"/>
      <c r="O309" s="1015"/>
      <c r="P309" s="1015"/>
      <c r="Q309" s="1015"/>
      <c r="R309" s="965" t="str">
        <f t="shared" si="8"/>
        <v>-</v>
      </c>
    </row>
    <row r="310" spans="1:18" hidden="1">
      <c r="A310" s="577" t="s">
        <v>930</v>
      </c>
      <c r="B310" s="582">
        <v>2</v>
      </c>
      <c r="C310" s="589">
        <v>45873</v>
      </c>
      <c r="D310" s="582">
        <f t="shared" si="10"/>
        <v>32</v>
      </c>
      <c r="E310" s="576" t="str">
        <f>+VLOOKUP(Tabla3[[#This Row],[PATENTE]],'BASE DATOS'!F:G,2,0)</f>
        <v xml:space="preserve">GANZINI HUGO - JJF375 </v>
      </c>
      <c r="F310" s="582" t="str">
        <f>+VLOOKUP(Tabla3[[#This Row],[PATENTE]],'BASE DATOS'!F:H,3,0)</f>
        <v>14P</v>
      </c>
      <c r="G310" s="582" t="str">
        <f>+VLOOKUP(Tabla3[[#This Row],[PATENTE]],'BASE DATOS'!F:I,4,0)</f>
        <v>SI</v>
      </c>
      <c r="H310" s="584" t="str">
        <f>+VLOOKUP(Tabla3[[#This Row],[PATENTE]],'BASE DATOS'!F:J,5,0)</f>
        <v xml:space="preserve">NO </v>
      </c>
      <c r="I310" s="582" t="str">
        <f>+VLOOKUP(Tabla3[[#This Row],[PATENTE]],'BASE DATOS'!F:K,6,0)</f>
        <v>NO</v>
      </c>
      <c r="J310" s="582">
        <f>+VLOOKUP(Tabla3[[#This Row],[PATENTE]],'BASE DATOS'!F:L,7,0)</f>
        <v>2011</v>
      </c>
      <c r="K310" s="593">
        <f>+VLOOKUP(Tabla3[[#This Row],[PATENTE]],'BASE DATOS'!F:M,8,0)</f>
        <v>14</v>
      </c>
      <c r="N310" s="826"/>
      <c r="O310" s="1015"/>
      <c r="P310" s="1015"/>
      <c r="Q310" s="1015"/>
      <c r="R310" s="965" t="str">
        <f t="shared" si="8"/>
        <v>-</v>
      </c>
    </row>
    <row r="311" spans="1:18" hidden="1">
      <c r="A311" s="578" t="s">
        <v>940</v>
      </c>
      <c r="B311" s="584">
        <v>1</v>
      </c>
      <c r="C311" s="589">
        <v>45873</v>
      </c>
      <c r="D311" s="582">
        <f t="shared" si="10"/>
        <v>32</v>
      </c>
      <c r="E311" s="576" t="str">
        <f>+VLOOKUP(Tabla3[[#This Row],[PATENTE]],'BASE DATOS'!F:G,2,0)</f>
        <v xml:space="preserve">BELLIMAR SRL - AA358EQ </v>
      </c>
      <c r="F311" s="582" t="str">
        <f>+VLOOKUP(Tabla3[[#This Row],[PATENTE]],'BASE DATOS'!F:H,3,0)</f>
        <v>8P</v>
      </c>
      <c r="G311" s="582" t="str">
        <f>+VLOOKUP(Tabla3[[#This Row],[PATENTE]],'BASE DATOS'!F:I,4,0)</f>
        <v>NO</v>
      </c>
      <c r="H311" s="584" t="str">
        <f>+VLOOKUP(Tabla3[[#This Row],[PATENTE]],'BASE DATOS'!F:J,5,0)</f>
        <v xml:space="preserve">NO </v>
      </c>
      <c r="I311" s="582" t="str">
        <f>+VLOOKUP(Tabla3[[#This Row],[PATENTE]],'BASE DATOS'!F:K,6,0)</f>
        <v>NO</v>
      </c>
      <c r="J311" s="582">
        <f>+VLOOKUP(Tabla3[[#This Row],[PATENTE]],'BASE DATOS'!F:L,7,0)</f>
        <v>2016</v>
      </c>
      <c r="K311" s="593">
        <f>+VLOOKUP(Tabla3[[#This Row],[PATENTE]],'BASE DATOS'!F:M,8,0)</f>
        <v>9</v>
      </c>
      <c r="N311" s="826"/>
      <c r="O311" s="1015"/>
      <c r="P311" s="1015"/>
      <c r="Q311" s="1015"/>
      <c r="R311" s="965" t="str">
        <f t="shared" si="8"/>
        <v>-</v>
      </c>
    </row>
    <row r="312" spans="1:18" hidden="1">
      <c r="A312" s="577" t="s">
        <v>929</v>
      </c>
      <c r="B312" s="582">
        <v>1</v>
      </c>
      <c r="C312" s="589">
        <v>45873</v>
      </c>
      <c r="D312" s="582">
        <f t="shared" si="10"/>
        <v>32</v>
      </c>
      <c r="E312" s="576" t="str">
        <f>+VLOOKUP(Tabla3[[#This Row],[PATENTE]],'BASE DATOS'!F:G,2,0)</f>
        <v xml:space="preserve">PRONTOMAR - BAI674 </v>
      </c>
      <c r="F312" s="582" t="str">
        <f>+VLOOKUP(Tabla3[[#This Row],[PATENTE]],'BASE DATOS'!F:H,3,0)</f>
        <v>14P</v>
      </c>
      <c r="G312" s="582" t="str">
        <f>+VLOOKUP(Tabla3[[#This Row],[PATENTE]],'BASE DATOS'!F:I,4,0)</f>
        <v>NO</v>
      </c>
      <c r="H312" s="584" t="str">
        <f>+VLOOKUP(Tabla3[[#This Row],[PATENTE]],'BASE DATOS'!F:J,5,0)</f>
        <v xml:space="preserve">NO </v>
      </c>
      <c r="I312" s="582" t="str">
        <f>+VLOOKUP(Tabla3[[#This Row],[PATENTE]],'BASE DATOS'!F:K,6,0)</f>
        <v>NO</v>
      </c>
      <c r="J312" s="582">
        <f>+VLOOKUP(Tabla3[[#This Row],[PATENTE]],'BASE DATOS'!F:L,7,0)</f>
        <v>1996</v>
      </c>
      <c r="K312" s="593">
        <f>+VLOOKUP(Tabla3[[#This Row],[PATENTE]],'BASE DATOS'!F:M,8,0)</f>
        <v>29</v>
      </c>
      <c r="N312" s="826"/>
      <c r="O312" s="1015"/>
      <c r="P312" s="1015"/>
      <c r="Q312" s="1015"/>
      <c r="R312" s="965" t="str">
        <f t="shared" si="8"/>
        <v>-</v>
      </c>
    </row>
    <row r="313" spans="1:18" hidden="1">
      <c r="A313" s="578" t="s">
        <v>1161</v>
      </c>
      <c r="B313" s="584">
        <v>1</v>
      </c>
      <c r="C313" s="589">
        <v>45873</v>
      </c>
      <c r="D313" s="582">
        <f t="shared" si="10"/>
        <v>32</v>
      </c>
      <c r="E313" s="576" t="str">
        <f>+VLOOKUP(Tabla3[[#This Row],[PATENTE]],'BASE DATOS'!F:G,2,0)</f>
        <v>MAIDANA ORLANDO - 11P</v>
      </c>
      <c r="F313" s="582" t="str">
        <f>+VLOOKUP(Tabla3[[#This Row],[PATENTE]],'BASE DATOS'!F:H,3,0)</f>
        <v>11P</v>
      </c>
      <c r="G313" s="582" t="str">
        <f>+VLOOKUP(Tabla3[[#This Row],[PATENTE]],'BASE DATOS'!F:I,4,0)</f>
        <v>NO</v>
      </c>
      <c r="H313" s="584" t="str">
        <f>+VLOOKUP(Tabla3[[#This Row],[PATENTE]],'BASE DATOS'!F:J,5,0)</f>
        <v xml:space="preserve">NO </v>
      </c>
      <c r="I313" s="582" t="str">
        <f>+VLOOKUP(Tabla3[[#This Row],[PATENTE]],'BASE DATOS'!F:K,6,0)</f>
        <v>NO</v>
      </c>
      <c r="J313" s="582">
        <f>+VLOOKUP(Tabla3[[#This Row],[PATENTE]],'BASE DATOS'!F:L,7,0)</f>
        <v>2000</v>
      </c>
      <c r="K313" s="593">
        <f>+VLOOKUP(Tabla3[[#This Row],[PATENTE]],'BASE DATOS'!F:M,8,0)</f>
        <v>25</v>
      </c>
      <c r="N313" s="826"/>
      <c r="O313" s="1015"/>
      <c r="P313" s="1015"/>
      <c r="Q313" s="1015"/>
      <c r="R313" s="965" t="str">
        <f t="shared" si="8"/>
        <v>-</v>
      </c>
    </row>
    <row r="314" spans="1:18" hidden="1">
      <c r="A314" s="577" t="s">
        <v>946</v>
      </c>
      <c r="B314" s="582">
        <v>1</v>
      </c>
      <c r="C314" s="589">
        <v>45873</v>
      </c>
      <c r="D314" s="582">
        <f t="shared" si="10"/>
        <v>32</v>
      </c>
      <c r="E314" s="576" t="str">
        <f>+VLOOKUP(Tabla3[[#This Row],[PATENTE]],'BASE DATOS'!F:G,2,0)</f>
        <v xml:space="preserve">PRONTOMAR - DFE635 </v>
      </c>
      <c r="F314" s="582" t="str">
        <f>+VLOOKUP(Tabla3[[#This Row],[PATENTE]],'BASE DATOS'!F:H,3,0)</f>
        <v>14P</v>
      </c>
      <c r="G314" s="582" t="str">
        <f>+VLOOKUP(Tabla3[[#This Row],[PATENTE]],'BASE DATOS'!F:I,4,0)</f>
        <v>NO</v>
      </c>
      <c r="H314" s="584" t="str">
        <f>+VLOOKUP(Tabla3[[#This Row],[PATENTE]],'BASE DATOS'!F:J,5,0)</f>
        <v xml:space="preserve">NO </v>
      </c>
      <c r="I314" s="582" t="str">
        <f>+VLOOKUP(Tabla3[[#This Row],[PATENTE]],'BASE DATOS'!F:K,6,0)</f>
        <v>NO</v>
      </c>
      <c r="J314" s="582">
        <f>+VLOOKUP(Tabla3[[#This Row],[PATENTE]],'BASE DATOS'!F:L,7,0)</f>
        <v>2000</v>
      </c>
      <c r="K314" s="593">
        <f>+VLOOKUP(Tabla3[[#This Row],[PATENTE]],'BASE DATOS'!F:M,8,0)</f>
        <v>25</v>
      </c>
      <c r="N314" s="826"/>
      <c r="O314" s="1015"/>
      <c r="P314" s="1015"/>
      <c r="Q314" s="1015"/>
      <c r="R314" s="965" t="str">
        <f t="shared" si="8"/>
        <v>-</v>
      </c>
    </row>
    <row r="315" spans="1:18" hidden="1">
      <c r="A315" s="578" t="s">
        <v>918</v>
      </c>
      <c r="B315" s="584">
        <v>1</v>
      </c>
      <c r="C315" s="589">
        <v>45873</v>
      </c>
      <c r="D315" s="582">
        <f t="shared" si="10"/>
        <v>32</v>
      </c>
      <c r="E315" s="576" t="str">
        <f>+VLOOKUP(Tabla3[[#This Row],[PATENTE]],'BASE DATOS'!F:G,2,0)</f>
        <v>TRANSPORTE GENA GAIA - DGO507</v>
      </c>
      <c r="F315" s="582" t="str">
        <f>+VLOOKUP(Tabla3[[#This Row],[PATENTE]],'BASE DATOS'!F:H,3,0)</f>
        <v>24P</v>
      </c>
      <c r="G315" s="582" t="str">
        <f>+VLOOKUP(Tabla3[[#This Row],[PATENTE]],'BASE DATOS'!F:I,4,0)</f>
        <v>Gestya</v>
      </c>
      <c r="H315" s="584" t="str">
        <f>+VLOOKUP(Tabla3[[#This Row],[PATENTE]],'BASE DATOS'!F:J,5,0)</f>
        <v xml:space="preserve">NO </v>
      </c>
      <c r="I315" s="582" t="str">
        <f>+VLOOKUP(Tabla3[[#This Row],[PATENTE]],'BASE DATOS'!F:K,6,0)</f>
        <v>NO</v>
      </c>
      <c r="J315" s="582">
        <f>+VLOOKUP(Tabla3[[#This Row],[PATENTE]],'BASE DATOS'!F:L,7,0)</f>
        <v>2001</v>
      </c>
      <c r="K315" s="593">
        <f>+VLOOKUP(Tabla3[[#This Row],[PATENTE]],'BASE DATOS'!F:M,8,0)</f>
        <v>24</v>
      </c>
      <c r="N315" s="826"/>
      <c r="O315" s="1015"/>
      <c r="P315" s="1015"/>
      <c r="Q315" s="1015"/>
      <c r="R315" s="965" t="str">
        <f t="shared" si="8"/>
        <v>-</v>
      </c>
    </row>
    <row r="316" spans="1:18" hidden="1">
      <c r="A316" s="577" t="s">
        <v>1152</v>
      </c>
      <c r="B316" s="582">
        <v>1</v>
      </c>
      <c r="C316" s="589">
        <v>45873</v>
      </c>
      <c r="D316" s="582">
        <f t="shared" si="10"/>
        <v>32</v>
      </c>
      <c r="E316" s="576" t="str">
        <f>+VLOOKUP(Tabla3[[#This Row],[PATENTE]],'BASE DATOS'!F:G,2,0)</f>
        <v>PALADINI - DIP718 RETIRA CLIENTE</v>
      </c>
      <c r="F316" s="582" t="str">
        <f>+VLOOKUP(Tabla3[[#This Row],[PATENTE]],'BASE DATOS'!F:H,3,0)</f>
        <v>12P</v>
      </c>
      <c r="G316" s="582" t="str">
        <f>+VLOOKUP(Tabla3[[#This Row],[PATENTE]],'BASE DATOS'!F:I,4,0)</f>
        <v>NO</v>
      </c>
      <c r="H316" s="584" t="str">
        <f>+VLOOKUP(Tabla3[[#This Row],[PATENTE]],'BASE DATOS'!F:J,5,0)</f>
        <v xml:space="preserve">NO </v>
      </c>
      <c r="I316" s="582" t="str">
        <f>+VLOOKUP(Tabla3[[#This Row],[PATENTE]],'BASE DATOS'!F:K,6,0)</f>
        <v>NO</v>
      </c>
      <c r="J316" s="582">
        <f>+VLOOKUP(Tabla3[[#This Row],[PATENTE]],'BASE DATOS'!F:L,7,0)</f>
        <v>0</v>
      </c>
      <c r="K316" s="593">
        <f>+VLOOKUP(Tabla3[[#This Row],[PATENTE]],'BASE DATOS'!F:M,8,0)</f>
        <v>0</v>
      </c>
      <c r="N316" s="826"/>
      <c r="O316" s="1015"/>
      <c r="P316" s="1015"/>
      <c r="Q316" s="1015"/>
      <c r="R316" s="965" t="str">
        <f t="shared" si="8"/>
        <v>-</v>
      </c>
    </row>
    <row r="317" spans="1:18" hidden="1">
      <c r="A317" s="578" t="s">
        <v>1128</v>
      </c>
      <c r="B317" s="584">
        <v>1</v>
      </c>
      <c r="C317" s="873">
        <v>45873</v>
      </c>
      <c r="D317" s="582">
        <f t="shared" si="10"/>
        <v>32</v>
      </c>
      <c r="E317" s="576" t="str">
        <f>+VLOOKUP(Tabla3[[#This Row],[PATENTE]],'BASE DATOS'!F:G,2,0)</f>
        <v xml:space="preserve">PRONTOMAR - EDW922 </v>
      </c>
      <c r="F317" s="582" t="str">
        <f>+VLOOKUP(Tabla3[[#This Row],[PATENTE]],'BASE DATOS'!F:H,3,0)</f>
        <v>14P</v>
      </c>
      <c r="G317" s="582" t="str">
        <f>+VLOOKUP(Tabla3[[#This Row],[PATENTE]],'BASE DATOS'!F:I,4,0)</f>
        <v>NO</v>
      </c>
      <c r="H317" s="584" t="str">
        <f>+VLOOKUP(Tabla3[[#This Row],[PATENTE]],'BASE DATOS'!F:J,5,0)</f>
        <v xml:space="preserve">NO </v>
      </c>
      <c r="I317" s="582" t="str">
        <f>+VLOOKUP(Tabla3[[#This Row],[PATENTE]],'BASE DATOS'!F:K,6,0)</f>
        <v>NO</v>
      </c>
      <c r="J317" s="582">
        <f>+VLOOKUP(Tabla3[[#This Row],[PATENTE]],'BASE DATOS'!F:L,7,0)</f>
        <v>2003</v>
      </c>
      <c r="K317" s="593">
        <f>+VLOOKUP(Tabla3[[#This Row],[PATENTE]],'BASE DATOS'!F:M,8,0)</f>
        <v>22</v>
      </c>
      <c r="N317" s="826"/>
      <c r="O317" s="1015"/>
      <c r="P317" s="1015"/>
      <c r="Q317" s="1015"/>
      <c r="R317" s="965" t="str">
        <f t="shared" si="8"/>
        <v>-</v>
      </c>
    </row>
    <row r="318" spans="1:18" hidden="1">
      <c r="A318" s="577" t="s">
        <v>912</v>
      </c>
      <c r="B318" s="582">
        <v>6</v>
      </c>
      <c r="C318" s="588">
        <v>45880</v>
      </c>
      <c r="D318" s="582">
        <f t="shared" si="10"/>
        <v>33</v>
      </c>
      <c r="E318" s="576" t="str">
        <f>+VLOOKUP(Tabla3[[#This Row],[PATENTE]],'BASE DATOS'!F:G,2,0)</f>
        <v xml:space="preserve">PACHECO JULIO - AC028WN </v>
      </c>
      <c r="F318" s="582" t="str">
        <f>+VLOOKUP(Tabla3[[#This Row],[PATENTE]],'BASE DATOS'!F:H,3,0)</f>
        <v>8P</v>
      </c>
      <c r="G318" s="582" t="str">
        <f>+VLOOKUP(Tabla3[[#This Row],[PATENTE]],'BASE DATOS'!F:I,4,0)</f>
        <v>SI</v>
      </c>
      <c r="H318" s="584" t="str">
        <f>+VLOOKUP(Tabla3[[#This Row],[PATENTE]],'BASE DATOS'!F:J,5,0)</f>
        <v>SI</v>
      </c>
      <c r="I318" s="582" t="str">
        <f>+VLOOKUP(Tabla3[[#This Row],[PATENTE]],'BASE DATOS'!F:K,6,0)</f>
        <v>SI</v>
      </c>
      <c r="J318" s="582">
        <f>+VLOOKUP(Tabla3[[#This Row],[PATENTE]],'BASE DATOS'!F:L,7,0)</f>
        <v>2017</v>
      </c>
      <c r="K318" s="593">
        <f>+VLOOKUP(Tabla3[[#This Row],[PATENTE]],'BASE DATOS'!F:M,8,0)</f>
        <v>8</v>
      </c>
      <c r="N318" s="826"/>
      <c r="O318" s="1015"/>
      <c r="P318" s="1015"/>
      <c r="Q318" s="1015"/>
      <c r="R318" s="965" t="str">
        <f t="shared" si="8"/>
        <v>-</v>
      </c>
    </row>
    <row r="319" spans="1:18" hidden="1">
      <c r="A319" s="578" t="s">
        <v>880</v>
      </c>
      <c r="B319" s="584">
        <v>6</v>
      </c>
      <c r="C319" s="588">
        <v>45880</v>
      </c>
      <c r="D319" s="582">
        <f t="shared" si="10"/>
        <v>33</v>
      </c>
      <c r="E319" s="576" t="str">
        <f>+VLOOKUP(Tabla3[[#This Row],[PATENTE]],'BASE DATOS'!F:G,2,0)</f>
        <v xml:space="preserve">LAURIA (SERVAL) - AD575XK </v>
      </c>
      <c r="F319" s="582" t="str">
        <f>+VLOOKUP(Tabla3[[#This Row],[PATENTE]],'BASE DATOS'!F:H,3,0)</f>
        <v>8P</v>
      </c>
      <c r="G319" s="582" t="str">
        <f>+VLOOKUP(Tabla3[[#This Row],[PATENTE]],'BASE DATOS'!F:I,4,0)</f>
        <v>SI</v>
      </c>
      <c r="H319" s="584" t="str">
        <f>+VLOOKUP(Tabla3[[#This Row],[PATENTE]],'BASE DATOS'!F:J,5,0)</f>
        <v>SI</v>
      </c>
      <c r="I319" s="582" t="str">
        <f>+VLOOKUP(Tabla3[[#This Row],[PATENTE]],'BASE DATOS'!F:K,6,0)</f>
        <v>NO</v>
      </c>
      <c r="J319" s="582">
        <f>+VLOOKUP(Tabla3[[#This Row],[PATENTE]],'BASE DATOS'!F:L,7,0)</f>
        <v>2019</v>
      </c>
      <c r="K319" s="593">
        <f>+VLOOKUP(Tabla3[[#This Row],[PATENTE]],'BASE DATOS'!F:M,8,0)</f>
        <v>6</v>
      </c>
      <c r="N319" s="826"/>
      <c r="O319" s="1015"/>
      <c r="P319" s="1015"/>
      <c r="Q319" s="1015"/>
      <c r="R319" s="965" t="str">
        <f t="shared" si="8"/>
        <v>-</v>
      </c>
    </row>
    <row r="320" spans="1:18" hidden="1">
      <c r="A320" s="580" t="s">
        <v>922</v>
      </c>
      <c r="B320" s="586">
        <v>6</v>
      </c>
      <c r="C320" s="588">
        <v>45880</v>
      </c>
      <c r="D320" s="582">
        <f t="shared" si="10"/>
        <v>33</v>
      </c>
      <c r="E320" s="576" t="str">
        <f>+VLOOKUP(Tabla3[[#This Row],[PATENTE]],'BASE DATOS'!F:G,2,0)</f>
        <v>LAURIA (SERVAL) - AF342ZY</v>
      </c>
      <c r="F320" s="582" t="str">
        <f>+VLOOKUP(Tabla3[[#This Row],[PATENTE]],'BASE DATOS'!F:H,3,0)</f>
        <v>8P</v>
      </c>
      <c r="G320" s="582" t="str">
        <f>+VLOOKUP(Tabla3[[#This Row],[PATENTE]],'BASE DATOS'!F:I,4,0)</f>
        <v>SI</v>
      </c>
      <c r="H320" s="584" t="str">
        <f>+VLOOKUP(Tabla3[[#This Row],[PATENTE]],'BASE DATOS'!F:J,5,0)</f>
        <v>SI</v>
      </c>
      <c r="I320" s="582" t="str">
        <f>+VLOOKUP(Tabla3[[#This Row],[PATENTE]],'BASE DATOS'!F:K,6,0)</f>
        <v>NO</v>
      </c>
      <c r="J320" s="582">
        <f>+VLOOKUP(Tabla3[[#This Row],[PATENTE]],'BASE DATOS'!F:L,7,0)</f>
        <v>2022</v>
      </c>
      <c r="K320" s="593">
        <f>+VLOOKUP(Tabla3[[#This Row],[PATENTE]],'BASE DATOS'!F:M,8,0)</f>
        <v>3</v>
      </c>
      <c r="N320" s="826"/>
      <c r="O320" s="1015"/>
      <c r="P320" s="1015"/>
      <c r="Q320" s="1015"/>
      <c r="R320" s="965" t="str">
        <f t="shared" si="8"/>
        <v>-</v>
      </c>
    </row>
    <row r="321" spans="1:18" hidden="1">
      <c r="A321" s="578" t="s">
        <v>904</v>
      </c>
      <c r="B321" s="584">
        <v>6</v>
      </c>
      <c r="C321" s="588">
        <v>45880</v>
      </c>
      <c r="D321" s="582">
        <f t="shared" si="10"/>
        <v>33</v>
      </c>
      <c r="E321" s="576" t="str">
        <f>+VLOOKUP(Tabla3[[#This Row],[PATENTE]],'BASE DATOS'!F:G,2,0)</f>
        <v xml:space="preserve">ENRIQUE ROLLINO - DFO656 </v>
      </c>
      <c r="F321" s="582" t="str">
        <f>+VLOOKUP(Tabla3[[#This Row],[PATENTE]],'BASE DATOS'!F:H,3,0)</f>
        <v>6P</v>
      </c>
      <c r="G321" s="582" t="str">
        <f>+VLOOKUP(Tabla3[[#This Row],[PATENTE]],'BASE DATOS'!F:I,4,0)</f>
        <v>SI</v>
      </c>
      <c r="H321" s="584" t="str">
        <f>+VLOOKUP(Tabla3[[#This Row],[PATENTE]],'BASE DATOS'!F:J,5,0)</f>
        <v>SI</v>
      </c>
      <c r="I321" s="582" t="str">
        <f>+VLOOKUP(Tabla3[[#This Row],[PATENTE]],'BASE DATOS'!F:K,6,0)</f>
        <v>NO</v>
      </c>
      <c r="J321" s="582">
        <f>+VLOOKUP(Tabla3[[#This Row],[PATENTE]],'BASE DATOS'!F:L,7,0)</f>
        <v>2000</v>
      </c>
      <c r="K321" s="593">
        <f>+VLOOKUP(Tabla3[[#This Row],[PATENTE]],'BASE DATOS'!F:M,8,0)</f>
        <v>25</v>
      </c>
      <c r="N321" s="826"/>
      <c r="O321" s="1015"/>
      <c r="P321" s="1015"/>
      <c r="Q321" s="1015"/>
      <c r="R321" s="965" t="str">
        <f t="shared" si="8"/>
        <v>-</v>
      </c>
    </row>
    <row r="322" spans="1:18" hidden="1">
      <c r="A322" s="577" t="s">
        <v>881</v>
      </c>
      <c r="B322" s="582">
        <v>6</v>
      </c>
      <c r="C322" s="588">
        <v>45880</v>
      </c>
      <c r="D322" s="582">
        <f t="shared" si="10"/>
        <v>33</v>
      </c>
      <c r="E322" s="576" t="str">
        <f>+VLOOKUP(Tabla3[[#This Row],[PATENTE]],'BASE DATOS'!F:G,2,0)</f>
        <v xml:space="preserve">MAÑAS NORBERTO - DUQ686 </v>
      </c>
      <c r="F322" s="582" t="str">
        <f>+VLOOKUP(Tabla3[[#This Row],[PATENTE]],'BASE DATOS'!F:H,3,0)</f>
        <v>8P</v>
      </c>
      <c r="G322" s="582" t="str">
        <f>+VLOOKUP(Tabla3[[#This Row],[PATENTE]],'BASE DATOS'!F:I,4,0)</f>
        <v>SI</v>
      </c>
      <c r="H322" s="584" t="str">
        <f>+VLOOKUP(Tabla3[[#This Row],[PATENTE]],'BASE DATOS'!F:J,5,0)</f>
        <v>SI</v>
      </c>
      <c r="I322" s="582" t="str">
        <f>+VLOOKUP(Tabla3[[#This Row],[PATENTE]],'BASE DATOS'!F:K,6,0)</f>
        <v>NO</v>
      </c>
      <c r="J322" s="582">
        <f>+VLOOKUP(Tabla3[[#This Row],[PATENTE]],'BASE DATOS'!F:L,7,0)</f>
        <v>2001</v>
      </c>
      <c r="K322" s="593">
        <f>+VLOOKUP(Tabla3[[#This Row],[PATENTE]],'BASE DATOS'!F:M,8,0)</f>
        <v>24</v>
      </c>
      <c r="N322" s="826"/>
      <c r="O322" s="1015"/>
      <c r="P322" s="1015"/>
      <c r="Q322" s="1015"/>
      <c r="R322" s="965" t="str">
        <f t="shared" ref="R322:R385" si="11">IFERROR(AVERAGE(O322:Q322),"-")</f>
        <v>-</v>
      </c>
    </row>
    <row r="323" spans="1:18" hidden="1">
      <c r="A323" s="578" t="s">
        <v>892</v>
      </c>
      <c r="B323" s="584">
        <v>6</v>
      </c>
      <c r="C323" s="588">
        <v>45880</v>
      </c>
      <c r="D323" s="582">
        <f t="shared" si="10"/>
        <v>33</v>
      </c>
      <c r="E323" s="576" t="str">
        <f>+VLOOKUP(Tabla3[[#This Row],[PATENTE]],'BASE DATOS'!F:G,2,0)</f>
        <v xml:space="preserve">COLO - FTL525 </v>
      </c>
      <c r="F323" s="582" t="str">
        <f>+VLOOKUP(Tabla3[[#This Row],[PATENTE]],'BASE DATOS'!F:H,3,0)</f>
        <v>1P</v>
      </c>
      <c r="G323" s="582" t="str">
        <f>+VLOOKUP(Tabla3[[#This Row],[PATENTE]],'BASE DATOS'!F:I,4,0)</f>
        <v>NO</v>
      </c>
      <c r="H323" s="584" t="str">
        <f>+VLOOKUP(Tabla3[[#This Row],[PATENTE]],'BASE DATOS'!F:J,5,0)</f>
        <v>SI</v>
      </c>
      <c r="I323" s="582" t="str">
        <f>+VLOOKUP(Tabla3[[#This Row],[PATENTE]],'BASE DATOS'!F:K,6,0)</f>
        <v>NO</v>
      </c>
      <c r="J323" s="582">
        <f>+VLOOKUP(Tabla3[[#This Row],[PATENTE]],'BASE DATOS'!F:L,7,0)</f>
        <v>2008</v>
      </c>
      <c r="K323" s="593">
        <f>+VLOOKUP(Tabla3[[#This Row],[PATENTE]],'BASE DATOS'!F:M,8,0)</f>
        <v>17</v>
      </c>
      <c r="N323" s="826"/>
      <c r="O323" s="1015"/>
      <c r="P323" s="1015"/>
      <c r="Q323" s="1015"/>
      <c r="R323" s="965" t="str">
        <f t="shared" si="11"/>
        <v>-</v>
      </c>
    </row>
    <row r="324" spans="1:18" hidden="1">
      <c r="A324" s="577" t="s">
        <v>891</v>
      </c>
      <c r="B324" s="582">
        <v>6</v>
      </c>
      <c r="C324" s="588">
        <v>45880</v>
      </c>
      <c r="D324" s="582">
        <f t="shared" si="10"/>
        <v>33</v>
      </c>
      <c r="E324" s="576" t="str">
        <f>+VLOOKUP(Tabla3[[#This Row],[PATENTE]],'BASE DATOS'!F:G,2,0)</f>
        <v xml:space="preserve">GANZINI HUGO - HHA085 </v>
      </c>
      <c r="F324" s="582" t="str">
        <f>+VLOOKUP(Tabla3[[#This Row],[PATENTE]],'BASE DATOS'!F:H,3,0)</f>
        <v>2P</v>
      </c>
      <c r="G324" s="582" t="str">
        <f>+VLOOKUP(Tabla3[[#This Row],[PATENTE]],'BASE DATOS'!F:I,4,0)</f>
        <v>SI</v>
      </c>
      <c r="H324" s="584" t="str">
        <f>+VLOOKUP(Tabla3[[#This Row],[PATENTE]],'BASE DATOS'!F:J,5,0)</f>
        <v>SI</v>
      </c>
      <c r="I324" s="582" t="str">
        <f>+VLOOKUP(Tabla3[[#This Row],[PATENTE]],'BASE DATOS'!F:K,6,0)</f>
        <v>NO</v>
      </c>
      <c r="J324" s="582">
        <f>+VLOOKUP(Tabla3[[#This Row],[PATENTE]],'BASE DATOS'!F:L,7,0)</f>
        <v>2008</v>
      </c>
      <c r="K324" s="593">
        <f>+VLOOKUP(Tabla3[[#This Row],[PATENTE]],'BASE DATOS'!F:M,8,0)</f>
        <v>17</v>
      </c>
      <c r="N324" s="826"/>
      <c r="O324" s="1015"/>
      <c r="P324" s="1015"/>
      <c r="Q324" s="1015"/>
      <c r="R324" s="965" t="str">
        <f t="shared" si="11"/>
        <v>-</v>
      </c>
    </row>
    <row r="325" spans="1:18" hidden="1">
      <c r="A325" s="578" t="s">
        <v>885</v>
      </c>
      <c r="B325" s="584">
        <v>6</v>
      </c>
      <c r="C325" s="588">
        <v>45880</v>
      </c>
      <c r="D325" s="582">
        <f t="shared" si="10"/>
        <v>33</v>
      </c>
      <c r="E325" s="576" t="str">
        <f>+VLOOKUP(Tabla3[[#This Row],[PATENTE]],'BASE DATOS'!F:G,2,0)</f>
        <v xml:space="preserve">TRANSP DON NENO - IES288 </v>
      </c>
      <c r="F325" s="582" t="str">
        <f>+VLOOKUP(Tabla3[[#This Row],[PATENTE]],'BASE DATOS'!F:H,3,0)</f>
        <v>2P</v>
      </c>
      <c r="G325" s="582" t="str">
        <f>+VLOOKUP(Tabla3[[#This Row],[PATENTE]],'BASE DATOS'!F:I,4,0)</f>
        <v>SI</v>
      </c>
      <c r="H325" s="584" t="str">
        <f>+VLOOKUP(Tabla3[[#This Row],[PATENTE]],'BASE DATOS'!F:J,5,0)</f>
        <v>SI</v>
      </c>
      <c r="I325" s="582" t="str">
        <f>+VLOOKUP(Tabla3[[#This Row],[PATENTE]],'BASE DATOS'!F:K,6,0)</f>
        <v>NO</v>
      </c>
      <c r="J325" s="582">
        <f>+VLOOKUP(Tabla3[[#This Row],[PATENTE]],'BASE DATOS'!F:L,7,0)</f>
        <v>2009</v>
      </c>
      <c r="K325" s="593">
        <f>+VLOOKUP(Tabla3[[#This Row],[PATENTE]],'BASE DATOS'!F:M,8,0)</f>
        <v>16</v>
      </c>
      <c r="N325" s="826"/>
      <c r="O325" s="1015"/>
      <c r="P325" s="1015"/>
      <c r="Q325" s="1015"/>
      <c r="R325" s="965" t="str">
        <f t="shared" si="11"/>
        <v>-</v>
      </c>
    </row>
    <row r="326" spans="1:18" hidden="1">
      <c r="A326" s="577" t="s">
        <v>925</v>
      </c>
      <c r="B326" s="582">
        <v>6</v>
      </c>
      <c r="C326" s="588">
        <v>45880</v>
      </c>
      <c r="D326" s="582">
        <f t="shared" si="10"/>
        <v>33</v>
      </c>
      <c r="E326" s="576" t="str">
        <f>+VLOOKUP(Tabla3[[#This Row],[PATENTE]],'BASE DATOS'!F:G,2,0)</f>
        <v xml:space="preserve">TRANSP MAIDANA FACUNDO - KOW745 </v>
      </c>
      <c r="F326" s="582" t="str">
        <f>+VLOOKUP(Tabla3[[#This Row],[PATENTE]],'BASE DATOS'!F:H,3,0)</f>
        <v>8P</v>
      </c>
      <c r="G326" s="582" t="str">
        <f>+VLOOKUP(Tabla3[[#This Row],[PATENTE]],'BASE DATOS'!F:I,4,0)</f>
        <v>SI</v>
      </c>
      <c r="H326" s="584" t="str">
        <f>+VLOOKUP(Tabla3[[#This Row],[PATENTE]],'BASE DATOS'!F:J,5,0)</f>
        <v>SI</v>
      </c>
      <c r="I326" s="582" t="str">
        <f>+VLOOKUP(Tabla3[[#This Row],[PATENTE]],'BASE DATOS'!F:K,6,0)</f>
        <v>NO</v>
      </c>
      <c r="J326" s="582">
        <f>+VLOOKUP(Tabla3[[#This Row],[PATENTE]],'BASE DATOS'!F:L,7,0)</f>
        <v>2012</v>
      </c>
      <c r="K326" s="593">
        <f>+VLOOKUP(Tabla3[[#This Row],[PATENTE]],'BASE DATOS'!F:M,8,0)</f>
        <v>13</v>
      </c>
      <c r="N326" s="826"/>
      <c r="O326" s="1015"/>
      <c r="P326" s="1015"/>
      <c r="Q326" s="1015"/>
      <c r="R326" s="965" t="str">
        <f t="shared" si="11"/>
        <v>-</v>
      </c>
    </row>
    <row r="327" spans="1:18" hidden="1">
      <c r="A327" s="578" t="s">
        <v>920</v>
      </c>
      <c r="B327" s="584">
        <v>6</v>
      </c>
      <c r="C327" s="588">
        <v>45880</v>
      </c>
      <c r="D327" s="582">
        <f t="shared" si="10"/>
        <v>33</v>
      </c>
      <c r="E327" s="576" t="str">
        <f>+VLOOKUP(Tabla3[[#This Row],[PATENTE]],'BASE DATOS'!F:G,2,0)</f>
        <v xml:space="preserve">TRANSP LAGOS - MRV682 </v>
      </c>
      <c r="F327" s="582" t="str">
        <f>+VLOOKUP(Tabla3[[#This Row],[PATENTE]],'BASE DATOS'!F:H,3,0)</f>
        <v>8P</v>
      </c>
      <c r="G327" s="582" t="str">
        <f>+VLOOKUP(Tabla3[[#This Row],[PATENTE]],'BASE DATOS'!F:I,4,0)</f>
        <v>SI</v>
      </c>
      <c r="H327" s="584" t="str">
        <f>+VLOOKUP(Tabla3[[#This Row],[PATENTE]],'BASE DATOS'!F:J,5,0)</f>
        <v>SI</v>
      </c>
      <c r="I327" s="582" t="str">
        <f>+VLOOKUP(Tabla3[[#This Row],[PATENTE]],'BASE DATOS'!F:K,6,0)</f>
        <v>NO</v>
      </c>
      <c r="J327" s="582">
        <f>+VLOOKUP(Tabla3[[#This Row],[PATENTE]],'BASE DATOS'!F:L,7,0)</f>
        <v>2013</v>
      </c>
      <c r="K327" s="593">
        <f>+VLOOKUP(Tabla3[[#This Row],[PATENTE]],'BASE DATOS'!F:M,8,0)</f>
        <v>12</v>
      </c>
      <c r="N327" s="826"/>
      <c r="O327" s="1015"/>
      <c r="P327" s="1015"/>
      <c r="Q327" s="1015"/>
      <c r="R327" s="965" t="str">
        <f t="shared" si="11"/>
        <v>-</v>
      </c>
    </row>
    <row r="328" spans="1:18" hidden="1">
      <c r="A328" s="577" t="s">
        <v>898</v>
      </c>
      <c r="B328" s="582">
        <v>6</v>
      </c>
      <c r="C328" s="588">
        <v>45880</v>
      </c>
      <c r="D328" s="582">
        <f t="shared" si="10"/>
        <v>33</v>
      </c>
      <c r="E328" s="576" t="str">
        <f>+VLOOKUP(Tabla3[[#This Row],[PATENTE]],'BASE DATOS'!F:G,2,0)</f>
        <v xml:space="preserve">TRANSP BERMEJO - NXP980 </v>
      </c>
      <c r="F328" s="582" t="str">
        <f>+VLOOKUP(Tabla3[[#This Row],[PATENTE]],'BASE DATOS'!F:H,3,0)</f>
        <v>12P</v>
      </c>
      <c r="G328" s="582" t="str">
        <f>+VLOOKUP(Tabla3[[#This Row],[PATENTE]],'BASE DATOS'!F:I,4,0)</f>
        <v>SI</v>
      </c>
      <c r="H328" s="584" t="str">
        <f>+VLOOKUP(Tabla3[[#This Row],[PATENTE]],'BASE DATOS'!F:J,5,0)</f>
        <v>SI</v>
      </c>
      <c r="I328" s="582" t="str">
        <f>+VLOOKUP(Tabla3[[#This Row],[PATENTE]],'BASE DATOS'!F:K,6,0)</f>
        <v>SI</v>
      </c>
      <c r="J328" s="582">
        <f>+VLOOKUP(Tabla3[[#This Row],[PATENTE]],'BASE DATOS'!F:L,7,0)</f>
        <v>2015</v>
      </c>
      <c r="K328" s="593">
        <f>+VLOOKUP(Tabla3[[#This Row],[PATENTE]],'BASE DATOS'!F:M,8,0)</f>
        <v>10</v>
      </c>
      <c r="N328" s="826"/>
      <c r="O328" s="1015"/>
      <c r="P328" s="1015"/>
      <c r="Q328" s="1015"/>
      <c r="R328" s="965" t="str">
        <f t="shared" si="11"/>
        <v>-</v>
      </c>
    </row>
    <row r="329" spans="1:18" hidden="1">
      <c r="A329" s="578" t="s">
        <v>905</v>
      </c>
      <c r="B329" s="584">
        <v>5</v>
      </c>
      <c r="C329" s="588">
        <v>45880</v>
      </c>
      <c r="D329" s="582">
        <f t="shared" si="10"/>
        <v>33</v>
      </c>
      <c r="E329" s="576" t="str">
        <f>+VLOOKUP(Tabla3[[#This Row],[PATENTE]],'BASE DATOS'!F:G,2,0)</f>
        <v xml:space="preserve">J RIMOLDI - AB312SE </v>
      </c>
      <c r="F329" s="582" t="str">
        <f>+VLOOKUP(Tabla3[[#This Row],[PATENTE]],'BASE DATOS'!F:H,3,0)</f>
        <v>8P</v>
      </c>
      <c r="G329" s="582" t="str">
        <f>+VLOOKUP(Tabla3[[#This Row],[PATENTE]],'BASE DATOS'!F:I,4,0)</f>
        <v>SI</v>
      </c>
      <c r="H329" s="584" t="str">
        <f>+VLOOKUP(Tabla3[[#This Row],[PATENTE]],'BASE DATOS'!F:J,5,0)</f>
        <v>SI</v>
      </c>
      <c r="I329" s="582" t="str">
        <f>+VLOOKUP(Tabla3[[#This Row],[PATENTE]],'BASE DATOS'!F:K,6,0)</f>
        <v>NO</v>
      </c>
      <c r="J329" s="582">
        <f>+VLOOKUP(Tabla3[[#This Row],[PATENTE]],'BASE DATOS'!F:L,7,0)</f>
        <v>2017</v>
      </c>
      <c r="K329" s="593">
        <f>+VLOOKUP(Tabla3[[#This Row],[PATENTE]],'BASE DATOS'!F:M,8,0)</f>
        <v>8</v>
      </c>
      <c r="N329" s="826"/>
      <c r="O329" s="1015"/>
      <c r="P329" s="1015"/>
      <c r="Q329" s="1015"/>
      <c r="R329" s="965" t="str">
        <f t="shared" si="11"/>
        <v>-</v>
      </c>
    </row>
    <row r="330" spans="1:18" hidden="1">
      <c r="A330" s="577" t="s">
        <v>906</v>
      </c>
      <c r="B330" s="582">
        <v>5</v>
      </c>
      <c r="C330" s="588">
        <v>45880</v>
      </c>
      <c r="D330" s="582">
        <f t="shared" si="10"/>
        <v>33</v>
      </c>
      <c r="E330" s="576" t="str">
        <f>+VLOOKUP(Tabla3[[#This Row],[PATENTE]],'BASE DATOS'!F:G,2,0)</f>
        <v xml:space="preserve">VAZQUEZ (TRV SRL) - AD472GK </v>
      </c>
      <c r="F330" s="582" t="str">
        <f>+VLOOKUP(Tabla3[[#This Row],[PATENTE]],'BASE DATOS'!F:H,3,0)</f>
        <v>8P</v>
      </c>
      <c r="G330" s="582" t="str">
        <f>+VLOOKUP(Tabla3[[#This Row],[PATENTE]],'BASE DATOS'!F:I,4,0)</f>
        <v>NO</v>
      </c>
      <c r="H330" s="584" t="str">
        <f>+VLOOKUP(Tabla3[[#This Row],[PATENTE]],'BASE DATOS'!F:J,5,0)</f>
        <v>NO</v>
      </c>
      <c r="I330" s="582" t="str">
        <f>+VLOOKUP(Tabla3[[#This Row],[PATENTE]],'BASE DATOS'!F:K,6,0)</f>
        <v>SI</v>
      </c>
      <c r="J330" s="582">
        <f>+VLOOKUP(Tabla3[[#This Row],[PATENTE]],'BASE DATOS'!F:L,7,0)</f>
        <v>2019</v>
      </c>
      <c r="K330" s="593">
        <f>+VLOOKUP(Tabla3[[#This Row],[PATENTE]],'BASE DATOS'!F:M,8,0)</f>
        <v>6</v>
      </c>
      <c r="N330" s="826"/>
      <c r="O330" s="1015"/>
      <c r="P330" s="1015"/>
      <c r="Q330" s="1015"/>
      <c r="R330" s="965" t="str">
        <f t="shared" si="11"/>
        <v>-</v>
      </c>
    </row>
    <row r="331" spans="1:18" hidden="1">
      <c r="A331" s="578" t="s">
        <v>903</v>
      </c>
      <c r="B331" s="584">
        <v>5</v>
      </c>
      <c r="C331" s="588">
        <v>45880</v>
      </c>
      <c r="D331" s="582">
        <f t="shared" ref="D331:D369" si="12">+WEEKNUM(C331)</f>
        <v>33</v>
      </c>
      <c r="E331" s="576" t="str">
        <f>+VLOOKUP(Tabla3[[#This Row],[PATENTE]],'BASE DATOS'!F:G,2,0)</f>
        <v xml:space="preserve">TRANSP CLAUDIO BUSTOS - AG243PE </v>
      </c>
      <c r="F331" s="582" t="str">
        <f>+VLOOKUP(Tabla3[[#This Row],[PATENTE]],'BASE DATOS'!F:H,3,0)</f>
        <v>1P</v>
      </c>
      <c r="G331" s="582" t="str">
        <f>+VLOOKUP(Tabla3[[#This Row],[PATENTE]],'BASE DATOS'!F:I,4,0)</f>
        <v>SI</v>
      </c>
      <c r="H331" s="584" t="str">
        <f>+VLOOKUP(Tabla3[[#This Row],[PATENTE]],'BASE DATOS'!F:J,5,0)</f>
        <v>SI</v>
      </c>
      <c r="I331" s="582" t="str">
        <f>+VLOOKUP(Tabla3[[#This Row],[PATENTE]],'BASE DATOS'!F:K,6,0)</f>
        <v>NO</v>
      </c>
      <c r="J331" s="582">
        <f>+VLOOKUP(Tabla3[[#This Row],[PATENTE]],'BASE DATOS'!F:L,7,0)</f>
        <v>2024</v>
      </c>
      <c r="K331" s="593">
        <f>+VLOOKUP(Tabla3[[#This Row],[PATENTE]],'BASE DATOS'!F:M,8,0)</f>
        <v>1</v>
      </c>
      <c r="N331" s="826"/>
      <c r="O331" s="1015"/>
      <c r="P331" s="1015"/>
      <c r="Q331" s="1015"/>
      <c r="R331" s="965" t="str">
        <f t="shared" si="11"/>
        <v>-</v>
      </c>
    </row>
    <row r="332" spans="1:18" hidden="1">
      <c r="A332" s="577" t="s">
        <v>907</v>
      </c>
      <c r="B332" s="582">
        <v>5</v>
      </c>
      <c r="C332" s="588">
        <v>45880</v>
      </c>
      <c r="D332" s="582">
        <f t="shared" si="12"/>
        <v>33</v>
      </c>
      <c r="E332" s="576" t="str">
        <f>+VLOOKUP(Tabla3[[#This Row],[PATENTE]],'BASE DATOS'!F:G,2,0)</f>
        <v xml:space="preserve">LAURIA (SERVAL) - AH583GW </v>
      </c>
      <c r="F332" s="582" t="str">
        <f>+VLOOKUP(Tabla3[[#This Row],[PATENTE]],'BASE DATOS'!F:H,3,0)</f>
        <v>8P</v>
      </c>
      <c r="G332" s="582" t="str">
        <f>+VLOOKUP(Tabla3[[#This Row],[PATENTE]],'BASE DATOS'!F:I,4,0)</f>
        <v>SI</v>
      </c>
      <c r="H332" s="584" t="str">
        <f>+VLOOKUP(Tabla3[[#This Row],[PATENTE]],'BASE DATOS'!F:J,5,0)</f>
        <v>SI</v>
      </c>
      <c r="I332" s="582" t="str">
        <f>+VLOOKUP(Tabla3[[#This Row],[PATENTE]],'BASE DATOS'!F:K,6,0)</f>
        <v>NO</v>
      </c>
      <c r="J332" s="582">
        <f>+VLOOKUP(Tabla3[[#This Row],[PATENTE]],'BASE DATOS'!F:L,7,0)</f>
        <v>2025</v>
      </c>
      <c r="K332" s="593">
        <f>+VLOOKUP(Tabla3[[#This Row],[PATENTE]],'BASE DATOS'!F:M,8,0)</f>
        <v>0</v>
      </c>
      <c r="N332" s="826"/>
      <c r="O332" s="1015"/>
      <c r="P332" s="1015"/>
      <c r="Q332" s="1015"/>
      <c r="R332" s="965" t="str">
        <f t="shared" si="11"/>
        <v>-</v>
      </c>
    </row>
    <row r="333" spans="1:18" hidden="1">
      <c r="A333" s="578" t="s">
        <v>887</v>
      </c>
      <c r="B333" s="584">
        <v>5</v>
      </c>
      <c r="C333" s="588">
        <v>45880</v>
      </c>
      <c r="D333" s="582">
        <f t="shared" si="12"/>
        <v>33</v>
      </c>
      <c r="E333" s="576" t="str">
        <f>+VLOOKUP(Tabla3[[#This Row],[PATENTE]],'BASE DATOS'!F:G,2,0)</f>
        <v>ENRIQUE ROLLINO - BXB394</v>
      </c>
      <c r="F333" s="582" t="str">
        <f>+VLOOKUP(Tabla3[[#This Row],[PATENTE]],'BASE DATOS'!F:H,3,0)</f>
        <v>2P</v>
      </c>
      <c r="G333" s="582" t="str">
        <f>+VLOOKUP(Tabla3[[#This Row],[PATENTE]],'BASE DATOS'!F:I,4,0)</f>
        <v>SI</v>
      </c>
      <c r="H333" s="584" t="str">
        <f>+VLOOKUP(Tabla3[[#This Row],[PATENTE]],'BASE DATOS'!F:J,5,0)</f>
        <v>SI</v>
      </c>
      <c r="I333" s="582" t="str">
        <f>+VLOOKUP(Tabla3[[#This Row],[PATENTE]],'BASE DATOS'!F:K,6,0)</f>
        <v>NO</v>
      </c>
      <c r="J333" s="582">
        <f>+VLOOKUP(Tabla3[[#This Row],[PATENTE]],'BASE DATOS'!F:L,7,0)</f>
        <v>1998</v>
      </c>
      <c r="K333" s="593">
        <f>+VLOOKUP(Tabla3[[#This Row],[PATENTE]],'BASE DATOS'!F:M,8,0)</f>
        <v>27</v>
      </c>
      <c r="N333" s="826"/>
      <c r="O333" s="1015"/>
      <c r="P333" s="1015"/>
      <c r="Q333" s="1015"/>
      <c r="R333" s="965" t="str">
        <f t="shared" si="11"/>
        <v>-</v>
      </c>
    </row>
    <row r="334" spans="1:18" hidden="1">
      <c r="A334" s="577" t="s">
        <v>932</v>
      </c>
      <c r="B334" s="582">
        <v>5</v>
      </c>
      <c r="C334" s="588">
        <v>45880</v>
      </c>
      <c r="D334" s="582">
        <f t="shared" si="12"/>
        <v>33</v>
      </c>
      <c r="E334" s="576" t="str">
        <f>+VLOOKUP(Tabla3[[#This Row],[PATENTE]],'BASE DATOS'!F:G,2,0)</f>
        <v xml:space="preserve">TRANSP MAVIR - EFL176 </v>
      </c>
      <c r="F334" s="582" t="str">
        <f>+VLOOKUP(Tabla3[[#This Row],[PATENTE]],'BASE DATOS'!F:H,3,0)</f>
        <v>12P</v>
      </c>
      <c r="G334" s="582" t="str">
        <f>+VLOOKUP(Tabla3[[#This Row],[PATENTE]],'BASE DATOS'!F:I,4,0)</f>
        <v>SI</v>
      </c>
      <c r="H334" s="584" t="str">
        <f>+VLOOKUP(Tabla3[[#This Row],[PATENTE]],'BASE DATOS'!F:J,5,0)</f>
        <v>SI</v>
      </c>
      <c r="I334" s="582" t="str">
        <f>+VLOOKUP(Tabla3[[#This Row],[PATENTE]],'BASE DATOS'!F:K,6,0)</f>
        <v>NO</v>
      </c>
      <c r="J334" s="582">
        <f>+VLOOKUP(Tabla3[[#This Row],[PATENTE]],'BASE DATOS'!F:L,7,0)</f>
        <v>1998</v>
      </c>
      <c r="K334" s="593">
        <f>+VLOOKUP(Tabla3[[#This Row],[PATENTE]],'BASE DATOS'!F:M,8,0)</f>
        <v>27</v>
      </c>
      <c r="N334" s="826"/>
      <c r="O334" s="1015"/>
      <c r="P334" s="1015"/>
      <c r="Q334" s="1015"/>
      <c r="R334" s="965" t="str">
        <f t="shared" si="11"/>
        <v>-</v>
      </c>
    </row>
    <row r="335" spans="1:18" hidden="1">
      <c r="A335" s="578" t="s">
        <v>901</v>
      </c>
      <c r="B335" s="584">
        <v>5</v>
      </c>
      <c r="C335" s="588">
        <v>45880</v>
      </c>
      <c r="D335" s="582">
        <f t="shared" si="12"/>
        <v>33</v>
      </c>
      <c r="E335" s="576" t="str">
        <f>+VLOOKUP(Tabla3[[#This Row],[PATENTE]],'BASE DATOS'!F:G,2,0)</f>
        <v xml:space="preserve">TRANSPORTE  GRACIELA - IYE750 </v>
      </c>
      <c r="F335" s="582" t="str">
        <f>+VLOOKUP(Tabla3[[#This Row],[PATENTE]],'BASE DATOS'!F:H,3,0)</f>
        <v>1P</v>
      </c>
      <c r="G335" s="582" t="str">
        <f>+VLOOKUP(Tabla3[[#This Row],[PATENTE]],'BASE DATOS'!F:I,4,0)</f>
        <v>NO</v>
      </c>
      <c r="H335" s="584" t="str">
        <f>+VLOOKUP(Tabla3[[#This Row],[PATENTE]],'BASE DATOS'!F:J,5,0)</f>
        <v>SI</v>
      </c>
      <c r="I335" s="582" t="str">
        <f>+VLOOKUP(Tabla3[[#This Row],[PATENTE]],'BASE DATOS'!F:K,6,0)</f>
        <v>NO</v>
      </c>
      <c r="J335" s="582">
        <f>+VLOOKUP(Tabla3[[#This Row],[PATENTE]],'BASE DATOS'!F:L,7,0)</f>
        <v>2009</v>
      </c>
      <c r="K335" s="593">
        <f>+VLOOKUP(Tabla3[[#This Row],[PATENTE]],'BASE DATOS'!F:M,8,0)</f>
        <v>16</v>
      </c>
      <c r="N335" s="826"/>
      <c r="O335" s="1015"/>
      <c r="P335" s="1015"/>
      <c r="Q335" s="1015"/>
      <c r="R335" s="965" t="str">
        <f t="shared" si="11"/>
        <v>-</v>
      </c>
    </row>
    <row r="336" spans="1:18" hidden="1">
      <c r="A336" s="577" t="s">
        <v>913</v>
      </c>
      <c r="B336" s="582">
        <v>5</v>
      </c>
      <c r="C336" s="588">
        <v>45880</v>
      </c>
      <c r="D336" s="582">
        <f t="shared" si="12"/>
        <v>33</v>
      </c>
      <c r="E336" s="576" t="str">
        <f>+VLOOKUP(Tabla3[[#This Row],[PATENTE]],'BASE DATOS'!F:G,2,0)</f>
        <v xml:space="preserve">TRANSP DON NENO - KSI803 </v>
      </c>
      <c r="F336" s="582" t="str">
        <f>+VLOOKUP(Tabla3[[#This Row],[PATENTE]],'BASE DATOS'!F:H,3,0)</f>
        <v>2P</v>
      </c>
      <c r="G336" s="582" t="str">
        <f>+VLOOKUP(Tabla3[[#This Row],[PATENTE]],'BASE DATOS'!F:I,4,0)</f>
        <v>SI</v>
      </c>
      <c r="H336" s="584" t="str">
        <f>+VLOOKUP(Tabla3[[#This Row],[PATENTE]],'BASE DATOS'!F:J,5,0)</f>
        <v>SI</v>
      </c>
      <c r="I336" s="582" t="str">
        <f>+VLOOKUP(Tabla3[[#This Row],[PATENTE]],'BASE DATOS'!F:K,6,0)</f>
        <v>NO</v>
      </c>
      <c r="J336" s="582">
        <f>+VLOOKUP(Tabla3[[#This Row],[PATENTE]],'BASE DATOS'!F:L,7,0)</f>
        <v>2012</v>
      </c>
      <c r="K336" s="593">
        <f>+VLOOKUP(Tabla3[[#This Row],[PATENTE]],'BASE DATOS'!F:M,8,0)</f>
        <v>13</v>
      </c>
      <c r="N336" s="826"/>
      <c r="O336" s="1015"/>
      <c r="P336" s="1015"/>
      <c r="Q336" s="1015"/>
      <c r="R336" s="965" t="str">
        <f t="shared" si="11"/>
        <v>-</v>
      </c>
    </row>
    <row r="337" spans="1:18" hidden="1">
      <c r="A337" s="578" t="s">
        <v>897</v>
      </c>
      <c r="B337" s="584">
        <v>5</v>
      </c>
      <c r="C337" s="588">
        <v>45880</v>
      </c>
      <c r="D337" s="582">
        <f t="shared" si="12"/>
        <v>33</v>
      </c>
      <c r="E337" s="576" t="str">
        <f>+VLOOKUP(Tabla3[[#This Row],[PATENTE]],'BASE DATOS'!F:G,2,0)</f>
        <v xml:space="preserve">TRANSP CLAUDIO BUSTOS - LSG801 </v>
      </c>
      <c r="F337" s="582" t="str">
        <f>+VLOOKUP(Tabla3[[#This Row],[PATENTE]],'BASE DATOS'!F:H,3,0)</f>
        <v>2P</v>
      </c>
      <c r="G337" s="582" t="str">
        <f>+VLOOKUP(Tabla3[[#This Row],[PATENTE]],'BASE DATOS'!F:I,4,0)</f>
        <v>SI</v>
      </c>
      <c r="H337" s="584" t="str">
        <f>+VLOOKUP(Tabla3[[#This Row],[PATENTE]],'BASE DATOS'!F:J,5,0)</f>
        <v>SI</v>
      </c>
      <c r="I337" s="582" t="str">
        <f>+VLOOKUP(Tabla3[[#This Row],[PATENTE]],'BASE DATOS'!F:K,6,0)</f>
        <v>NO</v>
      </c>
      <c r="J337" s="582">
        <f>+VLOOKUP(Tabla3[[#This Row],[PATENTE]],'BASE DATOS'!F:L,7,0)</f>
        <v>2013</v>
      </c>
      <c r="K337" s="593">
        <f>+VLOOKUP(Tabla3[[#This Row],[PATENTE]],'BASE DATOS'!F:M,8,0)</f>
        <v>12</v>
      </c>
      <c r="N337" s="826"/>
      <c r="O337" s="1015"/>
      <c r="P337" s="1015"/>
      <c r="Q337" s="1015"/>
      <c r="R337" s="965" t="str">
        <f t="shared" si="11"/>
        <v>-</v>
      </c>
    </row>
    <row r="338" spans="1:18" hidden="1">
      <c r="A338" s="577" t="s">
        <v>909</v>
      </c>
      <c r="B338" s="582">
        <v>5</v>
      </c>
      <c r="C338" s="588">
        <v>45880</v>
      </c>
      <c r="D338" s="582">
        <f t="shared" si="12"/>
        <v>33</v>
      </c>
      <c r="E338" s="576" t="str">
        <f>+VLOOKUP(Tabla3[[#This Row],[PATENTE]],'BASE DATOS'!F:G,2,0)</f>
        <v xml:space="preserve">CRISTIAN MOYA - NHR055 </v>
      </c>
      <c r="F338" s="582" t="str">
        <f>+VLOOKUP(Tabla3[[#This Row],[PATENTE]],'BASE DATOS'!F:H,3,0)</f>
        <v>6P</v>
      </c>
      <c r="G338" s="582" t="str">
        <f>+VLOOKUP(Tabla3[[#This Row],[PATENTE]],'BASE DATOS'!F:I,4,0)</f>
        <v>SI</v>
      </c>
      <c r="H338" s="584" t="str">
        <f>+VLOOKUP(Tabla3[[#This Row],[PATENTE]],'BASE DATOS'!F:J,5,0)</f>
        <v>SI</v>
      </c>
      <c r="I338" s="582" t="str">
        <f>+VLOOKUP(Tabla3[[#This Row],[PATENTE]],'BASE DATOS'!F:K,6,0)</f>
        <v>NO</v>
      </c>
      <c r="J338" s="582">
        <f>+VLOOKUP(Tabla3[[#This Row],[PATENTE]],'BASE DATOS'!F:L,7,0)</f>
        <v>2013</v>
      </c>
      <c r="K338" s="593">
        <f>+VLOOKUP(Tabla3[[#This Row],[PATENTE]],'BASE DATOS'!F:M,8,0)</f>
        <v>12</v>
      </c>
      <c r="N338" s="826"/>
      <c r="O338" s="1015"/>
      <c r="P338" s="1015"/>
      <c r="Q338" s="1015"/>
      <c r="R338" s="965" t="str">
        <f t="shared" si="11"/>
        <v>-</v>
      </c>
    </row>
    <row r="339" spans="1:18" hidden="1">
      <c r="A339" s="578" t="s">
        <v>896</v>
      </c>
      <c r="B339" s="584">
        <v>5</v>
      </c>
      <c r="C339" s="588">
        <v>45880</v>
      </c>
      <c r="D339" s="582">
        <f t="shared" si="12"/>
        <v>33</v>
      </c>
      <c r="E339" s="576" t="str">
        <f>+VLOOKUP(Tabla3[[#This Row],[PATENTE]],'BASE DATOS'!F:G,2,0)</f>
        <v xml:space="preserve">TRANSP MAVIR - RHQ609 </v>
      </c>
      <c r="F339" s="582" t="str">
        <f>+VLOOKUP(Tabla3[[#This Row],[PATENTE]],'BASE DATOS'!F:H,3,0)</f>
        <v>10P</v>
      </c>
      <c r="G339" s="582" t="str">
        <f>+VLOOKUP(Tabla3[[#This Row],[PATENTE]],'BASE DATOS'!F:I,4,0)</f>
        <v>NO</v>
      </c>
      <c r="H339" s="584" t="str">
        <f>+VLOOKUP(Tabla3[[#This Row],[PATENTE]],'BASE DATOS'!F:J,5,0)</f>
        <v xml:space="preserve">NO </v>
      </c>
      <c r="I339" s="582" t="str">
        <f>+VLOOKUP(Tabla3[[#This Row],[PATENTE]],'BASE DATOS'!F:K,6,0)</f>
        <v>NO</v>
      </c>
      <c r="J339" s="582">
        <f>+VLOOKUP(Tabla3[[#This Row],[PATENTE]],'BASE DATOS'!F:L,7,0)</f>
        <v>1995</v>
      </c>
      <c r="K339" s="593">
        <v>0</v>
      </c>
      <c r="N339" s="826"/>
      <c r="O339" s="1015"/>
      <c r="P339" s="1015"/>
      <c r="Q339" s="1015"/>
      <c r="R339" s="965" t="str">
        <f t="shared" si="11"/>
        <v>-</v>
      </c>
    </row>
    <row r="340" spans="1:18" hidden="1">
      <c r="A340" s="577" t="s">
        <v>919</v>
      </c>
      <c r="B340" s="582">
        <v>4</v>
      </c>
      <c r="C340" s="588">
        <v>45880</v>
      </c>
      <c r="D340" s="582">
        <f t="shared" si="12"/>
        <v>33</v>
      </c>
      <c r="E340" s="576" t="str">
        <f>+VLOOKUP(Tabla3[[#This Row],[PATENTE]],'BASE DATOS'!F:G,2,0)</f>
        <v xml:space="preserve">GUSTAVO CERQUETTA - AA427LT </v>
      </c>
      <c r="F340" s="582" t="str">
        <f>+VLOOKUP(Tabla3[[#This Row],[PATENTE]],'BASE DATOS'!F:H,3,0)</f>
        <v>1P</v>
      </c>
      <c r="G340" s="582" t="str">
        <f>+VLOOKUP(Tabla3[[#This Row],[PATENTE]],'BASE DATOS'!F:I,4,0)</f>
        <v>NO</v>
      </c>
      <c r="H340" s="584" t="str">
        <f>+VLOOKUP(Tabla3[[#This Row],[PATENTE]],'BASE DATOS'!F:J,5,0)</f>
        <v>SI</v>
      </c>
      <c r="I340" s="582" t="str">
        <f>+VLOOKUP(Tabla3[[#This Row],[PATENTE]],'BASE DATOS'!F:K,6,0)</f>
        <v>NO</v>
      </c>
      <c r="J340" s="582">
        <f>+VLOOKUP(Tabla3[[#This Row],[PATENTE]],'BASE DATOS'!F:L,7,0)</f>
        <v>2016</v>
      </c>
      <c r="K340" s="593">
        <f>+VLOOKUP(Tabla3[[#This Row],[PATENTE]],'BASE DATOS'!F:M,8,0)</f>
        <v>9</v>
      </c>
      <c r="N340" s="826"/>
      <c r="O340" s="1015"/>
      <c r="P340" s="1015"/>
      <c r="Q340" s="1015"/>
      <c r="R340" s="965" t="str">
        <f t="shared" si="11"/>
        <v>-</v>
      </c>
    </row>
    <row r="341" spans="1:18" hidden="1">
      <c r="A341" s="578" t="s">
        <v>878</v>
      </c>
      <c r="B341" s="584">
        <v>4</v>
      </c>
      <c r="C341" s="588">
        <v>45880</v>
      </c>
      <c r="D341" s="582">
        <f t="shared" si="12"/>
        <v>33</v>
      </c>
      <c r="E341" s="576" t="str">
        <f>+VLOOKUP(Tabla3[[#This Row],[PATENTE]],'BASE DATOS'!F:G,2,0)</f>
        <v xml:space="preserve">PACHECO JULIO - AA854LY </v>
      </c>
      <c r="F341" s="582" t="str">
        <f>+VLOOKUP(Tabla3[[#This Row],[PATENTE]],'BASE DATOS'!F:H,3,0)</f>
        <v>7P</v>
      </c>
      <c r="G341" s="582" t="str">
        <f>+VLOOKUP(Tabla3[[#This Row],[PATENTE]],'BASE DATOS'!F:I,4,0)</f>
        <v>SI</v>
      </c>
      <c r="H341" s="584" t="str">
        <f>+VLOOKUP(Tabla3[[#This Row],[PATENTE]],'BASE DATOS'!F:J,5,0)</f>
        <v>SI</v>
      </c>
      <c r="I341" s="582" t="str">
        <f>+VLOOKUP(Tabla3[[#This Row],[PATENTE]],'BASE DATOS'!F:K,6,0)</f>
        <v>NO</v>
      </c>
      <c r="J341" s="582">
        <f>+VLOOKUP(Tabla3[[#This Row],[PATENTE]],'BASE DATOS'!F:L,7,0)</f>
        <v>2016</v>
      </c>
      <c r="K341" s="593">
        <f>+VLOOKUP(Tabla3[[#This Row],[PATENTE]],'BASE DATOS'!F:M,8,0)</f>
        <v>9</v>
      </c>
      <c r="N341" s="826"/>
      <c r="O341" s="1015"/>
      <c r="P341" s="1015"/>
      <c r="Q341" s="1015"/>
      <c r="R341" s="965" t="str">
        <f t="shared" si="11"/>
        <v>-</v>
      </c>
    </row>
    <row r="342" spans="1:18" hidden="1">
      <c r="A342" s="577" t="s">
        <v>899</v>
      </c>
      <c r="B342" s="582">
        <v>4</v>
      </c>
      <c r="C342" s="588">
        <v>45880</v>
      </c>
      <c r="D342" s="582">
        <f t="shared" si="12"/>
        <v>33</v>
      </c>
      <c r="E342" s="576" t="str">
        <f>+VLOOKUP(Tabla3[[#This Row],[PATENTE]],'BASE DATOS'!F:G,2,0)</f>
        <v xml:space="preserve">VAZQUEZ (TRV SRL) - AB176KN </v>
      </c>
      <c r="F342" s="582" t="str">
        <f>+VLOOKUP(Tabla3[[#This Row],[PATENTE]],'BASE DATOS'!F:H,3,0)</f>
        <v>8P</v>
      </c>
      <c r="G342" s="582" t="str">
        <f>+VLOOKUP(Tabla3[[#This Row],[PATENTE]],'BASE DATOS'!F:I,4,0)</f>
        <v>SI</v>
      </c>
      <c r="H342" s="584" t="str">
        <f>+VLOOKUP(Tabla3[[#This Row],[PATENTE]],'BASE DATOS'!F:J,5,0)</f>
        <v>SI</v>
      </c>
      <c r="I342" s="582" t="str">
        <f>+VLOOKUP(Tabla3[[#This Row],[PATENTE]],'BASE DATOS'!F:K,6,0)</f>
        <v>SI</v>
      </c>
      <c r="J342" s="582">
        <f>+VLOOKUP(Tabla3[[#This Row],[PATENTE]],'BASE DATOS'!F:L,7,0)</f>
        <v>2017</v>
      </c>
      <c r="K342" s="593">
        <f>+VLOOKUP(Tabla3[[#This Row],[PATENTE]],'BASE DATOS'!F:M,8,0)</f>
        <v>8</v>
      </c>
      <c r="N342" s="826"/>
      <c r="O342" s="1015"/>
      <c r="P342" s="1015"/>
      <c r="Q342" s="1015"/>
      <c r="R342" s="965" t="str">
        <f t="shared" si="11"/>
        <v>-</v>
      </c>
    </row>
    <row r="343" spans="1:18" hidden="1">
      <c r="A343" s="578" t="s">
        <v>890</v>
      </c>
      <c r="B343" s="584">
        <v>4</v>
      </c>
      <c r="C343" s="588">
        <v>45880</v>
      </c>
      <c r="D343" s="582">
        <f t="shared" si="12"/>
        <v>33</v>
      </c>
      <c r="E343" s="576" t="str">
        <f>+VLOOKUP(Tabla3[[#This Row],[PATENTE]],'BASE DATOS'!F:G,2,0)</f>
        <v xml:space="preserve">TRANSPORTE GRACIELA - AC040RO </v>
      </c>
      <c r="F343" s="582" t="str">
        <f>+VLOOKUP(Tabla3[[#This Row],[PATENTE]],'BASE DATOS'!F:H,3,0)</f>
        <v>1P</v>
      </c>
      <c r="G343" s="582" t="str">
        <f>+VLOOKUP(Tabla3[[#This Row],[PATENTE]],'BASE DATOS'!F:I,4,0)</f>
        <v>SI</v>
      </c>
      <c r="H343" s="584" t="str">
        <f>+VLOOKUP(Tabla3[[#This Row],[PATENTE]],'BASE DATOS'!F:J,5,0)</f>
        <v>ACEPTA( VER CAMI)</v>
      </c>
      <c r="I343" s="582" t="str">
        <f>+VLOOKUP(Tabla3[[#This Row],[PATENTE]],'BASE DATOS'!F:K,6,0)</f>
        <v>NO</v>
      </c>
      <c r="J343" s="582">
        <f>+VLOOKUP(Tabla3[[#This Row],[PATENTE]],'BASE DATOS'!F:L,7,0)</f>
        <v>2017</v>
      </c>
      <c r="K343" s="593">
        <f>+VLOOKUP(Tabla3[[#This Row],[PATENTE]],'BASE DATOS'!F:M,8,0)</f>
        <v>8</v>
      </c>
      <c r="N343" s="826"/>
      <c r="O343" s="1015"/>
      <c r="P343" s="1015"/>
      <c r="Q343" s="1015"/>
      <c r="R343" s="965" t="str">
        <f t="shared" si="11"/>
        <v>-</v>
      </c>
    </row>
    <row r="344" spans="1:18" hidden="1">
      <c r="A344" s="577" t="s">
        <v>888</v>
      </c>
      <c r="B344" s="582">
        <v>4</v>
      </c>
      <c r="C344" s="588">
        <v>45880</v>
      </c>
      <c r="D344" s="582">
        <f t="shared" si="12"/>
        <v>33</v>
      </c>
      <c r="E344" s="576" t="str">
        <f>+VLOOKUP(Tabla3[[#This Row],[PATENTE]],'BASE DATOS'!F:G,2,0)</f>
        <v xml:space="preserve">TRANSP FIRST CLASS - AD535UI </v>
      </c>
      <c r="F344" s="582" t="str">
        <f>+VLOOKUP(Tabla3[[#This Row],[PATENTE]],'BASE DATOS'!F:H,3,0)</f>
        <v>6P</v>
      </c>
      <c r="G344" s="582" t="str">
        <f>+VLOOKUP(Tabla3[[#This Row],[PATENTE]],'BASE DATOS'!F:I,4,0)</f>
        <v>SI</v>
      </c>
      <c r="H344" s="584" t="str">
        <f>+VLOOKUP(Tabla3[[#This Row],[PATENTE]],'BASE DATOS'!F:J,5,0)</f>
        <v>SI</v>
      </c>
      <c r="I344" s="582" t="str">
        <f>+VLOOKUP(Tabla3[[#This Row],[PATENTE]],'BASE DATOS'!F:K,6,0)</f>
        <v>NO</v>
      </c>
      <c r="J344" s="582">
        <f>+VLOOKUP(Tabla3[[#This Row],[PATENTE]],'BASE DATOS'!F:L,7,0)</f>
        <v>2019</v>
      </c>
      <c r="K344" s="593">
        <f>+VLOOKUP(Tabla3[[#This Row],[PATENTE]],'BASE DATOS'!F:M,8,0)</f>
        <v>6</v>
      </c>
      <c r="N344" s="826"/>
      <c r="O344" s="1015"/>
      <c r="P344" s="1015"/>
      <c r="Q344" s="1015"/>
      <c r="R344" s="965" t="str">
        <f t="shared" si="11"/>
        <v>-</v>
      </c>
    </row>
    <row r="345" spans="1:18" hidden="1">
      <c r="A345" s="578" t="s">
        <v>895</v>
      </c>
      <c r="B345" s="584">
        <v>4</v>
      </c>
      <c r="C345" s="588">
        <v>45880</v>
      </c>
      <c r="D345" s="582">
        <f t="shared" si="12"/>
        <v>33</v>
      </c>
      <c r="E345" s="576" t="str">
        <f>+VLOOKUP(Tabla3[[#This Row],[PATENTE]],'BASE DATOS'!F:G,2,0)</f>
        <v xml:space="preserve">TRANSPORTE MICAELA </v>
      </c>
      <c r="F345" s="582" t="str">
        <f>+VLOOKUP(Tabla3[[#This Row],[PATENTE]],'BASE DATOS'!F:H,3,0)</f>
        <v>2P</v>
      </c>
      <c r="G345" s="582" t="str">
        <f>+VLOOKUP(Tabla3[[#This Row],[PATENTE]],'BASE DATOS'!F:I,4,0)</f>
        <v>NO</v>
      </c>
      <c r="H345" s="584" t="str">
        <f>+VLOOKUP(Tabla3[[#This Row],[PATENTE]],'BASE DATOS'!F:J,5,0)</f>
        <v>SI</v>
      </c>
      <c r="I345" s="582" t="str">
        <f>+VLOOKUP(Tabla3[[#This Row],[PATENTE]],'BASE DATOS'!F:K,6,0)</f>
        <v>NO</v>
      </c>
      <c r="J345" s="582">
        <f>+VLOOKUP(Tabla3[[#This Row],[PATENTE]],'BASE DATOS'!F:L,7,0)</f>
        <v>2024</v>
      </c>
      <c r="K345" s="593">
        <f>+VLOOKUP(Tabla3[[#This Row],[PATENTE]],'BASE DATOS'!F:M,8,0)</f>
        <v>1</v>
      </c>
      <c r="N345" s="826"/>
      <c r="O345" s="1015"/>
      <c r="P345" s="1015"/>
      <c r="Q345" s="1015"/>
      <c r="R345" s="965" t="str">
        <f t="shared" si="11"/>
        <v>-</v>
      </c>
    </row>
    <row r="346" spans="1:18" hidden="1">
      <c r="A346" s="577" t="s">
        <v>921</v>
      </c>
      <c r="B346" s="582">
        <v>4</v>
      </c>
      <c r="C346" s="588">
        <v>45880</v>
      </c>
      <c r="D346" s="582">
        <f t="shared" si="12"/>
        <v>33</v>
      </c>
      <c r="E346" s="576" t="str">
        <f>+VLOOKUP(Tabla3[[#This Row],[PATENTE]],'BASE DATOS'!F:G,2,0)</f>
        <v xml:space="preserve">MAÑAS NORBERTO - CQQ304 </v>
      </c>
      <c r="F346" s="582" t="str">
        <f>+VLOOKUP(Tabla3[[#This Row],[PATENTE]],'BASE DATOS'!F:H,3,0)</f>
        <v>11P</v>
      </c>
      <c r="G346" s="582" t="str">
        <f>+VLOOKUP(Tabla3[[#This Row],[PATENTE]],'BASE DATOS'!F:I,4,0)</f>
        <v>SI</v>
      </c>
      <c r="H346" s="584" t="str">
        <f>+VLOOKUP(Tabla3[[#This Row],[PATENTE]],'BASE DATOS'!F:J,5,0)</f>
        <v>SI</v>
      </c>
      <c r="I346" s="582" t="str">
        <f>+VLOOKUP(Tabla3[[#This Row],[PATENTE]],'BASE DATOS'!F:K,6,0)</f>
        <v>NO</v>
      </c>
      <c r="J346" s="582">
        <f>+VLOOKUP(Tabla3[[#This Row],[PATENTE]],'BASE DATOS'!F:L,7,0)</f>
        <v>2000</v>
      </c>
      <c r="K346" s="593">
        <f>+VLOOKUP(Tabla3[[#This Row],[PATENTE]],'BASE DATOS'!F:M,8,0)</f>
        <v>25</v>
      </c>
      <c r="N346" s="826"/>
      <c r="O346" s="1015"/>
      <c r="P346" s="1015"/>
      <c r="Q346" s="1015"/>
      <c r="R346" s="965" t="str">
        <f t="shared" si="11"/>
        <v>-</v>
      </c>
    </row>
    <row r="347" spans="1:18" hidden="1">
      <c r="A347" s="578" t="s">
        <v>915</v>
      </c>
      <c r="B347" s="584">
        <v>4</v>
      </c>
      <c r="C347" s="588">
        <v>45880</v>
      </c>
      <c r="D347" s="582">
        <f t="shared" si="12"/>
        <v>33</v>
      </c>
      <c r="E347" s="576" t="str">
        <f>+VLOOKUP(Tabla3[[#This Row],[PATENTE]],'BASE DATOS'!F:G,2,0)</f>
        <v>TRANSPORTE GRACIELA - FPL254</v>
      </c>
      <c r="F347" s="582" t="str">
        <f>+VLOOKUP(Tabla3[[#This Row],[PATENTE]],'BASE DATOS'!F:H,3,0)</f>
        <v>2P</v>
      </c>
      <c r="G347" s="582" t="str">
        <f>+VLOOKUP(Tabla3[[#This Row],[PATENTE]],'BASE DATOS'!F:I,4,0)</f>
        <v>SI</v>
      </c>
      <c r="H347" s="584" t="str">
        <f>+VLOOKUP(Tabla3[[#This Row],[PATENTE]],'BASE DATOS'!F:J,5,0)</f>
        <v>NO (CAMI)</v>
      </c>
      <c r="I347" s="582" t="str">
        <f>+VLOOKUP(Tabla3[[#This Row],[PATENTE]],'BASE DATOS'!F:K,6,0)</f>
        <v>NO</v>
      </c>
      <c r="J347" s="582">
        <f>+VLOOKUP(Tabla3[[#This Row],[PATENTE]],'BASE DATOS'!F:L,7,0)</f>
        <v>2012</v>
      </c>
      <c r="K347" s="593">
        <f>+VLOOKUP(Tabla3[[#This Row],[PATENTE]],'BASE DATOS'!F:M,8,0)</f>
        <v>13</v>
      </c>
      <c r="N347" s="826"/>
      <c r="O347" s="1015"/>
      <c r="P347" s="1015"/>
      <c r="Q347" s="1015"/>
      <c r="R347" s="965" t="str">
        <f t="shared" si="11"/>
        <v>-</v>
      </c>
    </row>
    <row r="348" spans="1:18" hidden="1">
      <c r="A348" s="577" t="s">
        <v>889</v>
      </c>
      <c r="B348" s="582">
        <v>4</v>
      </c>
      <c r="C348" s="588">
        <v>45880</v>
      </c>
      <c r="D348" s="582">
        <f t="shared" si="12"/>
        <v>33</v>
      </c>
      <c r="E348" s="576" t="str">
        <f>+VLOOKUP(Tabla3[[#This Row],[PATENTE]],'BASE DATOS'!F:G,2,0)</f>
        <v xml:space="preserve">COLO - HAW164 </v>
      </c>
      <c r="F348" s="582" t="str">
        <f>+VLOOKUP(Tabla3[[#This Row],[PATENTE]],'BASE DATOS'!F:H,3,0)</f>
        <v>6P</v>
      </c>
      <c r="G348" s="582" t="str">
        <f>+VLOOKUP(Tabla3[[#This Row],[PATENTE]],'BASE DATOS'!F:I,4,0)</f>
        <v>NO</v>
      </c>
      <c r="H348" s="584" t="str">
        <f>+VLOOKUP(Tabla3[[#This Row],[PATENTE]],'BASE DATOS'!F:J,5,0)</f>
        <v>SI</v>
      </c>
      <c r="I348" s="582" t="str">
        <f>+VLOOKUP(Tabla3[[#This Row],[PATENTE]],'BASE DATOS'!F:K,6,0)</f>
        <v>NO</v>
      </c>
      <c r="J348" s="582">
        <f>+VLOOKUP(Tabla3[[#This Row],[PATENTE]],'BASE DATOS'!F:L,7,0)</f>
        <v>2009</v>
      </c>
      <c r="K348" s="593">
        <f>+VLOOKUP(Tabla3[[#This Row],[PATENTE]],'BASE DATOS'!F:M,8,0)</f>
        <v>16</v>
      </c>
      <c r="N348" s="826"/>
      <c r="O348" s="1015"/>
      <c r="P348" s="1015"/>
      <c r="Q348" s="1015"/>
      <c r="R348" s="965" t="str">
        <f t="shared" si="11"/>
        <v>-</v>
      </c>
    </row>
    <row r="349" spans="1:18" hidden="1">
      <c r="A349" s="578" t="s">
        <v>939</v>
      </c>
      <c r="B349" s="584">
        <v>4</v>
      </c>
      <c r="C349" s="588">
        <v>45880</v>
      </c>
      <c r="D349" s="582">
        <f t="shared" si="12"/>
        <v>33</v>
      </c>
      <c r="E349" s="576" t="str">
        <f>+VLOOKUP(Tabla3[[#This Row],[PATENTE]],'BASE DATOS'!F:G,2,0)</f>
        <v>TRANSP CLAUDIO BUSTOS - JOQ178</v>
      </c>
      <c r="F349" s="582" t="str">
        <f>+VLOOKUP(Tabla3[[#This Row],[PATENTE]],'BASE DATOS'!F:H,3,0)</f>
        <v>1P</v>
      </c>
      <c r="G349" s="582" t="str">
        <f>+VLOOKUP(Tabla3[[#This Row],[PATENTE]],'BASE DATOS'!F:I,4,0)</f>
        <v>NO</v>
      </c>
      <c r="H349" s="584" t="str">
        <f>+VLOOKUP(Tabla3[[#This Row],[PATENTE]],'BASE DATOS'!F:J,5,0)</f>
        <v>SI</v>
      </c>
      <c r="I349" s="582" t="str">
        <f>+VLOOKUP(Tabla3[[#This Row],[PATENTE]],'BASE DATOS'!F:K,6,0)</f>
        <v>NO</v>
      </c>
      <c r="J349" s="582">
        <f>+VLOOKUP(Tabla3[[#This Row],[PATENTE]],'BASE DATOS'!F:L,7,0)</f>
        <v>2010</v>
      </c>
      <c r="K349" s="593">
        <f>+VLOOKUP(Tabla3[[#This Row],[PATENTE]],'BASE DATOS'!F:M,8,0)</f>
        <v>15</v>
      </c>
      <c r="N349" s="826"/>
      <c r="O349" s="1015"/>
      <c r="P349" s="1015"/>
      <c r="Q349" s="1015"/>
      <c r="R349" s="965" t="str">
        <f t="shared" si="11"/>
        <v>-</v>
      </c>
    </row>
    <row r="350" spans="1:18" hidden="1">
      <c r="A350" s="577" t="s">
        <v>882</v>
      </c>
      <c r="B350" s="582">
        <v>4</v>
      </c>
      <c r="C350" s="588">
        <v>45880</v>
      </c>
      <c r="D350" s="582">
        <f t="shared" si="12"/>
        <v>33</v>
      </c>
      <c r="E350" s="576" t="str">
        <f>+VLOOKUP(Tabla3[[#This Row],[PATENTE]],'BASE DATOS'!F:G,2,0)</f>
        <v xml:space="preserve">MAÑAS - JWN279 </v>
      </c>
      <c r="F350" s="582" t="str">
        <f>+VLOOKUP(Tabla3[[#This Row],[PATENTE]],'BASE DATOS'!F:H,3,0)</f>
        <v>7P</v>
      </c>
      <c r="G350" s="582" t="str">
        <f>+VLOOKUP(Tabla3[[#This Row],[PATENTE]],'BASE DATOS'!F:I,4,0)</f>
        <v>SI</v>
      </c>
      <c r="H350" s="584" t="str">
        <f>+VLOOKUP(Tabla3[[#This Row],[PATENTE]],'BASE DATOS'!F:J,5,0)</f>
        <v>SI</v>
      </c>
      <c r="I350" s="582" t="str">
        <f>+VLOOKUP(Tabla3[[#This Row],[PATENTE]],'BASE DATOS'!F:K,6,0)</f>
        <v>NO</v>
      </c>
      <c r="J350" s="582">
        <f>+VLOOKUP(Tabla3[[#This Row],[PATENTE]],'BASE DATOS'!F:L,7,0)</f>
        <v>2011</v>
      </c>
      <c r="K350" s="593">
        <f>+VLOOKUP(Tabla3[[#This Row],[PATENTE]],'BASE DATOS'!F:M,8,0)</f>
        <v>14</v>
      </c>
      <c r="N350" s="826"/>
      <c r="O350" s="1015"/>
      <c r="P350" s="1015"/>
      <c r="Q350" s="1015"/>
      <c r="R350" s="965" t="str">
        <f t="shared" si="11"/>
        <v>-</v>
      </c>
    </row>
    <row r="351" spans="1:18" hidden="1">
      <c r="A351" s="578" t="s">
        <v>902</v>
      </c>
      <c r="B351" s="584">
        <v>4</v>
      </c>
      <c r="C351" s="588">
        <v>45880</v>
      </c>
      <c r="D351" s="582">
        <f t="shared" si="12"/>
        <v>33</v>
      </c>
      <c r="E351" s="576" t="str">
        <f>+VLOOKUP(Tabla3[[#This Row],[PATENTE]],'BASE DATOS'!F:G,2,0)</f>
        <v xml:space="preserve">GUSTAVO CERQUETTA - KZA644 </v>
      </c>
      <c r="F351" s="582" t="str">
        <f>+VLOOKUP(Tabla3[[#This Row],[PATENTE]],'BASE DATOS'!F:H,3,0)</f>
        <v>2P</v>
      </c>
      <c r="G351" s="582" t="str">
        <f>+VLOOKUP(Tabla3[[#This Row],[PATENTE]],'BASE DATOS'!F:I,4,0)</f>
        <v>NO</v>
      </c>
      <c r="H351" s="584" t="str">
        <f>+VLOOKUP(Tabla3[[#This Row],[PATENTE]],'BASE DATOS'!F:J,5,0)</f>
        <v>SI</v>
      </c>
      <c r="I351" s="582" t="str">
        <f>+VLOOKUP(Tabla3[[#This Row],[PATENTE]],'BASE DATOS'!F:K,6,0)</f>
        <v>NO</v>
      </c>
      <c r="J351" s="582">
        <f>+VLOOKUP(Tabla3[[#This Row],[PATENTE]],'BASE DATOS'!F:L,7,0)</f>
        <v>2012</v>
      </c>
      <c r="K351" s="593">
        <f>+VLOOKUP(Tabla3[[#This Row],[PATENTE]],'BASE DATOS'!F:M,8,0)</f>
        <v>13</v>
      </c>
      <c r="N351" s="826"/>
      <c r="O351" s="1015"/>
      <c r="P351" s="1015"/>
      <c r="Q351" s="1015"/>
      <c r="R351" s="965" t="str">
        <f t="shared" si="11"/>
        <v>-</v>
      </c>
    </row>
    <row r="352" spans="1:18" hidden="1">
      <c r="A352" s="577" t="s">
        <v>886</v>
      </c>
      <c r="B352" s="582">
        <v>4</v>
      </c>
      <c r="C352" s="588">
        <v>45880</v>
      </c>
      <c r="D352" s="582">
        <f t="shared" si="12"/>
        <v>33</v>
      </c>
      <c r="E352" s="576" t="str">
        <f>+VLOOKUP(Tabla3[[#This Row],[PATENTE]],'BASE DATOS'!F:G,2,0)</f>
        <v xml:space="preserve">TRANSP LAGOS - NOO925 </v>
      </c>
      <c r="F352" s="582" t="str">
        <f>+VLOOKUP(Tabla3[[#This Row],[PATENTE]],'BASE DATOS'!F:H,3,0)</f>
        <v>8P</v>
      </c>
      <c r="G352" s="582" t="str">
        <f>+VLOOKUP(Tabla3[[#This Row],[PATENTE]],'BASE DATOS'!F:I,4,0)</f>
        <v>SI</v>
      </c>
      <c r="H352" s="584" t="str">
        <f>+VLOOKUP(Tabla3[[#This Row],[PATENTE]],'BASE DATOS'!F:J,5,0)</f>
        <v>SI</v>
      </c>
      <c r="I352" s="582" t="str">
        <f>+VLOOKUP(Tabla3[[#This Row],[PATENTE]],'BASE DATOS'!F:K,6,0)</f>
        <v>NO</v>
      </c>
      <c r="J352" s="582">
        <f>+VLOOKUP(Tabla3[[#This Row],[PATENTE]],'BASE DATOS'!F:L,7,0)</f>
        <v>2014</v>
      </c>
      <c r="K352" s="593">
        <f>+VLOOKUP(Tabla3[[#This Row],[PATENTE]],'BASE DATOS'!F:M,8,0)</f>
        <v>11</v>
      </c>
      <c r="N352" s="826"/>
      <c r="O352" s="1015"/>
      <c r="P352" s="1015"/>
      <c r="Q352" s="1015"/>
      <c r="R352" s="965" t="str">
        <f t="shared" si="11"/>
        <v>-</v>
      </c>
    </row>
    <row r="353" spans="1:18" hidden="1">
      <c r="A353" s="578" t="s">
        <v>879</v>
      </c>
      <c r="B353" s="584">
        <v>4</v>
      </c>
      <c r="C353" s="588">
        <v>45880</v>
      </c>
      <c r="D353" s="582">
        <f t="shared" si="12"/>
        <v>33</v>
      </c>
      <c r="E353" s="576" t="str">
        <f>+VLOOKUP(Tabla3[[#This Row],[PATENTE]],'BASE DATOS'!F:G,2,0)</f>
        <v xml:space="preserve">TRANSP JP - OYP470 </v>
      </c>
      <c r="F353" s="582" t="str">
        <f>+VLOOKUP(Tabla3[[#This Row],[PATENTE]],'BASE DATOS'!F:H,3,0)</f>
        <v>8P</v>
      </c>
      <c r="G353" s="582" t="str">
        <f>+VLOOKUP(Tabla3[[#This Row],[PATENTE]],'BASE DATOS'!F:I,4,0)</f>
        <v>SI</v>
      </c>
      <c r="H353" s="584" t="str">
        <f>+VLOOKUP(Tabla3[[#This Row],[PATENTE]],'BASE DATOS'!F:J,5,0)</f>
        <v>SI</v>
      </c>
      <c r="I353" s="582" t="str">
        <f>+VLOOKUP(Tabla3[[#This Row],[PATENTE]],'BASE DATOS'!F:K,6,0)</f>
        <v>NO</v>
      </c>
      <c r="J353" s="582">
        <f>+VLOOKUP(Tabla3[[#This Row],[PATENTE]],'BASE DATOS'!F:L,7,0)</f>
        <v>2011</v>
      </c>
      <c r="K353" s="593">
        <f>+VLOOKUP(Tabla3[[#This Row],[PATENTE]],'BASE DATOS'!F:M,8,0)</f>
        <v>14</v>
      </c>
      <c r="N353" s="826"/>
      <c r="O353" s="1015"/>
      <c r="P353" s="1015"/>
      <c r="Q353" s="1015"/>
      <c r="R353" s="965" t="str">
        <f t="shared" si="11"/>
        <v>-</v>
      </c>
    </row>
    <row r="354" spans="1:18" hidden="1">
      <c r="A354" s="577" t="s">
        <v>893</v>
      </c>
      <c r="B354" s="582">
        <v>3</v>
      </c>
      <c r="C354" s="588">
        <v>45880</v>
      </c>
      <c r="D354" s="582">
        <f t="shared" si="12"/>
        <v>33</v>
      </c>
      <c r="E354" s="576" t="str">
        <f>+VLOOKUP(Tabla3[[#This Row],[PATENTE]],'BASE DATOS'!F:G,2,0)</f>
        <v xml:space="preserve">GANZINI HUGO - CFF038 </v>
      </c>
      <c r="F354" s="582" t="str">
        <f>+VLOOKUP(Tabla3[[#This Row],[PATENTE]],'BASE DATOS'!F:H,3,0)</f>
        <v>2P</v>
      </c>
      <c r="G354" s="582" t="str">
        <f>+VLOOKUP(Tabla3[[#This Row],[PATENTE]],'BASE DATOS'!F:I,4,0)</f>
        <v>SI</v>
      </c>
      <c r="H354" s="584" t="str">
        <f>+VLOOKUP(Tabla3[[#This Row],[PATENTE]],'BASE DATOS'!F:J,5,0)</f>
        <v>SI</v>
      </c>
      <c r="I354" s="582" t="str">
        <f>+VLOOKUP(Tabla3[[#This Row],[PATENTE]],'BASE DATOS'!F:K,6,0)</f>
        <v>NO</v>
      </c>
      <c r="J354" s="582">
        <f>+VLOOKUP(Tabla3[[#This Row],[PATENTE]],'BASE DATOS'!F:L,7,0)</f>
        <v>1999</v>
      </c>
      <c r="K354" s="593">
        <f>+VLOOKUP(Tabla3[[#This Row],[PATENTE]],'BASE DATOS'!F:M,8,0)</f>
        <v>26</v>
      </c>
      <c r="N354" s="826"/>
      <c r="O354" s="1015"/>
      <c r="P354" s="1015"/>
      <c r="Q354" s="1015"/>
      <c r="R354" s="965" t="str">
        <f t="shared" si="11"/>
        <v>-</v>
      </c>
    </row>
    <row r="355" spans="1:18" hidden="1">
      <c r="A355" s="578" t="s">
        <v>916</v>
      </c>
      <c r="B355" s="584">
        <v>3</v>
      </c>
      <c r="C355" s="588">
        <v>45880</v>
      </c>
      <c r="D355" s="582">
        <f t="shared" si="12"/>
        <v>33</v>
      </c>
      <c r="E355" s="576" t="str">
        <f>+VLOOKUP(Tabla3[[#This Row],[PATENTE]],'BASE DATOS'!F:G,2,0)</f>
        <v xml:space="preserve">TRANSP MAIDANA CARLOS - EYP088 </v>
      </c>
      <c r="F355" s="582" t="str">
        <f>+VLOOKUP(Tabla3[[#This Row],[PATENTE]],'BASE DATOS'!F:H,3,0)</f>
        <v>6P</v>
      </c>
      <c r="G355" s="582" t="str">
        <f>+VLOOKUP(Tabla3[[#This Row],[PATENTE]],'BASE DATOS'!F:I,4,0)</f>
        <v>SI</v>
      </c>
      <c r="H355" s="584" t="str">
        <f>+VLOOKUP(Tabla3[[#This Row],[PATENTE]],'BASE DATOS'!F:J,5,0)</f>
        <v>SI</v>
      </c>
      <c r="I355" s="582" t="str">
        <f>+VLOOKUP(Tabla3[[#This Row],[PATENTE]],'BASE DATOS'!F:K,6,0)</f>
        <v>NO</v>
      </c>
      <c r="J355" s="582">
        <f>+VLOOKUP(Tabla3[[#This Row],[PATENTE]],'BASE DATOS'!F:L,7,0)</f>
        <v>2006</v>
      </c>
      <c r="K355" s="593">
        <f>+VLOOKUP(Tabla3[[#This Row],[PATENTE]],'BASE DATOS'!F:M,8,0)</f>
        <v>19</v>
      </c>
      <c r="N355" s="826"/>
      <c r="O355" s="1015"/>
      <c r="P355" s="1015"/>
      <c r="Q355" s="1015"/>
      <c r="R355" s="965" t="str">
        <f t="shared" si="11"/>
        <v>-</v>
      </c>
    </row>
    <row r="356" spans="1:18" hidden="1">
      <c r="A356" s="577" t="s">
        <v>900</v>
      </c>
      <c r="B356" s="582">
        <v>3</v>
      </c>
      <c r="C356" s="588">
        <v>45880</v>
      </c>
      <c r="D356" s="582">
        <f t="shared" si="12"/>
        <v>33</v>
      </c>
      <c r="E356" s="576" t="str">
        <f>+VLOOKUP(Tabla3[[#This Row],[PATENTE]],'BASE DATOS'!F:G,2,0)</f>
        <v>TRANSPORTE GENA GAIA - IMO939</v>
      </c>
      <c r="F356" s="582" t="str">
        <f>+VLOOKUP(Tabla3[[#This Row],[PATENTE]],'BASE DATOS'!F:H,3,0)</f>
        <v>24P</v>
      </c>
      <c r="G356" s="582" t="str">
        <f>+VLOOKUP(Tabla3[[#This Row],[PATENTE]],'BASE DATOS'!F:I,4,0)</f>
        <v>Gestya</v>
      </c>
      <c r="H356" s="584" t="str">
        <f>+VLOOKUP(Tabla3[[#This Row],[PATENTE]],'BASE DATOS'!F:J,5,0)</f>
        <v xml:space="preserve">NO </v>
      </c>
      <c r="I356" s="582" t="str">
        <f>+VLOOKUP(Tabla3[[#This Row],[PATENTE]],'BASE DATOS'!F:K,6,0)</f>
        <v>NO</v>
      </c>
      <c r="J356" s="582">
        <f>+VLOOKUP(Tabla3[[#This Row],[PATENTE]],'BASE DATOS'!F:L,7,0)</f>
        <v>2010</v>
      </c>
      <c r="K356" s="593">
        <f>+VLOOKUP(Tabla3[[#This Row],[PATENTE]],'BASE DATOS'!F:M,8,0)</f>
        <v>15</v>
      </c>
      <c r="N356" s="826"/>
      <c r="O356" s="1015"/>
      <c r="P356" s="1015"/>
      <c r="Q356" s="1015"/>
      <c r="R356" s="965" t="str">
        <f t="shared" si="11"/>
        <v>-</v>
      </c>
    </row>
    <row r="357" spans="1:18" hidden="1">
      <c r="A357" s="577" t="s">
        <v>883</v>
      </c>
      <c r="B357" s="584">
        <v>2</v>
      </c>
      <c r="C357" s="588">
        <v>45880</v>
      </c>
      <c r="D357" s="582">
        <f t="shared" si="12"/>
        <v>33</v>
      </c>
      <c r="E357" s="576" t="str">
        <f>+VLOOKUP(Tabla3[[#This Row],[PATENTE]],'BASE DATOS'!F:G,2,0)</f>
        <v xml:space="preserve">PACHECO JULIO - ACI503 </v>
      </c>
      <c r="F357" s="582" t="str">
        <f>+VLOOKUP(Tabla3[[#This Row],[PATENTE]],'BASE DATOS'!F:H,3,0)</f>
        <v>12P</v>
      </c>
      <c r="G357" s="582" t="str">
        <f>+VLOOKUP(Tabla3[[#This Row],[PATENTE]],'BASE DATOS'!F:I,4,0)</f>
        <v>NO</v>
      </c>
      <c r="H357" s="584" t="str">
        <f>+VLOOKUP(Tabla3[[#This Row],[PATENTE]],'BASE DATOS'!F:J,5,0)</f>
        <v>SI</v>
      </c>
      <c r="I357" s="582" t="str">
        <f>+VLOOKUP(Tabla3[[#This Row],[PATENTE]],'BASE DATOS'!F:K,6,0)</f>
        <v>SI</v>
      </c>
      <c r="J357" s="582">
        <f>+VLOOKUP(Tabla3[[#This Row],[PATENTE]],'BASE DATOS'!F:L,7,0)</f>
        <v>2000</v>
      </c>
      <c r="K357" s="593">
        <f>+VLOOKUP(Tabla3[[#This Row],[PATENTE]],'BASE DATOS'!F:M,8,0)</f>
        <v>25</v>
      </c>
      <c r="N357" s="826"/>
      <c r="O357" s="1015"/>
      <c r="P357" s="1015"/>
      <c r="Q357" s="1015"/>
      <c r="R357" s="965" t="str">
        <f t="shared" si="11"/>
        <v>-</v>
      </c>
    </row>
    <row r="358" spans="1:18" hidden="1">
      <c r="A358" s="577" t="s">
        <v>1154</v>
      </c>
      <c r="B358" s="582">
        <v>2</v>
      </c>
      <c r="C358" s="588">
        <v>45880</v>
      </c>
      <c r="D358" s="582">
        <f t="shared" si="12"/>
        <v>33</v>
      </c>
      <c r="E358" s="576" t="str">
        <f>+VLOOKUP(Tabla3[[#This Row],[PATENTE]],'BASE DATOS'!F:G,2,0)</f>
        <v>DON NENO - 2P</v>
      </c>
      <c r="F358" s="582" t="str">
        <f>+VLOOKUP(Tabla3[[#This Row],[PATENTE]],'BASE DATOS'!F:H,3,0)</f>
        <v>8P</v>
      </c>
      <c r="G358" s="582" t="str">
        <f>+VLOOKUP(Tabla3[[#This Row],[PATENTE]],'BASE DATOS'!F:I,4,0)</f>
        <v>SI</v>
      </c>
      <c r="H358" s="584" t="str">
        <f>+VLOOKUP(Tabla3[[#This Row],[PATENTE]],'BASE DATOS'!F:J,5,0)</f>
        <v xml:space="preserve">NO </v>
      </c>
      <c r="I358" s="582" t="str">
        <f>+VLOOKUP(Tabla3[[#This Row],[PATENTE]],'BASE DATOS'!F:K,6,0)</f>
        <v>NO</v>
      </c>
      <c r="J358" s="582">
        <f>+VLOOKUP(Tabla3[[#This Row],[PATENTE]],'BASE DATOS'!F:L,7,0)</f>
        <v>2008</v>
      </c>
      <c r="K358" s="593">
        <f>+VLOOKUP(Tabla3[[#This Row],[PATENTE]],'BASE DATOS'!F:M,8,0)</f>
        <v>17</v>
      </c>
      <c r="N358" s="826"/>
      <c r="O358" s="1015"/>
      <c r="P358" s="1015"/>
      <c r="Q358" s="1015"/>
      <c r="R358" s="965" t="str">
        <f t="shared" si="11"/>
        <v>-</v>
      </c>
    </row>
    <row r="359" spans="1:18" hidden="1">
      <c r="A359" s="578" t="s">
        <v>940</v>
      </c>
      <c r="B359" s="584">
        <v>1</v>
      </c>
      <c r="C359" s="588">
        <v>45880</v>
      </c>
      <c r="D359" s="582">
        <f t="shared" si="12"/>
        <v>33</v>
      </c>
      <c r="E359" s="576" t="str">
        <f>+VLOOKUP(Tabla3[[#This Row],[PATENTE]],'BASE DATOS'!F:G,2,0)</f>
        <v xml:space="preserve">BELLIMAR SRL - AA358EQ </v>
      </c>
      <c r="F359" s="582" t="str">
        <f>+VLOOKUP(Tabla3[[#This Row],[PATENTE]],'BASE DATOS'!F:H,3,0)</f>
        <v>8P</v>
      </c>
      <c r="G359" s="582" t="str">
        <f>+VLOOKUP(Tabla3[[#This Row],[PATENTE]],'BASE DATOS'!F:I,4,0)</f>
        <v>NO</v>
      </c>
      <c r="H359" s="584" t="str">
        <f>+VLOOKUP(Tabla3[[#This Row],[PATENTE]],'BASE DATOS'!F:J,5,0)</f>
        <v xml:space="preserve">NO </v>
      </c>
      <c r="I359" s="582" t="str">
        <f>+VLOOKUP(Tabla3[[#This Row],[PATENTE]],'BASE DATOS'!F:K,6,0)</f>
        <v>NO</v>
      </c>
      <c r="J359" s="582">
        <f>+VLOOKUP(Tabla3[[#This Row],[PATENTE]],'BASE DATOS'!F:L,7,0)</f>
        <v>2016</v>
      </c>
      <c r="K359" s="593">
        <f>+VLOOKUP(Tabla3[[#This Row],[PATENTE]],'BASE DATOS'!F:M,8,0)</f>
        <v>9</v>
      </c>
      <c r="N359" s="826"/>
      <c r="O359" s="1015"/>
      <c r="P359" s="1015"/>
      <c r="Q359" s="1015"/>
      <c r="R359" s="965" t="str">
        <f t="shared" si="11"/>
        <v>-</v>
      </c>
    </row>
    <row r="360" spans="1:18" hidden="1">
      <c r="A360" s="577" t="s">
        <v>949</v>
      </c>
      <c r="B360" s="582">
        <v>1</v>
      </c>
      <c r="C360" s="588">
        <v>45880</v>
      </c>
      <c r="D360" s="582">
        <f t="shared" si="12"/>
        <v>33</v>
      </c>
      <c r="E360" s="576" t="str">
        <f>+VLOOKUP(Tabla3[[#This Row],[PATENTE]],'BASE DATOS'!F:G,2,0)</f>
        <v>PERLETTI - 24P RETIRA CLIENTE</v>
      </c>
      <c r="F360" s="582" t="str">
        <f>+VLOOKUP(Tabla3[[#This Row],[PATENTE]],'BASE DATOS'!F:H,3,0)</f>
        <v>24P</v>
      </c>
      <c r="G360" s="582" t="str">
        <f>+VLOOKUP(Tabla3[[#This Row],[PATENTE]],'BASE DATOS'!F:I,4,0)</f>
        <v>NO</v>
      </c>
      <c r="H360" s="584" t="str">
        <f>+VLOOKUP(Tabla3[[#This Row],[PATENTE]],'BASE DATOS'!F:J,5,0)</f>
        <v xml:space="preserve">NO </v>
      </c>
      <c r="I360" s="582" t="str">
        <f>+VLOOKUP(Tabla3[[#This Row],[PATENTE]],'BASE DATOS'!F:K,6,0)</f>
        <v>NO</v>
      </c>
      <c r="J360" s="582">
        <f>+VLOOKUP(Tabla3[[#This Row],[PATENTE]],'BASE DATOS'!F:L,7,0)</f>
        <v>0</v>
      </c>
      <c r="K360" s="593">
        <f>+VLOOKUP(Tabla3[[#This Row],[PATENTE]],'BASE DATOS'!F:M,8,0)</f>
        <v>2025</v>
      </c>
      <c r="N360" s="826"/>
      <c r="O360" s="1015"/>
      <c r="P360" s="1015"/>
      <c r="Q360" s="1015"/>
      <c r="R360" s="965" t="str">
        <f t="shared" si="11"/>
        <v>-</v>
      </c>
    </row>
    <row r="361" spans="1:18" hidden="1">
      <c r="A361" s="578" t="s">
        <v>1129</v>
      </c>
      <c r="B361" s="584">
        <v>1</v>
      </c>
      <c r="C361" s="588">
        <v>45880</v>
      </c>
      <c r="D361" s="582">
        <f t="shared" si="12"/>
        <v>33</v>
      </c>
      <c r="E361" s="576" t="str">
        <f>+VLOOKUP(Tabla3[[#This Row],[PATENTE]],'BASE DATOS'!F:G,2,0)</f>
        <v>CM TRANS - 24P RETIRA CLIENTE</v>
      </c>
      <c r="F361" s="582" t="str">
        <f>+VLOOKUP(Tabla3[[#This Row],[PATENTE]],'BASE DATOS'!F:H,3,0)</f>
        <v>24P</v>
      </c>
      <c r="G361" s="582" t="str">
        <f>+VLOOKUP(Tabla3[[#This Row],[PATENTE]],'BASE DATOS'!F:I,4,0)</f>
        <v>NO</v>
      </c>
      <c r="H361" s="584" t="str">
        <f>+VLOOKUP(Tabla3[[#This Row],[PATENTE]],'BASE DATOS'!F:J,5,0)</f>
        <v xml:space="preserve">NO </v>
      </c>
      <c r="I361" s="582" t="str">
        <f>+VLOOKUP(Tabla3[[#This Row],[PATENTE]],'BASE DATOS'!F:K,6,0)</f>
        <v>NO</v>
      </c>
      <c r="J361" s="582">
        <f>+VLOOKUP(Tabla3[[#This Row],[PATENTE]],'BASE DATOS'!F:L,7,0)</f>
        <v>0</v>
      </c>
      <c r="K361" s="593">
        <f>+VLOOKUP(Tabla3[[#This Row],[PATENTE]],'BASE DATOS'!F:M,8,0)</f>
        <v>2025</v>
      </c>
      <c r="N361" s="826"/>
      <c r="O361" s="1015"/>
      <c r="P361" s="1015"/>
      <c r="Q361" s="1015"/>
      <c r="R361" s="965" t="str">
        <f t="shared" si="11"/>
        <v>-</v>
      </c>
    </row>
    <row r="362" spans="1:18" hidden="1">
      <c r="A362" s="577" t="s">
        <v>1127</v>
      </c>
      <c r="B362" s="582">
        <v>1</v>
      </c>
      <c r="C362" s="588">
        <v>45880</v>
      </c>
      <c r="D362" s="582">
        <f t="shared" si="12"/>
        <v>33</v>
      </c>
      <c r="E362" s="576" t="str">
        <f>+VLOOKUP(Tabla3[[#This Row],[PATENTE]],'BASE DATOS'!F:G,2,0)</f>
        <v xml:space="preserve">BELLIMAR SRL - BIS283 </v>
      </c>
      <c r="F362" s="582" t="str">
        <f>+VLOOKUP(Tabla3[[#This Row],[PATENTE]],'BASE DATOS'!F:H,3,0)</f>
        <v>28P</v>
      </c>
      <c r="G362" s="582" t="str">
        <f>+VLOOKUP(Tabla3[[#This Row],[PATENTE]],'BASE DATOS'!F:I,4,0)</f>
        <v>NO</v>
      </c>
      <c r="H362" s="584" t="str">
        <f>+VLOOKUP(Tabla3[[#This Row],[PATENTE]],'BASE DATOS'!F:J,5,0)</f>
        <v xml:space="preserve">NO </v>
      </c>
      <c r="I362" s="582" t="str">
        <f>+VLOOKUP(Tabla3[[#This Row],[PATENTE]],'BASE DATOS'!F:K,6,0)</f>
        <v>NO</v>
      </c>
      <c r="J362" s="582">
        <f>+VLOOKUP(Tabla3[[#This Row],[PATENTE]],'BASE DATOS'!F:L,7,0)</f>
        <v>1999</v>
      </c>
      <c r="K362" s="593">
        <f>+VLOOKUP(Tabla3[[#This Row],[PATENTE]],'BASE DATOS'!F:M,8,0)</f>
        <v>26</v>
      </c>
      <c r="N362" s="826"/>
      <c r="O362" s="1015"/>
      <c r="P362" s="1015"/>
      <c r="Q362" s="1015"/>
      <c r="R362" s="965" t="str">
        <f t="shared" si="11"/>
        <v>-</v>
      </c>
    </row>
    <row r="363" spans="1:18" hidden="1">
      <c r="A363" s="578" t="s">
        <v>917</v>
      </c>
      <c r="B363" s="584">
        <v>1</v>
      </c>
      <c r="C363" s="588">
        <v>45880</v>
      </c>
      <c r="D363" s="582">
        <f t="shared" si="12"/>
        <v>33</v>
      </c>
      <c r="E363" s="576" t="str">
        <f>+VLOOKUP(Tabla3[[#This Row],[PATENTE]],'BASE DATOS'!F:G,2,0)</f>
        <v xml:space="preserve">PRONTOMAR - BUZ242 </v>
      </c>
      <c r="F363" s="582" t="str">
        <f>+VLOOKUP(Tabla3[[#This Row],[PATENTE]],'BASE DATOS'!F:H,3,0)</f>
        <v>16P</v>
      </c>
      <c r="G363" s="582" t="str">
        <f>+VLOOKUP(Tabla3[[#This Row],[PATENTE]],'BASE DATOS'!F:I,4,0)</f>
        <v>NO</v>
      </c>
      <c r="H363" s="584" t="str">
        <f>+VLOOKUP(Tabla3[[#This Row],[PATENTE]],'BASE DATOS'!F:J,5,0)</f>
        <v xml:space="preserve">NO </v>
      </c>
      <c r="I363" s="582" t="str">
        <f>+VLOOKUP(Tabla3[[#This Row],[PATENTE]],'BASE DATOS'!F:K,6,0)</f>
        <v>NO</v>
      </c>
      <c r="J363" s="582">
        <f>+VLOOKUP(Tabla3[[#This Row],[PATENTE]],'BASE DATOS'!F:L,7,0)</f>
        <v>1998</v>
      </c>
      <c r="K363" s="593">
        <f>+VLOOKUP(Tabla3[[#This Row],[PATENTE]],'BASE DATOS'!F:M,8,0)</f>
        <v>27</v>
      </c>
      <c r="N363" s="826"/>
      <c r="O363" s="1015"/>
      <c r="P363" s="1015"/>
      <c r="Q363" s="1015"/>
      <c r="R363" s="965" t="str">
        <f t="shared" si="11"/>
        <v>-</v>
      </c>
    </row>
    <row r="364" spans="1:18" hidden="1">
      <c r="A364" s="577" t="s">
        <v>918</v>
      </c>
      <c r="B364" s="582">
        <v>1</v>
      </c>
      <c r="C364" s="588">
        <v>45880</v>
      </c>
      <c r="D364" s="582">
        <f t="shared" si="12"/>
        <v>33</v>
      </c>
      <c r="E364" s="576" t="str">
        <f>+VLOOKUP(Tabla3[[#This Row],[PATENTE]],'BASE DATOS'!F:G,2,0)</f>
        <v>TRANSPORTE GENA GAIA - DGO507</v>
      </c>
      <c r="F364" s="582" t="str">
        <f>+VLOOKUP(Tabla3[[#This Row],[PATENTE]],'BASE DATOS'!F:H,3,0)</f>
        <v>24P</v>
      </c>
      <c r="G364" s="582" t="str">
        <f>+VLOOKUP(Tabla3[[#This Row],[PATENTE]],'BASE DATOS'!F:I,4,0)</f>
        <v>Gestya</v>
      </c>
      <c r="H364" s="584" t="str">
        <f>+VLOOKUP(Tabla3[[#This Row],[PATENTE]],'BASE DATOS'!F:J,5,0)</f>
        <v xml:space="preserve">NO </v>
      </c>
      <c r="I364" s="582" t="str">
        <f>+VLOOKUP(Tabla3[[#This Row],[PATENTE]],'BASE DATOS'!F:K,6,0)</f>
        <v>NO</v>
      </c>
      <c r="J364" s="582">
        <f>+VLOOKUP(Tabla3[[#This Row],[PATENTE]],'BASE DATOS'!F:L,7,0)</f>
        <v>2001</v>
      </c>
      <c r="K364" s="593">
        <f>+VLOOKUP(Tabla3[[#This Row],[PATENTE]],'BASE DATOS'!F:M,8,0)</f>
        <v>24</v>
      </c>
      <c r="N364" s="826"/>
      <c r="O364" s="1015"/>
      <c r="P364" s="1015"/>
      <c r="Q364" s="1015"/>
      <c r="R364" s="965" t="str">
        <f t="shared" si="11"/>
        <v>-</v>
      </c>
    </row>
    <row r="365" spans="1:18" hidden="1">
      <c r="A365" s="578" t="s">
        <v>923</v>
      </c>
      <c r="B365" s="584">
        <v>1</v>
      </c>
      <c r="C365" s="588">
        <v>45880</v>
      </c>
      <c r="D365" s="582">
        <f t="shared" si="12"/>
        <v>33</v>
      </c>
      <c r="E365" s="576" t="str">
        <f>+VLOOKUP(Tabla3[[#This Row],[PATENTE]],'BASE DATOS'!F:G,2,0)</f>
        <v xml:space="preserve">TRANSPORTE GENA GAIA - DLP830 </v>
      </c>
      <c r="F365" s="582" t="str">
        <f>+VLOOKUP(Tabla3[[#This Row],[PATENTE]],'BASE DATOS'!F:H,3,0)</f>
        <v>24P</v>
      </c>
      <c r="G365" s="582" t="str">
        <f>+VLOOKUP(Tabla3[[#This Row],[PATENTE]],'BASE DATOS'!F:I,4,0)</f>
        <v>Gestya</v>
      </c>
      <c r="H365" s="584" t="str">
        <f>+VLOOKUP(Tabla3[[#This Row],[PATENTE]],'BASE DATOS'!F:J,5,0)</f>
        <v xml:space="preserve">NO </v>
      </c>
      <c r="I365" s="582" t="str">
        <f>+VLOOKUP(Tabla3[[#This Row],[PATENTE]],'BASE DATOS'!F:K,6,0)</f>
        <v>NO</v>
      </c>
      <c r="J365" s="582">
        <f>+VLOOKUP(Tabla3[[#This Row],[PATENTE]],'BASE DATOS'!F:L,7,0)</f>
        <v>2001</v>
      </c>
      <c r="K365" s="593">
        <f>+VLOOKUP(Tabla3[[#This Row],[PATENTE]],'BASE DATOS'!F:M,8,0)</f>
        <v>24</v>
      </c>
      <c r="N365" s="826"/>
      <c r="O365" s="1015"/>
      <c r="P365" s="1015"/>
      <c r="Q365" s="1015"/>
      <c r="R365" s="965" t="str">
        <f t="shared" si="11"/>
        <v>-</v>
      </c>
    </row>
    <row r="366" spans="1:18" hidden="1">
      <c r="A366" s="577" t="s">
        <v>926</v>
      </c>
      <c r="B366" s="582">
        <v>1</v>
      </c>
      <c r="C366" s="588">
        <v>45880</v>
      </c>
      <c r="D366" s="582">
        <f t="shared" si="12"/>
        <v>33</v>
      </c>
      <c r="E366" s="576" t="str">
        <f>+VLOOKUP(Tabla3[[#This Row],[PATENTE]],'BASE DATOS'!F:G,2,0)</f>
        <v xml:space="preserve">TRANSPORTE GENA GAIA - DUF042 </v>
      </c>
      <c r="F366" s="582" t="str">
        <f>+VLOOKUP(Tabla3[[#This Row],[PATENTE]],'BASE DATOS'!F:H,3,0)</f>
        <v>24P</v>
      </c>
      <c r="G366" s="582" t="str">
        <f>+VLOOKUP(Tabla3[[#This Row],[PATENTE]],'BASE DATOS'!F:I,4,0)</f>
        <v>Gestya</v>
      </c>
      <c r="H366" s="584" t="str">
        <f>+VLOOKUP(Tabla3[[#This Row],[PATENTE]],'BASE DATOS'!F:J,5,0)</f>
        <v xml:space="preserve">NO </v>
      </c>
      <c r="I366" s="582" t="str">
        <f>+VLOOKUP(Tabla3[[#This Row],[PATENTE]],'BASE DATOS'!F:K,6,0)</f>
        <v>NO</v>
      </c>
      <c r="J366" s="582">
        <f>+VLOOKUP(Tabla3[[#This Row],[PATENTE]],'BASE DATOS'!F:L,7,0)</f>
        <v>2001</v>
      </c>
      <c r="K366" s="593">
        <f>+VLOOKUP(Tabla3[[#This Row],[PATENTE]],'BASE DATOS'!F:M,8,0)</f>
        <v>24</v>
      </c>
      <c r="N366" s="826"/>
      <c r="O366" s="1015"/>
      <c r="P366" s="1015"/>
      <c r="Q366" s="1015"/>
      <c r="R366" s="965" t="str">
        <f t="shared" si="11"/>
        <v>-</v>
      </c>
    </row>
    <row r="367" spans="1:18" hidden="1">
      <c r="A367" s="578" t="s">
        <v>1128</v>
      </c>
      <c r="B367" s="584">
        <v>1</v>
      </c>
      <c r="C367" s="588">
        <v>45880</v>
      </c>
      <c r="D367" s="582">
        <f t="shared" si="12"/>
        <v>33</v>
      </c>
      <c r="E367" s="576" t="str">
        <f>+VLOOKUP(Tabla3[[#This Row],[PATENTE]],'BASE DATOS'!F:G,2,0)</f>
        <v xml:space="preserve">PRONTOMAR - EDW922 </v>
      </c>
      <c r="F367" s="582" t="str">
        <f>+VLOOKUP(Tabla3[[#This Row],[PATENTE]],'BASE DATOS'!F:H,3,0)</f>
        <v>14P</v>
      </c>
      <c r="G367" s="582" t="str">
        <f>+VLOOKUP(Tabla3[[#This Row],[PATENTE]],'BASE DATOS'!F:I,4,0)</f>
        <v>NO</v>
      </c>
      <c r="H367" s="584" t="str">
        <f>+VLOOKUP(Tabla3[[#This Row],[PATENTE]],'BASE DATOS'!F:J,5,0)</f>
        <v xml:space="preserve">NO </v>
      </c>
      <c r="I367" s="582" t="str">
        <f>+VLOOKUP(Tabla3[[#This Row],[PATENTE]],'BASE DATOS'!F:K,6,0)</f>
        <v>NO</v>
      </c>
      <c r="J367" s="582">
        <f>+VLOOKUP(Tabla3[[#This Row],[PATENTE]],'BASE DATOS'!F:L,7,0)</f>
        <v>2003</v>
      </c>
      <c r="K367" s="593">
        <f>+VLOOKUP(Tabla3[[#This Row],[PATENTE]],'BASE DATOS'!F:M,8,0)</f>
        <v>22</v>
      </c>
      <c r="N367" s="826"/>
      <c r="O367" s="1015"/>
      <c r="P367" s="1015"/>
      <c r="Q367" s="1015"/>
      <c r="R367" s="965" t="str">
        <f t="shared" si="11"/>
        <v>-</v>
      </c>
    </row>
    <row r="368" spans="1:18" hidden="1">
      <c r="A368" s="577" t="s">
        <v>930</v>
      </c>
      <c r="B368" s="582">
        <v>1</v>
      </c>
      <c r="C368" s="588">
        <v>45880</v>
      </c>
      <c r="D368" s="582">
        <f t="shared" si="12"/>
        <v>33</v>
      </c>
      <c r="E368" s="576" t="str">
        <f>+VLOOKUP(Tabla3[[#This Row],[PATENTE]],'BASE DATOS'!F:G,2,0)</f>
        <v xml:space="preserve">GANZINI HUGO - JJF375 </v>
      </c>
      <c r="F368" s="582" t="str">
        <f>+VLOOKUP(Tabla3[[#This Row],[PATENTE]],'BASE DATOS'!F:H,3,0)</f>
        <v>14P</v>
      </c>
      <c r="G368" s="582" t="str">
        <f>+VLOOKUP(Tabla3[[#This Row],[PATENTE]],'BASE DATOS'!F:I,4,0)</f>
        <v>SI</v>
      </c>
      <c r="H368" s="584" t="str">
        <f>+VLOOKUP(Tabla3[[#This Row],[PATENTE]],'BASE DATOS'!F:J,5,0)</f>
        <v xml:space="preserve">NO </v>
      </c>
      <c r="I368" s="582" t="str">
        <f>+VLOOKUP(Tabla3[[#This Row],[PATENTE]],'BASE DATOS'!F:K,6,0)</f>
        <v>NO</v>
      </c>
      <c r="J368" s="582">
        <f>+VLOOKUP(Tabla3[[#This Row],[PATENTE]],'BASE DATOS'!F:L,7,0)</f>
        <v>2011</v>
      </c>
      <c r="K368" s="593">
        <f>+VLOOKUP(Tabla3[[#This Row],[PATENTE]],'BASE DATOS'!F:M,8,0)</f>
        <v>14</v>
      </c>
      <c r="N368" s="826"/>
      <c r="O368" s="1015"/>
      <c r="P368" s="1015"/>
      <c r="Q368" s="1015"/>
      <c r="R368" s="965" t="str">
        <f t="shared" si="11"/>
        <v>-</v>
      </c>
    </row>
    <row r="369" spans="1:18" hidden="1">
      <c r="A369" s="578" t="s">
        <v>948</v>
      </c>
      <c r="B369" s="584">
        <v>1</v>
      </c>
      <c r="C369" s="588">
        <v>45880</v>
      </c>
      <c r="D369" s="582">
        <f t="shared" si="12"/>
        <v>33</v>
      </c>
      <c r="E369" s="576" t="str">
        <f>+VLOOKUP(Tabla3[[#This Row],[PATENTE]],'BASE DATOS'!F:G,2,0)</f>
        <v>CAMILA - 24P RETIRA CLIENTE</v>
      </c>
      <c r="F369" s="582" t="str">
        <f>+VLOOKUP(Tabla3[[#This Row],[PATENTE]],'BASE DATOS'!F:H,3,0)</f>
        <v>24P</v>
      </c>
      <c r="G369" s="582" t="str">
        <f>+VLOOKUP(Tabla3[[#This Row],[PATENTE]],'BASE DATOS'!F:I,4,0)</f>
        <v>NO</v>
      </c>
      <c r="H369" s="584" t="str">
        <f>+VLOOKUP(Tabla3[[#This Row],[PATENTE]],'BASE DATOS'!F:J,5,0)</f>
        <v xml:space="preserve">NO </v>
      </c>
      <c r="I369" s="582" t="str">
        <f>+VLOOKUP(Tabla3[[#This Row],[PATENTE]],'BASE DATOS'!F:K,6,0)</f>
        <v>NO</v>
      </c>
      <c r="J369" s="582">
        <f>+VLOOKUP(Tabla3[[#This Row],[PATENTE]],'BASE DATOS'!F:L,7,0)</f>
        <v>0</v>
      </c>
      <c r="K369" s="593">
        <f>+VLOOKUP(Tabla3[[#This Row],[PATENTE]],'BASE DATOS'!F:M,8,0)</f>
        <v>2025</v>
      </c>
      <c r="N369" s="826"/>
      <c r="O369" s="1015"/>
      <c r="P369" s="1015"/>
      <c r="Q369" s="1015"/>
      <c r="R369" s="965" t="str">
        <f t="shared" si="11"/>
        <v>-</v>
      </c>
    </row>
    <row r="370" spans="1:18" hidden="1">
      <c r="A370" s="577" t="s">
        <v>943</v>
      </c>
      <c r="B370" s="582">
        <v>1</v>
      </c>
      <c r="C370" s="588">
        <v>45880</v>
      </c>
      <c r="D370" s="582">
        <f t="shared" ref="D370:D401" si="13">+WEEKNUM(C370)</f>
        <v>33</v>
      </c>
      <c r="E370" s="576" t="str">
        <f>+VLOOKUP(Tabla3[[#This Row],[PATENTE]],'BASE DATOS'!F:G,2,0)</f>
        <v>GANZINI HUGO - KTJ626</v>
      </c>
      <c r="F370" s="582" t="str">
        <f>+VLOOKUP(Tabla3[[#This Row],[PATENTE]],'BASE DATOS'!F:H,3,0)</f>
        <v>8P</v>
      </c>
      <c r="G370" s="582" t="str">
        <f>+VLOOKUP(Tabla3[[#This Row],[PATENTE]],'BASE DATOS'!F:I,4,0)</f>
        <v>NO</v>
      </c>
      <c r="H370" s="584" t="str">
        <f>+VLOOKUP(Tabla3[[#This Row],[PATENTE]],'BASE DATOS'!F:J,5,0)</f>
        <v xml:space="preserve">NO </v>
      </c>
      <c r="I370" s="582" t="str">
        <f>+VLOOKUP(Tabla3[[#This Row],[PATENTE]],'BASE DATOS'!F:K,6,0)</f>
        <v>NO</v>
      </c>
      <c r="J370" s="582">
        <f>+VLOOKUP(Tabla3[[#This Row],[PATENTE]],'BASE DATOS'!F:L,7,0)</f>
        <v>2011</v>
      </c>
      <c r="K370" s="593">
        <f>+VLOOKUP(Tabla3[[#This Row],[PATENTE]],'BASE DATOS'!F:M,8,0)</f>
        <v>14</v>
      </c>
      <c r="N370" s="826"/>
      <c r="O370" s="1015"/>
      <c r="P370" s="1015"/>
      <c r="Q370" s="1015"/>
      <c r="R370" s="965" t="str">
        <f t="shared" si="11"/>
        <v>-</v>
      </c>
    </row>
    <row r="371" spans="1:18" hidden="1">
      <c r="A371" s="578" t="s">
        <v>891</v>
      </c>
      <c r="B371" s="584">
        <v>7</v>
      </c>
      <c r="C371" s="589">
        <v>45887</v>
      </c>
      <c r="D371" s="582">
        <f t="shared" si="13"/>
        <v>34</v>
      </c>
      <c r="E371" s="576" t="str">
        <f>+VLOOKUP(Tabla3[[#This Row],[PATENTE]],'BASE DATOS'!F:G,2,0)</f>
        <v xml:space="preserve">GANZINI HUGO - HHA085 </v>
      </c>
      <c r="F371" s="582" t="str">
        <f>+VLOOKUP(Tabla3[[#This Row],[PATENTE]],'BASE DATOS'!F:H,3,0)</f>
        <v>2P</v>
      </c>
      <c r="G371" s="582" t="str">
        <f>+VLOOKUP(Tabla3[[#This Row],[PATENTE]],'BASE DATOS'!F:I,4,0)</f>
        <v>SI</v>
      </c>
      <c r="H371" s="584" t="str">
        <f>+VLOOKUP(Tabla3[[#This Row],[PATENTE]],'BASE DATOS'!F:J,5,0)</f>
        <v>SI</v>
      </c>
      <c r="I371" s="582" t="str">
        <f>+VLOOKUP(Tabla3[[#This Row],[PATENTE]],'BASE DATOS'!F:K,6,0)</f>
        <v>NO</v>
      </c>
      <c r="J371" s="582">
        <f>+VLOOKUP(Tabla3[[#This Row],[PATENTE]],'BASE DATOS'!F:L,7,0)</f>
        <v>2008</v>
      </c>
      <c r="K371" s="593">
        <f>+VLOOKUP(Tabla3[[#This Row],[PATENTE]],'BASE DATOS'!F:M,8,0)</f>
        <v>17</v>
      </c>
      <c r="N371" s="826"/>
      <c r="O371" s="1015"/>
      <c r="P371" s="1015"/>
      <c r="Q371" s="1015"/>
      <c r="R371" s="965" t="str">
        <f t="shared" si="11"/>
        <v>-</v>
      </c>
    </row>
    <row r="372" spans="1:18" hidden="1">
      <c r="A372" s="577" t="s">
        <v>912</v>
      </c>
      <c r="B372" s="582">
        <v>6</v>
      </c>
      <c r="C372" s="589">
        <v>45887</v>
      </c>
      <c r="D372" s="582">
        <f t="shared" si="13"/>
        <v>34</v>
      </c>
      <c r="E372" s="576" t="str">
        <f>+VLOOKUP(Tabla3[[#This Row],[PATENTE]],'BASE DATOS'!F:G,2,0)</f>
        <v xml:space="preserve">PACHECO JULIO - AC028WN </v>
      </c>
      <c r="F372" s="582" t="str">
        <f>+VLOOKUP(Tabla3[[#This Row],[PATENTE]],'BASE DATOS'!F:H,3,0)</f>
        <v>8P</v>
      </c>
      <c r="G372" s="582" t="str">
        <f>+VLOOKUP(Tabla3[[#This Row],[PATENTE]],'BASE DATOS'!F:I,4,0)</f>
        <v>SI</v>
      </c>
      <c r="H372" s="584" t="str">
        <f>+VLOOKUP(Tabla3[[#This Row],[PATENTE]],'BASE DATOS'!F:J,5,0)</f>
        <v>SI</v>
      </c>
      <c r="I372" s="582" t="str">
        <f>+VLOOKUP(Tabla3[[#This Row],[PATENTE]],'BASE DATOS'!F:K,6,0)</f>
        <v>SI</v>
      </c>
      <c r="J372" s="582">
        <f>+VLOOKUP(Tabla3[[#This Row],[PATENTE]],'BASE DATOS'!F:L,7,0)</f>
        <v>2017</v>
      </c>
      <c r="K372" s="593">
        <f>+VLOOKUP(Tabla3[[#This Row],[PATENTE]],'BASE DATOS'!F:M,8,0)</f>
        <v>8</v>
      </c>
      <c r="N372" s="826"/>
      <c r="O372" s="1015"/>
      <c r="P372" s="1015"/>
      <c r="Q372" s="1015"/>
      <c r="R372" s="965" t="str">
        <f t="shared" si="11"/>
        <v>-</v>
      </c>
    </row>
    <row r="373" spans="1:18" hidden="1">
      <c r="A373" s="578" t="s">
        <v>907</v>
      </c>
      <c r="B373" s="584">
        <v>6</v>
      </c>
      <c r="C373" s="589">
        <v>45887</v>
      </c>
      <c r="D373" s="582">
        <f t="shared" si="13"/>
        <v>34</v>
      </c>
      <c r="E373" s="576" t="str">
        <f>+VLOOKUP(Tabla3[[#This Row],[PATENTE]],'BASE DATOS'!F:G,2,0)</f>
        <v xml:space="preserve">LAURIA (SERVAL) - AH583GW </v>
      </c>
      <c r="F373" s="582" t="str">
        <f>+VLOOKUP(Tabla3[[#This Row],[PATENTE]],'BASE DATOS'!F:H,3,0)</f>
        <v>8P</v>
      </c>
      <c r="G373" s="582" t="str">
        <f>+VLOOKUP(Tabla3[[#This Row],[PATENTE]],'BASE DATOS'!F:I,4,0)</f>
        <v>SI</v>
      </c>
      <c r="H373" s="584" t="str">
        <f>+VLOOKUP(Tabla3[[#This Row],[PATENTE]],'BASE DATOS'!F:J,5,0)</f>
        <v>SI</v>
      </c>
      <c r="I373" s="582" t="str">
        <f>+VLOOKUP(Tabla3[[#This Row],[PATENTE]],'BASE DATOS'!F:K,6,0)</f>
        <v>NO</v>
      </c>
      <c r="J373" s="582">
        <f>+VLOOKUP(Tabla3[[#This Row],[PATENTE]],'BASE DATOS'!F:L,7,0)</f>
        <v>2025</v>
      </c>
      <c r="K373" s="593">
        <f>+VLOOKUP(Tabla3[[#This Row],[PATENTE]],'BASE DATOS'!F:M,8,0)</f>
        <v>0</v>
      </c>
      <c r="N373" s="826"/>
      <c r="O373" s="1015"/>
      <c r="P373" s="1015"/>
      <c r="Q373" s="1015"/>
      <c r="R373" s="965" t="str">
        <f t="shared" si="11"/>
        <v>-</v>
      </c>
    </row>
    <row r="374" spans="1:18" hidden="1">
      <c r="A374" s="580" t="s">
        <v>932</v>
      </c>
      <c r="B374" s="586">
        <v>6</v>
      </c>
      <c r="C374" s="589">
        <v>45887</v>
      </c>
      <c r="D374" s="582">
        <f t="shared" si="13"/>
        <v>34</v>
      </c>
      <c r="E374" s="576" t="str">
        <f>+VLOOKUP(Tabla3[[#This Row],[PATENTE]],'BASE DATOS'!F:G,2,0)</f>
        <v xml:space="preserve">TRANSP MAVIR - EFL176 </v>
      </c>
      <c r="F374" s="582" t="str">
        <f>+VLOOKUP(Tabla3[[#This Row],[PATENTE]],'BASE DATOS'!F:H,3,0)</f>
        <v>12P</v>
      </c>
      <c r="G374" s="582" t="str">
        <f>+VLOOKUP(Tabla3[[#This Row],[PATENTE]],'BASE DATOS'!F:I,4,0)</f>
        <v>SI</v>
      </c>
      <c r="H374" s="584" t="str">
        <f>+VLOOKUP(Tabla3[[#This Row],[PATENTE]],'BASE DATOS'!F:J,5,0)</f>
        <v>SI</v>
      </c>
      <c r="I374" s="582" t="str">
        <f>+VLOOKUP(Tabla3[[#This Row],[PATENTE]],'BASE DATOS'!F:K,6,0)</f>
        <v>NO</v>
      </c>
      <c r="J374" s="582">
        <f>+VLOOKUP(Tabla3[[#This Row],[PATENTE]],'BASE DATOS'!F:L,7,0)</f>
        <v>1998</v>
      </c>
      <c r="K374" s="593">
        <f>+VLOOKUP(Tabla3[[#This Row],[PATENTE]],'BASE DATOS'!F:M,8,0)</f>
        <v>27</v>
      </c>
      <c r="N374" s="826"/>
      <c r="O374" s="1015"/>
      <c r="P374" s="1015"/>
      <c r="Q374" s="1015"/>
      <c r="R374" s="965" t="str">
        <f t="shared" si="11"/>
        <v>-</v>
      </c>
    </row>
    <row r="375" spans="1:18" hidden="1">
      <c r="A375" s="578" t="s">
        <v>909</v>
      </c>
      <c r="B375" s="584">
        <v>6</v>
      </c>
      <c r="C375" s="589">
        <v>45887</v>
      </c>
      <c r="D375" s="582">
        <f t="shared" si="13"/>
        <v>34</v>
      </c>
      <c r="E375" s="576" t="str">
        <f>+VLOOKUP(Tabla3[[#This Row],[PATENTE]],'BASE DATOS'!F:G,2,0)</f>
        <v xml:space="preserve">CRISTIAN MOYA - NHR055 </v>
      </c>
      <c r="F375" s="582" t="str">
        <f>+VLOOKUP(Tabla3[[#This Row],[PATENTE]],'BASE DATOS'!F:H,3,0)</f>
        <v>6P</v>
      </c>
      <c r="G375" s="582" t="str">
        <f>+VLOOKUP(Tabla3[[#This Row],[PATENTE]],'BASE DATOS'!F:I,4,0)</f>
        <v>SI</v>
      </c>
      <c r="H375" s="584" t="str">
        <f>+VLOOKUP(Tabla3[[#This Row],[PATENTE]],'BASE DATOS'!F:J,5,0)</f>
        <v>SI</v>
      </c>
      <c r="I375" s="582" t="str">
        <f>+VLOOKUP(Tabla3[[#This Row],[PATENTE]],'BASE DATOS'!F:K,6,0)</f>
        <v>NO</v>
      </c>
      <c r="J375" s="582">
        <f>+VLOOKUP(Tabla3[[#This Row],[PATENTE]],'BASE DATOS'!F:L,7,0)</f>
        <v>2013</v>
      </c>
      <c r="K375" s="593">
        <f>+VLOOKUP(Tabla3[[#This Row],[PATENTE]],'BASE DATOS'!F:M,8,0)</f>
        <v>12</v>
      </c>
      <c r="N375" s="826"/>
      <c r="O375" s="1015"/>
      <c r="P375" s="1015"/>
      <c r="Q375" s="1015"/>
      <c r="R375" s="965" t="str">
        <f t="shared" si="11"/>
        <v>-</v>
      </c>
    </row>
    <row r="376" spans="1:18" hidden="1">
      <c r="A376" s="577" t="s">
        <v>898</v>
      </c>
      <c r="B376" s="582">
        <v>6</v>
      </c>
      <c r="C376" s="589">
        <v>45887</v>
      </c>
      <c r="D376" s="582">
        <f t="shared" si="13"/>
        <v>34</v>
      </c>
      <c r="E376" s="576" t="str">
        <f>+VLOOKUP(Tabla3[[#This Row],[PATENTE]],'BASE DATOS'!F:G,2,0)</f>
        <v xml:space="preserve">TRANSP BERMEJO - NXP980 </v>
      </c>
      <c r="F376" s="582" t="str">
        <f>+VLOOKUP(Tabla3[[#This Row],[PATENTE]],'BASE DATOS'!F:H,3,0)</f>
        <v>12P</v>
      </c>
      <c r="G376" s="582" t="str">
        <f>+VLOOKUP(Tabla3[[#This Row],[PATENTE]],'BASE DATOS'!F:I,4,0)</f>
        <v>SI</v>
      </c>
      <c r="H376" s="584" t="str">
        <f>+VLOOKUP(Tabla3[[#This Row],[PATENTE]],'BASE DATOS'!F:J,5,0)</f>
        <v>SI</v>
      </c>
      <c r="I376" s="582" t="str">
        <f>+VLOOKUP(Tabla3[[#This Row],[PATENTE]],'BASE DATOS'!F:K,6,0)</f>
        <v>SI</v>
      </c>
      <c r="J376" s="582">
        <f>+VLOOKUP(Tabla3[[#This Row],[PATENTE]],'BASE DATOS'!F:L,7,0)</f>
        <v>2015</v>
      </c>
      <c r="K376" s="593">
        <f>+VLOOKUP(Tabla3[[#This Row],[PATENTE]],'BASE DATOS'!F:M,8,0)</f>
        <v>10</v>
      </c>
      <c r="N376" s="826"/>
      <c r="O376" s="1015"/>
      <c r="P376" s="1015"/>
      <c r="Q376" s="1015"/>
      <c r="R376" s="965" t="str">
        <f t="shared" si="11"/>
        <v>-</v>
      </c>
    </row>
    <row r="377" spans="1:18" hidden="1">
      <c r="A377" s="578" t="s">
        <v>919</v>
      </c>
      <c r="B377" s="584">
        <v>5</v>
      </c>
      <c r="C377" s="589">
        <v>45887</v>
      </c>
      <c r="D377" s="582">
        <f t="shared" si="13"/>
        <v>34</v>
      </c>
      <c r="E377" s="576" t="str">
        <f>+VLOOKUP(Tabla3[[#This Row],[PATENTE]],'BASE DATOS'!F:G,2,0)</f>
        <v xml:space="preserve">GUSTAVO CERQUETTA - AA427LT </v>
      </c>
      <c r="F377" s="582" t="str">
        <f>+VLOOKUP(Tabla3[[#This Row],[PATENTE]],'BASE DATOS'!F:H,3,0)</f>
        <v>1P</v>
      </c>
      <c r="G377" s="582" t="str">
        <f>+VLOOKUP(Tabla3[[#This Row],[PATENTE]],'BASE DATOS'!F:I,4,0)</f>
        <v>NO</v>
      </c>
      <c r="H377" s="584" t="str">
        <f>+VLOOKUP(Tabla3[[#This Row],[PATENTE]],'BASE DATOS'!F:J,5,0)</f>
        <v>SI</v>
      </c>
      <c r="I377" s="582" t="str">
        <f>+VLOOKUP(Tabla3[[#This Row],[PATENTE]],'BASE DATOS'!F:K,6,0)</f>
        <v>NO</v>
      </c>
      <c r="J377" s="582">
        <f>+VLOOKUP(Tabla3[[#This Row],[PATENTE]],'BASE DATOS'!F:L,7,0)</f>
        <v>2016</v>
      </c>
      <c r="K377" s="593">
        <f>+VLOOKUP(Tabla3[[#This Row],[PATENTE]],'BASE DATOS'!F:M,8,0)</f>
        <v>9</v>
      </c>
      <c r="N377" s="826"/>
      <c r="O377" s="1015"/>
      <c r="P377" s="1015"/>
      <c r="Q377" s="1015"/>
      <c r="R377" s="965" t="str">
        <f t="shared" si="11"/>
        <v>-</v>
      </c>
    </row>
    <row r="378" spans="1:18" hidden="1">
      <c r="A378" s="577" t="s">
        <v>899</v>
      </c>
      <c r="B378" s="582">
        <v>5</v>
      </c>
      <c r="C378" s="589">
        <v>45887</v>
      </c>
      <c r="D378" s="582">
        <f t="shared" si="13"/>
        <v>34</v>
      </c>
      <c r="E378" s="576" t="str">
        <f>+VLOOKUP(Tabla3[[#This Row],[PATENTE]],'BASE DATOS'!F:G,2,0)</f>
        <v xml:space="preserve">VAZQUEZ (TRV SRL) - AB176KN </v>
      </c>
      <c r="F378" s="582" t="str">
        <f>+VLOOKUP(Tabla3[[#This Row],[PATENTE]],'BASE DATOS'!F:H,3,0)</f>
        <v>8P</v>
      </c>
      <c r="G378" s="582" t="str">
        <f>+VLOOKUP(Tabla3[[#This Row],[PATENTE]],'BASE DATOS'!F:I,4,0)</f>
        <v>SI</v>
      </c>
      <c r="H378" s="584" t="str">
        <f>+VLOOKUP(Tabla3[[#This Row],[PATENTE]],'BASE DATOS'!F:J,5,0)</f>
        <v>SI</v>
      </c>
      <c r="I378" s="582" t="str">
        <f>+VLOOKUP(Tabla3[[#This Row],[PATENTE]],'BASE DATOS'!F:K,6,0)</f>
        <v>SI</v>
      </c>
      <c r="J378" s="582">
        <f>+VLOOKUP(Tabla3[[#This Row],[PATENTE]],'BASE DATOS'!F:L,7,0)</f>
        <v>2017</v>
      </c>
      <c r="K378" s="593">
        <f>+VLOOKUP(Tabla3[[#This Row],[PATENTE]],'BASE DATOS'!F:M,8,0)</f>
        <v>8</v>
      </c>
      <c r="N378" s="826"/>
      <c r="O378" s="1015"/>
      <c r="P378" s="1015"/>
      <c r="Q378" s="1015"/>
      <c r="R378" s="965" t="str">
        <f t="shared" si="11"/>
        <v>-</v>
      </c>
    </row>
    <row r="379" spans="1:18" hidden="1">
      <c r="A379" s="578" t="s">
        <v>880</v>
      </c>
      <c r="B379" s="584">
        <v>5</v>
      </c>
      <c r="C379" s="589">
        <v>45887</v>
      </c>
      <c r="D379" s="582">
        <f t="shared" si="13"/>
        <v>34</v>
      </c>
      <c r="E379" s="576" t="str">
        <f>+VLOOKUP(Tabla3[[#This Row],[PATENTE]],'BASE DATOS'!F:G,2,0)</f>
        <v xml:space="preserve">LAURIA (SERVAL) - AD575XK </v>
      </c>
      <c r="F379" s="582" t="str">
        <f>+VLOOKUP(Tabla3[[#This Row],[PATENTE]],'BASE DATOS'!F:H,3,0)</f>
        <v>8P</v>
      </c>
      <c r="G379" s="582" t="str">
        <f>+VLOOKUP(Tabla3[[#This Row],[PATENTE]],'BASE DATOS'!F:I,4,0)</f>
        <v>SI</v>
      </c>
      <c r="H379" s="584" t="str">
        <f>+VLOOKUP(Tabla3[[#This Row],[PATENTE]],'BASE DATOS'!F:J,5,0)</f>
        <v>SI</v>
      </c>
      <c r="I379" s="582" t="str">
        <f>+VLOOKUP(Tabla3[[#This Row],[PATENTE]],'BASE DATOS'!F:K,6,0)</f>
        <v>NO</v>
      </c>
      <c r="J379" s="582">
        <f>+VLOOKUP(Tabla3[[#This Row],[PATENTE]],'BASE DATOS'!F:L,7,0)</f>
        <v>2019</v>
      </c>
      <c r="K379" s="593">
        <f>+VLOOKUP(Tabla3[[#This Row],[PATENTE]],'BASE DATOS'!F:M,8,0)</f>
        <v>6</v>
      </c>
      <c r="N379" s="826"/>
      <c r="O379" s="1015"/>
      <c r="P379" s="1015"/>
      <c r="Q379" s="1015"/>
      <c r="R379" s="965" t="str">
        <f t="shared" si="11"/>
        <v>-</v>
      </c>
    </row>
    <row r="380" spans="1:18" hidden="1">
      <c r="A380" s="577" t="s">
        <v>922</v>
      </c>
      <c r="B380" s="582">
        <v>5</v>
      </c>
      <c r="C380" s="589">
        <v>45887</v>
      </c>
      <c r="D380" s="582">
        <f t="shared" si="13"/>
        <v>34</v>
      </c>
      <c r="E380" s="576" t="str">
        <f>+VLOOKUP(Tabla3[[#This Row],[PATENTE]],'BASE DATOS'!F:G,2,0)</f>
        <v>LAURIA (SERVAL) - AF342ZY</v>
      </c>
      <c r="F380" s="582" t="str">
        <f>+VLOOKUP(Tabla3[[#This Row],[PATENTE]],'BASE DATOS'!F:H,3,0)</f>
        <v>8P</v>
      </c>
      <c r="G380" s="582" t="str">
        <f>+VLOOKUP(Tabla3[[#This Row],[PATENTE]],'BASE DATOS'!F:I,4,0)</f>
        <v>SI</v>
      </c>
      <c r="H380" s="584" t="str">
        <f>+VLOOKUP(Tabla3[[#This Row],[PATENTE]],'BASE DATOS'!F:J,5,0)</f>
        <v>SI</v>
      </c>
      <c r="I380" s="582" t="str">
        <f>+VLOOKUP(Tabla3[[#This Row],[PATENTE]],'BASE DATOS'!F:K,6,0)</f>
        <v>NO</v>
      </c>
      <c r="J380" s="582">
        <f>+VLOOKUP(Tabla3[[#This Row],[PATENTE]],'BASE DATOS'!F:L,7,0)</f>
        <v>2022</v>
      </c>
      <c r="K380" s="593">
        <f>+VLOOKUP(Tabla3[[#This Row],[PATENTE]],'BASE DATOS'!F:M,8,0)</f>
        <v>3</v>
      </c>
      <c r="N380" s="826"/>
      <c r="O380" s="1015"/>
      <c r="P380" s="1015"/>
      <c r="Q380" s="1015"/>
      <c r="R380" s="965" t="str">
        <f t="shared" si="11"/>
        <v>-</v>
      </c>
    </row>
    <row r="381" spans="1:18" hidden="1">
      <c r="A381" s="578" t="s">
        <v>887</v>
      </c>
      <c r="B381" s="584">
        <v>5</v>
      </c>
      <c r="C381" s="589">
        <v>45887</v>
      </c>
      <c r="D381" s="582">
        <f t="shared" si="13"/>
        <v>34</v>
      </c>
      <c r="E381" s="576" t="str">
        <f>+VLOOKUP(Tabla3[[#This Row],[PATENTE]],'BASE DATOS'!F:G,2,0)</f>
        <v>ENRIQUE ROLLINO - BXB394</v>
      </c>
      <c r="F381" s="582" t="str">
        <f>+VLOOKUP(Tabla3[[#This Row],[PATENTE]],'BASE DATOS'!F:H,3,0)</f>
        <v>2P</v>
      </c>
      <c r="G381" s="582" t="str">
        <f>+VLOOKUP(Tabla3[[#This Row],[PATENTE]],'BASE DATOS'!F:I,4,0)</f>
        <v>SI</v>
      </c>
      <c r="H381" s="584" t="str">
        <f>+VLOOKUP(Tabla3[[#This Row],[PATENTE]],'BASE DATOS'!F:J,5,0)</f>
        <v>SI</v>
      </c>
      <c r="I381" s="582" t="str">
        <f>+VLOOKUP(Tabla3[[#This Row],[PATENTE]],'BASE DATOS'!F:K,6,0)</f>
        <v>NO</v>
      </c>
      <c r="J381" s="582">
        <f>+VLOOKUP(Tabla3[[#This Row],[PATENTE]],'BASE DATOS'!F:L,7,0)</f>
        <v>1998</v>
      </c>
      <c r="K381" s="593">
        <f>+VLOOKUP(Tabla3[[#This Row],[PATENTE]],'BASE DATOS'!F:M,8,0)</f>
        <v>27</v>
      </c>
      <c r="N381" s="826"/>
      <c r="O381" s="1015"/>
      <c r="P381" s="1015"/>
      <c r="Q381" s="1015"/>
      <c r="R381" s="965" t="str">
        <f t="shared" si="11"/>
        <v>-</v>
      </c>
    </row>
    <row r="382" spans="1:18" hidden="1">
      <c r="A382" s="577" t="s">
        <v>921</v>
      </c>
      <c r="B382" s="582">
        <v>5</v>
      </c>
      <c r="C382" s="589">
        <v>45887</v>
      </c>
      <c r="D382" s="582">
        <f t="shared" si="13"/>
        <v>34</v>
      </c>
      <c r="E382" s="576" t="str">
        <f>+VLOOKUP(Tabla3[[#This Row],[PATENTE]],'BASE DATOS'!F:G,2,0)</f>
        <v xml:space="preserve">MAÑAS NORBERTO - CQQ304 </v>
      </c>
      <c r="F382" s="582" t="str">
        <f>+VLOOKUP(Tabla3[[#This Row],[PATENTE]],'BASE DATOS'!F:H,3,0)</f>
        <v>11P</v>
      </c>
      <c r="G382" s="582" t="str">
        <f>+VLOOKUP(Tabla3[[#This Row],[PATENTE]],'BASE DATOS'!F:I,4,0)</f>
        <v>SI</v>
      </c>
      <c r="H382" s="584" t="str">
        <f>+VLOOKUP(Tabla3[[#This Row],[PATENTE]],'BASE DATOS'!F:J,5,0)</f>
        <v>SI</v>
      </c>
      <c r="I382" s="582" t="str">
        <f>+VLOOKUP(Tabla3[[#This Row],[PATENTE]],'BASE DATOS'!F:K,6,0)</f>
        <v>NO</v>
      </c>
      <c r="J382" s="582">
        <f>+VLOOKUP(Tabla3[[#This Row],[PATENTE]],'BASE DATOS'!F:L,7,0)</f>
        <v>2000</v>
      </c>
      <c r="K382" s="593">
        <f>+VLOOKUP(Tabla3[[#This Row],[PATENTE]],'BASE DATOS'!F:M,8,0)</f>
        <v>25</v>
      </c>
      <c r="N382" s="826"/>
      <c r="O382" s="1015"/>
      <c r="P382" s="1015"/>
      <c r="Q382" s="1015"/>
      <c r="R382" s="965" t="str">
        <f t="shared" si="11"/>
        <v>-</v>
      </c>
    </row>
    <row r="383" spans="1:18" hidden="1">
      <c r="A383" s="578" t="s">
        <v>881</v>
      </c>
      <c r="B383" s="584">
        <v>5</v>
      </c>
      <c r="C383" s="589">
        <v>45887</v>
      </c>
      <c r="D383" s="582">
        <f t="shared" si="13"/>
        <v>34</v>
      </c>
      <c r="E383" s="576" t="str">
        <f>+VLOOKUP(Tabla3[[#This Row],[PATENTE]],'BASE DATOS'!F:G,2,0)</f>
        <v xml:space="preserve">MAÑAS NORBERTO - DUQ686 </v>
      </c>
      <c r="F383" s="582" t="str">
        <f>+VLOOKUP(Tabla3[[#This Row],[PATENTE]],'BASE DATOS'!F:H,3,0)</f>
        <v>8P</v>
      </c>
      <c r="G383" s="582" t="str">
        <f>+VLOOKUP(Tabla3[[#This Row],[PATENTE]],'BASE DATOS'!F:I,4,0)</f>
        <v>SI</v>
      </c>
      <c r="H383" s="584" t="str">
        <f>+VLOOKUP(Tabla3[[#This Row],[PATENTE]],'BASE DATOS'!F:J,5,0)</f>
        <v>SI</v>
      </c>
      <c r="I383" s="582" t="str">
        <f>+VLOOKUP(Tabla3[[#This Row],[PATENTE]],'BASE DATOS'!F:K,6,0)</f>
        <v>NO</v>
      </c>
      <c r="J383" s="582">
        <f>+VLOOKUP(Tabla3[[#This Row],[PATENTE]],'BASE DATOS'!F:L,7,0)</f>
        <v>2001</v>
      </c>
      <c r="K383" s="593">
        <f>+VLOOKUP(Tabla3[[#This Row],[PATENTE]],'BASE DATOS'!F:M,8,0)</f>
        <v>24</v>
      </c>
      <c r="N383" s="826"/>
      <c r="O383" s="1015"/>
      <c r="P383" s="1015"/>
      <c r="Q383" s="1015"/>
      <c r="R383" s="965" t="str">
        <f t="shared" si="11"/>
        <v>-</v>
      </c>
    </row>
    <row r="384" spans="1:18" hidden="1">
      <c r="A384" s="577" t="s">
        <v>885</v>
      </c>
      <c r="B384" s="582">
        <v>5</v>
      </c>
      <c r="C384" s="589">
        <v>45887</v>
      </c>
      <c r="D384" s="582">
        <f t="shared" si="13"/>
        <v>34</v>
      </c>
      <c r="E384" s="576" t="str">
        <f>+VLOOKUP(Tabla3[[#This Row],[PATENTE]],'BASE DATOS'!F:G,2,0)</f>
        <v xml:space="preserve">TRANSP DON NENO - IES288 </v>
      </c>
      <c r="F384" s="582" t="str">
        <f>+VLOOKUP(Tabla3[[#This Row],[PATENTE]],'BASE DATOS'!F:H,3,0)</f>
        <v>2P</v>
      </c>
      <c r="G384" s="582" t="str">
        <f>+VLOOKUP(Tabla3[[#This Row],[PATENTE]],'BASE DATOS'!F:I,4,0)</f>
        <v>SI</v>
      </c>
      <c r="H384" s="584" t="str">
        <f>+VLOOKUP(Tabla3[[#This Row],[PATENTE]],'BASE DATOS'!F:J,5,0)</f>
        <v>SI</v>
      </c>
      <c r="I384" s="582" t="str">
        <f>+VLOOKUP(Tabla3[[#This Row],[PATENTE]],'BASE DATOS'!F:K,6,0)</f>
        <v>NO</v>
      </c>
      <c r="J384" s="582">
        <f>+VLOOKUP(Tabla3[[#This Row],[PATENTE]],'BASE DATOS'!F:L,7,0)</f>
        <v>2009</v>
      </c>
      <c r="K384" s="593">
        <f>+VLOOKUP(Tabla3[[#This Row],[PATENTE]],'BASE DATOS'!F:M,8,0)</f>
        <v>16</v>
      </c>
      <c r="N384" s="826"/>
      <c r="O384" s="1015"/>
      <c r="P384" s="1015"/>
      <c r="Q384" s="1015"/>
      <c r="R384" s="965" t="str">
        <f t="shared" si="11"/>
        <v>-</v>
      </c>
    </row>
    <row r="385" spans="1:18" hidden="1">
      <c r="A385" s="578" t="s">
        <v>901</v>
      </c>
      <c r="B385" s="584">
        <v>5</v>
      </c>
      <c r="C385" s="589">
        <v>45887</v>
      </c>
      <c r="D385" s="582">
        <f t="shared" si="13"/>
        <v>34</v>
      </c>
      <c r="E385" s="576" t="str">
        <f>+VLOOKUP(Tabla3[[#This Row],[PATENTE]],'BASE DATOS'!F:G,2,0)</f>
        <v xml:space="preserve">TRANSPORTE  GRACIELA - IYE750 </v>
      </c>
      <c r="F385" s="582" t="str">
        <f>+VLOOKUP(Tabla3[[#This Row],[PATENTE]],'BASE DATOS'!F:H,3,0)</f>
        <v>1P</v>
      </c>
      <c r="G385" s="582" t="str">
        <f>+VLOOKUP(Tabla3[[#This Row],[PATENTE]],'BASE DATOS'!F:I,4,0)</f>
        <v>NO</v>
      </c>
      <c r="H385" s="584" t="str">
        <f>+VLOOKUP(Tabla3[[#This Row],[PATENTE]],'BASE DATOS'!F:J,5,0)</f>
        <v>SI</v>
      </c>
      <c r="I385" s="582" t="str">
        <f>+VLOOKUP(Tabla3[[#This Row],[PATENTE]],'BASE DATOS'!F:K,6,0)</f>
        <v>NO</v>
      </c>
      <c r="J385" s="582">
        <f>+VLOOKUP(Tabla3[[#This Row],[PATENTE]],'BASE DATOS'!F:L,7,0)</f>
        <v>2009</v>
      </c>
      <c r="K385" s="593">
        <f>+VLOOKUP(Tabla3[[#This Row],[PATENTE]],'BASE DATOS'!F:M,8,0)</f>
        <v>16</v>
      </c>
      <c r="N385" s="826"/>
      <c r="O385" s="1015"/>
      <c r="P385" s="1015"/>
      <c r="Q385" s="1015"/>
      <c r="R385" s="965" t="str">
        <f t="shared" si="11"/>
        <v>-</v>
      </c>
    </row>
    <row r="386" spans="1:18" hidden="1">
      <c r="A386" s="577" t="s">
        <v>925</v>
      </c>
      <c r="B386" s="582">
        <v>5</v>
      </c>
      <c r="C386" s="589">
        <v>45887</v>
      </c>
      <c r="D386" s="582">
        <f t="shared" si="13"/>
        <v>34</v>
      </c>
      <c r="E386" s="576" t="str">
        <f>+VLOOKUP(Tabla3[[#This Row],[PATENTE]],'BASE DATOS'!F:G,2,0)</f>
        <v xml:space="preserve">TRANSP MAIDANA FACUNDO - KOW745 </v>
      </c>
      <c r="F386" s="582" t="str">
        <f>+VLOOKUP(Tabla3[[#This Row],[PATENTE]],'BASE DATOS'!F:H,3,0)</f>
        <v>8P</v>
      </c>
      <c r="G386" s="582" t="str">
        <f>+VLOOKUP(Tabla3[[#This Row],[PATENTE]],'BASE DATOS'!F:I,4,0)</f>
        <v>SI</v>
      </c>
      <c r="H386" s="584" t="str">
        <f>+VLOOKUP(Tabla3[[#This Row],[PATENTE]],'BASE DATOS'!F:J,5,0)</f>
        <v>SI</v>
      </c>
      <c r="I386" s="582" t="str">
        <f>+VLOOKUP(Tabla3[[#This Row],[PATENTE]],'BASE DATOS'!F:K,6,0)</f>
        <v>NO</v>
      </c>
      <c r="J386" s="582">
        <f>+VLOOKUP(Tabla3[[#This Row],[PATENTE]],'BASE DATOS'!F:L,7,0)</f>
        <v>2012</v>
      </c>
      <c r="K386" s="593">
        <f>+VLOOKUP(Tabla3[[#This Row],[PATENTE]],'BASE DATOS'!F:M,8,0)</f>
        <v>13</v>
      </c>
      <c r="N386" s="826"/>
      <c r="O386" s="1015"/>
      <c r="P386" s="1015"/>
      <c r="Q386" s="1015"/>
      <c r="R386" s="965" t="str">
        <f t="shared" ref="R386:R449" si="14">IFERROR(AVERAGE(O386:Q386),"-")</f>
        <v>-</v>
      </c>
    </row>
    <row r="387" spans="1:18" hidden="1">
      <c r="A387" s="578" t="s">
        <v>913</v>
      </c>
      <c r="B387" s="584">
        <v>5</v>
      </c>
      <c r="C387" s="589">
        <v>45887</v>
      </c>
      <c r="D387" s="582">
        <f t="shared" si="13"/>
        <v>34</v>
      </c>
      <c r="E387" s="576" t="str">
        <f>+VLOOKUP(Tabla3[[#This Row],[PATENTE]],'BASE DATOS'!F:G,2,0)</f>
        <v xml:space="preserve">TRANSP DON NENO - KSI803 </v>
      </c>
      <c r="F387" s="582" t="str">
        <f>+VLOOKUP(Tabla3[[#This Row],[PATENTE]],'BASE DATOS'!F:H,3,0)</f>
        <v>2P</v>
      </c>
      <c r="G387" s="582" t="str">
        <f>+VLOOKUP(Tabla3[[#This Row],[PATENTE]],'BASE DATOS'!F:I,4,0)</f>
        <v>SI</v>
      </c>
      <c r="H387" s="584" t="str">
        <f>+VLOOKUP(Tabla3[[#This Row],[PATENTE]],'BASE DATOS'!F:J,5,0)</f>
        <v>SI</v>
      </c>
      <c r="I387" s="582" t="str">
        <f>+VLOOKUP(Tabla3[[#This Row],[PATENTE]],'BASE DATOS'!F:K,6,0)</f>
        <v>NO</v>
      </c>
      <c r="J387" s="582">
        <f>+VLOOKUP(Tabla3[[#This Row],[PATENTE]],'BASE DATOS'!F:L,7,0)</f>
        <v>2012</v>
      </c>
      <c r="K387" s="593">
        <f>+VLOOKUP(Tabla3[[#This Row],[PATENTE]],'BASE DATOS'!F:M,8,0)</f>
        <v>13</v>
      </c>
      <c r="N387" s="826"/>
      <c r="O387" s="1015"/>
      <c r="P387" s="1015"/>
      <c r="Q387" s="1015"/>
      <c r="R387" s="965" t="str">
        <f t="shared" si="14"/>
        <v>-</v>
      </c>
    </row>
    <row r="388" spans="1:18" hidden="1">
      <c r="A388" s="577" t="s">
        <v>902</v>
      </c>
      <c r="B388" s="582">
        <v>5</v>
      </c>
      <c r="C388" s="589">
        <v>45887</v>
      </c>
      <c r="D388" s="582">
        <f t="shared" si="13"/>
        <v>34</v>
      </c>
      <c r="E388" s="576" t="str">
        <f>+VLOOKUP(Tabla3[[#This Row],[PATENTE]],'BASE DATOS'!F:G,2,0)</f>
        <v xml:space="preserve">GUSTAVO CERQUETTA - KZA644 </v>
      </c>
      <c r="F388" s="582" t="str">
        <f>+VLOOKUP(Tabla3[[#This Row],[PATENTE]],'BASE DATOS'!F:H,3,0)</f>
        <v>2P</v>
      </c>
      <c r="G388" s="582" t="str">
        <f>+VLOOKUP(Tabla3[[#This Row],[PATENTE]],'BASE DATOS'!F:I,4,0)</f>
        <v>NO</v>
      </c>
      <c r="H388" s="584" t="str">
        <f>+VLOOKUP(Tabla3[[#This Row],[PATENTE]],'BASE DATOS'!F:J,5,0)</f>
        <v>SI</v>
      </c>
      <c r="I388" s="582" t="str">
        <f>+VLOOKUP(Tabla3[[#This Row],[PATENTE]],'BASE DATOS'!F:K,6,0)</f>
        <v>NO</v>
      </c>
      <c r="J388" s="582">
        <f>+VLOOKUP(Tabla3[[#This Row],[PATENTE]],'BASE DATOS'!F:L,7,0)</f>
        <v>2012</v>
      </c>
      <c r="K388" s="593">
        <f>+VLOOKUP(Tabla3[[#This Row],[PATENTE]],'BASE DATOS'!F:M,8,0)</f>
        <v>13</v>
      </c>
      <c r="N388" s="826"/>
      <c r="O388" s="1015"/>
      <c r="P388" s="1015"/>
      <c r="Q388" s="1015"/>
      <c r="R388" s="965" t="str">
        <f t="shared" si="14"/>
        <v>-</v>
      </c>
    </row>
    <row r="389" spans="1:18" hidden="1">
      <c r="A389" s="578" t="s">
        <v>897</v>
      </c>
      <c r="B389" s="584">
        <v>5</v>
      </c>
      <c r="C389" s="589">
        <v>45887</v>
      </c>
      <c r="D389" s="582">
        <f t="shared" si="13"/>
        <v>34</v>
      </c>
      <c r="E389" s="576" t="str">
        <f>+VLOOKUP(Tabla3[[#This Row],[PATENTE]],'BASE DATOS'!F:G,2,0)</f>
        <v xml:space="preserve">TRANSP CLAUDIO BUSTOS - LSG801 </v>
      </c>
      <c r="F389" s="582" t="str">
        <f>+VLOOKUP(Tabla3[[#This Row],[PATENTE]],'BASE DATOS'!F:H,3,0)</f>
        <v>2P</v>
      </c>
      <c r="G389" s="582" t="str">
        <f>+VLOOKUP(Tabla3[[#This Row],[PATENTE]],'BASE DATOS'!F:I,4,0)</f>
        <v>SI</v>
      </c>
      <c r="H389" s="584" t="str">
        <f>+VLOOKUP(Tabla3[[#This Row],[PATENTE]],'BASE DATOS'!F:J,5,0)</f>
        <v>SI</v>
      </c>
      <c r="I389" s="582" t="str">
        <f>+VLOOKUP(Tabla3[[#This Row],[PATENTE]],'BASE DATOS'!F:K,6,0)</f>
        <v>NO</v>
      </c>
      <c r="J389" s="582">
        <f>+VLOOKUP(Tabla3[[#This Row],[PATENTE]],'BASE DATOS'!F:L,7,0)</f>
        <v>2013</v>
      </c>
      <c r="K389" s="593">
        <f>+VLOOKUP(Tabla3[[#This Row],[PATENTE]],'BASE DATOS'!F:M,8,0)</f>
        <v>12</v>
      </c>
      <c r="N389" s="826"/>
      <c r="O389" s="1015"/>
      <c r="P389" s="1015"/>
      <c r="Q389" s="1015"/>
      <c r="R389" s="965" t="str">
        <f t="shared" si="14"/>
        <v>-</v>
      </c>
    </row>
    <row r="390" spans="1:18" hidden="1">
      <c r="A390" s="577" t="s">
        <v>879</v>
      </c>
      <c r="B390" s="582">
        <v>5</v>
      </c>
      <c r="C390" s="589">
        <v>45887</v>
      </c>
      <c r="D390" s="582">
        <f t="shared" si="13"/>
        <v>34</v>
      </c>
      <c r="E390" s="576" t="str">
        <f>+VLOOKUP(Tabla3[[#This Row],[PATENTE]],'BASE DATOS'!F:G,2,0)</f>
        <v xml:space="preserve">TRANSP JP - OYP470 </v>
      </c>
      <c r="F390" s="582" t="str">
        <f>+VLOOKUP(Tabla3[[#This Row],[PATENTE]],'BASE DATOS'!F:H,3,0)</f>
        <v>8P</v>
      </c>
      <c r="G390" s="582" t="str">
        <f>+VLOOKUP(Tabla3[[#This Row],[PATENTE]],'BASE DATOS'!F:I,4,0)</f>
        <v>SI</v>
      </c>
      <c r="H390" s="584" t="str">
        <f>+VLOOKUP(Tabla3[[#This Row],[PATENTE]],'BASE DATOS'!F:J,5,0)</f>
        <v>SI</v>
      </c>
      <c r="I390" s="582" t="str">
        <f>+VLOOKUP(Tabla3[[#This Row],[PATENTE]],'BASE DATOS'!F:K,6,0)</f>
        <v>NO</v>
      </c>
      <c r="J390" s="582">
        <f>+VLOOKUP(Tabla3[[#This Row],[PATENTE]],'BASE DATOS'!F:L,7,0)</f>
        <v>2011</v>
      </c>
      <c r="K390" s="593">
        <f>+VLOOKUP(Tabla3[[#This Row],[PATENTE]],'BASE DATOS'!F:M,8,0)</f>
        <v>14</v>
      </c>
      <c r="N390" s="826"/>
      <c r="O390" s="1015"/>
      <c r="P390" s="1015"/>
      <c r="Q390" s="1015"/>
      <c r="R390" s="965" t="str">
        <f t="shared" si="14"/>
        <v>-</v>
      </c>
    </row>
    <row r="391" spans="1:18" hidden="1">
      <c r="A391" s="578" t="s">
        <v>878</v>
      </c>
      <c r="B391" s="584">
        <v>4</v>
      </c>
      <c r="C391" s="589">
        <v>45887</v>
      </c>
      <c r="D391" s="582">
        <f t="shared" si="13"/>
        <v>34</v>
      </c>
      <c r="E391" s="576" t="str">
        <f>+VLOOKUP(Tabla3[[#This Row],[PATENTE]],'BASE DATOS'!F:G,2,0)</f>
        <v xml:space="preserve">PACHECO JULIO - AA854LY </v>
      </c>
      <c r="F391" s="582" t="str">
        <f>+VLOOKUP(Tabla3[[#This Row],[PATENTE]],'BASE DATOS'!F:H,3,0)</f>
        <v>7P</v>
      </c>
      <c r="G391" s="582" t="str">
        <f>+VLOOKUP(Tabla3[[#This Row],[PATENTE]],'BASE DATOS'!F:I,4,0)</f>
        <v>SI</v>
      </c>
      <c r="H391" s="584" t="str">
        <f>+VLOOKUP(Tabla3[[#This Row],[PATENTE]],'BASE DATOS'!F:J,5,0)</f>
        <v>SI</v>
      </c>
      <c r="I391" s="582" t="str">
        <f>+VLOOKUP(Tabla3[[#This Row],[PATENTE]],'BASE DATOS'!F:K,6,0)</f>
        <v>NO</v>
      </c>
      <c r="J391" s="582">
        <f>+VLOOKUP(Tabla3[[#This Row],[PATENTE]],'BASE DATOS'!F:L,7,0)</f>
        <v>2016</v>
      </c>
      <c r="K391" s="593">
        <f>+VLOOKUP(Tabla3[[#This Row],[PATENTE]],'BASE DATOS'!F:M,8,0)</f>
        <v>9</v>
      </c>
      <c r="N391" s="826"/>
      <c r="O391" s="1015"/>
      <c r="P391" s="1015"/>
      <c r="Q391" s="1015"/>
      <c r="R391" s="965" t="str">
        <f t="shared" si="14"/>
        <v>-</v>
      </c>
    </row>
    <row r="392" spans="1:18" hidden="1">
      <c r="A392" s="577" t="s">
        <v>905</v>
      </c>
      <c r="B392" s="582">
        <v>4</v>
      </c>
      <c r="C392" s="589">
        <v>45887</v>
      </c>
      <c r="D392" s="582">
        <f t="shared" si="13"/>
        <v>34</v>
      </c>
      <c r="E392" s="576" t="str">
        <f>+VLOOKUP(Tabla3[[#This Row],[PATENTE]],'BASE DATOS'!F:G,2,0)</f>
        <v xml:space="preserve">J RIMOLDI - AB312SE </v>
      </c>
      <c r="F392" s="582" t="str">
        <f>+VLOOKUP(Tabla3[[#This Row],[PATENTE]],'BASE DATOS'!F:H,3,0)</f>
        <v>8P</v>
      </c>
      <c r="G392" s="582" t="str">
        <f>+VLOOKUP(Tabla3[[#This Row],[PATENTE]],'BASE DATOS'!F:I,4,0)</f>
        <v>SI</v>
      </c>
      <c r="H392" s="584" t="str">
        <f>+VLOOKUP(Tabla3[[#This Row],[PATENTE]],'BASE DATOS'!F:J,5,0)</f>
        <v>SI</v>
      </c>
      <c r="I392" s="582" t="str">
        <f>+VLOOKUP(Tabla3[[#This Row],[PATENTE]],'BASE DATOS'!F:K,6,0)</f>
        <v>NO</v>
      </c>
      <c r="J392" s="582">
        <f>+VLOOKUP(Tabla3[[#This Row],[PATENTE]],'BASE DATOS'!F:L,7,0)</f>
        <v>2017</v>
      </c>
      <c r="K392" s="593">
        <f>+VLOOKUP(Tabla3[[#This Row],[PATENTE]],'BASE DATOS'!F:M,8,0)</f>
        <v>8</v>
      </c>
      <c r="N392" s="826"/>
      <c r="O392" s="1015"/>
      <c r="P392" s="1015"/>
      <c r="Q392" s="1015"/>
      <c r="R392" s="965" t="str">
        <f t="shared" si="14"/>
        <v>-</v>
      </c>
    </row>
    <row r="393" spans="1:18" hidden="1">
      <c r="A393" s="578" t="s">
        <v>890</v>
      </c>
      <c r="B393" s="584">
        <v>4</v>
      </c>
      <c r="C393" s="589">
        <v>45887</v>
      </c>
      <c r="D393" s="582">
        <f t="shared" si="13"/>
        <v>34</v>
      </c>
      <c r="E393" s="576" t="str">
        <f>+VLOOKUP(Tabla3[[#This Row],[PATENTE]],'BASE DATOS'!F:G,2,0)</f>
        <v xml:space="preserve">TRANSPORTE GRACIELA - AC040RO </v>
      </c>
      <c r="F393" s="582" t="str">
        <f>+VLOOKUP(Tabla3[[#This Row],[PATENTE]],'BASE DATOS'!F:H,3,0)</f>
        <v>1P</v>
      </c>
      <c r="G393" s="582" t="str">
        <f>+VLOOKUP(Tabla3[[#This Row],[PATENTE]],'BASE DATOS'!F:I,4,0)</f>
        <v>SI</v>
      </c>
      <c r="H393" s="584" t="str">
        <f>+VLOOKUP(Tabla3[[#This Row],[PATENTE]],'BASE DATOS'!F:J,5,0)</f>
        <v>ACEPTA( VER CAMI)</v>
      </c>
      <c r="I393" s="582" t="str">
        <f>+VLOOKUP(Tabla3[[#This Row],[PATENTE]],'BASE DATOS'!F:K,6,0)</f>
        <v>NO</v>
      </c>
      <c r="J393" s="582">
        <f>+VLOOKUP(Tabla3[[#This Row],[PATENTE]],'BASE DATOS'!F:L,7,0)</f>
        <v>2017</v>
      </c>
      <c r="K393" s="593">
        <f>+VLOOKUP(Tabla3[[#This Row],[PATENTE]],'BASE DATOS'!F:M,8,0)</f>
        <v>8</v>
      </c>
      <c r="N393" s="826"/>
      <c r="O393" s="1015"/>
      <c r="P393" s="1015"/>
      <c r="Q393" s="1015"/>
      <c r="R393" s="965" t="str">
        <f t="shared" si="14"/>
        <v>-</v>
      </c>
    </row>
    <row r="394" spans="1:18" hidden="1">
      <c r="A394" s="577" t="s">
        <v>906</v>
      </c>
      <c r="B394" s="582">
        <v>4</v>
      </c>
      <c r="C394" s="589">
        <v>45887</v>
      </c>
      <c r="D394" s="582">
        <f t="shared" si="13"/>
        <v>34</v>
      </c>
      <c r="E394" s="576" t="str">
        <f>+VLOOKUP(Tabla3[[#This Row],[PATENTE]],'BASE DATOS'!F:G,2,0)</f>
        <v xml:space="preserve">VAZQUEZ (TRV SRL) - AD472GK </v>
      </c>
      <c r="F394" s="582" t="str">
        <f>+VLOOKUP(Tabla3[[#This Row],[PATENTE]],'BASE DATOS'!F:H,3,0)</f>
        <v>8P</v>
      </c>
      <c r="G394" s="582" t="str">
        <f>+VLOOKUP(Tabla3[[#This Row],[PATENTE]],'BASE DATOS'!F:I,4,0)</f>
        <v>NO</v>
      </c>
      <c r="H394" s="584" t="str">
        <f>+VLOOKUP(Tabla3[[#This Row],[PATENTE]],'BASE DATOS'!F:J,5,0)</f>
        <v>NO</v>
      </c>
      <c r="I394" s="582" t="str">
        <f>+VLOOKUP(Tabla3[[#This Row],[PATENTE]],'BASE DATOS'!F:K,6,0)</f>
        <v>SI</v>
      </c>
      <c r="J394" s="582">
        <f>+VLOOKUP(Tabla3[[#This Row],[PATENTE]],'BASE DATOS'!F:L,7,0)</f>
        <v>2019</v>
      </c>
      <c r="K394" s="593">
        <f>+VLOOKUP(Tabla3[[#This Row],[PATENTE]],'BASE DATOS'!F:M,8,0)</f>
        <v>6</v>
      </c>
      <c r="N394" s="826"/>
      <c r="O394" s="1015"/>
      <c r="P394" s="1015"/>
      <c r="Q394" s="1015"/>
      <c r="R394" s="965" t="str">
        <f t="shared" si="14"/>
        <v>-</v>
      </c>
    </row>
    <row r="395" spans="1:18" hidden="1">
      <c r="A395" s="578" t="s">
        <v>903</v>
      </c>
      <c r="B395" s="584">
        <v>4</v>
      </c>
      <c r="C395" s="589">
        <v>45887</v>
      </c>
      <c r="D395" s="582">
        <f t="shared" si="13"/>
        <v>34</v>
      </c>
      <c r="E395" s="576" t="str">
        <f>+VLOOKUP(Tabla3[[#This Row],[PATENTE]],'BASE DATOS'!F:G,2,0)</f>
        <v xml:space="preserve">TRANSP CLAUDIO BUSTOS - AG243PE </v>
      </c>
      <c r="F395" s="582" t="str">
        <f>+VLOOKUP(Tabla3[[#This Row],[PATENTE]],'BASE DATOS'!F:H,3,0)</f>
        <v>1P</v>
      </c>
      <c r="G395" s="582" t="str">
        <f>+VLOOKUP(Tabla3[[#This Row],[PATENTE]],'BASE DATOS'!F:I,4,0)</f>
        <v>SI</v>
      </c>
      <c r="H395" s="584" t="str">
        <f>+VLOOKUP(Tabla3[[#This Row],[PATENTE]],'BASE DATOS'!F:J,5,0)</f>
        <v>SI</v>
      </c>
      <c r="I395" s="582" t="str">
        <f>+VLOOKUP(Tabla3[[#This Row],[PATENTE]],'BASE DATOS'!F:K,6,0)</f>
        <v>NO</v>
      </c>
      <c r="J395" s="582">
        <f>+VLOOKUP(Tabla3[[#This Row],[PATENTE]],'BASE DATOS'!F:L,7,0)</f>
        <v>2024</v>
      </c>
      <c r="K395" s="593">
        <f>+VLOOKUP(Tabla3[[#This Row],[PATENTE]],'BASE DATOS'!F:M,8,0)</f>
        <v>1</v>
      </c>
      <c r="N395" s="826"/>
      <c r="O395" s="1015"/>
      <c r="P395" s="1015"/>
      <c r="Q395" s="1015"/>
      <c r="R395" s="965" t="str">
        <f t="shared" si="14"/>
        <v>-</v>
      </c>
    </row>
    <row r="396" spans="1:18" hidden="1">
      <c r="A396" s="577" t="s">
        <v>916</v>
      </c>
      <c r="B396" s="582">
        <v>4</v>
      </c>
      <c r="C396" s="589">
        <v>45887</v>
      </c>
      <c r="D396" s="582">
        <f t="shared" si="13"/>
        <v>34</v>
      </c>
      <c r="E396" s="576" t="str">
        <f>+VLOOKUP(Tabla3[[#This Row],[PATENTE]],'BASE DATOS'!F:G,2,0)</f>
        <v xml:space="preserve">TRANSP MAIDANA CARLOS - EYP088 </v>
      </c>
      <c r="F396" s="582" t="str">
        <f>+VLOOKUP(Tabla3[[#This Row],[PATENTE]],'BASE DATOS'!F:H,3,0)</f>
        <v>6P</v>
      </c>
      <c r="G396" s="582" t="str">
        <f>+VLOOKUP(Tabla3[[#This Row],[PATENTE]],'BASE DATOS'!F:I,4,0)</f>
        <v>SI</v>
      </c>
      <c r="H396" s="584" t="str">
        <f>+VLOOKUP(Tabla3[[#This Row],[PATENTE]],'BASE DATOS'!F:J,5,0)</f>
        <v>SI</v>
      </c>
      <c r="I396" s="582" t="str">
        <f>+VLOOKUP(Tabla3[[#This Row],[PATENTE]],'BASE DATOS'!F:K,6,0)</f>
        <v>NO</v>
      </c>
      <c r="J396" s="582">
        <f>+VLOOKUP(Tabla3[[#This Row],[PATENTE]],'BASE DATOS'!F:L,7,0)</f>
        <v>2006</v>
      </c>
      <c r="K396" s="593">
        <f>+VLOOKUP(Tabla3[[#This Row],[PATENTE]],'BASE DATOS'!F:M,8,0)</f>
        <v>19</v>
      </c>
      <c r="N396" s="826"/>
      <c r="O396" s="1015"/>
      <c r="P396" s="1015"/>
      <c r="Q396" s="1015"/>
      <c r="R396" s="965" t="str">
        <f t="shared" si="14"/>
        <v>-</v>
      </c>
    </row>
    <row r="397" spans="1:18" hidden="1">
      <c r="A397" s="578" t="s">
        <v>892</v>
      </c>
      <c r="B397" s="584">
        <v>4</v>
      </c>
      <c r="C397" s="589">
        <v>45887</v>
      </c>
      <c r="D397" s="582">
        <f t="shared" si="13"/>
        <v>34</v>
      </c>
      <c r="E397" s="576" t="str">
        <f>+VLOOKUP(Tabla3[[#This Row],[PATENTE]],'BASE DATOS'!F:G,2,0)</f>
        <v xml:space="preserve">COLO - FTL525 </v>
      </c>
      <c r="F397" s="582" t="str">
        <f>+VLOOKUP(Tabla3[[#This Row],[PATENTE]],'BASE DATOS'!F:H,3,0)</f>
        <v>1P</v>
      </c>
      <c r="G397" s="582" t="str">
        <f>+VLOOKUP(Tabla3[[#This Row],[PATENTE]],'BASE DATOS'!F:I,4,0)</f>
        <v>NO</v>
      </c>
      <c r="H397" s="584" t="str">
        <f>+VLOOKUP(Tabla3[[#This Row],[PATENTE]],'BASE DATOS'!F:J,5,0)</f>
        <v>SI</v>
      </c>
      <c r="I397" s="582" t="str">
        <f>+VLOOKUP(Tabla3[[#This Row],[PATENTE]],'BASE DATOS'!F:K,6,0)</f>
        <v>NO</v>
      </c>
      <c r="J397" s="582">
        <f>+VLOOKUP(Tabla3[[#This Row],[PATENTE]],'BASE DATOS'!F:L,7,0)</f>
        <v>2008</v>
      </c>
      <c r="K397" s="593">
        <f>+VLOOKUP(Tabla3[[#This Row],[PATENTE]],'BASE DATOS'!F:M,8,0)</f>
        <v>17</v>
      </c>
      <c r="N397" s="826"/>
      <c r="O397" s="1015"/>
      <c r="P397" s="1015"/>
      <c r="Q397" s="1015"/>
      <c r="R397" s="965" t="str">
        <f t="shared" si="14"/>
        <v>-</v>
      </c>
    </row>
    <row r="398" spans="1:18" hidden="1">
      <c r="A398" s="577" t="s">
        <v>889</v>
      </c>
      <c r="B398" s="582">
        <v>4</v>
      </c>
      <c r="C398" s="589">
        <v>45887</v>
      </c>
      <c r="D398" s="582">
        <f t="shared" si="13"/>
        <v>34</v>
      </c>
      <c r="E398" s="576" t="str">
        <f>+VLOOKUP(Tabla3[[#This Row],[PATENTE]],'BASE DATOS'!F:G,2,0)</f>
        <v xml:space="preserve">COLO - HAW164 </v>
      </c>
      <c r="F398" s="582" t="str">
        <f>+VLOOKUP(Tabla3[[#This Row],[PATENTE]],'BASE DATOS'!F:H,3,0)</f>
        <v>6P</v>
      </c>
      <c r="G398" s="582" t="str">
        <f>+VLOOKUP(Tabla3[[#This Row],[PATENTE]],'BASE DATOS'!F:I,4,0)</f>
        <v>NO</v>
      </c>
      <c r="H398" s="584" t="str">
        <f>+VLOOKUP(Tabla3[[#This Row],[PATENTE]],'BASE DATOS'!F:J,5,0)</f>
        <v>SI</v>
      </c>
      <c r="I398" s="582" t="str">
        <f>+VLOOKUP(Tabla3[[#This Row],[PATENTE]],'BASE DATOS'!F:K,6,0)</f>
        <v>NO</v>
      </c>
      <c r="J398" s="582">
        <f>+VLOOKUP(Tabla3[[#This Row],[PATENTE]],'BASE DATOS'!F:L,7,0)</f>
        <v>2009</v>
      </c>
      <c r="K398" s="593">
        <f>+VLOOKUP(Tabla3[[#This Row],[PATENTE]],'BASE DATOS'!F:M,8,0)</f>
        <v>16</v>
      </c>
      <c r="N398" s="826"/>
      <c r="O398" s="1015"/>
      <c r="P398" s="1015"/>
      <c r="Q398" s="1015"/>
      <c r="R398" s="965" t="str">
        <f t="shared" si="14"/>
        <v>-</v>
      </c>
    </row>
    <row r="399" spans="1:18" hidden="1">
      <c r="A399" s="578" t="s">
        <v>900</v>
      </c>
      <c r="B399" s="584">
        <v>4</v>
      </c>
      <c r="C399" s="589">
        <v>45887</v>
      </c>
      <c r="D399" s="582">
        <f t="shared" si="13"/>
        <v>34</v>
      </c>
      <c r="E399" s="576" t="str">
        <f>+VLOOKUP(Tabla3[[#This Row],[PATENTE]],'BASE DATOS'!F:G,2,0)</f>
        <v>TRANSPORTE GENA GAIA - IMO939</v>
      </c>
      <c r="F399" s="582" t="str">
        <f>+VLOOKUP(Tabla3[[#This Row],[PATENTE]],'BASE DATOS'!F:H,3,0)</f>
        <v>24P</v>
      </c>
      <c r="G399" s="582" t="str">
        <f>+VLOOKUP(Tabla3[[#This Row],[PATENTE]],'BASE DATOS'!F:I,4,0)</f>
        <v>Gestya</v>
      </c>
      <c r="H399" s="584" t="str">
        <f>+VLOOKUP(Tabla3[[#This Row],[PATENTE]],'BASE DATOS'!F:J,5,0)</f>
        <v xml:space="preserve">NO </v>
      </c>
      <c r="I399" s="582" t="str">
        <f>+VLOOKUP(Tabla3[[#This Row],[PATENTE]],'BASE DATOS'!F:K,6,0)</f>
        <v>NO</v>
      </c>
      <c r="J399" s="582">
        <f>+VLOOKUP(Tabla3[[#This Row],[PATENTE]],'BASE DATOS'!F:L,7,0)</f>
        <v>2010</v>
      </c>
      <c r="K399" s="593">
        <f>+VLOOKUP(Tabla3[[#This Row],[PATENTE]],'BASE DATOS'!F:M,8,0)</f>
        <v>15</v>
      </c>
      <c r="N399" s="826"/>
      <c r="O399" s="1015"/>
      <c r="P399" s="1015"/>
      <c r="Q399" s="1015"/>
      <c r="R399" s="965" t="str">
        <f t="shared" si="14"/>
        <v>-</v>
      </c>
    </row>
    <row r="400" spans="1:18" hidden="1">
      <c r="A400" s="577" t="s">
        <v>920</v>
      </c>
      <c r="B400" s="582">
        <v>4</v>
      </c>
      <c r="C400" s="589">
        <v>45887</v>
      </c>
      <c r="D400" s="582">
        <f t="shared" si="13"/>
        <v>34</v>
      </c>
      <c r="E400" s="576" t="str">
        <f>+VLOOKUP(Tabla3[[#This Row],[PATENTE]],'BASE DATOS'!F:G,2,0)</f>
        <v xml:space="preserve">TRANSP LAGOS - MRV682 </v>
      </c>
      <c r="F400" s="582" t="str">
        <f>+VLOOKUP(Tabla3[[#This Row],[PATENTE]],'BASE DATOS'!F:H,3,0)</f>
        <v>8P</v>
      </c>
      <c r="G400" s="582" t="str">
        <f>+VLOOKUP(Tabla3[[#This Row],[PATENTE]],'BASE DATOS'!F:I,4,0)</f>
        <v>SI</v>
      </c>
      <c r="H400" s="584" t="str">
        <f>+VLOOKUP(Tabla3[[#This Row],[PATENTE]],'BASE DATOS'!F:J,5,0)</f>
        <v>SI</v>
      </c>
      <c r="I400" s="582" t="str">
        <f>+VLOOKUP(Tabla3[[#This Row],[PATENTE]],'BASE DATOS'!F:K,6,0)</f>
        <v>NO</v>
      </c>
      <c r="J400" s="582">
        <f>+VLOOKUP(Tabla3[[#This Row],[PATENTE]],'BASE DATOS'!F:L,7,0)</f>
        <v>2013</v>
      </c>
      <c r="K400" s="593">
        <f>+VLOOKUP(Tabla3[[#This Row],[PATENTE]],'BASE DATOS'!F:M,8,0)</f>
        <v>12</v>
      </c>
      <c r="N400" s="826"/>
      <c r="O400" s="1015"/>
      <c r="P400" s="1015"/>
      <c r="Q400" s="1015"/>
      <c r="R400" s="965" t="str">
        <f t="shared" si="14"/>
        <v>-</v>
      </c>
    </row>
    <row r="401" spans="1:18" hidden="1">
      <c r="A401" s="578" t="s">
        <v>886</v>
      </c>
      <c r="B401" s="584">
        <v>4</v>
      </c>
      <c r="C401" s="589">
        <v>45887</v>
      </c>
      <c r="D401" s="582">
        <f t="shared" si="13"/>
        <v>34</v>
      </c>
      <c r="E401" s="576" t="str">
        <f>+VLOOKUP(Tabla3[[#This Row],[PATENTE]],'BASE DATOS'!F:G,2,0)</f>
        <v xml:space="preserve">TRANSP LAGOS - NOO925 </v>
      </c>
      <c r="F401" s="582" t="str">
        <f>+VLOOKUP(Tabla3[[#This Row],[PATENTE]],'BASE DATOS'!F:H,3,0)</f>
        <v>8P</v>
      </c>
      <c r="G401" s="582" t="str">
        <f>+VLOOKUP(Tabla3[[#This Row],[PATENTE]],'BASE DATOS'!F:I,4,0)</f>
        <v>SI</v>
      </c>
      <c r="H401" s="584" t="str">
        <f>+VLOOKUP(Tabla3[[#This Row],[PATENTE]],'BASE DATOS'!F:J,5,0)</f>
        <v>SI</v>
      </c>
      <c r="I401" s="582" t="str">
        <f>+VLOOKUP(Tabla3[[#This Row],[PATENTE]],'BASE DATOS'!F:K,6,0)</f>
        <v>NO</v>
      </c>
      <c r="J401" s="582">
        <f>+VLOOKUP(Tabla3[[#This Row],[PATENTE]],'BASE DATOS'!F:L,7,0)</f>
        <v>2014</v>
      </c>
      <c r="K401" s="593">
        <f>+VLOOKUP(Tabla3[[#This Row],[PATENTE]],'BASE DATOS'!F:M,8,0)</f>
        <v>11</v>
      </c>
      <c r="N401" s="826"/>
      <c r="O401" s="1015"/>
      <c r="P401" s="1015"/>
      <c r="Q401" s="1015"/>
      <c r="R401" s="965" t="str">
        <f t="shared" si="14"/>
        <v>-</v>
      </c>
    </row>
    <row r="402" spans="1:18" hidden="1">
      <c r="A402" s="577" t="s">
        <v>883</v>
      </c>
      <c r="B402" s="582">
        <v>3</v>
      </c>
      <c r="C402" s="589">
        <v>45887</v>
      </c>
      <c r="D402" s="582">
        <f t="shared" ref="D402:D433" si="15">+WEEKNUM(C402)</f>
        <v>34</v>
      </c>
      <c r="E402" s="576" t="str">
        <f>+VLOOKUP(Tabla3[[#This Row],[PATENTE]],'BASE DATOS'!F:G,2,0)</f>
        <v xml:space="preserve">PACHECO JULIO - ACI503 </v>
      </c>
      <c r="F402" s="582" t="str">
        <f>+VLOOKUP(Tabla3[[#This Row],[PATENTE]],'BASE DATOS'!F:H,3,0)</f>
        <v>12P</v>
      </c>
      <c r="G402" s="582" t="str">
        <f>+VLOOKUP(Tabla3[[#This Row],[PATENTE]],'BASE DATOS'!F:I,4,0)</f>
        <v>NO</v>
      </c>
      <c r="H402" s="584" t="str">
        <f>+VLOOKUP(Tabla3[[#This Row],[PATENTE]],'BASE DATOS'!F:J,5,0)</f>
        <v>SI</v>
      </c>
      <c r="I402" s="582" t="str">
        <f>+VLOOKUP(Tabla3[[#This Row],[PATENTE]],'BASE DATOS'!F:K,6,0)</f>
        <v>SI</v>
      </c>
      <c r="J402" s="582">
        <f>+VLOOKUP(Tabla3[[#This Row],[PATENTE]],'BASE DATOS'!F:L,7,0)</f>
        <v>2000</v>
      </c>
      <c r="K402" s="593">
        <f>+VLOOKUP(Tabla3[[#This Row],[PATENTE]],'BASE DATOS'!F:M,8,0)</f>
        <v>25</v>
      </c>
      <c r="N402" s="826"/>
      <c r="O402" s="1015"/>
      <c r="P402" s="1015"/>
      <c r="Q402" s="1015"/>
      <c r="R402" s="965" t="str">
        <f t="shared" si="14"/>
        <v>-</v>
      </c>
    </row>
    <row r="403" spans="1:18" hidden="1">
      <c r="A403" s="578" t="s">
        <v>915</v>
      </c>
      <c r="B403" s="584">
        <v>3</v>
      </c>
      <c r="C403" s="589">
        <v>45887</v>
      </c>
      <c r="D403" s="582">
        <f t="shared" si="15"/>
        <v>34</v>
      </c>
      <c r="E403" s="576" t="str">
        <f>+VLOOKUP(Tabla3[[#This Row],[PATENTE]],'BASE DATOS'!F:G,2,0)</f>
        <v>TRANSPORTE GRACIELA - FPL254</v>
      </c>
      <c r="F403" s="582" t="str">
        <f>+VLOOKUP(Tabla3[[#This Row],[PATENTE]],'BASE DATOS'!F:H,3,0)</f>
        <v>2P</v>
      </c>
      <c r="G403" s="582" t="str">
        <f>+VLOOKUP(Tabla3[[#This Row],[PATENTE]],'BASE DATOS'!F:I,4,0)</f>
        <v>SI</v>
      </c>
      <c r="H403" s="584" t="str">
        <f>+VLOOKUP(Tabla3[[#This Row],[PATENTE]],'BASE DATOS'!F:J,5,0)</f>
        <v>NO (CAMI)</v>
      </c>
      <c r="I403" s="582" t="str">
        <f>+VLOOKUP(Tabla3[[#This Row],[PATENTE]],'BASE DATOS'!F:K,6,0)</f>
        <v>NO</v>
      </c>
      <c r="J403" s="582">
        <f>+VLOOKUP(Tabla3[[#This Row],[PATENTE]],'BASE DATOS'!F:L,7,0)</f>
        <v>2012</v>
      </c>
      <c r="K403" s="593">
        <f>+VLOOKUP(Tabla3[[#This Row],[PATENTE]],'BASE DATOS'!F:M,8,0)</f>
        <v>13</v>
      </c>
      <c r="N403" s="826"/>
      <c r="O403" s="1015"/>
      <c r="P403" s="1015"/>
      <c r="Q403" s="1015"/>
      <c r="R403" s="965" t="str">
        <f t="shared" si="14"/>
        <v>-</v>
      </c>
    </row>
    <row r="404" spans="1:18" hidden="1">
      <c r="A404" s="577" t="s">
        <v>933</v>
      </c>
      <c r="B404" s="582">
        <v>3</v>
      </c>
      <c r="C404" s="589">
        <v>45887</v>
      </c>
      <c r="D404" s="582">
        <f t="shared" si="15"/>
        <v>34</v>
      </c>
      <c r="E404" s="576" t="str">
        <f>+VLOOKUP(Tabla3[[#This Row],[PATENTE]],'BASE DATOS'!F:G,2,0)</f>
        <v xml:space="preserve">TRANSPORTE GENA GAIA - IKE806 </v>
      </c>
      <c r="F404" s="582" t="str">
        <f>+VLOOKUP(Tabla3[[#This Row],[PATENTE]],'BASE DATOS'!F:H,3,0)</f>
        <v>24P</v>
      </c>
      <c r="G404" s="582" t="str">
        <f>+VLOOKUP(Tabla3[[#This Row],[PATENTE]],'BASE DATOS'!F:I,4,0)</f>
        <v>Gestya</v>
      </c>
      <c r="H404" s="584" t="str">
        <f>+VLOOKUP(Tabla3[[#This Row],[PATENTE]],'BASE DATOS'!F:J,5,0)</f>
        <v xml:space="preserve">NO </v>
      </c>
      <c r="I404" s="582" t="str">
        <f>+VLOOKUP(Tabla3[[#This Row],[PATENTE]],'BASE DATOS'!F:K,6,0)</f>
        <v>NO</v>
      </c>
      <c r="J404" s="582">
        <f>+VLOOKUP(Tabla3[[#This Row],[PATENTE]],'BASE DATOS'!F:L,7,0)</f>
        <v>2010</v>
      </c>
      <c r="K404" s="593">
        <f>+VLOOKUP(Tabla3[[#This Row],[PATENTE]],'BASE DATOS'!F:M,8,0)</f>
        <v>15</v>
      </c>
      <c r="N404" s="826"/>
      <c r="O404" s="1015"/>
      <c r="P404" s="1015"/>
      <c r="Q404" s="1015"/>
      <c r="R404" s="965" t="str">
        <f t="shared" si="14"/>
        <v>-</v>
      </c>
    </row>
    <row r="405" spans="1:18" hidden="1">
      <c r="A405" s="578" t="s">
        <v>896</v>
      </c>
      <c r="B405" s="584">
        <v>3</v>
      </c>
      <c r="C405" s="589">
        <v>45887</v>
      </c>
      <c r="D405" s="582">
        <f t="shared" si="15"/>
        <v>34</v>
      </c>
      <c r="E405" s="576" t="str">
        <f>+VLOOKUP(Tabla3[[#This Row],[PATENTE]],'BASE DATOS'!F:G,2,0)</f>
        <v xml:space="preserve">TRANSP MAVIR - RHQ609 </v>
      </c>
      <c r="F405" s="582" t="str">
        <f>+VLOOKUP(Tabla3[[#This Row],[PATENTE]],'BASE DATOS'!F:H,3,0)</f>
        <v>10P</v>
      </c>
      <c r="G405" s="582" t="str">
        <f>+VLOOKUP(Tabla3[[#This Row],[PATENTE]],'BASE DATOS'!F:I,4,0)</f>
        <v>NO</v>
      </c>
      <c r="H405" s="584" t="str">
        <f>+VLOOKUP(Tabla3[[#This Row],[PATENTE]],'BASE DATOS'!F:J,5,0)</f>
        <v xml:space="preserve">NO </v>
      </c>
      <c r="I405" s="582" t="str">
        <f>+VLOOKUP(Tabla3[[#This Row],[PATENTE]],'BASE DATOS'!F:K,6,0)</f>
        <v>NO</v>
      </c>
      <c r="J405" s="582">
        <f>+VLOOKUP(Tabla3[[#This Row],[PATENTE]],'BASE DATOS'!F:L,7,0)</f>
        <v>1995</v>
      </c>
      <c r="K405" s="593">
        <v>0</v>
      </c>
      <c r="N405" s="826"/>
      <c r="O405" s="1015"/>
      <c r="P405" s="1015"/>
      <c r="Q405" s="1015"/>
      <c r="R405" s="965" t="str">
        <f t="shared" si="14"/>
        <v>-</v>
      </c>
    </row>
    <row r="406" spans="1:18" hidden="1">
      <c r="A406" s="577" t="s">
        <v>888</v>
      </c>
      <c r="B406" s="582">
        <v>2</v>
      </c>
      <c r="C406" s="589">
        <v>45887</v>
      </c>
      <c r="D406" s="582">
        <f t="shared" si="15"/>
        <v>34</v>
      </c>
      <c r="E406" s="576" t="str">
        <f>+VLOOKUP(Tabla3[[#This Row],[PATENTE]],'BASE DATOS'!F:G,2,0)</f>
        <v xml:space="preserve">TRANSP FIRST CLASS - AD535UI </v>
      </c>
      <c r="F406" s="582" t="str">
        <f>+VLOOKUP(Tabla3[[#This Row],[PATENTE]],'BASE DATOS'!F:H,3,0)</f>
        <v>6P</v>
      </c>
      <c r="G406" s="582" t="str">
        <f>+VLOOKUP(Tabla3[[#This Row],[PATENTE]],'BASE DATOS'!F:I,4,0)</f>
        <v>SI</v>
      </c>
      <c r="H406" s="584" t="str">
        <f>+VLOOKUP(Tabla3[[#This Row],[PATENTE]],'BASE DATOS'!F:J,5,0)</f>
        <v>SI</v>
      </c>
      <c r="I406" s="582" t="str">
        <f>+VLOOKUP(Tabla3[[#This Row],[PATENTE]],'BASE DATOS'!F:K,6,0)</f>
        <v>NO</v>
      </c>
      <c r="J406" s="582">
        <f>+VLOOKUP(Tabla3[[#This Row],[PATENTE]],'BASE DATOS'!F:L,7,0)</f>
        <v>2019</v>
      </c>
      <c r="K406" s="593">
        <f>+VLOOKUP(Tabla3[[#This Row],[PATENTE]],'BASE DATOS'!F:M,8,0)</f>
        <v>6</v>
      </c>
      <c r="N406" s="826"/>
      <c r="O406" s="1015"/>
      <c r="P406" s="1015"/>
      <c r="Q406" s="1015"/>
      <c r="R406" s="965" t="str">
        <f t="shared" si="14"/>
        <v>-</v>
      </c>
    </row>
    <row r="407" spans="1:18" hidden="1">
      <c r="A407" s="577" t="s">
        <v>895</v>
      </c>
      <c r="B407" s="584">
        <v>2</v>
      </c>
      <c r="C407" s="589">
        <v>45887</v>
      </c>
      <c r="D407" s="582">
        <f t="shared" si="15"/>
        <v>34</v>
      </c>
      <c r="E407" s="576" t="str">
        <f>+VLOOKUP(Tabla3[[#This Row],[PATENTE]],'BASE DATOS'!F:G,2,0)</f>
        <v xml:space="preserve">TRANSPORTE MICAELA </v>
      </c>
      <c r="F407" s="582" t="str">
        <f>+VLOOKUP(Tabla3[[#This Row],[PATENTE]],'BASE DATOS'!F:H,3,0)</f>
        <v>2P</v>
      </c>
      <c r="G407" s="582" t="str">
        <f>+VLOOKUP(Tabla3[[#This Row],[PATENTE]],'BASE DATOS'!F:I,4,0)</f>
        <v>NO</v>
      </c>
      <c r="H407" s="584" t="str">
        <f>+VLOOKUP(Tabla3[[#This Row],[PATENTE]],'BASE DATOS'!F:J,5,0)</f>
        <v>SI</v>
      </c>
      <c r="I407" s="582" t="str">
        <f>+VLOOKUP(Tabla3[[#This Row],[PATENTE]],'BASE DATOS'!F:K,6,0)</f>
        <v>NO</v>
      </c>
      <c r="J407" s="582">
        <f>+VLOOKUP(Tabla3[[#This Row],[PATENTE]],'BASE DATOS'!F:L,7,0)</f>
        <v>2024</v>
      </c>
      <c r="K407" s="593">
        <f>+VLOOKUP(Tabla3[[#This Row],[PATENTE]],'BASE DATOS'!F:M,8,0)</f>
        <v>1</v>
      </c>
      <c r="N407" s="826"/>
      <c r="O407" s="1015"/>
      <c r="P407" s="1015"/>
      <c r="Q407" s="1015"/>
      <c r="R407" s="965" t="str">
        <f t="shared" si="14"/>
        <v>-</v>
      </c>
    </row>
    <row r="408" spans="1:18" hidden="1">
      <c r="A408" s="577" t="s">
        <v>1127</v>
      </c>
      <c r="B408" s="582">
        <v>2</v>
      </c>
      <c r="C408" s="589">
        <v>45887</v>
      </c>
      <c r="D408" s="582">
        <f t="shared" si="15"/>
        <v>34</v>
      </c>
      <c r="E408" s="576" t="str">
        <f>+VLOOKUP(Tabla3[[#This Row],[PATENTE]],'BASE DATOS'!F:G,2,0)</f>
        <v xml:space="preserve">BELLIMAR SRL - BIS283 </v>
      </c>
      <c r="F408" s="582" t="str">
        <f>+VLOOKUP(Tabla3[[#This Row],[PATENTE]],'BASE DATOS'!F:H,3,0)</f>
        <v>28P</v>
      </c>
      <c r="G408" s="582" t="str">
        <f>+VLOOKUP(Tabla3[[#This Row],[PATENTE]],'BASE DATOS'!F:I,4,0)</f>
        <v>NO</v>
      </c>
      <c r="H408" s="584" t="str">
        <f>+VLOOKUP(Tabla3[[#This Row],[PATENTE]],'BASE DATOS'!F:J,5,0)</f>
        <v xml:space="preserve">NO </v>
      </c>
      <c r="I408" s="582" t="str">
        <f>+VLOOKUP(Tabla3[[#This Row],[PATENTE]],'BASE DATOS'!F:K,6,0)</f>
        <v>NO</v>
      </c>
      <c r="J408" s="582">
        <f>+VLOOKUP(Tabla3[[#This Row],[PATENTE]],'BASE DATOS'!F:L,7,0)</f>
        <v>1999</v>
      </c>
      <c r="K408" s="593">
        <f>+VLOOKUP(Tabla3[[#This Row],[PATENTE]],'BASE DATOS'!F:M,8,0)</f>
        <v>26</v>
      </c>
      <c r="N408" s="826"/>
      <c r="O408" s="1015"/>
      <c r="P408" s="1015"/>
      <c r="Q408" s="1015"/>
      <c r="R408" s="965" t="str">
        <f t="shared" si="14"/>
        <v>-</v>
      </c>
    </row>
    <row r="409" spans="1:18" hidden="1">
      <c r="A409" s="578" t="s">
        <v>893</v>
      </c>
      <c r="B409" s="584">
        <v>2</v>
      </c>
      <c r="C409" s="589">
        <v>45887</v>
      </c>
      <c r="D409" s="582">
        <f t="shared" si="15"/>
        <v>34</v>
      </c>
      <c r="E409" s="576" t="str">
        <f>+VLOOKUP(Tabla3[[#This Row],[PATENTE]],'BASE DATOS'!F:G,2,0)</f>
        <v xml:space="preserve">GANZINI HUGO - CFF038 </v>
      </c>
      <c r="F409" s="582" t="str">
        <f>+VLOOKUP(Tabla3[[#This Row],[PATENTE]],'BASE DATOS'!F:H,3,0)</f>
        <v>2P</v>
      </c>
      <c r="G409" s="582" t="str">
        <f>+VLOOKUP(Tabla3[[#This Row],[PATENTE]],'BASE DATOS'!F:I,4,0)</f>
        <v>SI</v>
      </c>
      <c r="H409" s="584" t="str">
        <f>+VLOOKUP(Tabla3[[#This Row],[PATENTE]],'BASE DATOS'!F:J,5,0)</f>
        <v>SI</v>
      </c>
      <c r="I409" s="582" t="str">
        <f>+VLOOKUP(Tabla3[[#This Row],[PATENTE]],'BASE DATOS'!F:K,6,0)</f>
        <v>NO</v>
      </c>
      <c r="J409" s="582">
        <f>+VLOOKUP(Tabla3[[#This Row],[PATENTE]],'BASE DATOS'!F:L,7,0)</f>
        <v>1999</v>
      </c>
      <c r="K409" s="593">
        <f>+VLOOKUP(Tabla3[[#This Row],[PATENTE]],'BASE DATOS'!F:M,8,0)</f>
        <v>26</v>
      </c>
      <c r="N409" s="826"/>
      <c r="O409" s="1015"/>
      <c r="P409" s="1015"/>
      <c r="Q409" s="1015"/>
      <c r="R409" s="965" t="str">
        <f t="shared" si="14"/>
        <v>-</v>
      </c>
    </row>
    <row r="410" spans="1:18" hidden="1">
      <c r="A410" s="577" t="s">
        <v>1128</v>
      </c>
      <c r="B410" s="582">
        <v>2</v>
      </c>
      <c r="C410" s="589">
        <v>45887</v>
      </c>
      <c r="D410" s="582">
        <f t="shared" si="15"/>
        <v>34</v>
      </c>
      <c r="E410" s="576" t="str">
        <f>+VLOOKUP(Tabla3[[#This Row],[PATENTE]],'BASE DATOS'!F:G,2,0)</f>
        <v xml:space="preserve">PRONTOMAR - EDW922 </v>
      </c>
      <c r="F410" s="582" t="str">
        <f>+VLOOKUP(Tabla3[[#This Row],[PATENTE]],'BASE DATOS'!F:H,3,0)</f>
        <v>14P</v>
      </c>
      <c r="G410" s="582" t="str">
        <f>+VLOOKUP(Tabla3[[#This Row],[PATENTE]],'BASE DATOS'!F:I,4,0)</f>
        <v>NO</v>
      </c>
      <c r="H410" s="584" t="str">
        <f>+VLOOKUP(Tabla3[[#This Row],[PATENTE]],'BASE DATOS'!F:J,5,0)</f>
        <v xml:space="preserve">NO </v>
      </c>
      <c r="I410" s="582" t="str">
        <f>+VLOOKUP(Tabla3[[#This Row],[PATENTE]],'BASE DATOS'!F:K,6,0)</f>
        <v>NO</v>
      </c>
      <c r="J410" s="582">
        <f>+VLOOKUP(Tabla3[[#This Row],[PATENTE]],'BASE DATOS'!F:L,7,0)</f>
        <v>2003</v>
      </c>
      <c r="K410" s="593">
        <f>+VLOOKUP(Tabla3[[#This Row],[PATENTE]],'BASE DATOS'!F:M,8,0)</f>
        <v>22</v>
      </c>
      <c r="N410" s="826"/>
      <c r="O410" s="1015"/>
      <c r="P410" s="1015"/>
      <c r="Q410" s="1015"/>
      <c r="R410" s="965" t="str">
        <f t="shared" si="14"/>
        <v>-</v>
      </c>
    </row>
    <row r="411" spans="1:18" hidden="1">
      <c r="A411" s="578" t="s">
        <v>1154</v>
      </c>
      <c r="B411" s="584">
        <v>2</v>
      </c>
      <c r="C411" s="589">
        <v>45887</v>
      </c>
      <c r="D411" s="582">
        <f t="shared" si="15"/>
        <v>34</v>
      </c>
      <c r="E411" s="576" t="str">
        <f>+VLOOKUP(Tabla3[[#This Row],[PATENTE]],'BASE DATOS'!F:G,2,0)</f>
        <v>DON NENO - 2P</v>
      </c>
      <c r="F411" s="582" t="str">
        <f>+VLOOKUP(Tabla3[[#This Row],[PATENTE]],'BASE DATOS'!F:H,3,0)</f>
        <v>8P</v>
      </c>
      <c r="G411" s="582" t="str">
        <f>+VLOOKUP(Tabla3[[#This Row],[PATENTE]],'BASE DATOS'!F:I,4,0)</f>
        <v>SI</v>
      </c>
      <c r="H411" s="584" t="str">
        <f>+VLOOKUP(Tabla3[[#This Row],[PATENTE]],'BASE DATOS'!F:J,5,0)</f>
        <v xml:space="preserve">NO </v>
      </c>
      <c r="I411" s="582" t="str">
        <f>+VLOOKUP(Tabla3[[#This Row],[PATENTE]],'BASE DATOS'!F:K,6,0)</f>
        <v>NO</v>
      </c>
      <c r="J411" s="582">
        <f>+VLOOKUP(Tabla3[[#This Row],[PATENTE]],'BASE DATOS'!F:L,7,0)</f>
        <v>2008</v>
      </c>
      <c r="K411" s="593">
        <f>+VLOOKUP(Tabla3[[#This Row],[PATENTE]],'BASE DATOS'!F:M,8,0)</f>
        <v>17</v>
      </c>
      <c r="N411" s="826"/>
      <c r="O411" s="1015"/>
      <c r="P411" s="1015"/>
      <c r="Q411" s="1015"/>
      <c r="R411" s="965" t="str">
        <f t="shared" si="14"/>
        <v>-</v>
      </c>
    </row>
    <row r="412" spans="1:18" hidden="1">
      <c r="A412" s="577" t="s">
        <v>939</v>
      </c>
      <c r="B412" s="582">
        <v>2</v>
      </c>
      <c r="C412" s="589">
        <v>45887</v>
      </c>
      <c r="D412" s="582">
        <f t="shared" si="15"/>
        <v>34</v>
      </c>
      <c r="E412" s="576" t="str">
        <f>+VLOOKUP(Tabla3[[#This Row],[PATENTE]],'BASE DATOS'!F:G,2,0)</f>
        <v>TRANSP CLAUDIO BUSTOS - JOQ178</v>
      </c>
      <c r="F412" s="582" t="str">
        <f>+VLOOKUP(Tabla3[[#This Row],[PATENTE]],'BASE DATOS'!F:H,3,0)</f>
        <v>1P</v>
      </c>
      <c r="G412" s="582" t="str">
        <f>+VLOOKUP(Tabla3[[#This Row],[PATENTE]],'BASE DATOS'!F:I,4,0)</f>
        <v>NO</v>
      </c>
      <c r="H412" s="584" t="str">
        <f>+VLOOKUP(Tabla3[[#This Row],[PATENTE]],'BASE DATOS'!F:J,5,0)</f>
        <v>SI</v>
      </c>
      <c r="I412" s="582" t="str">
        <f>+VLOOKUP(Tabla3[[#This Row],[PATENTE]],'BASE DATOS'!F:K,6,0)</f>
        <v>NO</v>
      </c>
      <c r="J412" s="582">
        <f>+VLOOKUP(Tabla3[[#This Row],[PATENTE]],'BASE DATOS'!F:L,7,0)</f>
        <v>2010</v>
      </c>
      <c r="K412" s="593">
        <f>+VLOOKUP(Tabla3[[#This Row],[PATENTE]],'BASE DATOS'!F:M,8,0)</f>
        <v>15</v>
      </c>
      <c r="N412" s="826"/>
      <c r="O412" s="1015"/>
      <c r="P412" s="1015"/>
      <c r="Q412" s="1015"/>
      <c r="R412" s="965" t="str">
        <f t="shared" si="14"/>
        <v>-</v>
      </c>
    </row>
    <row r="413" spans="1:18" hidden="1">
      <c r="A413" s="578" t="s">
        <v>882</v>
      </c>
      <c r="B413" s="584">
        <v>2</v>
      </c>
      <c r="C413" s="589">
        <v>45887</v>
      </c>
      <c r="D413" s="582">
        <f t="shared" si="15"/>
        <v>34</v>
      </c>
      <c r="E413" s="576" t="str">
        <f>+VLOOKUP(Tabla3[[#This Row],[PATENTE]],'BASE DATOS'!F:G,2,0)</f>
        <v xml:space="preserve">MAÑAS - JWN279 </v>
      </c>
      <c r="F413" s="582" t="str">
        <f>+VLOOKUP(Tabla3[[#This Row],[PATENTE]],'BASE DATOS'!F:H,3,0)</f>
        <v>7P</v>
      </c>
      <c r="G413" s="582" t="str">
        <f>+VLOOKUP(Tabla3[[#This Row],[PATENTE]],'BASE DATOS'!F:I,4,0)</f>
        <v>SI</v>
      </c>
      <c r="H413" s="584" t="str">
        <f>+VLOOKUP(Tabla3[[#This Row],[PATENTE]],'BASE DATOS'!F:J,5,0)</f>
        <v>SI</v>
      </c>
      <c r="I413" s="582" t="str">
        <f>+VLOOKUP(Tabla3[[#This Row],[PATENTE]],'BASE DATOS'!F:K,6,0)</f>
        <v>NO</v>
      </c>
      <c r="J413" s="582">
        <f>+VLOOKUP(Tabla3[[#This Row],[PATENTE]],'BASE DATOS'!F:L,7,0)</f>
        <v>2011</v>
      </c>
      <c r="K413" s="593">
        <f>+VLOOKUP(Tabla3[[#This Row],[PATENTE]],'BASE DATOS'!F:M,8,0)</f>
        <v>14</v>
      </c>
      <c r="N413" s="826"/>
      <c r="O413" s="1015"/>
      <c r="P413" s="1015"/>
      <c r="Q413" s="1015"/>
      <c r="R413" s="965" t="str">
        <f t="shared" si="14"/>
        <v>-</v>
      </c>
    </row>
    <row r="414" spans="1:18" hidden="1">
      <c r="A414" s="577" t="s">
        <v>1162</v>
      </c>
      <c r="B414" s="582">
        <v>1</v>
      </c>
      <c r="C414" s="589">
        <v>45887</v>
      </c>
      <c r="D414" s="582">
        <f t="shared" si="15"/>
        <v>34</v>
      </c>
      <c r="E414" s="576" t="str">
        <f>+VLOOKUP(Tabla3[[#This Row],[PATENTE]],'BASE DATOS'!F:G,2,0)</f>
        <v>PERLETTI - 8P RETIRA CLIENTE</v>
      </c>
      <c r="F414" s="582" t="str">
        <f>+VLOOKUP(Tabla3[[#This Row],[PATENTE]],'BASE DATOS'!F:H,3,0)</f>
        <v>8P</v>
      </c>
      <c r="G414" s="582" t="str">
        <f>+VLOOKUP(Tabla3[[#This Row],[PATENTE]],'BASE DATOS'!F:I,4,0)</f>
        <v>NO</v>
      </c>
      <c r="H414" s="584" t="str">
        <f>+VLOOKUP(Tabla3[[#This Row],[PATENTE]],'BASE DATOS'!F:J,5,0)</f>
        <v xml:space="preserve">NO </v>
      </c>
      <c r="I414" s="582" t="str">
        <f>+VLOOKUP(Tabla3[[#This Row],[PATENTE]],'BASE DATOS'!F:K,6,0)</f>
        <v>NO</v>
      </c>
      <c r="J414" s="582">
        <f>+VLOOKUP(Tabla3[[#This Row],[PATENTE]],'BASE DATOS'!F:L,7,0)</f>
        <v>0</v>
      </c>
      <c r="K414" s="593">
        <f>+VLOOKUP(Tabla3[[#This Row],[PATENTE]],'BASE DATOS'!F:M,8,0)</f>
        <v>2025</v>
      </c>
      <c r="N414" s="826"/>
      <c r="O414" s="1015"/>
      <c r="P414" s="1015"/>
      <c r="Q414" s="1015"/>
      <c r="R414" s="965" t="str">
        <f t="shared" si="14"/>
        <v>-</v>
      </c>
    </row>
    <row r="415" spans="1:18" hidden="1">
      <c r="A415" s="578" t="s">
        <v>1134</v>
      </c>
      <c r="B415" s="584">
        <v>1</v>
      </c>
      <c r="C415" s="589">
        <v>45887</v>
      </c>
      <c r="D415" s="582">
        <f t="shared" si="15"/>
        <v>34</v>
      </c>
      <c r="E415" s="576" t="str">
        <f>+VLOOKUP(Tabla3[[#This Row],[PATENTE]],'BASE DATOS'!F:G,2,0)</f>
        <v>GANZINI HUGO- 8P</v>
      </c>
      <c r="F415" s="582" t="str">
        <f>+VLOOKUP(Tabla3[[#This Row],[PATENTE]],'BASE DATOS'!F:H,3,0)</f>
        <v>8P</v>
      </c>
      <c r="G415" s="582" t="str">
        <f>+VLOOKUP(Tabla3[[#This Row],[PATENTE]],'BASE DATOS'!F:I,4,0)</f>
        <v>NO</v>
      </c>
      <c r="H415" s="584" t="str">
        <f>+VLOOKUP(Tabla3[[#This Row],[PATENTE]],'BASE DATOS'!F:J,5,0)</f>
        <v xml:space="preserve">NO </v>
      </c>
      <c r="I415" s="582" t="str">
        <f>+VLOOKUP(Tabla3[[#This Row],[PATENTE]],'BASE DATOS'!F:K,6,0)</f>
        <v>NO</v>
      </c>
      <c r="J415" s="582">
        <f>+VLOOKUP(Tabla3[[#This Row],[PATENTE]],'BASE DATOS'!F:L,7,0)</f>
        <v>2018</v>
      </c>
      <c r="K415" s="593">
        <f>+VLOOKUP(Tabla3[[#This Row],[PATENTE]],'BASE DATOS'!F:M,8,0)</f>
        <v>7</v>
      </c>
      <c r="N415" s="826"/>
      <c r="O415" s="1015"/>
      <c r="P415" s="1015"/>
      <c r="Q415" s="1015"/>
      <c r="R415" s="965" t="str">
        <f t="shared" si="14"/>
        <v>-</v>
      </c>
    </row>
    <row r="416" spans="1:18" hidden="1">
      <c r="A416" s="577" t="s">
        <v>904</v>
      </c>
      <c r="B416" s="582">
        <v>1</v>
      </c>
      <c r="C416" s="589">
        <v>45887</v>
      </c>
      <c r="D416" s="582">
        <f t="shared" si="15"/>
        <v>34</v>
      </c>
      <c r="E416" s="576" t="str">
        <f>+VLOOKUP(Tabla3[[#This Row],[PATENTE]],'BASE DATOS'!F:G,2,0)</f>
        <v xml:space="preserve">ENRIQUE ROLLINO - DFO656 </v>
      </c>
      <c r="F416" s="582" t="str">
        <f>+VLOOKUP(Tabla3[[#This Row],[PATENTE]],'BASE DATOS'!F:H,3,0)</f>
        <v>6P</v>
      </c>
      <c r="G416" s="582" t="str">
        <f>+VLOOKUP(Tabla3[[#This Row],[PATENTE]],'BASE DATOS'!F:I,4,0)</f>
        <v>SI</v>
      </c>
      <c r="H416" s="584" t="str">
        <f>+VLOOKUP(Tabla3[[#This Row],[PATENTE]],'BASE DATOS'!F:J,5,0)</f>
        <v>SI</v>
      </c>
      <c r="I416" s="582" t="str">
        <f>+VLOOKUP(Tabla3[[#This Row],[PATENTE]],'BASE DATOS'!F:K,6,0)</f>
        <v>NO</v>
      </c>
      <c r="J416" s="582">
        <f>+VLOOKUP(Tabla3[[#This Row],[PATENTE]],'BASE DATOS'!F:L,7,0)</f>
        <v>2000</v>
      </c>
      <c r="K416" s="593">
        <f>+VLOOKUP(Tabla3[[#This Row],[PATENTE]],'BASE DATOS'!F:M,8,0)</f>
        <v>25</v>
      </c>
      <c r="N416" s="826"/>
      <c r="O416" s="1015"/>
      <c r="P416" s="1015"/>
      <c r="Q416" s="1015"/>
      <c r="R416" s="965" t="str">
        <f t="shared" si="14"/>
        <v>-</v>
      </c>
    </row>
    <row r="417" spans="1:18" hidden="1">
      <c r="A417" s="578" t="s">
        <v>918</v>
      </c>
      <c r="B417" s="584">
        <v>1</v>
      </c>
      <c r="C417" s="589">
        <v>45887</v>
      </c>
      <c r="D417" s="582">
        <f t="shared" si="15"/>
        <v>34</v>
      </c>
      <c r="E417" s="576" t="str">
        <f>+VLOOKUP(Tabla3[[#This Row],[PATENTE]],'BASE DATOS'!F:G,2,0)</f>
        <v>TRANSPORTE GENA GAIA - DGO507</v>
      </c>
      <c r="F417" s="582" t="str">
        <f>+VLOOKUP(Tabla3[[#This Row],[PATENTE]],'BASE DATOS'!F:H,3,0)</f>
        <v>24P</v>
      </c>
      <c r="G417" s="582" t="str">
        <f>+VLOOKUP(Tabla3[[#This Row],[PATENTE]],'BASE DATOS'!F:I,4,0)</f>
        <v>Gestya</v>
      </c>
      <c r="H417" s="584" t="str">
        <f>+VLOOKUP(Tabla3[[#This Row],[PATENTE]],'BASE DATOS'!F:J,5,0)</f>
        <v xml:space="preserve">NO </v>
      </c>
      <c r="I417" s="582" t="str">
        <f>+VLOOKUP(Tabla3[[#This Row],[PATENTE]],'BASE DATOS'!F:K,6,0)</f>
        <v>NO</v>
      </c>
      <c r="J417" s="582">
        <f>+VLOOKUP(Tabla3[[#This Row],[PATENTE]],'BASE DATOS'!F:L,7,0)</f>
        <v>2001</v>
      </c>
      <c r="K417" s="593">
        <f>+VLOOKUP(Tabla3[[#This Row],[PATENTE]],'BASE DATOS'!F:M,8,0)</f>
        <v>24</v>
      </c>
      <c r="N417" s="826"/>
      <c r="O417" s="1015"/>
      <c r="P417" s="1015"/>
      <c r="Q417" s="1015"/>
      <c r="R417" s="965" t="str">
        <f t="shared" si="14"/>
        <v>-</v>
      </c>
    </row>
    <row r="418" spans="1:18" hidden="1">
      <c r="A418" s="577" t="s">
        <v>926</v>
      </c>
      <c r="B418" s="582">
        <v>1</v>
      </c>
      <c r="C418" s="589">
        <v>45887</v>
      </c>
      <c r="D418" s="582">
        <f t="shared" si="15"/>
        <v>34</v>
      </c>
      <c r="E418" s="576" t="str">
        <f>+VLOOKUP(Tabla3[[#This Row],[PATENTE]],'BASE DATOS'!F:G,2,0)</f>
        <v xml:space="preserve">TRANSPORTE GENA GAIA - DUF042 </v>
      </c>
      <c r="F418" s="582" t="str">
        <f>+VLOOKUP(Tabla3[[#This Row],[PATENTE]],'BASE DATOS'!F:H,3,0)</f>
        <v>24P</v>
      </c>
      <c r="G418" s="582" t="str">
        <f>+VLOOKUP(Tabla3[[#This Row],[PATENTE]],'BASE DATOS'!F:I,4,0)</f>
        <v>Gestya</v>
      </c>
      <c r="H418" s="584" t="str">
        <f>+VLOOKUP(Tabla3[[#This Row],[PATENTE]],'BASE DATOS'!F:J,5,0)</f>
        <v xml:space="preserve">NO </v>
      </c>
      <c r="I418" s="582" t="str">
        <f>+VLOOKUP(Tabla3[[#This Row],[PATENTE]],'BASE DATOS'!F:K,6,0)</f>
        <v>NO</v>
      </c>
      <c r="J418" s="582">
        <f>+VLOOKUP(Tabla3[[#This Row],[PATENTE]],'BASE DATOS'!F:L,7,0)</f>
        <v>2001</v>
      </c>
      <c r="K418" s="593">
        <f>+VLOOKUP(Tabla3[[#This Row],[PATENTE]],'BASE DATOS'!F:M,8,0)</f>
        <v>24</v>
      </c>
      <c r="N418" s="826"/>
      <c r="O418" s="1015"/>
      <c r="P418" s="1015"/>
      <c r="Q418" s="1015"/>
      <c r="R418" s="965" t="str">
        <f t="shared" si="14"/>
        <v>-</v>
      </c>
    </row>
    <row r="419" spans="1:18" hidden="1">
      <c r="A419" s="578" t="s">
        <v>928</v>
      </c>
      <c r="B419" s="584">
        <v>1</v>
      </c>
      <c r="C419" s="589">
        <v>45887</v>
      </c>
      <c r="D419" s="582">
        <f t="shared" si="15"/>
        <v>34</v>
      </c>
      <c r="E419" s="576" t="str">
        <f>+VLOOKUP(Tabla3[[#This Row],[PATENTE]],'BASE DATOS'!F:G,2,0)</f>
        <v xml:space="preserve">GANZINI HUGO - HEF181 </v>
      </c>
      <c r="F419" s="582" t="str">
        <f>+VLOOKUP(Tabla3[[#This Row],[PATENTE]],'BASE DATOS'!F:H,3,0)</f>
        <v>12P</v>
      </c>
      <c r="G419" s="582" t="str">
        <f>+VLOOKUP(Tabla3[[#This Row],[PATENTE]],'BASE DATOS'!F:I,4,0)</f>
        <v>NO</v>
      </c>
      <c r="H419" s="584" t="str">
        <f>+VLOOKUP(Tabla3[[#This Row],[PATENTE]],'BASE DATOS'!F:J,5,0)</f>
        <v xml:space="preserve">NO </v>
      </c>
      <c r="I419" s="582" t="str">
        <f>+VLOOKUP(Tabla3[[#This Row],[PATENTE]],'BASE DATOS'!F:K,6,0)</f>
        <v>NO</v>
      </c>
      <c r="J419" s="582">
        <f>+VLOOKUP(Tabla3[[#This Row],[PATENTE]],'BASE DATOS'!F:L,7,0)</f>
        <v>2008</v>
      </c>
      <c r="K419" s="593">
        <f>+VLOOKUP(Tabla3[[#This Row],[PATENTE]],'BASE DATOS'!F:M,8,0)</f>
        <v>17</v>
      </c>
      <c r="N419" s="826"/>
      <c r="O419" s="1015"/>
      <c r="P419" s="1015"/>
      <c r="Q419" s="1015"/>
      <c r="R419" s="965" t="str">
        <f t="shared" si="14"/>
        <v>-</v>
      </c>
    </row>
    <row r="420" spans="1:18" hidden="1">
      <c r="A420" s="577" t="s">
        <v>930</v>
      </c>
      <c r="B420" s="582">
        <v>1</v>
      </c>
      <c r="C420" s="589">
        <v>45887</v>
      </c>
      <c r="D420" s="582">
        <f t="shared" si="15"/>
        <v>34</v>
      </c>
      <c r="E420" s="576" t="str">
        <f>+VLOOKUP(Tabla3[[#This Row],[PATENTE]],'BASE DATOS'!F:G,2,0)</f>
        <v xml:space="preserve">GANZINI HUGO - JJF375 </v>
      </c>
      <c r="F420" s="582" t="str">
        <f>+VLOOKUP(Tabla3[[#This Row],[PATENTE]],'BASE DATOS'!F:H,3,0)</f>
        <v>14P</v>
      </c>
      <c r="G420" s="582" t="str">
        <f>+VLOOKUP(Tabla3[[#This Row],[PATENTE]],'BASE DATOS'!F:I,4,0)</f>
        <v>SI</v>
      </c>
      <c r="H420" s="584" t="str">
        <f>+VLOOKUP(Tabla3[[#This Row],[PATENTE]],'BASE DATOS'!F:J,5,0)</f>
        <v xml:space="preserve">NO </v>
      </c>
      <c r="I420" s="582" t="str">
        <f>+VLOOKUP(Tabla3[[#This Row],[PATENTE]],'BASE DATOS'!F:K,6,0)</f>
        <v>NO</v>
      </c>
      <c r="J420" s="582">
        <f>+VLOOKUP(Tabla3[[#This Row],[PATENTE]],'BASE DATOS'!F:L,7,0)</f>
        <v>2011</v>
      </c>
      <c r="K420" s="593">
        <f>+VLOOKUP(Tabla3[[#This Row],[PATENTE]],'BASE DATOS'!F:M,8,0)</f>
        <v>14</v>
      </c>
      <c r="N420" s="826"/>
      <c r="O420" s="1015"/>
      <c r="P420" s="1015"/>
      <c r="Q420" s="1015"/>
      <c r="R420" s="965" t="str">
        <f t="shared" si="14"/>
        <v>-</v>
      </c>
    </row>
    <row r="421" spans="1:18" hidden="1">
      <c r="A421" s="578" t="s">
        <v>1153</v>
      </c>
      <c r="B421" s="584">
        <v>1</v>
      </c>
      <c r="C421" s="589">
        <v>45887</v>
      </c>
      <c r="D421" s="582">
        <f t="shared" si="15"/>
        <v>34</v>
      </c>
      <c r="E421" s="576" t="str">
        <f>+VLOOKUP(Tabla3[[#This Row],[PATENTE]],'BASE DATOS'!F:G,2,0)</f>
        <v xml:space="preserve">TRANSP LAGOS - KXZ670 </v>
      </c>
      <c r="F421" s="582" t="str">
        <f>+VLOOKUP(Tabla3[[#This Row],[PATENTE]],'BASE DATOS'!F:H,3,0)</f>
        <v>4P</v>
      </c>
      <c r="G421" s="582" t="str">
        <f>+VLOOKUP(Tabla3[[#This Row],[PATENTE]],'BASE DATOS'!F:I,4,0)</f>
        <v>NO</v>
      </c>
      <c r="H421" s="584" t="str">
        <f>+VLOOKUP(Tabla3[[#This Row],[PATENTE]],'BASE DATOS'!F:J,5,0)</f>
        <v xml:space="preserve">NO </v>
      </c>
      <c r="I421" s="582" t="str">
        <f>+VLOOKUP(Tabla3[[#This Row],[PATENTE]],'BASE DATOS'!F:K,6,0)</f>
        <v>NO</v>
      </c>
      <c r="J421" s="582">
        <f>+VLOOKUP(Tabla3[[#This Row],[PATENTE]],'BASE DATOS'!F:L,7,0)</f>
        <v>2011</v>
      </c>
      <c r="K421" s="593">
        <f>+VLOOKUP(Tabla3[[#This Row],[PATENTE]],'BASE DATOS'!F:M,8,0)</f>
        <v>14</v>
      </c>
      <c r="N421" s="826"/>
      <c r="O421" s="1015"/>
      <c r="P421" s="1015"/>
      <c r="Q421" s="1015"/>
      <c r="R421" s="965" t="str">
        <f t="shared" si="14"/>
        <v>-</v>
      </c>
    </row>
    <row r="422" spans="1:18" hidden="1">
      <c r="A422" s="577" t="s">
        <v>888</v>
      </c>
      <c r="B422" s="582">
        <v>6</v>
      </c>
      <c r="C422" s="588">
        <v>45894</v>
      </c>
      <c r="D422" s="582">
        <f t="shared" si="15"/>
        <v>35</v>
      </c>
      <c r="E422" s="576" t="str">
        <f>+VLOOKUP(Tabla3[[#This Row],[PATENTE]],'BASE DATOS'!F:G,2,0)</f>
        <v xml:space="preserve">TRANSP FIRST CLASS - AD535UI </v>
      </c>
      <c r="F422" s="582" t="str">
        <f>+VLOOKUP(Tabla3[[#This Row],[PATENTE]],'BASE DATOS'!F:H,3,0)</f>
        <v>6P</v>
      </c>
      <c r="G422" s="582" t="str">
        <f>+VLOOKUP(Tabla3[[#This Row],[PATENTE]],'BASE DATOS'!F:I,4,0)</f>
        <v>SI</v>
      </c>
      <c r="H422" s="584" t="str">
        <f>+VLOOKUP(Tabla3[[#This Row],[PATENTE]],'BASE DATOS'!F:J,5,0)</f>
        <v>SI</v>
      </c>
      <c r="I422" s="582" t="str">
        <f>+VLOOKUP(Tabla3[[#This Row],[PATENTE]],'BASE DATOS'!F:K,6,0)</f>
        <v>NO</v>
      </c>
      <c r="J422" s="582">
        <f>+VLOOKUP(Tabla3[[#This Row],[PATENTE]],'BASE DATOS'!F:L,7,0)</f>
        <v>2019</v>
      </c>
      <c r="K422" s="593">
        <f>+VLOOKUP(Tabla3[[#This Row],[PATENTE]],'BASE DATOS'!F:M,8,0)</f>
        <v>6</v>
      </c>
      <c r="N422" s="826"/>
      <c r="O422" s="1015"/>
      <c r="P422" s="1015"/>
      <c r="Q422" s="1015"/>
      <c r="R422" s="965" t="str">
        <f t="shared" si="14"/>
        <v>-</v>
      </c>
    </row>
    <row r="423" spans="1:18" hidden="1">
      <c r="A423" s="579" t="s">
        <v>903</v>
      </c>
      <c r="B423" s="585">
        <v>6</v>
      </c>
      <c r="C423" s="588">
        <v>45894</v>
      </c>
      <c r="D423" s="582">
        <f t="shared" si="15"/>
        <v>35</v>
      </c>
      <c r="E423" s="576" t="str">
        <f>+VLOOKUP(Tabla3[[#This Row],[PATENTE]],'BASE DATOS'!F:G,2,0)</f>
        <v xml:space="preserve">TRANSP CLAUDIO BUSTOS - AG243PE </v>
      </c>
      <c r="F423" s="582" t="str">
        <f>+VLOOKUP(Tabla3[[#This Row],[PATENTE]],'BASE DATOS'!F:H,3,0)</f>
        <v>1P</v>
      </c>
      <c r="G423" s="582" t="str">
        <f>+VLOOKUP(Tabla3[[#This Row],[PATENTE]],'BASE DATOS'!F:I,4,0)</f>
        <v>SI</v>
      </c>
      <c r="H423" s="584" t="str">
        <f>+VLOOKUP(Tabla3[[#This Row],[PATENTE]],'BASE DATOS'!F:J,5,0)</f>
        <v>SI</v>
      </c>
      <c r="I423" s="582" t="str">
        <f>+VLOOKUP(Tabla3[[#This Row],[PATENTE]],'BASE DATOS'!F:K,6,0)</f>
        <v>NO</v>
      </c>
      <c r="J423" s="582">
        <f>+VLOOKUP(Tabla3[[#This Row],[PATENTE]],'BASE DATOS'!F:L,7,0)</f>
        <v>2024</v>
      </c>
      <c r="K423" s="593">
        <f>+VLOOKUP(Tabla3[[#This Row],[PATENTE]],'BASE DATOS'!F:M,8,0)</f>
        <v>1</v>
      </c>
      <c r="N423" s="826"/>
      <c r="O423" s="1015"/>
      <c r="P423" s="1015"/>
      <c r="Q423" s="1015"/>
      <c r="R423" s="965" t="str">
        <f t="shared" si="14"/>
        <v>-</v>
      </c>
    </row>
    <row r="424" spans="1:18" hidden="1">
      <c r="A424" s="577" t="s">
        <v>881</v>
      </c>
      <c r="B424" s="582">
        <v>6</v>
      </c>
      <c r="C424" s="588">
        <v>45894</v>
      </c>
      <c r="D424" s="582">
        <f t="shared" si="15"/>
        <v>35</v>
      </c>
      <c r="E424" s="576" t="str">
        <f>+VLOOKUP(Tabla3[[#This Row],[PATENTE]],'BASE DATOS'!F:G,2,0)</f>
        <v xml:space="preserve">MAÑAS NORBERTO - DUQ686 </v>
      </c>
      <c r="F424" s="582" t="str">
        <f>+VLOOKUP(Tabla3[[#This Row],[PATENTE]],'BASE DATOS'!F:H,3,0)</f>
        <v>8P</v>
      </c>
      <c r="G424" s="582" t="str">
        <f>+VLOOKUP(Tabla3[[#This Row],[PATENTE]],'BASE DATOS'!F:I,4,0)</f>
        <v>SI</v>
      </c>
      <c r="H424" s="584" t="str">
        <f>+VLOOKUP(Tabla3[[#This Row],[PATENTE]],'BASE DATOS'!F:J,5,0)</f>
        <v>SI</v>
      </c>
      <c r="I424" s="582" t="str">
        <f>+VLOOKUP(Tabla3[[#This Row],[PATENTE]],'BASE DATOS'!F:K,6,0)</f>
        <v>NO</v>
      </c>
      <c r="J424" s="582">
        <f>+VLOOKUP(Tabla3[[#This Row],[PATENTE]],'BASE DATOS'!F:L,7,0)</f>
        <v>2001</v>
      </c>
      <c r="K424" s="593">
        <f>+VLOOKUP(Tabla3[[#This Row],[PATENTE]],'BASE DATOS'!F:M,8,0)</f>
        <v>24</v>
      </c>
      <c r="N424" s="826"/>
      <c r="O424" s="1015"/>
      <c r="P424" s="1015"/>
      <c r="Q424" s="1015"/>
      <c r="R424" s="965" t="str">
        <f t="shared" si="14"/>
        <v>-</v>
      </c>
    </row>
    <row r="425" spans="1:18" hidden="1">
      <c r="A425" s="578" t="s">
        <v>932</v>
      </c>
      <c r="B425" s="584">
        <v>6</v>
      </c>
      <c r="C425" s="588">
        <v>45894</v>
      </c>
      <c r="D425" s="582">
        <f t="shared" si="15"/>
        <v>35</v>
      </c>
      <c r="E425" s="576" t="str">
        <f>+VLOOKUP(Tabla3[[#This Row],[PATENTE]],'BASE DATOS'!F:G,2,0)</f>
        <v xml:space="preserve">TRANSP MAVIR - EFL176 </v>
      </c>
      <c r="F425" s="582" t="str">
        <f>+VLOOKUP(Tabla3[[#This Row],[PATENTE]],'BASE DATOS'!F:H,3,0)</f>
        <v>12P</v>
      </c>
      <c r="G425" s="582" t="str">
        <f>+VLOOKUP(Tabla3[[#This Row],[PATENTE]],'BASE DATOS'!F:I,4,0)</f>
        <v>SI</v>
      </c>
      <c r="H425" s="584" t="str">
        <f>+VLOOKUP(Tabla3[[#This Row],[PATENTE]],'BASE DATOS'!F:J,5,0)</f>
        <v>SI</v>
      </c>
      <c r="I425" s="582" t="str">
        <f>+VLOOKUP(Tabla3[[#This Row],[PATENTE]],'BASE DATOS'!F:K,6,0)</f>
        <v>NO</v>
      </c>
      <c r="J425" s="582">
        <f>+VLOOKUP(Tabla3[[#This Row],[PATENTE]],'BASE DATOS'!F:L,7,0)</f>
        <v>1998</v>
      </c>
      <c r="K425" s="593">
        <f>+VLOOKUP(Tabla3[[#This Row],[PATENTE]],'BASE DATOS'!F:M,8,0)</f>
        <v>27</v>
      </c>
      <c r="N425" s="826"/>
      <c r="O425" s="1015"/>
      <c r="P425" s="1015"/>
      <c r="Q425" s="1015"/>
      <c r="R425" s="965" t="str">
        <f t="shared" si="14"/>
        <v>-</v>
      </c>
    </row>
    <row r="426" spans="1:18" hidden="1">
      <c r="A426" s="577" t="s">
        <v>889</v>
      </c>
      <c r="B426" s="582">
        <v>6</v>
      </c>
      <c r="C426" s="588">
        <v>45894</v>
      </c>
      <c r="D426" s="582">
        <f t="shared" si="15"/>
        <v>35</v>
      </c>
      <c r="E426" s="576" t="str">
        <f>+VLOOKUP(Tabla3[[#This Row],[PATENTE]],'BASE DATOS'!F:G,2,0)</f>
        <v xml:space="preserve">COLO - HAW164 </v>
      </c>
      <c r="F426" s="582" t="str">
        <f>+VLOOKUP(Tabla3[[#This Row],[PATENTE]],'BASE DATOS'!F:H,3,0)</f>
        <v>6P</v>
      </c>
      <c r="G426" s="582" t="str">
        <f>+VLOOKUP(Tabla3[[#This Row],[PATENTE]],'BASE DATOS'!F:I,4,0)</f>
        <v>NO</v>
      </c>
      <c r="H426" s="584" t="str">
        <f>+VLOOKUP(Tabla3[[#This Row],[PATENTE]],'BASE DATOS'!F:J,5,0)</f>
        <v>SI</v>
      </c>
      <c r="I426" s="582" t="str">
        <f>+VLOOKUP(Tabla3[[#This Row],[PATENTE]],'BASE DATOS'!F:K,6,0)</f>
        <v>NO</v>
      </c>
      <c r="J426" s="582">
        <f>+VLOOKUP(Tabla3[[#This Row],[PATENTE]],'BASE DATOS'!F:L,7,0)</f>
        <v>2009</v>
      </c>
      <c r="K426" s="593">
        <f>+VLOOKUP(Tabla3[[#This Row],[PATENTE]],'BASE DATOS'!F:M,8,0)</f>
        <v>16</v>
      </c>
      <c r="N426" s="826"/>
      <c r="O426" s="1015"/>
      <c r="P426" s="1015"/>
      <c r="Q426" s="1015"/>
      <c r="R426" s="965" t="str">
        <f t="shared" si="14"/>
        <v>-</v>
      </c>
    </row>
    <row r="427" spans="1:18" hidden="1">
      <c r="A427" s="578" t="s">
        <v>900</v>
      </c>
      <c r="B427" s="584">
        <v>6</v>
      </c>
      <c r="C427" s="588">
        <v>45894</v>
      </c>
      <c r="D427" s="582">
        <f t="shared" si="15"/>
        <v>35</v>
      </c>
      <c r="E427" s="576" t="str">
        <f>+VLOOKUP(Tabla3[[#This Row],[PATENTE]],'BASE DATOS'!F:G,2,0)</f>
        <v>TRANSPORTE GENA GAIA - IMO939</v>
      </c>
      <c r="F427" s="582" t="str">
        <f>+VLOOKUP(Tabla3[[#This Row],[PATENTE]],'BASE DATOS'!F:H,3,0)</f>
        <v>24P</v>
      </c>
      <c r="G427" s="582" t="str">
        <f>+VLOOKUP(Tabla3[[#This Row],[PATENTE]],'BASE DATOS'!F:I,4,0)</f>
        <v>Gestya</v>
      </c>
      <c r="H427" s="584" t="str">
        <f>+VLOOKUP(Tabla3[[#This Row],[PATENTE]],'BASE DATOS'!F:J,5,0)</f>
        <v xml:space="preserve">NO </v>
      </c>
      <c r="I427" s="582" t="str">
        <f>+VLOOKUP(Tabla3[[#This Row],[PATENTE]],'BASE DATOS'!F:K,6,0)</f>
        <v>NO</v>
      </c>
      <c r="J427" s="582">
        <f>+VLOOKUP(Tabla3[[#This Row],[PATENTE]],'BASE DATOS'!F:L,7,0)</f>
        <v>2010</v>
      </c>
      <c r="K427" s="593">
        <f>+VLOOKUP(Tabla3[[#This Row],[PATENTE]],'BASE DATOS'!F:M,8,0)</f>
        <v>15</v>
      </c>
      <c r="N427" s="826"/>
      <c r="O427" s="1015"/>
      <c r="P427" s="1015"/>
      <c r="Q427" s="1015"/>
      <c r="R427" s="965" t="str">
        <f t="shared" si="14"/>
        <v>-</v>
      </c>
    </row>
    <row r="428" spans="1:18" hidden="1">
      <c r="A428" s="577" t="s">
        <v>898</v>
      </c>
      <c r="B428" s="582">
        <v>6</v>
      </c>
      <c r="C428" s="588">
        <v>45894</v>
      </c>
      <c r="D428" s="582">
        <f t="shared" si="15"/>
        <v>35</v>
      </c>
      <c r="E428" s="576" t="str">
        <f>+VLOOKUP(Tabla3[[#This Row],[PATENTE]],'BASE DATOS'!F:G,2,0)</f>
        <v xml:space="preserve">TRANSP BERMEJO - NXP980 </v>
      </c>
      <c r="F428" s="582" t="str">
        <f>+VLOOKUP(Tabla3[[#This Row],[PATENTE]],'BASE DATOS'!F:H,3,0)</f>
        <v>12P</v>
      </c>
      <c r="G428" s="582" t="str">
        <f>+VLOOKUP(Tabla3[[#This Row],[PATENTE]],'BASE DATOS'!F:I,4,0)</f>
        <v>SI</v>
      </c>
      <c r="H428" s="584" t="str">
        <f>+VLOOKUP(Tabla3[[#This Row],[PATENTE]],'BASE DATOS'!F:J,5,0)</f>
        <v>SI</v>
      </c>
      <c r="I428" s="582" t="str">
        <f>+VLOOKUP(Tabla3[[#This Row],[PATENTE]],'BASE DATOS'!F:K,6,0)</f>
        <v>SI</v>
      </c>
      <c r="J428" s="582">
        <f>+VLOOKUP(Tabla3[[#This Row],[PATENTE]],'BASE DATOS'!F:L,7,0)</f>
        <v>2015</v>
      </c>
      <c r="K428" s="593">
        <f>+VLOOKUP(Tabla3[[#This Row],[PATENTE]],'BASE DATOS'!F:M,8,0)</f>
        <v>10</v>
      </c>
      <c r="N428" s="826"/>
      <c r="O428" s="1015"/>
      <c r="P428" s="1015"/>
      <c r="Q428" s="1015"/>
      <c r="R428" s="965" t="str">
        <f t="shared" si="14"/>
        <v>-</v>
      </c>
    </row>
    <row r="429" spans="1:18" hidden="1">
      <c r="A429" s="578" t="s">
        <v>919</v>
      </c>
      <c r="B429" s="584">
        <v>5</v>
      </c>
      <c r="C429" s="588">
        <v>45894</v>
      </c>
      <c r="D429" s="582">
        <f t="shared" si="15"/>
        <v>35</v>
      </c>
      <c r="E429" s="576" t="str">
        <f>+VLOOKUP(Tabla3[[#This Row],[PATENTE]],'BASE DATOS'!F:G,2,0)</f>
        <v xml:space="preserve">GUSTAVO CERQUETTA - AA427LT </v>
      </c>
      <c r="F429" s="582" t="str">
        <f>+VLOOKUP(Tabla3[[#This Row],[PATENTE]],'BASE DATOS'!F:H,3,0)</f>
        <v>1P</v>
      </c>
      <c r="G429" s="582" t="str">
        <f>+VLOOKUP(Tabla3[[#This Row],[PATENTE]],'BASE DATOS'!F:I,4,0)</f>
        <v>NO</v>
      </c>
      <c r="H429" s="584" t="str">
        <f>+VLOOKUP(Tabla3[[#This Row],[PATENTE]],'BASE DATOS'!F:J,5,0)</f>
        <v>SI</v>
      </c>
      <c r="I429" s="582" t="str">
        <f>+VLOOKUP(Tabla3[[#This Row],[PATENTE]],'BASE DATOS'!F:K,6,0)</f>
        <v>NO</v>
      </c>
      <c r="J429" s="582">
        <f>+VLOOKUP(Tabla3[[#This Row],[PATENTE]],'BASE DATOS'!F:L,7,0)</f>
        <v>2016</v>
      </c>
      <c r="K429" s="593">
        <f>+VLOOKUP(Tabla3[[#This Row],[PATENTE]],'BASE DATOS'!F:M,8,0)</f>
        <v>9</v>
      </c>
      <c r="N429" s="826"/>
      <c r="O429" s="1015"/>
      <c r="P429" s="1015"/>
      <c r="Q429" s="1015"/>
      <c r="R429" s="965" t="str">
        <f t="shared" si="14"/>
        <v>-</v>
      </c>
    </row>
    <row r="430" spans="1:18" hidden="1">
      <c r="A430" s="577" t="s">
        <v>878</v>
      </c>
      <c r="B430" s="582">
        <v>5</v>
      </c>
      <c r="C430" s="588">
        <v>45894</v>
      </c>
      <c r="D430" s="582">
        <f t="shared" si="15"/>
        <v>35</v>
      </c>
      <c r="E430" s="576" t="str">
        <f>+VLOOKUP(Tabla3[[#This Row],[PATENTE]],'BASE DATOS'!F:G,2,0)</f>
        <v xml:space="preserve">PACHECO JULIO - AA854LY </v>
      </c>
      <c r="F430" s="582" t="str">
        <f>+VLOOKUP(Tabla3[[#This Row],[PATENTE]],'BASE DATOS'!F:H,3,0)</f>
        <v>7P</v>
      </c>
      <c r="G430" s="582" t="str">
        <f>+VLOOKUP(Tabla3[[#This Row],[PATENTE]],'BASE DATOS'!F:I,4,0)</f>
        <v>SI</v>
      </c>
      <c r="H430" s="584" t="str">
        <f>+VLOOKUP(Tabla3[[#This Row],[PATENTE]],'BASE DATOS'!F:J,5,0)</f>
        <v>SI</v>
      </c>
      <c r="I430" s="582" t="str">
        <f>+VLOOKUP(Tabla3[[#This Row],[PATENTE]],'BASE DATOS'!F:K,6,0)</f>
        <v>NO</v>
      </c>
      <c r="J430" s="582">
        <f>+VLOOKUP(Tabla3[[#This Row],[PATENTE]],'BASE DATOS'!F:L,7,0)</f>
        <v>2016</v>
      </c>
      <c r="K430" s="593">
        <f>+VLOOKUP(Tabla3[[#This Row],[PATENTE]],'BASE DATOS'!F:M,8,0)</f>
        <v>9</v>
      </c>
      <c r="N430" s="826"/>
      <c r="O430" s="1015"/>
      <c r="P430" s="1015"/>
      <c r="Q430" s="1015"/>
      <c r="R430" s="965" t="str">
        <f t="shared" si="14"/>
        <v>-</v>
      </c>
    </row>
    <row r="431" spans="1:18" hidden="1">
      <c r="A431" s="578" t="s">
        <v>899</v>
      </c>
      <c r="B431" s="584">
        <v>5</v>
      </c>
      <c r="C431" s="588">
        <v>45894</v>
      </c>
      <c r="D431" s="582">
        <f t="shared" si="15"/>
        <v>35</v>
      </c>
      <c r="E431" s="576" t="str">
        <f>+VLOOKUP(Tabla3[[#This Row],[PATENTE]],'BASE DATOS'!F:G,2,0)</f>
        <v xml:space="preserve">VAZQUEZ (TRV SRL) - AB176KN </v>
      </c>
      <c r="F431" s="582" t="str">
        <f>+VLOOKUP(Tabla3[[#This Row],[PATENTE]],'BASE DATOS'!F:H,3,0)</f>
        <v>8P</v>
      </c>
      <c r="G431" s="582" t="str">
        <f>+VLOOKUP(Tabla3[[#This Row],[PATENTE]],'BASE DATOS'!F:I,4,0)</f>
        <v>SI</v>
      </c>
      <c r="H431" s="584" t="str">
        <f>+VLOOKUP(Tabla3[[#This Row],[PATENTE]],'BASE DATOS'!F:J,5,0)</f>
        <v>SI</v>
      </c>
      <c r="I431" s="582" t="str">
        <f>+VLOOKUP(Tabla3[[#This Row],[PATENTE]],'BASE DATOS'!F:K,6,0)</f>
        <v>SI</v>
      </c>
      <c r="J431" s="582">
        <f>+VLOOKUP(Tabla3[[#This Row],[PATENTE]],'BASE DATOS'!F:L,7,0)</f>
        <v>2017</v>
      </c>
      <c r="K431" s="593">
        <f>+VLOOKUP(Tabla3[[#This Row],[PATENTE]],'BASE DATOS'!F:M,8,0)</f>
        <v>8</v>
      </c>
      <c r="N431" s="826"/>
      <c r="O431" s="1015"/>
      <c r="P431" s="1015"/>
      <c r="Q431" s="1015"/>
      <c r="R431" s="965" t="str">
        <f t="shared" si="14"/>
        <v>-</v>
      </c>
    </row>
    <row r="432" spans="1:18" hidden="1">
      <c r="A432" s="577" t="s">
        <v>890</v>
      </c>
      <c r="B432" s="582">
        <v>5</v>
      </c>
      <c r="C432" s="588">
        <v>45894</v>
      </c>
      <c r="D432" s="582">
        <f t="shared" si="15"/>
        <v>35</v>
      </c>
      <c r="E432" s="576" t="str">
        <f>+VLOOKUP(Tabla3[[#This Row],[PATENTE]],'BASE DATOS'!F:G,2,0)</f>
        <v xml:space="preserve">TRANSPORTE GRACIELA - AC040RO </v>
      </c>
      <c r="F432" s="582" t="str">
        <f>+VLOOKUP(Tabla3[[#This Row],[PATENTE]],'BASE DATOS'!F:H,3,0)</f>
        <v>1P</v>
      </c>
      <c r="G432" s="582" t="str">
        <f>+VLOOKUP(Tabla3[[#This Row],[PATENTE]],'BASE DATOS'!F:I,4,0)</f>
        <v>SI</v>
      </c>
      <c r="H432" s="584" t="str">
        <f>+VLOOKUP(Tabla3[[#This Row],[PATENTE]],'BASE DATOS'!F:J,5,0)</f>
        <v>ACEPTA( VER CAMI)</v>
      </c>
      <c r="I432" s="582" t="str">
        <f>+VLOOKUP(Tabla3[[#This Row],[PATENTE]],'BASE DATOS'!F:K,6,0)</f>
        <v>NO</v>
      </c>
      <c r="J432" s="582">
        <f>+VLOOKUP(Tabla3[[#This Row],[PATENTE]],'BASE DATOS'!F:L,7,0)</f>
        <v>2017</v>
      </c>
      <c r="K432" s="593">
        <f>+VLOOKUP(Tabla3[[#This Row],[PATENTE]],'BASE DATOS'!F:M,8,0)</f>
        <v>8</v>
      </c>
      <c r="N432" s="826"/>
      <c r="O432" s="1015"/>
      <c r="P432" s="1015"/>
      <c r="Q432" s="1015"/>
      <c r="R432" s="965" t="str">
        <f t="shared" si="14"/>
        <v>-</v>
      </c>
    </row>
    <row r="433" spans="1:18" hidden="1">
      <c r="A433" s="578" t="s">
        <v>880</v>
      </c>
      <c r="B433" s="584">
        <v>5</v>
      </c>
      <c r="C433" s="588">
        <v>45894</v>
      </c>
      <c r="D433" s="582">
        <f t="shared" si="15"/>
        <v>35</v>
      </c>
      <c r="E433" s="576" t="str">
        <f>+VLOOKUP(Tabla3[[#This Row],[PATENTE]],'BASE DATOS'!F:G,2,0)</f>
        <v xml:space="preserve">LAURIA (SERVAL) - AD575XK </v>
      </c>
      <c r="F433" s="582" t="str">
        <f>+VLOOKUP(Tabla3[[#This Row],[PATENTE]],'BASE DATOS'!F:H,3,0)</f>
        <v>8P</v>
      </c>
      <c r="G433" s="582" t="str">
        <f>+VLOOKUP(Tabla3[[#This Row],[PATENTE]],'BASE DATOS'!F:I,4,0)</f>
        <v>SI</v>
      </c>
      <c r="H433" s="584" t="str">
        <f>+VLOOKUP(Tabla3[[#This Row],[PATENTE]],'BASE DATOS'!F:J,5,0)</f>
        <v>SI</v>
      </c>
      <c r="I433" s="582" t="str">
        <f>+VLOOKUP(Tabla3[[#This Row],[PATENTE]],'BASE DATOS'!F:K,6,0)</f>
        <v>NO</v>
      </c>
      <c r="J433" s="582">
        <f>+VLOOKUP(Tabla3[[#This Row],[PATENTE]],'BASE DATOS'!F:L,7,0)</f>
        <v>2019</v>
      </c>
      <c r="K433" s="593">
        <f>+VLOOKUP(Tabla3[[#This Row],[PATENTE]],'BASE DATOS'!F:M,8,0)</f>
        <v>6</v>
      </c>
      <c r="N433" s="826"/>
      <c r="O433" s="1015"/>
      <c r="P433" s="1015"/>
      <c r="Q433" s="1015"/>
      <c r="R433" s="965" t="str">
        <f t="shared" si="14"/>
        <v>-</v>
      </c>
    </row>
    <row r="434" spans="1:18" hidden="1">
      <c r="A434" s="577" t="s">
        <v>907</v>
      </c>
      <c r="B434" s="582">
        <v>5</v>
      </c>
      <c r="C434" s="588">
        <v>45894</v>
      </c>
      <c r="D434" s="582">
        <f t="shared" ref="D434:D465" si="16">+WEEKNUM(C434)</f>
        <v>35</v>
      </c>
      <c r="E434" s="576" t="str">
        <f>+VLOOKUP(Tabla3[[#This Row],[PATENTE]],'BASE DATOS'!F:G,2,0)</f>
        <v xml:space="preserve">LAURIA (SERVAL) - AH583GW </v>
      </c>
      <c r="F434" s="582" t="str">
        <f>+VLOOKUP(Tabla3[[#This Row],[PATENTE]],'BASE DATOS'!F:H,3,0)</f>
        <v>8P</v>
      </c>
      <c r="G434" s="582" t="str">
        <f>+VLOOKUP(Tabla3[[#This Row],[PATENTE]],'BASE DATOS'!F:I,4,0)</f>
        <v>SI</v>
      </c>
      <c r="H434" s="584" t="str">
        <f>+VLOOKUP(Tabla3[[#This Row],[PATENTE]],'BASE DATOS'!F:J,5,0)</f>
        <v>SI</v>
      </c>
      <c r="I434" s="582" t="str">
        <f>+VLOOKUP(Tabla3[[#This Row],[PATENTE]],'BASE DATOS'!F:K,6,0)</f>
        <v>NO</v>
      </c>
      <c r="J434" s="582">
        <f>+VLOOKUP(Tabla3[[#This Row],[PATENTE]],'BASE DATOS'!F:L,7,0)</f>
        <v>2025</v>
      </c>
      <c r="K434" s="593">
        <f>+VLOOKUP(Tabla3[[#This Row],[PATENTE]],'BASE DATOS'!F:M,8,0)</f>
        <v>0</v>
      </c>
      <c r="N434" s="826"/>
      <c r="O434" s="1015"/>
      <c r="P434" s="1015"/>
      <c r="Q434" s="1015"/>
      <c r="R434" s="965" t="str">
        <f t="shared" si="14"/>
        <v>-</v>
      </c>
    </row>
    <row r="435" spans="1:18" hidden="1">
      <c r="A435" s="578" t="s">
        <v>916</v>
      </c>
      <c r="B435" s="584">
        <v>5</v>
      </c>
      <c r="C435" s="588">
        <v>45894</v>
      </c>
      <c r="D435" s="582">
        <f t="shared" si="16"/>
        <v>35</v>
      </c>
      <c r="E435" s="576" t="str">
        <f>+VLOOKUP(Tabla3[[#This Row],[PATENTE]],'BASE DATOS'!F:G,2,0)</f>
        <v xml:space="preserve">TRANSP MAIDANA CARLOS - EYP088 </v>
      </c>
      <c r="F435" s="582" t="str">
        <f>+VLOOKUP(Tabla3[[#This Row],[PATENTE]],'BASE DATOS'!F:H,3,0)</f>
        <v>6P</v>
      </c>
      <c r="G435" s="582" t="str">
        <f>+VLOOKUP(Tabla3[[#This Row],[PATENTE]],'BASE DATOS'!F:I,4,0)</f>
        <v>SI</v>
      </c>
      <c r="H435" s="584" t="str">
        <f>+VLOOKUP(Tabla3[[#This Row],[PATENTE]],'BASE DATOS'!F:J,5,0)</f>
        <v>SI</v>
      </c>
      <c r="I435" s="582" t="str">
        <f>+VLOOKUP(Tabla3[[#This Row],[PATENTE]],'BASE DATOS'!F:K,6,0)</f>
        <v>NO</v>
      </c>
      <c r="J435" s="582">
        <f>+VLOOKUP(Tabla3[[#This Row],[PATENTE]],'BASE DATOS'!F:L,7,0)</f>
        <v>2006</v>
      </c>
      <c r="K435" s="593">
        <f>+VLOOKUP(Tabla3[[#This Row],[PATENTE]],'BASE DATOS'!F:M,8,0)</f>
        <v>19</v>
      </c>
      <c r="N435" s="826"/>
      <c r="O435" s="1015"/>
      <c r="P435" s="1015"/>
      <c r="Q435" s="1015"/>
      <c r="R435" s="965" t="str">
        <f t="shared" si="14"/>
        <v>-</v>
      </c>
    </row>
    <row r="436" spans="1:18" hidden="1">
      <c r="A436" s="577" t="s">
        <v>892</v>
      </c>
      <c r="B436" s="582">
        <v>5</v>
      </c>
      <c r="C436" s="588">
        <v>45894</v>
      </c>
      <c r="D436" s="582">
        <f t="shared" si="16"/>
        <v>35</v>
      </c>
      <c r="E436" s="576" t="str">
        <f>+VLOOKUP(Tabla3[[#This Row],[PATENTE]],'BASE DATOS'!F:G,2,0)</f>
        <v xml:space="preserve">COLO - FTL525 </v>
      </c>
      <c r="F436" s="582" t="str">
        <f>+VLOOKUP(Tabla3[[#This Row],[PATENTE]],'BASE DATOS'!F:H,3,0)</f>
        <v>1P</v>
      </c>
      <c r="G436" s="582" t="str">
        <f>+VLOOKUP(Tabla3[[#This Row],[PATENTE]],'BASE DATOS'!F:I,4,0)</f>
        <v>NO</v>
      </c>
      <c r="H436" s="584" t="str">
        <f>+VLOOKUP(Tabla3[[#This Row],[PATENTE]],'BASE DATOS'!F:J,5,0)</f>
        <v>SI</v>
      </c>
      <c r="I436" s="582" t="str">
        <f>+VLOOKUP(Tabla3[[#This Row],[PATENTE]],'BASE DATOS'!F:K,6,0)</f>
        <v>NO</v>
      </c>
      <c r="J436" s="582">
        <f>+VLOOKUP(Tabla3[[#This Row],[PATENTE]],'BASE DATOS'!F:L,7,0)</f>
        <v>2008</v>
      </c>
      <c r="K436" s="593">
        <f>+VLOOKUP(Tabla3[[#This Row],[PATENTE]],'BASE DATOS'!F:M,8,0)</f>
        <v>17</v>
      </c>
      <c r="N436" s="826"/>
      <c r="O436" s="1015"/>
      <c r="P436" s="1015"/>
      <c r="Q436" s="1015"/>
      <c r="R436" s="965" t="str">
        <f t="shared" si="14"/>
        <v>-</v>
      </c>
    </row>
    <row r="437" spans="1:18" hidden="1">
      <c r="A437" s="578" t="s">
        <v>891</v>
      </c>
      <c r="B437" s="584">
        <v>5</v>
      </c>
      <c r="C437" s="588">
        <v>45894</v>
      </c>
      <c r="D437" s="582">
        <f t="shared" si="16"/>
        <v>35</v>
      </c>
      <c r="E437" s="576" t="str">
        <f>+VLOOKUP(Tabla3[[#This Row],[PATENTE]],'BASE DATOS'!F:G,2,0)</f>
        <v xml:space="preserve">GANZINI HUGO - HHA085 </v>
      </c>
      <c r="F437" s="582" t="str">
        <f>+VLOOKUP(Tabla3[[#This Row],[PATENTE]],'BASE DATOS'!F:H,3,0)</f>
        <v>2P</v>
      </c>
      <c r="G437" s="582" t="str">
        <f>+VLOOKUP(Tabla3[[#This Row],[PATENTE]],'BASE DATOS'!F:I,4,0)</f>
        <v>SI</v>
      </c>
      <c r="H437" s="584" t="str">
        <f>+VLOOKUP(Tabla3[[#This Row],[PATENTE]],'BASE DATOS'!F:J,5,0)</f>
        <v>SI</v>
      </c>
      <c r="I437" s="582" t="str">
        <f>+VLOOKUP(Tabla3[[#This Row],[PATENTE]],'BASE DATOS'!F:K,6,0)</f>
        <v>NO</v>
      </c>
      <c r="J437" s="582">
        <f>+VLOOKUP(Tabla3[[#This Row],[PATENTE]],'BASE DATOS'!F:L,7,0)</f>
        <v>2008</v>
      </c>
      <c r="K437" s="593">
        <f>+VLOOKUP(Tabla3[[#This Row],[PATENTE]],'BASE DATOS'!F:M,8,0)</f>
        <v>17</v>
      </c>
      <c r="N437" s="826"/>
      <c r="O437" s="1015"/>
      <c r="P437" s="1015"/>
      <c r="Q437" s="1015"/>
      <c r="R437" s="965" t="str">
        <f t="shared" si="14"/>
        <v>-</v>
      </c>
    </row>
    <row r="438" spans="1:18" hidden="1">
      <c r="A438" s="577" t="s">
        <v>885</v>
      </c>
      <c r="B438" s="582">
        <v>5</v>
      </c>
      <c r="C438" s="588">
        <v>45894</v>
      </c>
      <c r="D438" s="582">
        <f t="shared" si="16"/>
        <v>35</v>
      </c>
      <c r="E438" s="576" t="str">
        <f>+VLOOKUP(Tabla3[[#This Row],[PATENTE]],'BASE DATOS'!F:G,2,0)</f>
        <v xml:space="preserve">TRANSP DON NENO - IES288 </v>
      </c>
      <c r="F438" s="582" t="str">
        <f>+VLOOKUP(Tabla3[[#This Row],[PATENTE]],'BASE DATOS'!F:H,3,0)</f>
        <v>2P</v>
      </c>
      <c r="G438" s="582" t="str">
        <f>+VLOOKUP(Tabla3[[#This Row],[PATENTE]],'BASE DATOS'!F:I,4,0)</f>
        <v>SI</v>
      </c>
      <c r="H438" s="584" t="str">
        <f>+VLOOKUP(Tabla3[[#This Row],[PATENTE]],'BASE DATOS'!F:J,5,0)</f>
        <v>SI</v>
      </c>
      <c r="I438" s="582" t="str">
        <f>+VLOOKUP(Tabla3[[#This Row],[PATENTE]],'BASE DATOS'!F:K,6,0)</f>
        <v>NO</v>
      </c>
      <c r="J438" s="582">
        <f>+VLOOKUP(Tabla3[[#This Row],[PATENTE]],'BASE DATOS'!F:L,7,0)</f>
        <v>2009</v>
      </c>
      <c r="K438" s="593">
        <f>+VLOOKUP(Tabla3[[#This Row],[PATENTE]],'BASE DATOS'!F:M,8,0)</f>
        <v>16</v>
      </c>
      <c r="N438" s="826"/>
      <c r="O438" s="1015"/>
      <c r="P438" s="1015"/>
      <c r="Q438" s="1015"/>
      <c r="R438" s="965" t="str">
        <f t="shared" si="14"/>
        <v>-</v>
      </c>
    </row>
    <row r="439" spans="1:18" hidden="1">
      <c r="A439" s="578" t="s">
        <v>901</v>
      </c>
      <c r="B439" s="584">
        <v>5</v>
      </c>
      <c r="C439" s="588">
        <v>45894</v>
      </c>
      <c r="D439" s="582">
        <f t="shared" si="16"/>
        <v>35</v>
      </c>
      <c r="E439" s="576" t="str">
        <f>+VLOOKUP(Tabla3[[#This Row],[PATENTE]],'BASE DATOS'!F:G,2,0)</f>
        <v xml:space="preserve">TRANSPORTE  GRACIELA - IYE750 </v>
      </c>
      <c r="F439" s="582" t="str">
        <f>+VLOOKUP(Tabla3[[#This Row],[PATENTE]],'BASE DATOS'!F:H,3,0)</f>
        <v>1P</v>
      </c>
      <c r="G439" s="582" t="str">
        <f>+VLOOKUP(Tabla3[[#This Row],[PATENTE]],'BASE DATOS'!F:I,4,0)</f>
        <v>NO</v>
      </c>
      <c r="H439" s="584" t="str">
        <f>+VLOOKUP(Tabla3[[#This Row],[PATENTE]],'BASE DATOS'!F:J,5,0)</f>
        <v>SI</v>
      </c>
      <c r="I439" s="582" t="str">
        <f>+VLOOKUP(Tabla3[[#This Row],[PATENTE]],'BASE DATOS'!F:K,6,0)</f>
        <v>NO</v>
      </c>
      <c r="J439" s="582">
        <f>+VLOOKUP(Tabla3[[#This Row],[PATENTE]],'BASE DATOS'!F:L,7,0)</f>
        <v>2009</v>
      </c>
      <c r="K439" s="593">
        <f>+VLOOKUP(Tabla3[[#This Row],[PATENTE]],'BASE DATOS'!F:M,8,0)</f>
        <v>16</v>
      </c>
      <c r="N439" s="826"/>
      <c r="O439" s="1015"/>
      <c r="P439" s="1015"/>
      <c r="Q439" s="1015"/>
      <c r="R439" s="965" t="str">
        <f t="shared" si="14"/>
        <v>-</v>
      </c>
    </row>
    <row r="440" spans="1:18" hidden="1">
      <c r="A440" s="577" t="s">
        <v>913</v>
      </c>
      <c r="B440" s="582">
        <v>5</v>
      </c>
      <c r="C440" s="588">
        <v>45894</v>
      </c>
      <c r="D440" s="582">
        <f t="shared" si="16"/>
        <v>35</v>
      </c>
      <c r="E440" s="576" t="str">
        <f>+VLOOKUP(Tabla3[[#This Row],[PATENTE]],'BASE DATOS'!F:G,2,0)</f>
        <v xml:space="preserve">TRANSP DON NENO - KSI803 </v>
      </c>
      <c r="F440" s="582" t="str">
        <f>+VLOOKUP(Tabla3[[#This Row],[PATENTE]],'BASE DATOS'!F:H,3,0)</f>
        <v>2P</v>
      </c>
      <c r="G440" s="582" t="str">
        <f>+VLOOKUP(Tabla3[[#This Row],[PATENTE]],'BASE DATOS'!F:I,4,0)</f>
        <v>SI</v>
      </c>
      <c r="H440" s="584" t="str">
        <f>+VLOOKUP(Tabla3[[#This Row],[PATENTE]],'BASE DATOS'!F:J,5,0)</f>
        <v>SI</v>
      </c>
      <c r="I440" s="582" t="str">
        <f>+VLOOKUP(Tabla3[[#This Row],[PATENTE]],'BASE DATOS'!F:K,6,0)</f>
        <v>NO</v>
      </c>
      <c r="J440" s="582">
        <f>+VLOOKUP(Tabla3[[#This Row],[PATENTE]],'BASE DATOS'!F:L,7,0)</f>
        <v>2012</v>
      </c>
      <c r="K440" s="593">
        <f>+VLOOKUP(Tabla3[[#This Row],[PATENTE]],'BASE DATOS'!F:M,8,0)</f>
        <v>13</v>
      </c>
      <c r="N440" s="826"/>
      <c r="O440" s="1015"/>
      <c r="P440" s="1015"/>
      <c r="Q440" s="1015"/>
      <c r="R440" s="965" t="str">
        <f t="shared" si="14"/>
        <v>-</v>
      </c>
    </row>
    <row r="441" spans="1:18" hidden="1">
      <c r="A441" s="578" t="s">
        <v>902</v>
      </c>
      <c r="B441" s="584">
        <v>5</v>
      </c>
      <c r="C441" s="588">
        <v>45894</v>
      </c>
      <c r="D441" s="582">
        <f t="shared" si="16"/>
        <v>35</v>
      </c>
      <c r="E441" s="576" t="str">
        <f>+VLOOKUP(Tabla3[[#This Row],[PATENTE]],'BASE DATOS'!F:G,2,0)</f>
        <v xml:space="preserve">GUSTAVO CERQUETTA - KZA644 </v>
      </c>
      <c r="F441" s="582" t="str">
        <f>+VLOOKUP(Tabla3[[#This Row],[PATENTE]],'BASE DATOS'!F:H,3,0)</f>
        <v>2P</v>
      </c>
      <c r="G441" s="582" t="str">
        <f>+VLOOKUP(Tabla3[[#This Row],[PATENTE]],'BASE DATOS'!F:I,4,0)</f>
        <v>NO</v>
      </c>
      <c r="H441" s="584" t="str">
        <f>+VLOOKUP(Tabla3[[#This Row],[PATENTE]],'BASE DATOS'!F:J,5,0)</f>
        <v>SI</v>
      </c>
      <c r="I441" s="582" t="str">
        <f>+VLOOKUP(Tabla3[[#This Row],[PATENTE]],'BASE DATOS'!F:K,6,0)</f>
        <v>NO</v>
      </c>
      <c r="J441" s="582">
        <f>+VLOOKUP(Tabla3[[#This Row],[PATENTE]],'BASE DATOS'!F:L,7,0)</f>
        <v>2012</v>
      </c>
      <c r="K441" s="593">
        <f>+VLOOKUP(Tabla3[[#This Row],[PATENTE]],'BASE DATOS'!F:M,8,0)</f>
        <v>13</v>
      </c>
      <c r="N441" s="826"/>
      <c r="O441" s="1015"/>
      <c r="P441" s="1015"/>
      <c r="Q441" s="1015"/>
      <c r="R441" s="965" t="str">
        <f t="shared" si="14"/>
        <v>-</v>
      </c>
    </row>
    <row r="442" spans="1:18" hidden="1">
      <c r="A442" s="577" t="s">
        <v>920</v>
      </c>
      <c r="B442" s="582">
        <v>5</v>
      </c>
      <c r="C442" s="588">
        <v>45894</v>
      </c>
      <c r="D442" s="582">
        <f t="shared" si="16"/>
        <v>35</v>
      </c>
      <c r="E442" s="576" t="str">
        <f>+VLOOKUP(Tabla3[[#This Row],[PATENTE]],'BASE DATOS'!F:G,2,0)</f>
        <v xml:space="preserve">TRANSP LAGOS - MRV682 </v>
      </c>
      <c r="F442" s="582" t="str">
        <f>+VLOOKUP(Tabla3[[#This Row],[PATENTE]],'BASE DATOS'!F:H,3,0)</f>
        <v>8P</v>
      </c>
      <c r="G442" s="582" t="str">
        <f>+VLOOKUP(Tabla3[[#This Row],[PATENTE]],'BASE DATOS'!F:I,4,0)</f>
        <v>SI</v>
      </c>
      <c r="H442" s="584" t="str">
        <f>+VLOOKUP(Tabla3[[#This Row],[PATENTE]],'BASE DATOS'!F:J,5,0)</f>
        <v>SI</v>
      </c>
      <c r="I442" s="582" t="str">
        <f>+VLOOKUP(Tabla3[[#This Row],[PATENTE]],'BASE DATOS'!F:K,6,0)</f>
        <v>NO</v>
      </c>
      <c r="J442" s="582">
        <f>+VLOOKUP(Tabla3[[#This Row],[PATENTE]],'BASE DATOS'!F:L,7,0)</f>
        <v>2013</v>
      </c>
      <c r="K442" s="593">
        <f>+VLOOKUP(Tabla3[[#This Row],[PATENTE]],'BASE DATOS'!F:M,8,0)</f>
        <v>12</v>
      </c>
      <c r="N442" s="826"/>
      <c r="O442" s="1015"/>
      <c r="P442" s="1015"/>
      <c r="Q442" s="1015"/>
      <c r="R442" s="965" t="str">
        <f t="shared" si="14"/>
        <v>-</v>
      </c>
    </row>
    <row r="443" spans="1:18" hidden="1">
      <c r="A443" s="578" t="s">
        <v>909</v>
      </c>
      <c r="B443" s="584">
        <v>5</v>
      </c>
      <c r="C443" s="588">
        <v>45894</v>
      </c>
      <c r="D443" s="582">
        <f t="shared" si="16"/>
        <v>35</v>
      </c>
      <c r="E443" s="576" t="str">
        <f>+VLOOKUP(Tabla3[[#This Row],[PATENTE]],'BASE DATOS'!F:G,2,0)</f>
        <v xml:space="preserve">CRISTIAN MOYA - NHR055 </v>
      </c>
      <c r="F443" s="582" t="str">
        <f>+VLOOKUP(Tabla3[[#This Row],[PATENTE]],'BASE DATOS'!F:H,3,0)</f>
        <v>6P</v>
      </c>
      <c r="G443" s="582" t="str">
        <f>+VLOOKUP(Tabla3[[#This Row],[PATENTE]],'BASE DATOS'!F:I,4,0)</f>
        <v>SI</v>
      </c>
      <c r="H443" s="584" t="str">
        <f>+VLOOKUP(Tabla3[[#This Row],[PATENTE]],'BASE DATOS'!F:J,5,0)</f>
        <v>SI</v>
      </c>
      <c r="I443" s="582" t="str">
        <f>+VLOOKUP(Tabla3[[#This Row],[PATENTE]],'BASE DATOS'!F:K,6,0)</f>
        <v>NO</v>
      </c>
      <c r="J443" s="582">
        <f>+VLOOKUP(Tabla3[[#This Row],[PATENTE]],'BASE DATOS'!F:L,7,0)</f>
        <v>2013</v>
      </c>
      <c r="K443" s="593">
        <f>+VLOOKUP(Tabla3[[#This Row],[PATENTE]],'BASE DATOS'!F:M,8,0)</f>
        <v>12</v>
      </c>
      <c r="N443" s="826"/>
      <c r="O443" s="1015"/>
      <c r="P443" s="1015"/>
      <c r="Q443" s="1015"/>
      <c r="R443" s="965" t="str">
        <f t="shared" si="14"/>
        <v>-</v>
      </c>
    </row>
    <row r="444" spans="1:18" hidden="1">
      <c r="A444" s="577" t="s">
        <v>879</v>
      </c>
      <c r="B444" s="582">
        <v>5</v>
      </c>
      <c r="C444" s="588">
        <v>45894</v>
      </c>
      <c r="D444" s="582">
        <f t="shared" si="16"/>
        <v>35</v>
      </c>
      <c r="E444" s="576" t="str">
        <f>+VLOOKUP(Tabla3[[#This Row],[PATENTE]],'BASE DATOS'!F:G,2,0)</f>
        <v xml:space="preserve">TRANSP JP - OYP470 </v>
      </c>
      <c r="F444" s="582" t="str">
        <f>+VLOOKUP(Tabla3[[#This Row],[PATENTE]],'BASE DATOS'!F:H,3,0)</f>
        <v>8P</v>
      </c>
      <c r="G444" s="582" t="str">
        <f>+VLOOKUP(Tabla3[[#This Row],[PATENTE]],'BASE DATOS'!F:I,4,0)</f>
        <v>SI</v>
      </c>
      <c r="H444" s="584" t="str">
        <f>+VLOOKUP(Tabla3[[#This Row],[PATENTE]],'BASE DATOS'!F:J,5,0)</f>
        <v>SI</v>
      </c>
      <c r="I444" s="582" t="str">
        <f>+VLOOKUP(Tabla3[[#This Row],[PATENTE]],'BASE DATOS'!F:K,6,0)</f>
        <v>NO</v>
      </c>
      <c r="J444" s="582">
        <f>+VLOOKUP(Tabla3[[#This Row],[PATENTE]],'BASE DATOS'!F:L,7,0)</f>
        <v>2011</v>
      </c>
      <c r="K444" s="593">
        <f>+VLOOKUP(Tabla3[[#This Row],[PATENTE]],'BASE DATOS'!F:M,8,0)</f>
        <v>14</v>
      </c>
      <c r="N444" s="826"/>
      <c r="O444" s="1015"/>
      <c r="P444" s="1015"/>
      <c r="Q444" s="1015"/>
      <c r="R444" s="965" t="str">
        <f t="shared" si="14"/>
        <v>-</v>
      </c>
    </row>
    <row r="445" spans="1:18" hidden="1">
      <c r="A445" s="578" t="s">
        <v>905</v>
      </c>
      <c r="B445" s="584">
        <v>4</v>
      </c>
      <c r="C445" s="588">
        <v>45894</v>
      </c>
      <c r="D445" s="582">
        <f t="shared" si="16"/>
        <v>35</v>
      </c>
      <c r="E445" s="576" t="str">
        <f>+VLOOKUP(Tabla3[[#This Row],[PATENTE]],'BASE DATOS'!F:G,2,0)</f>
        <v xml:space="preserve">J RIMOLDI - AB312SE </v>
      </c>
      <c r="F445" s="582" t="str">
        <f>+VLOOKUP(Tabla3[[#This Row],[PATENTE]],'BASE DATOS'!F:H,3,0)</f>
        <v>8P</v>
      </c>
      <c r="G445" s="582" t="str">
        <f>+VLOOKUP(Tabla3[[#This Row],[PATENTE]],'BASE DATOS'!F:I,4,0)</f>
        <v>SI</v>
      </c>
      <c r="H445" s="584" t="str">
        <f>+VLOOKUP(Tabla3[[#This Row],[PATENTE]],'BASE DATOS'!F:J,5,0)</f>
        <v>SI</v>
      </c>
      <c r="I445" s="582" t="str">
        <f>+VLOOKUP(Tabla3[[#This Row],[PATENTE]],'BASE DATOS'!F:K,6,0)</f>
        <v>NO</v>
      </c>
      <c r="J445" s="582">
        <f>+VLOOKUP(Tabla3[[#This Row],[PATENTE]],'BASE DATOS'!F:L,7,0)</f>
        <v>2017</v>
      </c>
      <c r="K445" s="593">
        <f>+VLOOKUP(Tabla3[[#This Row],[PATENTE]],'BASE DATOS'!F:M,8,0)</f>
        <v>8</v>
      </c>
      <c r="N445" s="826"/>
      <c r="O445" s="1015"/>
      <c r="P445" s="1015"/>
      <c r="Q445" s="1015"/>
      <c r="R445" s="965" t="str">
        <f t="shared" si="14"/>
        <v>-</v>
      </c>
    </row>
    <row r="446" spans="1:18" hidden="1">
      <c r="A446" s="577" t="s">
        <v>906</v>
      </c>
      <c r="B446" s="582">
        <v>4</v>
      </c>
      <c r="C446" s="588">
        <v>45894</v>
      </c>
      <c r="D446" s="582">
        <f t="shared" si="16"/>
        <v>35</v>
      </c>
      <c r="E446" s="576" t="str">
        <f>+VLOOKUP(Tabla3[[#This Row],[PATENTE]],'BASE DATOS'!F:G,2,0)</f>
        <v xml:space="preserve">VAZQUEZ (TRV SRL) - AD472GK </v>
      </c>
      <c r="F446" s="582" t="str">
        <f>+VLOOKUP(Tabla3[[#This Row],[PATENTE]],'BASE DATOS'!F:H,3,0)</f>
        <v>8P</v>
      </c>
      <c r="G446" s="582" t="str">
        <f>+VLOOKUP(Tabla3[[#This Row],[PATENTE]],'BASE DATOS'!F:I,4,0)</f>
        <v>NO</v>
      </c>
      <c r="H446" s="584" t="str">
        <f>+VLOOKUP(Tabla3[[#This Row],[PATENTE]],'BASE DATOS'!F:J,5,0)</f>
        <v>NO</v>
      </c>
      <c r="I446" s="582" t="str">
        <f>+VLOOKUP(Tabla3[[#This Row],[PATENTE]],'BASE DATOS'!F:K,6,0)</f>
        <v>SI</v>
      </c>
      <c r="J446" s="582">
        <f>+VLOOKUP(Tabla3[[#This Row],[PATENTE]],'BASE DATOS'!F:L,7,0)</f>
        <v>2019</v>
      </c>
      <c r="K446" s="593">
        <f>+VLOOKUP(Tabla3[[#This Row],[PATENTE]],'BASE DATOS'!F:M,8,0)</f>
        <v>6</v>
      </c>
      <c r="N446" s="826"/>
      <c r="O446" s="1015"/>
      <c r="P446" s="1015"/>
      <c r="Q446" s="1015"/>
      <c r="R446" s="965" t="str">
        <f t="shared" si="14"/>
        <v>-</v>
      </c>
    </row>
    <row r="447" spans="1:18" hidden="1">
      <c r="A447" s="578" t="s">
        <v>922</v>
      </c>
      <c r="B447" s="584">
        <v>4</v>
      </c>
      <c r="C447" s="588">
        <v>45894</v>
      </c>
      <c r="D447" s="582">
        <f t="shared" si="16"/>
        <v>35</v>
      </c>
      <c r="E447" s="576" t="str">
        <f>+VLOOKUP(Tabla3[[#This Row],[PATENTE]],'BASE DATOS'!F:G,2,0)</f>
        <v>LAURIA (SERVAL) - AF342ZY</v>
      </c>
      <c r="F447" s="582" t="str">
        <f>+VLOOKUP(Tabla3[[#This Row],[PATENTE]],'BASE DATOS'!F:H,3,0)</f>
        <v>8P</v>
      </c>
      <c r="G447" s="582" t="str">
        <f>+VLOOKUP(Tabla3[[#This Row],[PATENTE]],'BASE DATOS'!F:I,4,0)</f>
        <v>SI</v>
      </c>
      <c r="H447" s="584" t="str">
        <f>+VLOOKUP(Tabla3[[#This Row],[PATENTE]],'BASE DATOS'!F:J,5,0)</f>
        <v>SI</v>
      </c>
      <c r="I447" s="582" t="str">
        <f>+VLOOKUP(Tabla3[[#This Row],[PATENTE]],'BASE DATOS'!F:K,6,0)</f>
        <v>NO</v>
      </c>
      <c r="J447" s="582">
        <f>+VLOOKUP(Tabla3[[#This Row],[PATENTE]],'BASE DATOS'!F:L,7,0)</f>
        <v>2022</v>
      </c>
      <c r="K447" s="593">
        <f>+VLOOKUP(Tabla3[[#This Row],[PATENTE]],'BASE DATOS'!F:M,8,0)</f>
        <v>3</v>
      </c>
      <c r="N447" s="826"/>
      <c r="O447" s="1015"/>
      <c r="P447" s="1015"/>
      <c r="Q447" s="1015"/>
      <c r="R447" s="965" t="str">
        <f t="shared" si="14"/>
        <v>-</v>
      </c>
    </row>
    <row r="448" spans="1:18" hidden="1">
      <c r="A448" s="577" t="s">
        <v>895</v>
      </c>
      <c r="B448" s="582">
        <v>4</v>
      </c>
      <c r="C448" s="588">
        <v>45894</v>
      </c>
      <c r="D448" s="582">
        <f t="shared" si="16"/>
        <v>35</v>
      </c>
      <c r="E448" s="576" t="str">
        <f>+VLOOKUP(Tabla3[[#This Row],[PATENTE]],'BASE DATOS'!F:G,2,0)</f>
        <v xml:space="preserve">TRANSPORTE MICAELA </v>
      </c>
      <c r="F448" s="582" t="str">
        <f>+VLOOKUP(Tabla3[[#This Row],[PATENTE]],'BASE DATOS'!F:H,3,0)</f>
        <v>2P</v>
      </c>
      <c r="G448" s="582" t="str">
        <f>+VLOOKUP(Tabla3[[#This Row],[PATENTE]],'BASE DATOS'!F:I,4,0)</f>
        <v>NO</v>
      </c>
      <c r="H448" s="584" t="str">
        <f>+VLOOKUP(Tabla3[[#This Row],[PATENTE]],'BASE DATOS'!F:J,5,0)</f>
        <v>SI</v>
      </c>
      <c r="I448" s="582" t="str">
        <f>+VLOOKUP(Tabla3[[#This Row],[PATENTE]],'BASE DATOS'!F:K,6,0)</f>
        <v>NO</v>
      </c>
      <c r="J448" s="582">
        <f>+VLOOKUP(Tabla3[[#This Row],[PATENTE]],'BASE DATOS'!F:L,7,0)</f>
        <v>2024</v>
      </c>
      <c r="K448" s="593">
        <f>+VLOOKUP(Tabla3[[#This Row],[PATENTE]],'BASE DATOS'!F:M,8,0)</f>
        <v>1</v>
      </c>
      <c r="N448" s="826"/>
      <c r="O448" s="1015"/>
      <c r="P448" s="1015"/>
      <c r="Q448" s="1015"/>
      <c r="R448" s="965" t="str">
        <f t="shared" si="14"/>
        <v>-</v>
      </c>
    </row>
    <row r="449" spans="1:18" hidden="1">
      <c r="A449" s="578" t="s">
        <v>921</v>
      </c>
      <c r="B449" s="584">
        <v>4</v>
      </c>
      <c r="C449" s="588">
        <v>45894</v>
      </c>
      <c r="D449" s="582">
        <f t="shared" si="16"/>
        <v>35</v>
      </c>
      <c r="E449" s="576" t="str">
        <f>+VLOOKUP(Tabla3[[#This Row],[PATENTE]],'BASE DATOS'!F:G,2,0)</f>
        <v xml:space="preserve">MAÑAS NORBERTO - CQQ304 </v>
      </c>
      <c r="F449" s="582" t="str">
        <f>+VLOOKUP(Tabla3[[#This Row],[PATENTE]],'BASE DATOS'!F:H,3,0)</f>
        <v>11P</v>
      </c>
      <c r="G449" s="582" t="str">
        <f>+VLOOKUP(Tabla3[[#This Row],[PATENTE]],'BASE DATOS'!F:I,4,0)</f>
        <v>SI</v>
      </c>
      <c r="H449" s="584" t="str">
        <f>+VLOOKUP(Tabla3[[#This Row],[PATENTE]],'BASE DATOS'!F:J,5,0)</f>
        <v>SI</v>
      </c>
      <c r="I449" s="582" t="str">
        <f>+VLOOKUP(Tabla3[[#This Row],[PATENTE]],'BASE DATOS'!F:K,6,0)</f>
        <v>NO</v>
      </c>
      <c r="J449" s="582">
        <f>+VLOOKUP(Tabla3[[#This Row],[PATENTE]],'BASE DATOS'!F:L,7,0)</f>
        <v>2000</v>
      </c>
      <c r="K449" s="593">
        <f>+VLOOKUP(Tabla3[[#This Row],[PATENTE]],'BASE DATOS'!F:M,8,0)</f>
        <v>25</v>
      </c>
      <c r="N449" s="826"/>
      <c r="O449" s="1015"/>
      <c r="P449" s="1015"/>
      <c r="Q449" s="1015"/>
      <c r="R449" s="965" t="str">
        <f t="shared" si="14"/>
        <v>-</v>
      </c>
    </row>
    <row r="450" spans="1:18" hidden="1">
      <c r="A450" s="577" t="s">
        <v>904</v>
      </c>
      <c r="B450" s="582">
        <v>4</v>
      </c>
      <c r="C450" s="588">
        <v>45894</v>
      </c>
      <c r="D450" s="582">
        <f t="shared" si="16"/>
        <v>35</v>
      </c>
      <c r="E450" s="576" t="str">
        <f>+VLOOKUP(Tabla3[[#This Row],[PATENTE]],'BASE DATOS'!F:G,2,0)</f>
        <v xml:space="preserve">ENRIQUE ROLLINO - DFO656 </v>
      </c>
      <c r="F450" s="582" t="str">
        <f>+VLOOKUP(Tabla3[[#This Row],[PATENTE]],'BASE DATOS'!F:H,3,0)</f>
        <v>6P</v>
      </c>
      <c r="G450" s="582" t="str">
        <f>+VLOOKUP(Tabla3[[#This Row],[PATENTE]],'BASE DATOS'!F:I,4,0)</f>
        <v>SI</v>
      </c>
      <c r="H450" s="584" t="str">
        <f>+VLOOKUP(Tabla3[[#This Row],[PATENTE]],'BASE DATOS'!F:J,5,0)</f>
        <v>SI</v>
      </c>
      <c r="I450" s="582" t="str">
        <f>+VLOOKUP(Tabla3[[#This Row],[PATENTE]],'BASE DATOS'!F:K,6,0)</f>
        <v>NO</v>
      </c>
      <c r="J450" s="582">
        <f>+VLOOKUP(Tabla3[[#This Row],[PATENTE]],'BASE DATOS'!F:L,7,0)</f>
        <v>2000</v>
      </c>
      <c r="K450" s="593">
        <f>+VLOOKUP(Tabla3[[#This Row],[PATENTE]],'BASE DATOS'!F:M,8,0)</f>
        <v>25</v>
      </c>
      <c r="N450" s="826"/>
      <c r="O450" s="1015"/>
      <c r="P450" s="1015"/>
      <c r="Q450" s="1015"/>
      <c r="R450" s="965" t="str">
        <f t="shared" ref="R450:R513" si="17">IFERROR(AVERAGE(O450:Q450),"-")</f>
        <v>-</v>
      </c>
    </row>
    <row r="451" spans="1:18" hidden="1">
      <c r="A451" s="578" t="s">
        <v>925</v>
      </c>
      <c r="B451" s="584">
        <v>4</v>
      </c>
      <c r="C451" s="588">
        <v>45894</v>
      </c>
      <c r="D451" s="582">
        <f t="shared" si="16"/>
        <v>35</v>
      </c>
      <c r="E451" s="576" t="str">
        <f>+VLOOKUP(Tabla3[[#This Row],[PATENTE]],'BASE DATOS'!F:G,2,0)</f>
        <v xml:space="preserve">TRANSP MAIDANA FACUNDO - KOW745 </v>
      </c>
      <c r="F451" s="582" t="str">
        <f>+VLOOKUP(Tabla3[[#This Row],[PATENTE]],'BASE DATOS'!F:H,3,0)</f>
        <v>8P</v>
      </c>
      <c r="G451" s="582" t="str">
        <f>+VLOOKUP(Tabla3[[#This Row],[PATENTE]],'BASE DATOS'!F:I,4,0)</f>
        <v>SI</v>
      </c>
      <c r="H451" s="584" t="str">
        <f>+VLOOKUP(Tabla3[[#This Row],[PATENTE]],'BASE DATOS'!F:J,5,0)</f>
        <v>SI</v>
      </c>
      <c r="I451" s="582" t="str">
        <f>+VLOOKUP(Tabla3[[#This Row],[PATENTE]],'BASE DATOS'!F:K,6,0)</f>
        <v>NO</v>
      </c>
      <c r="J451" s="582">
        <f>+VLOOKUP(Tabla3[[#This Row],[PATENTE]],'BASE DATOS'!F:L,7,0)</f>
        <v>2012</v>
      </c>
      <c r="K451" s="593">
        <f>+VLOOKUP(Tabla3[[#This Row],[PATENTE]],'BASE DATOS'!F:M,8,0)</f>
        <v>13</v>
      </c>
      <c r="N451" s="826"/>
      <c r="O451" s="1015"/>
      <c r="P451" s="1015"/>
      <c r="Q451" s="1015"/>
      <c r="R451" s="965" t="str">
        <f t="shared" si="17"/>
        <v>-</v>
      </c>
    </row>
    <row r="452" spans="1:18" hidden="1">
      <c r="A452" s="577" t="s">
        <v>897</v>
      </c>
      <c r="B452" s="582">
        <v>4</v>
      </c>
      <c r="C452" s="588">
        <v>45894</v>
      </c>
      <c r="D452" s="582">
        <f t="shared" si="16"/>
        <v>35</v>
      </c>
      <c r="E452" s="576" t="str">
        <f>+VLOOKUP(Tabla3[[#This Row],[PATENTE]],'BASE DATOS'!F:G,2,0)</f>
        <v xml:space="preserve">TRANSP CLAUDIO BUSTOS - LSG801 </v>
      </c>
      <c r="F452" s="582" t="str">
        <f>+VLOOKUP(Tabla3[[#This Row],[PATENTE]],'BASE DATOS'!F:H,3,0)</f>
        <v>2P</v>
      </c>
      <c r="G452" s="582" t="str">
        <f>+VLOOKUP(Tabla3[[#This Row],[PATENTE]],'BASE DATOS'!F:I,4,0)</f>
        <v>SI</v>
      </c>
      <c r="H452" s="584" t="str">
        <f>+VLOOKUP(Tabla3[[#This Row],[PATENTE]],'BASE DATOS'!F:J,5,0)</f>
        <v>SI</v>
      </c>
      <c r="I452" s="582" t="str">
        <f>+VLOOKUP(Tabla3[[#This Row],[PATENTE]],'BASE DATOS'!F:K,6,0)</f>
        <v>NO</v>
      </c>
      <c r="J452" s="582">
        <f>+VLOOKUP(Tabla3[[#This Row],[PATENTE]],'BASE DATOS'!F:L,7,0)</f>
        <v>2013</v>
      </c>
      <c r="K452" s="593">
        <f>+VLOOKUP(Tabla3[[#This Row],[PATENTE]],'BASE DATOS'!F:M,8,0)</f>
        <v>12</v>
      </c>
      <c r="N452" s="826"/>
      <c r="O452" s="1015"/>
      <c r="P452" s="1015"/>
      <c r="Q452" s="1015"/>
      <c r="R452" s="965" t="str">
        <f t="shared" si="17"/>
        <v>-</v>
      </c>
    </row>
    <row r="453" spans="1:18" hidden="1">
      <c r="A453" s="578" t="s">
        <v>886</v>
      </c>
      <c r="B453" s="584">
        <v>4</v>
      </c>
      <c r="C453" s="588">
        <v>45894</v>
      </c>
      <c r="D453" s="582">
        <f t="shared" si="16"/>
        <v>35</v>
      </c>
      <c r="E453" s="576" t="str">
        <f>+VLOOKUP(Tabla3[[#This Row],[PATENTE]],'BASE DATOS'!F:G,2,0)</f>
        <v xml:space="preserve">TRANSP LAGOS - NOO925 </v>
      </c>
      <c r="F453" s="582" t="str">
        <f>+VLOOKUP(Tabla3[[#This Row],[PATENTE]],'BASE DATOS'!F:H,3,0)</f>
        <v>8P</v>
      </c>
      <c r="G453" s="582" t="str">
        <f>+VLOOKUP(Tabla3[[#This Row],[PATENTE]],'BASE DATOS'!F:I,4,0)</f>
        <v>SI</v>
      </c>
      <c r="H453" s="584" t="str">
        <f>+VLOOKUP(Tabla3[[#This Row],[PATENTE]],'BASE DATOS'!F:J,5,0)</f>
        <v>SI</v>
      </c>
      <c r="I453" s="582" t="str">
        <f>+VLOOKUP(Tabla3[[#This Row],[PATENTE]],'BASE DATOS'!F:K,6,0)</f>
        <v>NO</v>
      </c>
      <c r="J453" s="582">
        <f>+VLOOKUP(Tabla3[[#This Row],[PATENTE]],'BASE DATOS'!F:L,7,0)</f>
        <v>2014</v>
      </c>
      <c r="K453" s="593">
        <f>+VLOOKUP(Tabla3[[#This Row],[PATENTE]],'BASE DATOS'!F:M,8,0)</f>
        <v>11</v>
      </c>
      <c r="N453" s="826"/>
      <c r="O453" s="1015"/>
      <c r="P453" s="1015"/>
      <c r="Q453" s="1015"/>
      <c r="R453" s="965" t="str">
        <f t="shared" si="17"/>
        <v>-</v>
      </c>
    </row>
    <row r="454" spans="1:18" hidden="1">
      <c r="A454" s="577" t="s">
        <v>883</v>
      </c>
      <c r="B454" s="582">
        <v>3</v>
      </c>
      <c r="C454" s="588">
        <v>45894</v>
      </c>
      <c r="D454" s="582">
        <f t="shared" si="16"/>
        <v>35</v>
      </c>
      <c r="E454" s="576" t="str">
        <f>+VLOOKUP(Tabla3[[#This Row],[PATENTE]],'BASE DATOS'!F:G,2,0)</f>
        <v xml:space="preserve">PACHECO JULIO - ACI503 </v>
      </c>
      <c r="F454" s="582" t="str">
        <f>+VLOOKUP(Tabla3[[#This Row],[PATENTE]],'BASE DATOS'!F:H,3,0)</f>
        <v>12P</v>
      </c>
      <c r="G454" s="582" t="str">
        <f>+VLOOKUP(Tabla3[[#This Row],[PATENTE]],'BASE DATOS'!F:I,4,0)</f>
        <v>NO</v>
      </c>
      <c r="H454" s="584" t="str">
        <f>+VLOOKUP(Tabla3[[#This Row],[PATENTE]],'BASE DATOS'!F:J,5,0)</f>
        <v>SI</v>
      </c>
      <c r="I454" s="582" t="str">
        <f>+VLOOKUP(Tabla3[[#This Row],[PATENTE]],'BASE DATOS'!F:K,6,0)</f>
        <v>SI</v>
      </c>
      <c r="J454" s="582">
        <f>+VLOOKUP(Tabla3[[#This Row],[PATENTE]],'BASE DATOS'!F:L,7,0)</f>
        <v>2000</v>
      </c>
      <c r="K454" s="593">
        <f>+VLOOKUP(Tabla3[[#This Row],[PATENTE]],'BASE DATOS'!F:M,8,0)</f>
        <v>25</v>
      </c>
      <c r="N454" s="826"/>
      <c r="O454" s="1015"/>
      <c r="P454" s="1015"/>
      <c r="Q454" s="1015"/>
      <c r="R454" s="965" t="str">
        <f t="shared" si="17"/>
        <v>-</v>
      </c>
    </row>
    <row r="455" spans="1:18" hidden="1">
      <c r="A455" s="578" t="s">
        <v>887</v>
      </c>
      <c r="B455" s="584">
        <v>3</v>
      </c>
      <c r="C455" s="588">
        <v>45894</v>
      </c>
      <c r="D455" s="582">
        <f t="shared" si="16"/>
        <v>35</v>
      </c>
      <c r="E455" s="576" t="str">
        <f>+VLOOKUP(Tabla3[[#This Row],[PATENTE]],'BASE DATOS'!F:G,2,0)</f>
        <v>ENRIQUE ROLLINO - BXB394</v>
      </c>
      <c r="F455" s="582" t="str">
        <f>+VLOOKUP(Tabla3[[#This Row],[PATENTE]],'BASE DATOS'!F:H,3,0)</f>
        <v>2P</v>
      </c>
      <c r="G455" s="582" t="str">
        <f>+VLOOKUP(Tabla3[[#This Row],[PATENTE]],'BASE DATOS'!F:I,4,0)</f>
        <v>SI</v>
      </c>
      <c r="H455" s="584" t="str">
        <f>+VLOOKUP(Tabla3[[#This Row],[PATENTE]],'BASE DATOS'!F:J,5,0)</f>
        <v>SI</v>
      </c>
      <c r="I455" s="582" t="str">
        <f>+VLOOKUP(Tabla3[[#This Row],[PATENTE]],'BASE DATOS'!F:K,6,0)</f>
        <v>NO</v>
      </c>
      <c r="J455" s="582">
        <f>+VLOOKUP(Tabla3[[#This Row],[PATENTE]],'BASE DATOS'!F:L,7,0)</f>
        <v>1998</v>
      </c>
      <c r="K455" s="593">
        <f>+VLOOKUP(Tabla3[[#This Row],[PATENTE]],'BASE DATOS'!F:M,8,0)</f>
        <v>27</v>
      </c>
      <c r="N455" s="826"/>
      <c r="O455" s="1015"/>
      <c r="P455" s="1015"/>
      <c r="Q455" s="1015"/>
      <c r="R455" s="965" t="str">
        <f t="shared" si="17"/>
        <v>-</v>
      </c>
    </row>
    <row r="456" spans="1:18" hidden="1">
      <c r="A456" s="577" t="s">
        <v>893</v>
      </c>
      <c r="B456" s="582">
        <v>3</v>
      </c>
      <c r="C456" s="588">
        <v>45894</v>
      </c>
      <c r="D456" s="582">
        <f t="shared" si="16"/>
        <v>35</v>
      </c>
      <c r="E456" s="576" t="str">
        <f>+VLOOKUP(Tabla3[[#This Row],[PATENTE]],'BASE DATOS'!F:G,2,0)</f>
        <v xml:space="preserve">GANZINI HUGO - CFF038 </v>
      </c>
      <c r="F456" s="582" t="str">
        <f>+VLOOKUP(Tabla3[[#This Row],[PATENTE]],'BASE DATOS'!F:H,3,0)</f>
        <v>2P</v>
      </c>
      <c r="G456" s="582" t="str">
        <f>+VLOOKUP(Tabla3[[#This Row],[PATENTE]],'BASE DATOS'!F:I,4,0)</f>
        <v>SI</v>
      </c>
      <c r="H456" s="584" t="str">
        <f>+VLOOKUP(Tabla3[[#This Row],[PATENTE]],'BASE DATOS'!F:J,5,0)</f>
        <v>SI</v>
      </c>
      <c r="I456" s="582" t="str">
        <f>+VLOOKUP(Tabla3[[#This Row],[PATENTE]],'BASE DATOS'!F:K,6,0)</f>
        <v>NO</v>
      </c>
      <c r="J456" s="582">
        <f>+VLOOKUP(Tabla3[[#This Row],[PATENTE]],'BASE DATOS'!F:L,7,0)</f>
        <v>1999</v>
      </c>
      <c r="K456" s="593">
        <f>+VLOOKUP(Tabla3[[#This Row],[PATENTE]],'BASE DATOS'!F:M,8,0)</f>
        <v>26</v>
      </c>
      <c r="N456" s="826"/>
      <c r="O456" s="1015"/>
      <c r="P456" s="1015"/>
      <c r="Q456" s="1015"/>
      <c r="R456" s="965" t="str">
        <f t="shared" si="17"/>
        <v>-</v>
      </c>
    </row>
    <row r="457" spans="1:18" hidden="1">
      <c r="A457" s="578" t="s">
        <v>926</v>
      </c>
      <c r="B457" s="584">
        <v>3</v>
      </c>
      <c r="C457" s="588">
        <v>45894</v>
      </c>
      <c r="D457" s="582">
        <f t="shared" si="16"/>
        <v>35</v>
      </c>
      <c r="E457" s="576" t="str">
        <f>+VLOOKUP(Tabla3[[#This Row],[PATENTE]],'BASE DATOS'!F:G,2,0)</f>
        <v xml:space="preserve">TRANSPORTE GENA GAIA - DUF042 </v>
      </c>
      <c r="F457" s="582" t="str">
        <f>+VLOOKUP(Tabla3[[#This Row],[PATENTE]],'BASE DATOS'!F:H,3,0)</f>
        <v>24P</v>
      </c>
      <c r="G457" s="582" t="str">
        <f>+VLOOKUP(Tabla3[[#This Row],[PATENTE]],'BASE DATOS'!F:I,4,0)</f>
        <v>Gestya</v>
      </c>
      <c r="H457" s="584" t="str">
        <f>+VLOOKUP(Tabla3[[#This Row],[PATENTE]],'BASE DATOS'!F:J,5,0)</f>
        <v xml:space="preserve">NO </v>
      </c>
      <c r="I457" s="582" t="str">
        <f>+VLOOKUP(Tabla3[[#This Row],[PATENTE]],'BASE DATOS'!F:K,6,0)</f>
        <v>NO</v>
      </c>
      <c r="J457" s="582">
        <f>+VLOOKUP(Tabla3[[#This Row],[PATENTE]],'BASE DATOS'!F:L,7,0)</f>
        <v>2001</v>
      </c>
      <c r="K457" s="593">
        <f>+VLOOKUP(Tabla3[[#This Row],[PATENTE]],'BASE DATOS'!F:M,8,0)</f>
        <v>24</v>
      </c>
      <c r="N457" s="826"/>
      <c r="O457" s="1015"/>
      <c r="P457" s="1015"/>
      <c r="Q457" s="1015"/>
      <c r="R457" s="965" t="str">
        <f t="shared" si="17"/>
        <v>-</v>
      </c>
    </row>
    <row r="458" spans="1:18" hidden="1">
      <c r="A458" s="577" t="s">
        <v>896</v>
      </c>
      <c r="B458" s="582">
        <v>3</v>
      </c>
      <c r="C458" s="588">
        <v>45894</v>
      </c>
      <c r="D458" s="582">
        <f t="shared" si="16"/>
        <v>35</v>
      </c>
      <c r="E458" s="576" t="str">
        <f>+VLOOKUP(Tabla3[[#This Row],[PATENTE]],'BASE DATOS'!F:G,2,0)</f>
        <v xml:space="preserve">TRANSP MAVIR - RHQ609 </v>
      </c>
      <c r="F458" s="582" t="str">
        <f>+VLOOKUP(Tabla3[[#This Row],[PATENTE]],'BASE DATOS'!F:H,3,0)</f>
        <v>10P</v>
      </c>
      <c r="G458" s="582" t="str">
        <f>+VLOOKUP(Tabla3[[#This Row],[PATENTE]],'BASE DATOS'!F:I,4,0)</f>
        <v>NO</v>
      </c>
      <c r="H458" s="584" t="str">
        <f>+VLOOKUP(Tabla3[[#This Row],[PATENTE]],'BASE DATOS'!F:J,5,0)</f>
        <v xml:space="preserve">NO </v>
      </c>
      <c r="I458" s="582" t="str">
        <f>+VLOOKUP(Tabla3[[#This Row],[PATENTE]],'BASE DATOS'!F:K,6,0)</f>
        <v>NO</v>
      </c>
      <c r="J458" s="582">
        <f>+VLOOKUP(Tabla3[[#This Row],[PATENTE]],'BASE DATOS'!F:L,7,0)</f>
        <v>1995</v>
      </c>
      <c r="K458" s="593">
        <v>0</v>
      </c>
      <c r="N458" s="826"/>
      <c r="O458" s="1015"/>
      <c r="P458" s="1015"/>
      <c r="Q458" s="1015"/>
      <c r="R458" s="965" t="str">
        <f t="shared" si="17"/>
        <v>-</v>
      </c>
    </row>
    <row r="459" spans="1:18" hidden="1">
      <c r="A459" s="578" t="s">
        <v>912</v>
      </c>
      <c r="B459" s="584">
        <v>2</v>
      </c>
      <c r="C459" s="588">
        <v>45894</v>
      </c>
      <c r="D459" s="582">
        <f t="shared" si="16"/>
        <v>35</v>
      </c>
      <c r="E459" s="576" t="str">
        <f>+VLOOKUP(Tabla3[[#This Row],[PATENTE]],'BASE DATOS'!F:G,2,0)</f>
        <v xml:space="preserve">PACHECO JULIO - AC028WN </v>
      </c>
      <c r="F459" s="582" t="str">
        <f>+VLOOKUP(Tabla3[[#This Row],[PATENTE]],'BASE DATOS'!F:H,3,0)</f>
        <v>8P</v>
      </c>
      <c r="G459" s="582" t="str">
        <f>+VLOOKUP(Tabla3[[#This Row],[PATENTE]],'BASE DATOS'!F:I,4,0)</f>
        <v>SI</v>
      </c>
      <c r="H459" s="584" t="str">
        <f>+VLOOKUP(Tabla3[[#This Row],[PATENTE]],'BASE DATOS'!F:J,5,0)</f>
        <v>SI</v>
      </c>
      <c r="I459" s="582" t="str">
        <f>+VLOOKUP(Tabla3[[#This Row],[PATENTE]],'BASE DATOS'!F:K,6,0)</f>
        <v>SI</v>
      </c>
      <c r="J459" s="582">
        <f>+VLOOKUP(Tabla3[[#This Row],[PATENTE]],'BASE DATOS'!F:L,7,0)</f>
        <v>2017</v>
      </c>
      <c r="K459" s="593">
        <f>+VLOOKUP(Tabla3[[#This Row],[PATENTE]],'BASE DATOS'!F:M,8,0)</f>
        <v>8</v>
      </c>
      <c r="N459" s="826"/>
      <c r="O459" s="1015"/>
      <c r="P459" s="1015"/>
      <c r="Q459" s="1015"/>
      <c r="R459" s="965" t="str">
        <f t="shared" si="17"/>
        <v>-</v>
      </c>
    </row>
    <row r="460" spans="1:18" hidden="1">
      <c r="A460" s="577" t="s">
        <v>1154</v>
      </c>
      <c r="B460" s="582">
        <v>2</v>
      </c>
      <c r="C460" s="588">
        <v>45894</v>
      </c>
      <c r="D460" s="582">
        <f t="shared" si="16"/>
        <v>35</v>
      </c>
      <c r="E460" s="576" t="str">
        <f>+VLOOKUP(Tabla3[[#This Row],[PATENTE]],'BASE DATOS'!F:G,2,0)</f>
        <v>DON NENO - 2P</v>
      </c>
      <c r="F460" s="582" t="str">
        <f>+VLOOKUP(Tabla3[[#This Row],[PATENTE]],'BASE DATOS'!F:H,3,0)</f>
        <v>8P</v>
      </c>
      <c r="G460" s="582" t="str">
        <f>+VLOOKUP(Tabla3[[#This Row],[PATENTE]],'BASE DATOS'!F:I,4,0)</f>
        <v>SI</v>
      </c>
      <c r="H460" s="584" t="str">
        <f>+VLOOKUP(Tabla3[[#This Row],[PATENTE]],'BASE DATOS'!F:J,5,0)</f>
        <v xml:space="preserve">NO </v>
      </c>
      <c r="I460" s="582" t="str">
        <f>+VLOOKUP(Tabla3[[#This Row],[PATENTE]],'BASE DATOS'!F:K,6,0)</f>
        <v>NO</v>
      </c>
      <c r="J460" s="582">
        <f>+VLOOKUP(Tabla3[[#This Row],[PATENTE]],'BASE DATOS'!F:L,7,0)</f>
        <v>2008</v>
      </c>
      <c r="K460" s="593">
        <f>+VLOOKUP(Tabla3[[#This Row],[PATENTE]],'BASE DATOS'!F:M,8,0)</f>
        <v>17</v>
      </c>
      <c r="N460" s="826"/>
      <c r="O460" s="1015"/>
      <c r="P460" s="1015"/>
      <c r="Q460" s="1015"/>
      <c r="R460" s="965" t="str">
        <f t="shared" si="17"/>
        <v>-</v>
      </c>
    </row>
    <row r="461" spans="1:18" hidden="1">
      <c r="A461" s="578" t="s">
        <v>933</v>
      </c>
      <c r="B461" s="584">
        <v>2</v>
      </c>
      <c r="C461" s="588">
        <v>45894</v>
      </c>
      <c r="D461" s="582">
        <f t="shared" si="16"/>
        <v>35</v>
      </c>
      <c r="E461" s="576" t="str">
        <f>+VLOOKUP(Tabla3[[#This Row],[PATENTE]],'BASE DATOS'!F:G,2,0)</f>
        <v xml:space="preserve">TRANSPORTE GENA GAIA - IKE806 </v>
      </c>
      <c r="F461" s="582" t="str">
        <f>+VLOOKUP(Tabla3[[#This Row],[PATENTE]],'BASE DATOS'!F:H,3,0)</f>
        <v>24P</v>
      </c>
      <c r="G461" s="582" t="str">
        <f>+VLOOKUP(Tabla3[[#This Row],[PATENTE]],'BASE DATOS'!F:I,4,0)</f>
        <v>Gestya</v>
      </c>
      <c r="H461" s="584" t="str">
        <f>+VLOOKUP(Tabla3[[#This Row],[PATENTE]],'BASE DATOS'!F:J,5,0)</f>
        <v xml:space="preserve">NO </v>
      </c>
      <c r="I461" s="582" t="str">
        <f>+VLOOKUP(Tabla3[[#This Row],[PATENTE]],'BASE DATOS'!F:K,6,0)</f>
        <v>NO</v>
      </c>
      <c r="J461" s="582">
        <f>+VLOOKUP(Tabla3[[#This Row],[PATENTE]],'BASE DATOS'!F:L,7,0)</f>
        <v>2010</v>
      </c>
      <c r="K461" s="593">
        <f>+VLOOKUP(Tabla3[[#This Row],[PATENTE]],'BASE DATOS'!F:M,8,0)</f>
        <v>15</v>
      </c>
      <c r="N461" s="826"/>
      <c r="O461" s="1015"/>
      <c r="P461" s="1015"/>
      <c r="Q461" s="1015"/>
      <c r="R461" s="965" t="str">
        <f t="shared" si="17"/>
        <v>-</v>
      </c>
    </row>
    <row r="462" spans="1:18" hidden="1">
      <c r="A462" s="577" t="s">
        <v>882</v>
      </c>
      <c r="B462" s="582">
        <v>2</v>
      </c>
      <c r="C462" s="588">
        <v>45894</v>
      </c>
      <c r="D462" s="582">
        <f t="shared" si="16"/>
        <v>35</v>
      </c>
      <c r="E462" s="576" t="str">
        <f>+VLOOKUP(Tabla3[[#This Row],[PATENTE]],'BASE DATOS'!F:G,2,0)</f>
        <v xml:space="preserve">MAÑAS - JWN279 </v>
      </c>
      <c r="F462" s="582" t="str">
        <f>+VLOOKUP(Tabla3[[#This Row],[PATENTE]],'BASE DATOS'!F:H,3,0)</f>
        <v>7P</v>
      </c>
      <c r="G462" s="582" t="str">
        <f>+VLOOKUP(Tabla3[[#This Row],[PATENTE]],'BASE DATOS'!F:I,4,0)</f>
        <v>SI</v>
      </c>
      <c r="H462" s="584" t="str">
        <f>+VLOOKUP(Tabla3[[#This Row],[PATENTE]],'BASE DATOS'!F:J,5,0)</f>
        <v>SI</v>
      </c>
      <c r="I462" s="582" t="str">
        <f>+VLOOKUP(Tabla3[[#This Row],[PATENTE]],'BASE DATOS'!F:K,6,0)</f>
        <v>NO</v>
      </c>
      <c r="J462" s="582">
        <f>+VLOOKUP(Tabla3[[#This Row],[PATENTE]],'BASE DATOS'!F:L,7,0)</f>
        <v>2011</v>
      </c>
      <c r="K462" s="593">
        <f>+VLOOKUP(Tabla3[[#This Row],[PATENTE]],'BASE DATOS'!F:M,8,0)</f>
        <v>14</v>
      </c>
      <c r="N462" s="826"/>
      <c r="O462" s="1015"/>
      <c r="P462" s="1015"/>
      <c r="Q462" s="1015"/>
      <c r="R462" s="965" t="str">
        <f t="shared" si="17"/>
        <v>-</v>
      </c>
    </row>
    <row r="463" spans="1:18" hidden="1">
      <c r="A463" s="578" t="s">
        <v>929</v>
      </c>
      <c r="B463" s="584">
        <v>1</v>
      </c>
      <c r="C463" s="588">
        <v>45894</v>
      </c>
      <c r="D463" s="582">
        <f t="shared" si="16"/>
        <v>35</v>
      </c>
      <c r="E463" s="576" t="str">
        <f>+VLOOKUP(Tabla3[[#This Row],[PATENTE]],'BASE DATOS'!F:G,2,0)</f>
        <v xml:space="preserve">PRONTOMAR - BAI674 </v>
      </c>
      <c r="F463" s="582" t="str">
        <f>+VLOOKUP(Tabla3[[#This Row],[PATENTE]],'BASE DATOS'!F:H,3,0)</f>
        <v>14P</v>
      </c>
      <c r="G463" s="582" t="str">
        <f>+VLOOKUP(Tabla3[[#This Row],[PATENTE]],'BASE DATOS'!F:I,4,0)</f>
        <v>NO</v>
      </c>
      <c r="H463" s="584" t="str">
        <f>+VLOOKUP(Tabla3[[#This Row],[PATENTE]],'BASE DATOS'!F:J,5,0)</f>
        <v xml:space="preserve">NO </v>
      </c>
      <c r="I463" s="582" t="str">
        <f>+VLOOKUP(Tabla3[[#This Row],[PATENTE]],'BASE DATOS'!F:K,6,0)</f>
        <v>NO</v>
      </c>
      <c r="J463" s="582">
        <f>+VLOOKUP(Tabla3[[#This Row],[PATENTE]],'BASE DATOS'!F:L,7,0)</f>
        <v>1996</v>
      </c>
      <c r="K463" s="593">
        <f>+VLOOKUP(Tabla3[[#This Row],[PATENTE]],'BASE DATOS'!F:M,8,0)</f>
        <v>29</v>
      </c>
      <c r="N463" s="826"/>
      <c r="O463" s="1015"/>
      <c r="P463" s="1015"/>
      <c r="Q463" s="1015"/>
      <c r="R463" s="965" t="str">
        <f t="shared" si="17"/>
        <v>-</v>
      </c>
    </row>
    <row r="464" spans="1:18" hidden="1">
      <c r="A464" s="577" t="s">
        <v>1128</v>
      </c>
      <c r="B464" s="582">
        <v>1</v>
      </c>
      <c r="C464" s="588">
        <v>45894</v>
      </c>
      <c r="D464" s="582">
        <f t="shared" si="16"/>
        <v>35</v>
      </c>
      <c r="E464" s="576" t="str">
        <f>+VLOOKUP(Tabla3[[#This Row],[PATENTE]],'BASE DATOS'!F:G,2,0)</f>
        <v xml:space="preserve">PRONTOMAR - EDW922 </v>
      </c>
      <c r="F464" s="582" t="str">
        <f>+VLOOKUP(Tabla3[[#This Row],[PATENTE]],'BASE DATOS'!F:H,3,0)</f>
        <v>14P</v>
      </c>
      <c r="G464" s="582" t="str">
        <f>+VLOOKUP(Tabla3[[#This Row],[PATENTE]],'BASE DATOS'!F:I,4,0)</f>
        <v>NO</v>
      </c>
      <c r="H464" s="584" t="str">
        <f>+VLOOKUP(Tabla3[[#This Row],[PATENTE]],'BASE DATOS'!F:J,5,0)</f>
        <v xml:space="preserve">NO </v>
      </c>
      <c r="I464" s="582" t="str">
        <f>+VLOOKUP(Tabla3[[#This Row],[PATENTE]],'BASE DATOS'!F:K,6,0)</f>
        <v>NO</v>
      </c>
      <c r="J464" s="582">
        <f>+VLOOKUP(Tabla3[[#This Row],[PATENTE]],'BASE DATOS'!F:L,7,0)</f>
        <v>2003</v>
      </c>
      <c r="K464" s="593">
        <f>+VLOOKUP(Tabla3[[#This Row],[PATENTE]],'BASE DATOS'!F:M,8,0)</f>
        <v>22</v>
      </c>
      <c r="N464" s="826"/>
      <c r="O464" s="1015"/>
      <c r="P464" s="1015"/>
      <c r="Q464" s="1015"/>
      <c r="R464" s="965" t="str">
        <f t="shared" si="17"/>
        <v>-</v>
      </c>
    </row>
    <row r="465" spans="1:18" hidden="1">
      <c r="A465" s="578" t="s">
        <v>930</v>
      </c>
      <c r="B465" s="584">
        <v>1</v>
      </c>
      <c r="C465" s="588">
        <v>45894</v>
      </c>
      <c r="D465" s="582">
        <f t="shared" si="16"/>
        <v>35</v>
      </c>
      <c r="E465" s="576" t="str">
        <f>+VLOOKUP(Tabla3[[#This Row],[PATENTE]],'BASE DATOS'!F:G,2,0)</f>
        <v xml:space="preserve">GANZINI HUGO - JJF375 </v>
      </c>
      <c r="F465" s="582" t="str">
        <f>+VLOOKUP(Tabla3[[#This Row],[PATENTE]],'BASE DATOS'!F:H,3,0)</f>
        <v>14P</v>
      </c>
      <c r="G465" s="582" t="str">
        <f>+VLOOKUP(Tabla3[[#This Row],[PATENTE]],'BASE DATOS'!F:I,4,0)</f>
        <v>SI</v>
      </c>
      <c r="H465" s="584" t="str">
        <f>+VLOOKUP(Tabla3[[#This Row],[PATENTE]],'BASE DATOS'!F:J,5,0)</f>
        <v xml:space="preserve">NO </v>
      </c>
      <c r="I465" s="582" t="str">
        <f>+VLOOKUP(Tabla3[[#This Row],[PATENTE]],'BASE DATOS'!F:K,6,0)</f>
        <v>NO</v>
      </c>
      <c r="J465" s="582">
        <f>+VLOOKUP(Tabla3[[#This Row],[PATENTE]],'BASE DATOS'!F:L,7,0)</f>
        <v>2011</v>
      </c>
      <c r="K465" s="593">
        <f>+VLOOKUP(Tabla3[[#This Row],[PATENTE]],'BASE DATOS'!F:M,8,0)</f>
        <v>14</v>
      </c>
      <c r="N465" s="826"/>
      <c r="O465" s="1015"/>
      <c r="P465" s="1015"/>
      <c r="Q465" s="1015"/>
      <c r="R465" s="965" t="str">
        <f t="shared" si="17"/>
        <v>-</v>
      </c>
    </row>
    <row r="466" spans="1:18" hidden="1">
      <c r="A466" s="577" t="s">
        <v>939</v>
      </c>
      <c r="B466" s="582">
        <v>1</v>
      </c>
      <c r="C466" s="588">
        <v>45894</v>
      </c>
      <c r="D466" s="582">
        <f t="shared" ref="D466:D497" si="18">+WEEKNUM(C466)</f>
        <v>35</v>
      </c>
      <c r="E466" s="576" t="str">
        <f>+VLOOKUP(Tabla3[[#This Row],[PATENTE]],'BASE DATOS'!F:G,2,0)</f>
        <v>TRANSP CLAUDIO BUSTOS - JOQ178</v>
      </c>
      <c r="F466" s="582" t="str">
        <f>+VLOOKUP(Tabla3[[#This Row],[PATENTE]],'BASE DATOS'!F:H,3,0)</f>
        <v>1P</v>
      </c>
      <c r="G466" s="582" t="str">
        <f>+VLOOKUP(Tabla3[[#This Row],[PATENTE]],'BASE DATOS'!F:I,4,0)</f>
        <v>NO</v>
      </c>
      <c r="H466" s="584" t="str">
        <f>+VLOOKUP(Tabla3[[#This Row],[PATENTE]],'BASE DATOS'!F:J,5,0)</f>
        <v>SI</v>
      </c>
      <c r="I466" s="582" t="str">
        <f>+VLOOKUP(Tabla3[[#This Row],[PATENTE]],'BASE DATOS'!F:K,6,0)</f>
        <v>NO</v>
      </c>
      <c r="J466" s="582">
        <f>+VLOOKUP(Tabla3[[#This Row],[PATENTE]],'BASE DATOS'!F:L,7,0)</f>
        <v>2010</v>
      </c>
      <c r="K466" s="593">
        <f>+VLOOKUP(Tabla3[[#This Row],[PATENTE]],'BASE DATOS'!F:M,8,0)</f>
        <v>15</v>
      </c>
      <c r="N466" s="826"/>
      <c r="O466" s="1015"/>
      <c r="P466" s="1015"/>
      <c r="Q466" s="1015"/>
      <c r="R466" s="965" t="str">
        <f t="shared" si="17"/>
        <v>-</v>
      </c>
    </row>
    <row r="467" spans="1:18" hidden="1">
      <c r="A467" s="578" t="s">
        <v>943</v>
      </c>
      <c r="B467" s="584">
        <v>1</v>
      </c>
      <c r="C467" s="588">
        <v>45894</v>
      </c>
      <c r="D467" s="582">
        <f t="shared" si="18"/>
        <v>35</v>
      </c>
      <c r="E467" s="576" t="str">
        <f>+VLOOKUP(Tabla3[[#This Row],[PATENTE]],'BASE DATOS'!F:G,2,0)</f>
        <v>GANZINI HUGO - KTJ626</v>
      </c>
      <c r="F467" s="582" t="str">
        <f>+VLOOKUP(Tabla3[[#This Row],[PATENTE]],'BASE DATOS'!F:H,3,0)</f>
        <v>8P</v>
      </c>
      <c r="G467" s="582" t="str">
        <f>+VLOOKUP(Tabla3[[#This Row],[PATENTE]],'BASE DATOS'!F:I,4,0)</f>
        <v>NO</v>
      </c>
      <c r="H467" s="584" t="str">
        <f>+VLOOKUP(Tabla3[[#This Row],[PATENTE]],'BASE DATOS'!F:J,5,0)</f>
        <v xml:space="preserve">NO </v>
      </c>
      <c r="I467" s="582" t="str">
        <f>+VLOOKUP(Tabla3[[#This Row],[PATENTE]],'BASE DATOS'!F:K,6,0)</f>
        <v>NO</v>
      </c>
      <c r="J467" s="582">
        <f>+VLOOKUP(Tabla3[[#This Row],[PATENTE]],'BASE DATOS'!F:L,7,0)</f>
        <v>2011</v>
      </c>
      <c r="K467" s="593">
        <f>+VLOOKUP(Tabla3[[#This Row],[PATENTE]],'BASE DATOS'!F:M,8,0)</f>
        <v>14</v>
      </c>
      <c r="N467" s="826"/>
      <c r="O467" s="1015"/>
      <c r="P467" s="1015"/>
      <c r="Q467" s="1015"/>
      <c r="R467" s="965" t="str">
        <f t="shared" si="17"/>
        <v>-</v>
      </c>
    </row>
    <row r="468" spans="1:18" hidden="1">
      <c r="A468" s="577" t="s">
        <v>879</v>
      </c>
      <c r="B468" s="582">
        <v>7</v>
      </c>
      <c r="C468" s="588">
        <v>45901</v>
      </c>
      <c r="D468" s="582">
        <f t="shared" si="18"/>
        <v>36</v>
      </c>
      <c r="E468" s="576" t="str">
        <f>+VLOOKUP(Tabla3[[#This Row],[PATENTE]],'BASE DATOS'!F:G,2,0)</f>
        <v xml:space="preserve">TRANSP JP - OYP470 </v>
      </c>
      <c r="F468" s="582" t="str">
        <f>+VLOOKUP(Tabla3[[#This Row],[PATENTE]],'BASE DATOS'!F:H,3,0)</f>
        <v>8P</v>
      </c>
      <c r="G468" s="582" t="str">
        <f>+VLOOKUP(Tabla3[[#This Row],[PATENTE]],'BASE DATOS'!F:I,4,0)</f>
        <v>SI</v>
      </c>
      <c r="H468" s="584" t="str">
        <f>+VLOOKUP(Tabla3[[#This Row],[PATENTE]],'BASE DATOS'!F:J,5,0)</f>
        <v>SI</v>
      </c>
      <c r="I468" s="582" t="str">
        <f>+VLOOKUP(Tabla3[[#This Row],[PATENTE]],'BASE DATOS'!F:K,6,0)</f>
        <v>NO</v>
      </c>
      <c r="J468" s="582">
        <f>+VLOOKUP(Tabla3[[#This Row],[PATENTE]],'BASE DATOS'!F:L,7,0)</f>
        <v>2011</v>
      </c>
      <c r="K468" s="593">
        <f>+VLOOKUP(Tabla3[[#This Row],[PATENTE]],'BASE DATOS'!F:M,8,0)</f>
        <v>14</v>
      </c>
      <c r="N468" s="826"/>
      <c r="O468" s="1015"/>
      <c r="P468" s="1015"/>
      <c r="Q468" s="1015"/>
      <c r="R468" s="965" t="str">
        <f t="shared" si="17"/>
        <v>-</v>
      </c>
    </row>
    <row r="469" spans="1:18" hidden="1">
      <c r="A469" s="581" t="s">
        <v>899</v>
      </c>
      <c r="B469" s="587">
        <v>6</v>
      </c>
      <c r="C469" s="588">
        <v>45901</v>
      </c>
      <c r="D469" s="583">
        <f t="shared" si="18"/>
        <v>36</v>
      </c>
      <c r="E469" s="576" t="str">
        <f>+VLOOKUP(Tabla3[[#This Row],[PATENTE]],'BASE DATOS'!F:G,2,0)</f>
        <v xml:space="preserve">VAZQUEZ (TRV SRL) - AB176KN </v>
      </c>
      <c r="F469" s="582" t="str">
        <f>+VLOOKUP(Tabla3[[#This Row],[PATENTE]],'BASE DATOS'!F:H,3,0)</f>
        <v>8P</v>
      </c>
      <c r="G469" s="582" t="str">
        <f>+VLOOKUP(Tabla3[[#This Row],[PATENTE]],'BASE DATOS'!F:I,4,0)</f>
        <v>SI</v>
      </c>
      <c r="H469" s="584" t="str">
        <f>+VLOOKUP(Tabla3[[#This Row],[PATENTE]],'BASE DATOS'!F:J,5,0)</f>
        <v>SI</v>
      </c>
      <c r="I469" s="582" t="str">
        <f>+VLOOKUP(Tabla3[[#This Row],[PATENTE]],'BASE DATOS'!F:K,6,0)</f>
        <v>SI</v>
      </c>
      <c r="J469" s="582">
        <f>+VLOOKUP(Tabla3[[#This Row],[PATENTE]],'BASE DATOS'!F:L,7,0)</f>
        <v>2017</v>
      </c>
      <c r="K469" s="593">
        <f>+VLOOKUP(Tabla3[[#This Row],[PATENTE]],'BASE DATOS'!F:M,8,0)</f>
        <v>8</v>
      </c>
      <c r="N469" s="826"/>
      <c r="O469" s="1015"/>
      <c r="P469" s="1015"/>
      <c r="Q469" s="1015"/>
      <c r="R469" s="965" t="str">
        <f t="shared" si="17"/>
        <v>-</v>
      </c>
    </row>
    <row r="470" spans="1:18" hidden="1">
      <c r="A470" s="578" t="s">
        <v>905</v>
      </c>
      <c r="B470" s="584">
        <v>6</v>
      </c>
      <c r="C470" s="588">
        <v>45901</v>
      </c>
      <c r="D470" s="583">
        <f t="shared" si="18"/>
        <v>36</v>
      </c>
      <c r="E470" s="618" t="str">
        <f>+VLOOKUP(Tabla3[[#This Row],[PATENTE]],'BASE DATOS'!F:G,2,0)</f>
        <v xml:space="preserve">J RIMOLDI - AB312SE </v>
      </c>
      <c r="F470" s="584" t="str">
        <f>+VLOOKUP(Tabla3[[#This Row],[PATENTE]],'BASE DATOS'!F:H,3,0)</f>
        <v>8P</v>
      </c>
      <c r="G470" s="584" t="str">
        <f>+VLOOKUP(Tabla3[[#This Row],[PATENTE]],'BASE DATOS'!F:I,4,0)</f>
        <v>SI</v>
      </c>
      <c r="H470" s="584" t="str">
        <f>+VLOOKUP(Tabla3[[#This Row],[PATENTE]],'BASE DATOS'!F:J,5,0)</f>
        <v>SI</v>
      </c>
      <c r="I470" s="584" t="str">
        <f>+VLOOKUP(Tabla3[[#This Row],[PATENTE]],'BASE DATOS'!F:K,6,0)</f>
        <v>NO</v>
      </c>
      <c r="J470" s="584">
        <f>+VLOOKUP(Tabla3[[#This Row],[PATENTE]],'BASE DATOS'!F:L,7,0)</f>
        <v>2017</v>
      </c>
      <c r="K470" s="619">
        <f>+VLOOKUP(Tabla3[[#This Row],[PATENTE]],'BASE DATOS'!F:M,8,0)</f>
        <v>8</v>
      </c>
      <c r="N470" s="826"/>
      <c r="O470" s="1015"/>
      <c r="P470" s="1015"/>
      <c r="Q470" s="1015"/>
      <c r="R470" s="965" t="str">
        <f t="shared" si="17"/>
        <v>-</v>
      </c>
    </row>
    <row r="471" spans="1:18" hidden="1">
      <c r="A471" s="578" t="s">
        <v>890</v>
      </c>
      <c r="B471" s="584">
        <v>6</v>
      </c>
      <c r="C471" s="588">
        <v>45901</v>
      </c>
      <c r="D471" s="583">
        <f t="shared" si="18"/>
        <v>36</v>
      </c>
      <c r="E471" s="618" t="str">
        <f>+VLOOKUP(Tabla3[[#This Row],[PATENTE]],'BASE DATOS'!F:G,2,0)</f>
        <v xml:space="preserve">TRANSPORTE GRACIELA - AC040RO </v>
      </c>
      <c r="F471" s="584" t="str">
        <f>+VLOOKUP(Tabla3[[#This Row],[PATENTE]],'BASE DATOS'!F:H,3,0)</f>
        <v>1P</v>
      </c>
      <c r="G471" s="584" t="str">
        <f>+VLOOKUP(Tabla3[[#This Row],[PATENTE]],'BASE DATOS'!F:I,4,0)</f>
        <v>SI</v>
      </c>
      <c r="H471" s="584" t="str">
        <f>+VLOOKUP(Tabla3[[#This Row],[PATENTE]],'BASE DATOS'!F:J,5,0)</f>
        <v>ACEPTA( VER CAMI)</v>
      </c>
      <c r="I471" s="584" t="str">
        <f>+VLOOKUP(Tabla3[[#This Row],[PATENTE]],'BASE DATOS'!F:K,6,0)</f>
        <v>NO</v>
      </c>
      <c r="J471" s="584">
        <f>+VLOOKUP(Tabla3[[#This Row],[PATENTE]],'BASE DATOS'!F:L,7,0)</f>
        <v>2017</v>
      </c>
      <c r="K471" s="619">
        <f>+VLOOKUP(Tabla3[[#This Row],[PATENTE]],'BASE DATOS'!F:M,8,0)</f>
        <v>8</v>
      </c>
      <c r="N471" s="826"/>
      <c r="O471" s="1015"/>
      <c r="P471" s="1015"/>
      <c r="Q471" s="1015"/>
      <c r="R471" s="965" t="str">
        <f t="shared" si="17"/>
        <v>-</v>
      </c>
    </row>
    <row r="472" spans="1:18" hidden="1">
      <c r="A472" s="578" t="s">
        <v>887</v>
      </c>
      <c r="B472" s="584">
        <v>6</v>
      </c>
      <c r="C472" s="588">
        <v>45901</v>
      </c>
      <c r="D472" s="583">
        <f t="shared" si="18"/>
        <v>36</v>
      </c>
      <c r="E472" s="618" t="str">
        <f>+VLOOKUP(Tabla3[[#This Row],[PATENTE]],'BASE DATOS'!F:G,2,0)</f>
        <v>ENRIQUE ROLLINO - BXB394</v>
      </c>
      <c r="F472" s="584" t="str">
        <f>+VLOOKUP(Tabla3[[#This Row],[PATENTE]],'BASE DATOS'!F:H,3,0)</f>
        <v>2P</v>
      </c>
      <c r="G472" s="584" t="str">
        <f>+VLOOKUP(Tabla3[[#This Row],[PATENTE]],'BASE DATOS'!F:I,4,0)</f>
        <v>SI</v>
      </c>
      <c r="H472" s="584" t="str">
        <f>+VLOOKUP(Tabla3[[#This Row],[PATENTE]],'BASE DATOS'!F:J,5,0)</f>
        <v>SI</v>
      </c>
      <c r="I472" s="584" t="str">
        <f>+VLOOKUP(Tabla3[[#This Row],[PATENTE]],'BASE DATOS'!F:K,6,0)</f>
        <v>NO</v>
      </c>
      <c r="J472" s="584">
        <f>+VLOOKUP(Tabla3[[#This Row],[PATENTE]],'BASE DATOS'!F:L,7,0)</f>
        <v>1998</v>
      </c>
      <c r="K472" s="619">
        <f>+VLOOKUP(Tabla3[[#This Row],[PATENTE]],'BASE DATOS'!F:M,8,0)</f>
        <v>27</v>
      </c>
      <c r="N472" s="826"/>
      <c r="O472" s="1015"/>
      <c r="P472" s="1015"/>
      <c r="Q472" s="1015"/>
      <c r="R472" s="965" t="str">
        <f t="shared" si="17"/>
        <v>-</v>
      </c>
    </row>
    <row r="473" spans="1:18" hidden="1">
      <c r="A473" s="578" t="s">
        <v>881</v>
      </c>
      <c r="B473" s="584">
        <v>6</v>
      </c>
      <c r="C473" s="588">
        <v>45901</v>
      </c>
      <c r="D473" s="583">
        <f t="shared" si="18"/>
        <v>36</v>
      </c>
      <c r="E473" s="618" t="str">
        <f>+VLOOKUP(Tabla3[[#This Row],[PATENTE]],'BASE DATOS'!F:G,2,0)</f>
        <v xml:space="preserve">MAÑAS NORBERTO - DUQ686 </v>
      </c>
      <c r="F473" s="584" t="str">
        <f>+VLOOKUP(Tabla3[[#This Row],[PATENTE]],'BASE DATOS'!F:H,3,0)</f>
        <v>8P</v>
      </c>
      <c r="G473" s="584" t="str">
        <f>+VLOOKUP(Tabla3[[#This Row],[PATENTE]],'BASE DATOS'!F:I,4,0)</f>
        <v>SI</v>
      </c>
      <c r="H473" s="584" t="str">
        <f>+VLOOKUP(Tabla3[[#This Row],[PATENTE]],'BASE DATOS'!F:J,5,0)</f>
        <v>SI</v>
      </c>
      <c r="I473" s="584" t="str">
        <f>+VLOOKUP(Tabla3[[#This Row],[PATENTE]],'BASE DATOS'!F:K,6,0)</f>
        <v>NO</v>
      </c>
      <c r="J473" s="584">
        <f>+VLOOKUP(Tabla3[[#This Row],[PATENTE]],'BASE DATOS'!F:L,7,0)</f>
        <v>2001</v>
      </c>
      <c r="K473" s="619">
        <f>+VLOOKUP(Tabla3[[#This Row],[PATENTE]],'BASE DATOS'!F:M,8,0)</f>
        <v>24</v>
      </c>
      <c r="N473" s="826"/>
      <c r="O473" s="1015"/>
      <c r="P473" s="1015"/>
      <c r="Q473" s="1015"/>
      <c r="R473" s="965" t="str">
        <f t="shared" si="17"/>
        <v>-</v>
      </c>
    </row>
    <row r="474" spans="1:18" hidden="1">
      <c r="A474" s="578" t="s">
        <v>901</v>
      </c>
      <c r="B474" s="584">
        <v>6</v>
      </c>
      <c r="C474" s="588">
        <v>45901</v>
      </c>
      <c r="D474" s="583">
        <f t="shared" si="18"/>
        <v>36</v>
      </c>
      <c r="E474" s="618" t="str">
        <f>+VLOOKUP(Tabla3[[#This Row],[PATENTE]],'BASE DATOS'!F:G,2,0)</f>
        <v xml:space="preserve">TRANSPORTE  GRACIELA - IYE750 </v>
      </c>
      <c r="F474" s="584" t="str">
        <f>+VLOOKUP(Tabla3[[#This Row],[PATENTE]],'BASE DATOS'!F:H,3,0)</f>
        <v>1P</v>
      </c>
      <c r="G474" s="584" t="str">
        <f>+VLOOKUP(Tabla3[[#This Row],[PATENTE]],'BASE DATOS'!F:I,4,0)</f>
        <v>NO</v>
      </c>
      <c r="H474" s="584" t="str">
        <f>+VLOOKUP(Tabla3[[#This Row],[PATENTE]],'BASE DATOS'!F:J,5,0)</f>
        <v>SI</v>
      </c>
      <c r="I474" s="584" t="str">
        <f>+VLOOKUP(Tabla3[[#This Row],[PATENTE]],'BASE DATOS'!F:K,6,0)</f>
        <v>NO</v>
      </c>
      <c r="J474" s="584">
        <f>+VLOOKUP(Tabla3[[#This Row],[PATENTE]],'BASE DATOS'!F:L,7,0)</f>
        <v>2009</v>
      </c>
      <c r="K474" s="619">
        <f>+VLOOKUP(Tabla3[[#This Row],[PATENTE]],'BASE DATOS'!F:M,8,0)</f>
        <v>16</v>
      </c>
      <c r="N474" s="826"/>
      <c r="O474" s="1015"/>
      <c r="P474" s="1015"/>
      <c r="Q474" s="1015"/>
      <c r="R474" s="965" t="str">
        <f t="shared" si="17"/>
        <v>-</v>
      </c>
    </row>
    <row r="475" spans="1:18" hidden="1">
      <c r="A475" s="578" t="s">
        <v>902</v>
      </c>
      <c r="B475" s="584">
        <v>6</v>
      </c>
      <c r="C475" s="588">
        <v>45901</v>
      </c>
      <c r="D475" s="583">
        <f t="shared" si="18"/>
        <v>36</v>
      </c>
      <c r="E475" s="618" t="str">
        <f>+VLOOKUP(Tabla3[[#This Row],[PATENTE]],'BASE DATOS'!F:G,2,0)</f>
        <v xml:space="preserve">GUSTAVO CERQUETTA - KZA644 </v>
      </c>
      <c r="F475" s="584" t="str">
        <f>+VLOOKUP(Tabla3[[#This Row],[PATENTE]],'BASE DATOS'!F:H,3,0)</f>
        <v>2P</v>
      </c>
      <c r="G475" s="584" t="str">
        <f>+VLOOKUP(Tabla3[[#This Row],[PATENTE]],'BASE DATOS'!F:I,4,0)</f>
        <v>NO</v>
      </c>
      <c r="H475" s="584" t="str">
        <f>+VLOOKUP(Tabla3[[#This Row],[PATENTE]],'BASE DATOS'!F:J,5,0)</f>
        <v>SI</v>
      </c>
      <c r="I475" s="584" t="str">
        <f>+VLOOKUP(Tabla3[[#This Row],[PATENTE]],'BASE DATOS'!F:K,6,0)</f>
        <v>NO</v>
      </c>
      <c r="J475" s="584">
        <f>+VLOOKUP(Tabla3[[#This Row],[PATENTE]],'BASE DATOS'!F:L,7,0)</f>
        <v>2012</v>
      </c>
      <c r="K475" s="619">
        <f>+VLOOKUP(Tabla3[[#This Row],[PATENTE]],'BASE DATOS'!F:M,8,0)</f>
        <v>13</v>
      </c>
      <c r="N475" s="826"/>
      <c r="O475" s="1015"/>
      <c r="P475" s="1015"/>
      <c r="Q475" s="1015"/>
      <c r="R475" s="965" t="str">
        <f t="shared" si="17"/>
        <v>-</v>
      </c>
    </row>
    <row r="476" spans="1:18" hidden="1">
      <c r="A476" s="578" t="s">
        <v>897</v>
      </c>
      <c r="B476" s="584">
        <v>6</v>
      </c>
      <c r="C476" s="588">
        <v>45901</v>
      </c>
      <c r="D476" s="583">
        <f t="shared" si="18"/>
        <v>36</v>
      </c>
      <c r="E476" s="618" t="str">
        <f>+VLOOKUP(Tabla3[[#This Row],[PATENTE]],'BASE DATOS'!F:G,2,0)</f>
        <v xml:space="preserve">TRANSP CLAUDIO BUSTOS - LSG801 </v>
      </c>
      <c r="F476" s="584" t="str">
        <f>+VLOOKUP(Tabla3[[#This Row],[PATENTE]],'BASE DATOS'!F:H,3,0)</f>
        <v>2P</v>
      </c>
      <c r="G476" s="584" t="str">
        <f>+VLOOKUP(Tabla3[[#This Row],[PATENTE]],'BASE DATOS'!F:I,4,0)</f>
        <v>SI</v>
      </c>
      <c r="H476" s="584" t="str">
        <f>+VLOOKUP(Tabla3[[#This Row],[PATENTE]],'BASE DATOS'!F:J,5,0)</f>
        <v>SI</v>
      </c>
      <c r="I476" s="584" t="str">
        <f>+VLOOKUP(Tabla3[[#This Row],[PATENTE]],'BASE DATOS'!F:K,6,0)</f>
        <v>NO</v>
      </c>
      <c r="J476" s="584">
        <f>+VLOOKUP(Tabla3[[#This Row],[PATENTE]],'BASE DATOS'!F:L,7,0)</f>
        <v>2013</v>
      </c>
      <c r="K476" s="619">
        <f>+VLOOKUP(Tabla3[[#This Row],[PATENTE]],'BASE DATOS'!F:M,8,0)</f>
        <v>12</v>
      </c>
      <c r="N476" s="826"/>
      <c r="O476" s="1015"/>
      <c r="P476" s="1015"/>
      <c r="Q476" s="1015"/>
      <c r="R476" s="965" t="str">
        <f t="shared" si="17"/>
        <v>-</v>
      </c>
    </row>
    <row r="477" spans="1:18" hidden="1">
      <c r="A477" s="578" t="s">
        <v>886</v>
      </c>
      <c r="B477" s="584">
        <v>6</v>
      </c>
      <c r="C477" s="588">
        <v>45901</v>
      </c>
      <c r="D477" s="583">
        <f t="shared" si="18"/>
        <v>36</v>
      </c>
      <c r="E477" s="618" t="str">
        <f>+VLOOKUP(Tabla3[[#This Row],[PATENTE]],'BASE DATOS'!F:G,2,0)</f>
        <v xml:space="preserve">TRANSP LAGOS - NOO925 </v>
      </c>
      <c r="F477" s="584" t="str">
        <f>+VLOOKUP(Tabla3[[#This Row],[PATENTE]],'BASE DATOS'!F:H,3,0)</f>
        <v>8P</v>
      </c>
      <c r="G477" s="584" t="str">
        <f>+VLOOKUP(Tabla3[[#This Row],[PATENTE]],'BASE DATOS'!F:I,4,0)</f>
        <v>SI</v>
      </c>
      <c r="H477" s="584" t="str">
        <f>+VLOOKUP(Tabla3[[#This Row],[PATENTE]],'BASE DATOS'!F:J,5,0)</f>
        <v>SI</v>
      </c>
      <c r="I477" s="584" t="str">
        <f>+VLOOKUP(Tabla3[[#This Row],[PATENTE]],'BASE DATOS'!F:K,6,0)</f>
        <v>NO</v>
      </c>
      <c r="J477" s="584">
        <f>+VLOOKUP(Tabla3[[#This Row],[PATENTE]],'BASE DATOS'!F:L,7,0)</f>
        <v>2014</v>
      </c>
      <c r="K477" s="619">
        <f>+VLOOKUP(Tabla3[[#This Row],[PATENTE]],'BASE DATOS'!F:M,8,0)</f>
        <v>11</v>
      </c>
      <c r="N477" s="826"/>
      <c r="O477" s="1015"/>
      <c r="P477" s="1015"/>
      <c r="Q477" s="1015"/>
      <c r="R477" s="965" t="str">
        <f t="shared" si="17"/>
        <v>-</v>
      </c>
    </row>
    <row r="478" spans="1:18" hidden="1">
      <c r="A478" s="578" t="s">
        <v>898</v>
      </c>
      <c r="B478" s="584">
        <v>6</v>
      </c>
      <c r="C478" s="588">
        <v>45901</v>
      </c>
      <c r="D478" s="583">
        <f t="shared" si="18"/>
        <v>36</v>
      </c>
      <c r="E478" s="618" t="str">
        <f>+VLOOKUP(Tabla3[[#This Row],[PATENTE]],'BASE DATOS'!F:G,2,0)</f>
        <v xml:space="preserve">TRANSP BERMEJO - NXP980 </v>
      </c>
      <c r="F478" s="584" t="str">
        <f>+VLOOKUP(Tabla3[[#This Row],[PATENTE]],'BASE DATOS'!F:H,3,0)</f>
        <v>12P</v>
      </c>
      <c r="G478" s="584" t="str">
        <f>+VLOOKUP(Tabla3[[#This Row],[PATENTE]],'BASE DATOS'!F:I,4,0)</f>
        <v>SI</v>
      </c>
      <c r="H478" s="584" t="str">
        <f>+VLOOKUP(Tabla3[[#This Row],[PATENTE]],'BASE DATOS'!F:J,5,0)</f>
        <v>SI</v>
      </c>
      <c r="I478" s="584" t="str">
        <f>+VLOOKUP(Tabla3[[#This Row],[PATENTE]],'BASE DATOS'!F:K,6,0)</f>
        <v>SI</v>
      </c>
      <c r="J478" s="584">
        <f>+VLOOKUP(Tabla3[[#This Row],[PATENTE]],'BASE DATOS'!F:L,7,0)</f>
        <v>2015</v>
      </c>
      <c r="K478" s="619">
        <f>+VLOOKUP(Tabla3[[#This Row],[PATENTE]],'BASE DATOS'!F:M,8,0)</f>
        <v>10</v>
      </c>
      <c r="N478" s="826"/>
      <c r="O478" s="1015"/>
      <c r="P478" s="1015"/>
      <c r="Q478" s="1015"/>
      <c r="R478" s="965" t="str">
        <f t="shared" si="17"/>
        <v>-</v>
      </c>
    </row>
    <row r="479" spans="1:18" hidden="1">
      <c r="A479" s="578" t="s">
        <v>919</v>
      </c>
      <c r="B479" s="584">
        <v>5</v>
      </c>
      <c r="C479" s="588">
        <v>45901</v>
      </c>
      <c r="D479" s="583">
        <f t="shared" si="18"/>
        <v>36</v>
      </c>
      <c r="E479" s="618" t="str">
        <f>+VLOOKUP(Tabla3[[#This Row],[PATENTE]],'BASE DATOS'!F:G,2,0)</f>
        <v xml:space="preserve">GUSTAVO CERQUETTA - AA427LT </v>
      </c>
      <c r="F479" s="584" t="str">
        <f>+VLOOKUP(Tabla3[[#This Row],[PATENTE]],'BASE DATOS'!F:H,3,0)</f>
        <v>1P</v>
      </c>
      <c r="G479" s="584" t="str">
        <f>+VLOOKUP(Tabla3[[#This Row],[PATENTE]],'BASE DATOS'!F:I,4,0)</f>
        <v>NO</v>
      </c>
      <c r="H479" s="584" t="str">
        <f>+VLOOKUP(Tabla3[[#This Row],[PATENTE]],'BASE DATOS'!F:J,5,0)</f>
        <v>SI</v>
      </c>
      <c r="I479" s="584" t="str">
        <f>+VLOOKUP(Tabla3[[#This Row],[PATENTE]],'BASE DATOS'!F:K,6,0)</f>
        <v>NO</v>
      </c>
      <c r="J479" s="584">
        <f>+VLOOKUP(Tabla3[[#This Row],[PATENTE]],'BASE DATOS'!F:L,7,0)</f>
        <v>2016</v>
      </c>
      <c r="K479" s="619">
        <f>+VLOOKUP(Tabla3[[#This Row],[PATENTE]],'BASE DATOS'!F:M,8,0)</f>
        <v>9</v>
      </c>
      <c r="N479" s="826"/>
      <c r="O479" s="1015"/>
      <c r="P479" s="1015"/>
      <c r="Q479" s="1015"/>
      <c r="R479" s="965" t="str">
        <f t="shared" si="17"/>
        <v>-</v>
      </c>
    </row>
    <row r="480" spans="1:18" hidden="1">
      <c r="A480" s="578" t="s">
        <v>878</v>
      </c>
      <c r="B480" s="584">
        <v>5</v>
      </c>
      <c r="C480" s="588">
        <v>45901</v>
      </c>
      <c r="D480" s="583">
        <f t="shared" si="18"/>
        <v>36</v>
      </c>
      <c r="E480" s="618" t="str">
        <f>+VLOOKUP(Tabla3[[#This Row],[PATENTE]],'BASE DATOS'!F:G,2,0)</f>
        <v xml:space="preserve">PACHECO JULIO - AA854LY </v>
      </c>
      <c r="F480" s="584" t="str">
        <f>+VLOOKUP(Tabla3[[#This Row],[PATENTE]],'BASE DATOS'!F:H,3,0)</f>
        <v>7P</v>
      </c>
      <c r="G480" s="584" t="str">
        <f>+VLOOKUP(Tabla3[[#This Row],[PATENTE]],'BASE DATOS'!F:I,4,0)</f>
        <v>SI</v>
      </c>
      <c r="H480" s="584" t="str">
        <f>+VLOOKUP(Tabla3[[#This Row],[PATENTE]],'BASE DATOS'!F:J,5,0)</f>
        <v>SI</v>
      </c>
      <c r="I480" s="584" t="str">
        <f>+VLOOKUP(Tabla3[[#This Row],[PATENTE]],'BASE DATOS'!F:K,6,0)</f>
        <v>NO</v>
      </c>
      <c r="J480" s="584">
        <f>+VLOOKUP(Tabla3[[#This Row],[PATENTE]],'BASE DATOS'!F:L,7,0)</f>
        <v>2016</v>
      </c>
      <c r="K480" s="619">
        <f>+VLOOKUP(Tabla3[[#This Row],[PATENTE]],'BASE DATOS'!F:M,8,0)</f>
        <v>9</v>
      </c>
      <c r="N480" s="826"/>
      <c r="O480" s="1015"/>
      <c r="P480" s="1015"/>
      <c r="Q480" s="1015"/>
      <c r="R480" s="965" t="str">
        <f t="shared" si="17"/>
        <v>-</v>
      </c>
    </row>
    <row r="481" spans="1:18" hidden="1">
      <c r="A481" s="578" t="s">
        <v>884</v>
      </c>
      <c r="B481" s="584">
        <v>5</v>
      </c>
      <c r="C481" s="588">
        <v>45901</v>
      </c>
      <c r="D481" s="583">
        <f t="shared" si="18"/>
        <v>36</v>
      </c>
      <c r="E481" s="618" t="str">
        <f>+VLOOKUP(Tabla3[[#This Row],[PATENTE]],'BASE DATOS'!F:G,2,0)</f>
        <v xml:space="preserve">LAURIA (SERVAL) - AB233IT </v>
      </c>
      <c r="F481" s="584" t="str">
        <f>+VLOOKUP(Tabla3[[#This Row],[PATENTE]],'BASE DATOS'!F:H,3,0)</f>
        <v>6P</v>
      </c>
      <c r="G481" s="584" t="str">
        <f>+VLOOKUP(Tabla3[[#This Row],[PATENTE]],'BASE DATOS'!F:I,4,0)</f>
        <v>SI</v>
      </c>
      <c r="H481" s="584" t="str">
        <f>+VLOOKUP(Tabla3[[#This Row],[PATENTE]],'BASE DATOS'!F:J,5,0)</f>
        <v>SI</v>
      </c>
      <c r="I481" s="584" t="str">
        <f>+VLOOKUP(Tabla3[[#This Row],[PATENTE]],'BASE DATOS'!F:K,6,0)</f>
        <v>NO</v>
      </c>
      <c r="J481" s="584">
        <f>+VLOOKUP(Tabla3[[#This Row],[PATENTE]],'BASE DATOS'!F:L,7,0)</f>
        <v>2017</v>
      </c>
      <c r="K481" s="619">
        <f>+VLOOKUP(Tabla3[[#This Row],[PATENTE]],'BASE DATOS'!F:M,8,0)</f>
        <v>8</v>
      </c>
      <c r="N481" s="826"/>
      <c r="O481" s="1015"/>
      <c r="P481" s="1015"/>
      <c r="Q481" s="1015"/>
      <c r="R481" s="965" t="str">
        <f t="shared" si="17"/>
        <v>-</v>
      </c>
    </row>
    <row r="482" spans="1:18" hidden="1">
      <c r="A482" s="578" t="s">
        <v>922</v>
      </c>
      <c r="B482" s="584">
        <v>5</v>
      </c>
      <c r="C482" s="588">
        <v>45901</v>
      </c>
      <c r="D482" s="583">
        <f t="shared" si="18"/>
        <v>36</v>
      </c>
      <c r="E482" s="618" t="str">
        <f>+VLOOKUP(Tabla3[[#This Row],[PATENTE]],'BASE DATOS'!F:G,2,0)</f>
        <v>LAURIA (SERVAL) - AF342ZY</v>
      </c>
      <c r="F482" s="584" t="str">
        <f>+VLOOKUP(Tabla3[[#This Row],[PATENTE]],'BASE DATOS'!F:H,3,0)</f>
        <v>8P</v>
      </c>
      <c r="G482" s="584" t="str">
        <f>+VLOOKUP(Tabla3[[#This Row],[PATENTE]],'BASE DATOS'!F:I,4,0)</f>
        <v>SI</v>
      </c>
      <c r="H482" s="584" t="str">
        <f>+VLOOKUP(Tabla3[[#This Row],[PATENTE]],'BASE DATOS'!F:J,5,0)</f>
        <v>SI</v>
      </c>
      <c r="I482" s="584" t="str">
        <f>+VLOOKUP(Tabla3[[#This Row],[PATENTE]],'BASE DATOS'!F:K,6,0)</f>
        <v>NO</v>
      </c>
      <c r="J482" s="584">
        <f>+VLOOKUP(Tabla3[[#This Row],[PATENTE]],'BASE DATOS'!F:L,7,0)</f>
        <v>2022</v>
      </c>
      <c r="K482" s="619">
        <f>+VLOOKUP(Tabla3[[#This Row],[PATENTE]],'BASE DATOS'!F:M,8,0)</f>
        <v>3</v>
      </c>
      <c r="N482" s="826"/>
      <c r="O482" s="1015"/>
      <c r="P482" s="1015"/>
      <c r="Q482" s="1015"/>
      <c r="R482" s="965" t="str">
        <f t="shared" si="17"/>
        <v>-</v>
      </c>
    </row>
    <row r="483" spans="1:18" hidden="1">
      <c r="A483" s="578" t="s">
        <v>895</v>
      </c>
      <c r="B483" s="584">
        <v>5</v>
      </c>
      <c r="C483" s="588">
        <v>45901</v>
      </c>
      <c r="D483" s="583">
        <f t="shared" si="18"/>
        <v>36</v>
      </c>
      <c r="E483" s="618" t="str">
        <f>+VLOOKUP(Tabla3[[#This Row],[PATENTE]],'BASE DATOS'!F:G,2,0)</f>
        <v xml:space="preserve">TRANSPORTE MICAELA </v>
      </c>
      <c r="F483" s="584" t="str">
        <f>+VLOOKUP(Tabla3[[#This Row],[PATENTE]],'BASE DATOS'!F:H,3,0)</f>
        <v>2P</v>
      </c>
      <c r="G483" s="584" t="str">
        <f>+VLOOKUP(Tabla3[[#This Row],[PATENTE]],'BASE DATOS'!F:I,4,0)</f>
        <v>NO</v>
      </c>
      <c r="H483" s="584" t="str">
        <f>+VLOOKUP(Tabla3[[#This Row],[PATENTE]],'BASE DATOS'!F:J,5,0)</f>
        <v>SI</v>
      </c>
      <c r="I483" s="584" t="str">
        <f>+VLOOKUP(Tabla3[[#This Row],[PATENTE]],'BASE DATOS'!F:K,6,0)</f>
        <v>NO</v>
      </c>
      <c r="J483" s="584">
        <f>+VLOOKUP(Tabla3[[#This Row],[PATENTE]],'BASE DATOS'!F:L,7,0)</f>
        <v>2024</v>
      </c>
      <c r="K483" s="619">
        <f>+VLOOKUP(Tabla3[[#This Row],[PATENTE]],'BASE DATOS'!F:M,8,0)</f>
        <v>1</v>
      </c>
      <c r="N483" s="826"/>
      <c r="O483" s="1015"/>
      <c r="P483" s="1015"/>
      <c r="Q483" s="1015"/>
      <c r="R483" s="965" t="str">
        <f t="shared" si="17"/>
        <v>-</v>
      </c>
    </row>
    <row r="484" spans="1:18" hidden="1">
      <c r="A484" s="578" t="s">
        <v>903</v>
      </c>
      <c r="B484" s="584">
        <v>5</v>
      </c>
      <c r="C484" s="588">
        <v>45901</v>
      </c>
      <c r="D484" s="583">
        <f t="shared" si="18"/>
        <v>36</v>
      </c>
      <c r="E484" s="618" t="str">
        <f>+VLOOKUP(Tabla3[[#This Row],[PATENTE]],'BASE DATOS'!F:G,2,0)</f>
        <v xml:space="preserve">TRANSP CLAUDIO BUSTOS - AG243PE </v>
      </c>
      <c r="F484" s="584" t="str">
        <f>+VLOOKUP(Tabla3[[#This Row],[PATENTE]],'BASE DATOS'!F:H,3,0)</f>
        <v>1P</v>
      </c>
      <c r="G484" s="584" t="str">
        <f>+VLOOKUP(Tabla3[[#This Row],[PATENTE]],'BASE DATOS'!F:I,4,0)</f>
        <v>SI</v>
      </c>
      <c r="H484" s="584" t="str">
        <f>+VLOOKUP(Tabla3[[#This Row],[PATENTE]],'BASE DATOS'!F:J,5,0)</f>
        <v>SI</v>
      </c>
      <c r="I484" s="584" t="str">
        <f>+VLOOKUP(Tabla3[[#This Row],[PATENTE]],'BASE DATOS'!F:K,6,0)</f>
        <v>NO</v>
      </c>
      <c r="J484" s="584">
        <f>+VLOOKUP(Tabla3[[#This Row],[PATENTE]],'BASE DATOS'!F:L,7,0)</f>
        <v>2024</v>
      </c>
      <c r="K484" s="619">
        <f>+VLOOKUP(Tabla3[[#This Row],[PATENTE]],'BASE DATOS'!F:M,8,0)</f>
        <v>1</v>
      </c>
      <c r="N484" s="826"/>
      <c r="O484" s="1015"/>
      <c r="P484" s="1015"/>
      <c r="Q484" s="1015"/>
      <c r="R484" s="965" t="str">
        <f t="shared" si="17"/>
        <v>-</v>
      </c>
    </row>
    <row r="485" spans="1:18" hidden="1">
      <c r="A485" s="578" t="s">
        <v>921</v>
      </c>
      <c r="B485" s="584">
        <v>5</v>
      </c>
      <c r="C485" s="588">
        <v>45901</v>
      </c>
      <c r="D485" s="583">
        <f t="shared" si="18"/>
        <v>36</v>
      </c>
      <c r="E485" s="618" t="str">
        <f>+VLOOKUP(Tabla3[[#This Row],[PATENTE]],'BASE DATOS'!F:G,2,0)</f>
        <v xml:space="preserve">MAÑAS NORBERTO - CQQ304 </v>
      </c>
      <c r="F485" s="584" t="str">
        <f>+VLOOKUP(Tabla3[[#This Row],[PATENTE]],'BASE DATOS'!F:H,3,0)</f>
        <v>11P</v>
      </c>
      <c r="G485" s="584" t="str">
        <f>+VLOOKUP(Tabla3[[#This Row],[PATENTE]],'BASE DATOS'!F:I,4,0)</f>
        <v>SI</v>
      </c>
      <c r="H485" s="584" t="str">
        <f>+VLOOKUP(Tabla3[[#This Row],[PATENTE]],'BASE DATOS'!F:J,5,0)</f>
        <v>SI</v>
      </c>
      <c r="I485" s="584" t="str">
        <f>+VLOOKUP(Tabla3[[#This Row],[PATENTE]],'BASE DATOS'!F:K,6,0)</f>
        <v>NO</v>
      </c>
      <c r="J485" s="584">
        <f>+VLOOKUP(Tabla3[[#This Row],[PATENTE]],'BASE DATOS'!F:L,7,0)</f>
        <v>2000</v>
      </c>
      <c r="K485" s="619">
        <f>+VLOOKUP(Tabla3[[#This Row],[PATENTE]],'BASE DATOS'!F:M,8,0)</f>
        <v>25</v>
      </c>
      <c r="N485" s="826"/>
      <c r="O485" s="1015"/>
      <c r="P485" s="1015"/>
      <c r="Q485" s="1015"/>
      <c r="R485" s="965" t="str">
        <f t="shared" si="17"/>
        <v>-</v>
      </c>
    </row>
    <row r="486" spans="1:18" hidden="1">
      <c r="A486" s="578" t="s">
        <v>932</v>
      </c>
      <c r="B486" s="584">
        <v>5</v>
      </c>
      <c r="C486" s="588">
        <v>45901</v>
      </c>
      <c r="D486" s="583">
        <f t="shared" si="18"/>
        <v>36</v>
      </c>
      <c r="E486" s="618" t="str">
        <f>+VLOOKUP(Tabla3[[#This Row],[PATENTE]],'BASE DATOS'!F:G,2,0)</f>
        <v xml:space="preserve">TRANSP MAVIR - EFL176 </v>
      </c>
      <c r="F486" s="584" t="str">
        <f>+VLOOKUP(Tabla3[[#This Row],[PATENTE]],'BASE DATOS'!F:H,3,0)</f>
        <v>12P</v>
      </c>
      <c r="G486" s="584" t="str">
        <f>+VLOOKUP(Tabla3[[#This Row],[PATENTE]],'BASE DATOS'!F:I,4,0)</f>
        <v>SI</v>
      </c>
      <c r="H486" s="584" t="str">
        <f>+VLOOKUP(Tabla3[[#This Row],[PATENTE]],'BASE DATOS'!F:J,5,0)</f>
        <v>SI</v>
      </c>
      <c r="I486" s="584" t="str">
        <f>+VLOOKUP(Tabla3[[#This Row],[PATENTE]],'BASE DATOS'!F:K,6,0)</f>
        <v>NO</v>
      </c>
      <c r="J486" s="584">
        <f>+VLOOKUP(Tabla3[[#This Row],[PATENTE]],'BASE DATOS'!F:L,7,0)</f>
        <v>1998</v>
      </c>
      <c r="K486" s="619">
        <f>+VLOOKUP(Tabla3[[#This Row],[PATENTE]],'BASE DATOS'!F:M,8,0)</f>
        <v>27</v>
      </c>
      <c r="N486" s="826"/>
      <c r="O486" s="1015"/>
      <c r="P486" s="1015"/>
      <c r="Q486" s="1015"/>
      <c r="R486" s="965" t="str">
        <f t="shared" si="17"/>
        <v>-</v>
      </c>
    </row>
    <row r="487" spans="1:18" hidden="1">
      <c r="A487" s="578" t="s">
        <v>915</v>
      </c>
      <c r="B487" s="584">
        <v>5</v>
      </c>
      <c r="C487" s="588">
        <v>45901</v>
      </c>
      <c r="D487" s="583">
        <f t="shared" si="18"/>
        <v>36</v>
      </c>
      <c r="E487" s="618" t="str">
        <f>+VLOOKUP(Tabla3[[#This Row],[PATENTE]],'BASE DATOS'!F:G,2,0)</f>
        <v>TRANSPORTE GRACIELA - FPL254</v>
      </c>
      <c r="F487" s="584" t="str">
        <f>+VLOOKUP(Tabla3[[#This Row],[PATENTE]],'BASE DATOS'!F:H,3,0)</f>
        <v>2P</v>
      </c>
      <c r="G487" s="584" t="str">
        <f>+VLOOKUP(Tabla3[[#This Row],[PATENTE]],'BASE DATOS'!F:I,4,0)</f>
        <v>SI</v>
      </c>
      <c r="H487" s="584" t="str">
        <f>+VLOOKUP(Tabla3[[#This Row],[PATENTE]],'BASE DATOS'!F:J,5,0)</f>
        <v>NO (CAMI)</v>
      </c>
      <c r="I487" s="584" t="str">
        <f>+VLOOKUP(Tabla3[[#This Row],[PATENTE]],'BASE DATOS'!F:K,6,0)</f>
        <v>NO</v>
      </c>
      <c r="J487" s="584">
        <f>+VLOOKUP(Tabla3[[#This Row],[PATENTE]],'BASE DATOS'!F:L,7,0)</f>
        <v>2012</v>
      </c>
      <c r="K487" s="619">
        <f>+VLOOKUP(Tabla3[[#This Row],[PATENTE]],'BASE DATOS'!F:M,8,0)</f>
        <v>13</v>
      </c>
      <c r="N487" s="826"/>
      <c r="O487" s="1015"/>
      <c r="P487" s="1015"/>
      <c r="Q487" s="1015"/>
      <c r="R487" s="965" t="str">
        <f t="shared" si="17"/>
        <v>-</v>
      </c>
    </row>
    <row r="488" spans="1:18" hidden="1">
      <c r="A488" s="578" t="s">
        <v>891</v>
      </c>
      <c r="B488" s="584">
        <v>5</v>
      </c>
      <c r="C488" s="588">
        <v>45901</v>
      </c>
      <c r="D488" s="583">
        <f t="shared" si="18"/>
        <v>36</v>
      </c>
      <c r="E488" s="618" t="str">
        <f>+VLOOKUP(Tabla3[[#This Row],[PATENTE]],'BASE DATOS'!F:G,2,0)</f>
        <v xml:space="preserve">GANZINI HUGO - HHA085 </v>
      </c>
      <c r="F488" s="584" t="str">
        <f>+VLOOKUP(Tabla3[[#This Row],[PATENTE]],'BASE DATOS'!F:H,3,0)</f>
        <v>2P</v>
      </c>
      <c r="G488" s="584" t="str">
        <f>+VLOOKUP(Tabla3[[#This Row],[PATENTE]],'BASE DATOS'!F:I,4,0)</f>
        <v>SI</v>
      </c>
      <c r="H488" s="584" t="str">
        <f>+VLOOKUP(Tabla3[[#This Row],[PATENTE]],'BASE DATOS'!F:J,5,0)</f>
        <v>SI</v>
      </c>
      <c r="I488" s="584" t="str">
        <f>+VLOOKUP(Tabla3[[#This Row],[PATENTE]],'BASE DATOS'!F:K,6,0)</f>
        <v>NO</v>
      </c>
      <c r="J488" s="584">
        <f>+VLOOKUP(Tabla3[[#This Row],[PATENTE]],'BASE DATOS'!F:L,7,0)</f>
        <v>2008</v>
      </c>
      <c r="K488" s="619">
        <f>+VLOOKUP(Tabla3[[#This Row],[PATENTE]],'BASE DATOS'!F:M,8,0)</f>
        <v>17</v>
      </c>
      <c r="N488" s="826"/>
      <c r="O488" s="1015"/>
      <c r="P488" s="1015"/>
      <c r="Q488" s="1015"/>
      <c r="R488" s="965" t="str">
        <f t="shared" si="17"/>
        <v>-</v>
      </c>
    </row>
    <row r="489" spans="1:18" hidden="1">
      <c r="A489" s="578" t="s">
        <v>885</v>
      </c>
      <c r="B489" s="584">
        <v>5</v>
      </c>
      <c r="C489" s="588">
        <v>45901</v>
      </c>
      <c r="D489" s="583">
        <f t="shared" si="18"/>
        <v>36</v>
      </c>
      <c r="E489" s="618" t="str">
        <f>+VLOOKUP(Tabla3[[#This Row],[PATENTE]],'BASE DATOS'!F:G,2,0)</f>
        <v xml:space="preserve">TRANSP DON NENO - IES288 </v>
      </c>
      <c r="F489" s="584" t="str">
        <f>+VLOOKUP(Tabla3[[#This Row],[PATENTE]],'BASE DATOS'!F:H,3,0)</f>
        <v>2P</v>
      </c>
      <c r="G489" s="584" t="str">
        <f>+VLOOKUP(Tabla3[[#This Row],[PATENTE]],'BASE DATOS'!F:I,4,0)</f>
        <v>SI</v>
      </c>
      <c r="H489" s="584" t="str">
        <f>+VLOOKUP(Tabla3[[#This Row],[PATENTE]],'BASE DATOS'!F:J,5,0)</f>
        <v>SI</v>
      </c>
      <c r="I489" s="584" t="str">
        <f>+VLOOKUP(Tabla3[[#This Row],[PATENTE]],'BASE DATOS'!F:K,6,0)</f>
        <v>NO</v>
      </c>
      <c r="J489" s="584">
        <f>+VLOOKUP(Tabla3[[#This Row],[PATENTE]],'BASE DATOS'!F:L,7,0)</f>
        <v>2009</v>
      </c>
      <c r="K489" s="619">
        <f>+VLOOKUP(Tabla3[[#This Row],[PATENTE]],'BASE DATOS'!F:M,8,0)</f>
        <v>16</v>
      </c>
      <c r="N489" s="826"/>
      <c r="O489" s="1015"/>
      <c r="P489" s="1015"/>
      <c r="Q489" s="1015"/>
      <c r="R489" s="965" t="str">
        <f t="shared" si="17"/>
        <v>-</v>
      </c>
    </row>
    <row r="490" spans="1:18" hidden="1">
      <c r="A490" s="578" t="s">
        <v>913</v>
      </c>
      <c r="B490" s="584">
        <v>5</v>
      </c>
      <c r="C490" s="588">
        <v>45901</v>
      </c>
      <c r="D490" s="583">
        <f t="shared" si="18"/>
        <v>36</v>
      </c>
      <c r="E490" s="618" t="str">
        <f>+VLOOKUP(Tabla3[[#This Row],[PATENTE]],'BASE DATOS'!F:G,2,0)</f>
        <v xml:space="preserve">TRANSP DON NENO - KSI803 </v>
      </c>
      <c r="F490" s="584" t="str">
        <f>+VLOOKUP(Tabla3[[#This Row],[PATENTE]],'BASE DATOS'!F:H,3,0)</f>
        <v>2P</v>
      </c>
      <c r="G490" s="584" t="str">
        <f>+VLOOKUP(Tabla3[[#This Row],[PATENTE]],'BASE DATOS'!F:I,4,0)</f>
        <v>SI</v>
      </c>
      <c r="H490" s="584" t="str">
        <f>+VLOOKUP(Tabla3[[#This Row],[PATENTE]],'BASE DATOS'!F:J,5,0)</f>
        <v>SI</v>
      </c>
      <c r="I490" s="584" t="str">
        <f>+VLOOKUP(Tabla3[[#This Row],[PATENTE]],'BASE DATOS'!F:K,6,0)</f>
        <v>NO</v>
      </c>
      <c r="J490" s="584">
        <f>+VLOOKUP(Tabla3[[#This Row],[PATENTE]],'BASE DATOS'!F:L,7,0)</f>
        <v>2012</v>
      </c>
      <c r="K490" s="619">
        <f>+VLOOKUP(Tabla3[[#This Row],[PATENTE]],'BASE DATOS'!F:M,8,0)</f>
        <v>13</v>
      </c>
      <c r="N490" s="826"/>
      <c r="O490" s="1015"/>
      <c r="P490" s="1015"/>
      <c r="Q490" s="1015"/>
      <c r="R490" s="965" t="str">
        <f t="shared" si="17"/>
        <v>-</v>
      </c>
    </row>
    <row r="491" spans="1:18" hidden="1">
      <c r="A491" s="578" t="s">
        <v>909</v>
      </c>
      <c r="B491" s="584">
        <v>5</v>
      </c>
      <c r="C491" s="588">
        <v>45901</v>
      </c>
      <c r="D491" s="583">
        <f t="shared" si="18"/>
        <v>36</v>
      </c>
      <c r="E491" s="618" t="str">
        <f>+VLOOKUP(Tabla3[[#This Row],[PATENTE]],'BASE DATOS'!F:G,2,0)</f>
        <v xml:space="preserve">CRISTIAN MOYA - NHR055 </v>
      </c>
      <c r="F491" s="584" t="str">
        <f>+VLOOKUP(Tabla3[[#This Row],[PATENTE]],'BASE DATOS'!F:H,3,0)</f>
        <v>6P</v>
      </c>
      <c r="G491" s="584" t="str">
        <f>+VLOOKUP(Tabla3[[#This Row],[PATENTE]],'BASE DATOS'!F:I,4,0)</f>
        <v>SI</v>
      </c>
      <c r="H491" s="584" t="str">
        <f>+VLOOKUP(Tabla3[[#This Row],[PATENTE]],'BASE DATOS'!F:J,5,0)</f>
        <v>SI</v>
      </c>
      <c r="I491" s="584" t="str">
        <f>+VLOOKUP(Tabla3[[#This Row],[PATENTE]],'BASE DATOS'!F:K,6,0)</f>
        <v>NO</v>
      </c>
      <c r="J491" s="584">
        <f>+VLOOKUP(Tabla3[[#This Row],[PATENTE]],'BASE DATOS'!F:L,7,0)</f>
        <v>2013</v>
      </c>
      <c r="K491" s="619">
        <f>+VLOOKUP(Tabla3[[#This Row],[PATENTE]],'BASE DATOS'!F:M,8,0)</f>
        <v>12</v>
      </c>
      <c r="N491" s="826"/>
      <c r="O491" s="1015"/>
      <c r="P491" s="1015"/>
      <c r="Q491" s="1015"/>
      <c r="R491" s="965" t="str">
        <f t="shared" si="17"/>
        <v>-</v>
      </c>
    </row>
    <row r="492" spans="1:18" hidden="1">
      <c r="A492" s="578" t="s">
        <v>883</v>
      </c>
      <c r="B492" s="584">
        <v>4</v>
      </c>
      <c r="C492" s="588">
        <v>45901</v>
      </c>
      <c r="D492" s="583">
        <f t="shared" si="18"/>
        <v>36</v>
      </c>
      <c r="E492" s="618" t="str">
        <f>+VLOOKUP(Tabla3[[#This Row],[PATENTE]],'BASE DATOS'!F:G,2,0)</f>
        <v xml:space="preserve">PACHECO JULIO - ACI503 </v>
      </c>
      <c r="F492" s="584" t="str">
        <f>+VLOOKUP(Tabla3[[#This Row],[PATENTE]],'BASE DATOS'!F:H,3,0)</f>
        <v>12P</v>
      </c>
      <c r="G492" s="584" t="str">
        <f>+VLOOKUP(Tabla3[[#This Row],[PATENTE]],'BASE DATOS'!F:I,4,0)</f>
        <v>NO</v>
      </c>
      <c r="H492" s="584" t="str">
        <f>+VLOOKUP(Tabla3[[#This Row],[PATENTE]],'BASE DATOS'!F:J,5,0)</f>
        <v>SI</v>
      </c>
      <c r="I492" s="584" t="str">
        <f>+VLOOKUP(Tabla3[[#This Row],[PATENTE]],'BASE DATOS'!F:K,6,0)</f>
        <v>SI</v>
      </c>
      <c r="J492" s="584">
        <f>+VLOOKUP(Tabla3[[#This Row],[PATENTE]],'BASE DATOS'!F:L,7,0)</f>
        <v>2000</v>
      </c>
      <c r="K492" s="619">
        <f>+VLOOKUP(Tabla3[[#This Row],[PATENTE]],'BASE DATOS'!F:M,8,0)</f>
        <v>25</v>
      </c>
      <c r="N492" s="826"/>
      <c r="O492" s="1015"/>
      <c r="P492" s="1015"/>
      <c r="Q492" s="1015"/>
      <c r="R492" s="965" t="str">
        <f t="shared" si="17"/>
        <v>-</v>
      </c>
    </row>
    <row r="493" spans="1:18" hidden="1">
      <c r="A493" s="578" t="s">
        <v>906</v>
      </c>
      <c r="B493" s="584">
        <v>4</v>
      </c>
      <c r="C493" s="588">
        <v>45901</v>
      </c>
      <c r="D493" s="583">
        <f t="shared" si="18"/>
        <v>36</v>
      </c>
      <c r="E493" s="618" t="str">
        <f>+VLOOKUP(Tabla3[[#This Row],[PATENTE]],'BASE DATOS'!F:G,2,0)</f>
        <v xml:space="preserve">VAZQUEZ (TRV SRL) - AD472GK </v>
      </c>
      <c r="F493" s="584" t="str">
        <f>+VLOOKUP(Tabla3[[#This Row],[PATENTE]],'BASE DATOS'!F:H,3,0)</f>
        <v>8P</v>
      </c>
      <c r="G493" s="584" t="str">
        <f>+VLOOKUP(Tabla3[[#This Row],[PATENTE]],'BASE DATOS'!F:I,4,0)</f>
        <v>NO</v>
      </c>
      <c r="H493" s="584" t="str">
        <f>+VLOOKUP(Tabla3[[#This Row],[PATENTE]],'BASE DATOS'!F:J,5,0)</f>
        <v>NO</v>
      </c>
      <c r="I493" s="584" t="str">
        <f>+VLOOKUP(Tabla3[[#This Row],[PATENTE]],'BASE DATOS'!F:K,6,0)</f>
        <v>SI</v>
      </c>
      <c r="J493" s="584">
        <f>+VLOOKUP(Tabla3[[#This Row],[PATENTE]],'BASE DATOS'!F:L,7,0)</f>
        <v>2019</v>
      </c>
      <c r="K493" s="619">
        <f>+VLOOKUP(Tabla3[[#This Row],[PATENTE]],'BASE DATOS'!F:M,8,0)</f>
        <v>6</v>
      </c>
      <c r="N493" s="826"/>
      <c r="O493" s="1015"/>
      <c r="P493" s="1015"/>
      <c r="Q493" s="1015"/>
      <c r="R493" s="965" t="str">
        <f t="shared" si="17"/>
        <v>-</v>
      </c>
    </row>
    <row r="494" spans="1:18" hidden="1">
      <c r="A494" s="578" t="s">
        <v>888</v>
      </c>
      <c r="B494" s="584">
        <v>4</v>
      </c>
      <c r="C494" s="588">
        <v>45901</v>
      </c>
      <c r="D494" s="583">
        <f t="shared" si="18"/>
        <v>36</v>
      </c>
      <c r="E494" s="618" t="str">
        <f>+VLOOKUP(Tabla3[[#This Row],[PATENTE]],'BASE DATOS'!F:G,2,0)</f>
        <v xml:space="preserve">TRANSP FIRST CLASS - AD535UI </v>
      </c>
      <c r="F494" s="584" t="str">
        <f>+VLOOKUP(Tabla3[[#This Row],[PATENTE]],'BASE DATOS'!F:H,3,0)</f>
        <v>6P</v>
      </c>
      <c r="G494" s="584" t="str">
        <f>+VLOOKUP(Tabla3[[#This Row],[PATENTE]],'BASE DATOS'!F:I,4,0)</f>
        <v>SI</v>
      </c>
      <c r="H494" s="584" t="str">
        <f>+VLOOKUP(Tabla3[[#This Row],[PATENTE]],'BASE DATOS'!F:J,5,0)</f>
        <v>SI</v>
      </c>
      <c r="I494" s="584" t="str">
        <f>+VLOOKUP(Tabla3[[#This Row],[PATENTE]],'BASE DATOS'!F:K,6,0)</f>
        <v>NO</v>
      </c>
      <c r="J494" s="584">
        <f>+VLOOKUP(Tabla3[[#This Row],[PATENTE]],'BASE DATOS'!F:L,7,0)</f>
        <v>2019</v>
      </c>
      <c r="K494" s="619">
        <f>+VLOOKUP(Tabla3[[#This Row],[PATENTE]],'BASE DATOS'!F:M,8,0)</f>
        <v>6</v>
      </c>
      <c r="N494" s="826"/>
      <c r="O494" s="1015"/>
      <c r="P494" s="1015"/>
      <c r="Q494" s="1015"/>
      <c r="R494" s="965" t="str">
        <f t="shared" si="17"/>
        <v>-</v>
      </c>
    </row>
    <row r="495" spans="1:18" hidden="1">
      <c r="A495" s="578" t="s">
        <v>880</v>
      </c>
      <c r="B495" s="584">
        <v>4</v>
      </c>
      <c r="C495" s="588">
        <v>45901</v>
      </c>
      <c r="D495" s="583">
        <f t="shared" si="18"/>
        <v>36</v>
      </c>
      <c r="E495" s="618" t="str">
        <f>+VLOOKUP(Tabla3[[#This Row],[PATENTE]],'BASE DATOS'!F:G,2,0)</f>
        <v xml:space="preserve">LAURIA (SERVAL) - AD575XK </v>
      </c>
      <c r="F495" s="584" t="str">
        <f>+VLOOKUP(Tabla3[[#This Row],[PATENTE]],'BASE DATOS'!F:H,3,0)</f>
        <v>8P</v>
      </c>
      <c r="G495" s="584" t="str">
        <f>+VLOOKUP(Tabla3[[#This Row],[PATENTE]],'BASE DATOS'!F:I,4,0)</f>
        <v>SI</v>
      </c>
      <c r="H495" s="584" t="str">
        <f>+VLOOKUP(Tabla3[[#This Row],[PATENTE]],'BASE DATOS'!F:J,5,0)</f>
        <v>SI</v>
      </c>
      <c r="I495" s="584" t="str">
        <f>+VLOOKUP(Tabla3[[#This Row],[PATENTE]],'BASE DATOS'!F:K,6,0)</f>
        <v>NO</v>
      </c>
      <c r="J495" s="584">
        <f>+VLOOKUP(Tabla3[[#This Row],[PATENTE]],'BASE DATOS'!F:L,7,0)</f>
        <v>2019</v>
      </c>
      <c r="K495" s="619">
        <f>+VLOOKUP(Tabla3[[#This Row],[PATENTE]],'BASE DATOS'!F:M,8,0)</f>
        <v>6</v>
      </c>
      <c r="N495" s="826"/>
      <c r="O495" s="1015"/>
      <c r="P495" s="1015"/>
      <c r="Q495" s="1015"/>
      <c r="R495" s="965" t="str">
        <f t="shared" si="17"/>
        <v>-</v>
      </c>
    </row>
    <row r="496" spans="1:18" hidden="1">
      <c r="A496" s="578" t="s">
        <v>904</v>
      </c>
      <c r="B496" s="584">
        <v>4</v>
      </c>
      <c r="C496" s="588">
        <v>45901</v>
      </c>
      <c r="D496" s="583">
        <f t="shared" si="18"/>
        <v>36</v>
      </c>
      <c r="E496" s="618" t="str">
        <f>+VLOOKUP(Tabla3[[#This Row],[PATENTE]],'BASE DATOS'!F:G,2,0)</f>
        <v xml:space="preserve">ENRIQUE ROLLINO - DFO656 </v>
      </c>
      <c r="F496" s="584" t="str">
        <f>+VLOOKUP(Tabla3[[#This Row],[PATENTE]],'BASE DATOS'!F:H,3,0)</f>
        <v>6P</v>
      </c>
      <c r="G496" s="584" t="str">
        <f>+VLOOKUP(Tabla3[[#This Row],[PATENTE]],'BASE DATOS'!F:I,4,0)</f>
        <v>SI</v>
      </c>
      <c r="H496" s="584" t="str">
        <f>+VLOOKUP(Tabla3[[#This Row],[PATENTE]],'BASE DATOS'!F:J,5,0)</f>
        <v>SI</v>
      </c>
      <c r="I496" s="584" t="str">
        <f>+VLOOKUP(Tabla3[[#This Row],[PATENTE]],'BASE DATOS'!F:K,6,0)</f>
        <v>NO</v>
      </c>
      <c r="J496" s="584">
        <f>+VLOOKUP(Tabla3[[#This Row],[PATENTE]],'BASE DATOS'!F:L,7,0)</f>
        <v>2000</v>
      </c>
      <c r="K496" s="619">
        <f>+VLOOKUP(Tabla3[[#This Row],[PATENTE]],'BASE DATOS'!F:M,8,0)</f>
        <v>25</v>
      </c>
      <c r="N496" s="826"/>
      <c r="O496" s="1015"/>
      <c r="P496" s="1015"/>
      <c r="Q496" s="1015"/>
      <c r="R496" s="965" t="str">
        <f t="shared" si="17"/>
        <v>-</v>
      </c>
    </row>
    <row r="497" spans="1:18" hidden="1">
      <c r="A497" s="578" t="s">
        <v>925</v>
      </c>
      <c r="B497" s="584">
        <v>4</v>
      </c>
      <c r="C497" s="588">
        <v>45901</v>
      </c>
      <c r="D497" s="583">
        <f t="shared" si="18"/>
        <v>36</v>
      </c>
      <c r="E497" s="618" t="str">
        <f>+VLOOKUP(Tabla3[[#This Row],[PATENTE]],'BASE DATOS'!F:G,2,0)</f>
        <v xml:space="preserve">TRANSP MAIDANA FACUNDO - KOW745 </v>
      </c>
      <c r="F497" s="584" t="str">
        <f>+VLOOKUP(Tabla3[[#This Row],[PATENTE]],'BASE DATOS'!F:H,3,0)</f>
        <v>8P</v>
      </c>
      <c r="G497" s="584" t="str">
        <f>+VLOOKUP(Tabla3[[#This Row],[PATENTE]],'BASE DATOS'!F:I,4,0)</f>
        <v>SI</v>
      </c>
      <c r="H497" s="584" t="str">
        <f>+VLOOKUP(Tabla3[[#This Row],[PATENTE]],'BASE DATOS'!F:J,5,0)</f>
        <v>SI</v>
      </c>
      <c r="I497" s="584" t="str">
        <f>+VLOOKUP(Tabla3[[#This Row],[PATENTE]],'BASE DATOS'!F:K,6,0)</f>
        <v>NO</v>
      </c>
      <c r="J497" s="584">
        <f>+VLOOKUP(Tabla3[[#This Row],[PATENTE]],'BASE DATOS'!F:L,7,0)</f>
        <v>2012</v>
      </c>
      <c r="K497" s="619">
        <f>+VLOOKUP(Tabla3[[#This Row],[PATENTE]],'BASE DATOS'!F:M,8,0)</f>
        <v>13</v>
      </c>
      <c r="N497" s="826"/>
      <c r="O497" s="1015"/>
      <c r="P497" s="1015"/>
      <c r="Q497" s="1015"/>
      <c r="R497" s="965" t="str">
        <f t="shared" si="17"/>
        <v>-</v>
      </c>
    </row>
    <row r="498" spans="1:18" hidden="1">
      <c r="A498" s="578" t="s">
        <v>920</v>
      </c>
      <c r="B498" s="584">
        <v>4</v>
      </c>
      <c r="C498" s="588">
        <v>45901</v>
      </c>
      <c r="D498" s="583">
        <f t="shared" ref="D498:D516" si="19">+WEEKNUM(C498)</f>
        <v>36</v>
      </c>
      <c r="E498" s="618" t="str">
        <f>+VLOOKUP(Tabla3[[#This Row],[PATENTE]],'BASE DATOS'!F:G,2,0)</f>
        <v xml:space="preserve">TRANSP LAGOS - MRV682 </v>
      </c>
      <c r="F498" s="584" t="str">
        <f>+VLOOKUP(Tabla3[[#This Row],[PATENTE]],'BASE DATOS'!F:H,3,0)</f>
        <v>8P</v>
      </c>
      <c r="G498" s="584" t="str">
        <f>+VLOOKUP(Tabla3[[#This Row],[PATENTE]],'BASE DATOS'!F:I,4,0)</f>
        <v>SI</v>
      </c>
      <c r="H498" s="584" t="str">
        <f>+VLOOKUP(Tabla3[[#This Row],[PATENTE]],'BASE DATOS'!F:J,5,0)</f>
        <v>SI</v>
      </c>
      <c r="I498" s="584" t="str">
        <f>+VLOOKUP(Tabla3[[#This Row],[PATENTE]],'BASE DATOS'!F:K,6,0)</f>
        <v>NO</v>
      </c>
      <c r="J498" s="584">
        <f>+VLOOKUP(Tabla3[[#This Row],[PATENTE]],'BASE DATOS'!F:L,7,0)</f>
        <v>2013</v>
      </c>
      <c r="K498" s="619">
        <f>+VLOOKUP(Tabla3[[#This Row],[PATENTE]],'BASE DATOS'!F:M,8,0)</f>
        <v>12</v>
      </c>
      <c r="N498" s="826"/>
      <c r="O498" s="1015"/>
      <c r="P498" s="1015"/>
      <c r="Q498" s="1015"/>
      <c r="R498" s="965" t="str">
        <f t="shared" si="17"/>
        <v>-</v>
      </c>
    </row>
    <row r="499" spans="1:18" hidden="1">
      <c r="A499" s="578" t="s">
        <v>923</v>
      </c>
      <c r="B499" s="584">
        <v>3</v>
      </c>
      <c r="C499" s="588">
        <v>45901</v>
      </c>
      <c r="D499" s="583">
        <f t="shared" si="19"/>
        <v>36</v>
      </c>
      <c r="E499" s="618" t="str">
        <f>+VLOOKUP(Tabla3[[#This Row],[PATENTE]],'BASE DATOS'!F:G,2,0)</f>
        <v xml:space="preserve">TRANSPORTE GENA GAIA - DLP830 </v>
      </c>
      <c r="F499" s="584" t="str">
        <f>+VLOOKUP(Tabla3[[#This Row],[PATENTE]],'BASE DATOS'!F:H,3,0)</f>
        <v>24P</v>
      </c>
      <c r="G499" s="584" t="str">
        <f>+VLOOKUP(Tabla3[[#This Row],[PATENTE]],'BASE DATOS'!F:I,4,0)</f>
        <v>Gestya</v>
      </c>
      <c r="H499" s="584" t="str">
        <f>+VLOOKUP(Tabla3[[#This Row],[PATENTE]],'BASE DATOS'!F:J,5,0)</f>
        <v xml:space="preserve">NO </v>
      </c>
      <c r="I499" s="584" t="str">
        <f>+VLOOKUP(Tabla3[[#This Row],[PATENTE]],'BASE DATOS'!F:K,6,0)</f>
        <v>NO</v>
      </c>
      <c r="J499" s="584">
        <f>+VLOOKUP(Tabla3[[#This Row],[PATENTE]],'BASE DATOS'!F:L,7,0)</f>
        <v>2001</v>
      </c>
      <c r="K499" s="619">
        <f>+VLOOKUP(Tabla3[[#This Row],[PATENTE]],'BASE DATOS'!F:M,8,0)</f>
        <v>24</v>
      </c>
      <c r="N499" s="826"/>
      <c r="O499" s="1015"/>
      <c r="P499" s="1015"/>
      <c r="Q499" s="1015"/>
      <c r="R499" s="965" t="str">
        <f t="shared" si="17"/>
        <v>-</v>
      </c>
    </row>
    <row r="500" spans="1:18" hidden="1">
      <c r="A500" s="578" t="s">
        <v>926</v>
      </c>
      <c r="B500" s="584">
        <v>3</v>
      </c>
      <c r="C500" s="588">
        <v>45901</v>
      </c>
      <c r="D500" s="583">
        <f t="shared" si="19"/>
        <v>36</v>
      </c>
      <c r="E500" s="618" t="str">
        <f>+VLOOKUP(Tabla3[[#This Row],[PATENTE]],'BASE DATOS'!F:G,2,0)</f>
        <v xml:space="preserve">TRANSPORTE GENA GAIA - DUF042 </v>
      </c>
      <c r="F500" s="584" t="str">
        <f>+VLOOKUP(Tabla3[[#This Row],[PATENTE]],'BASE DATOS'!F:H,3,0)</f>
        <v>24P</v>
      </c>
      <c r="G500" s="584" t="str">
        <f>+VLOOKUP(Tabla3[[#This Row],[PATENTE]],'BASE DATOS'!F:I,4,0)</f>
        <v>Gestya</v>
      </c>
      <c r="H500" s="584" t="str">
        <f>+VLOOKUP(Tabla3[[#This Row],[PATENTE]],'BASE DATOS'!F:J,5,0)</f>
        <v xml:space="preserve">NO </v>
      </c>
      <c r="I500" s="584" t="str">
        <f>+VLOOKUP(Tabla3[[#This Row],[PATENTE]],'BASE DATOS'!F:K,6,0)</f>
        <v>NO</v>
      </c>
      <c r="J500" s="584">
        <f>+VLOOKUP(Tabla3[[#This Row],[PATENTE]],'BASE DATOS'!F:L,7,0)</f>
        <v>2001</v>
      </c>
      <c r="K500" s="619">
        <f>+VLOOKUP(Tabla3[[#This Row],[PATENTE]],'BASE DATOS'!F:M,8,0)</f>
        <v>24</v>
      </c>
      <c r="N500" s="826"/>
      <c r="O500" s="1015"/>
      <c r="P500" s="1015"/>
      <c r="Q500" s="1015"/>
      <c r="R500" s="965" t="str">
        <f t="shared" si="17"/>
        <v>-</v>
      </c>
    </row>
    <row r="501" spans="1:18" hidden="1">
      <c r="A501" s="578" t="s">
        <v>1154</v>
      </c>
      <c r="B501" s="584">
        <v>3</v>
      </c>
      <c r="C501" s="588">
        <v>45901</v>
      </c>
      <c r="D501" s="583">
        <f t="shared" si="19"/>
        <v>36</v>
      </c>
      <c r="E501" s="618" t="str">
        <f>+VLOOKUP(Tabla3[[#This Row],[PATENTE]],'BASE DATOS'!F:G,2,0)</f>
        <v>DON NENO - 2P</v>
      </c>
      <c r="F501" s="584" t="str">
        <f>+VLOOKUP(Tabla3[[#This Row],[PATENTE]],'BASE DATOS'!F:H,3,0)</f>
        <v>8P</v>
      </c>
      <c r="G501" s="584" t="str">
        <f>+VLOOKUP(Tabla3[[#This Row],[PATENTE]],'BASE DATOS'!F:I,4,0)</f>
        <v>SI</v>
      </c>
      <c r="H501" s="584" t="str">
        <f>+VLOOKUP(Tabla3[[#This Row],[PATENTE]],'BASE DATOS'!F:J,5,0)</f>
        <v xml:space="preserve">NO </v>
      </c>
      <c r="I501" s="584" t="str">
        <f>+VLOOKUP(Tabla3[[#This Row],[PATENTE]],'BASE DATOS'!F:K,6,0)</f>
        <v>NO</v>
      </c>
      <c r="J501" s="584">
        <f>+VLOOKUP(Tabla3[[#This Row],[PATENTE]],'BASE DATOS'!F:L,7,0)</f>
        <v>2008</v>
      </c>
      <c r="K501" s="619">
        <f>+VLOOKUP(Tabla3[[#This Row],[PATENTE]],'BASE DATOS'!F:M,8,0)</f>
        <v>17</v>
      </c>
      <c r="N501" s="826"/>
      <c r="O501" s="1015"/>
      <c r="P501" s="1015"/>
      <c r="Q501" s="1015"/>
      <c r="R501" s="965" t="str">
        <f t="shared" si="17"/>
        <v>-</v>
      </c>
    </row>
    <row r="502" spans="1:18" hidden="1">
      <c r="A502" s="578" t="s">
        <v>933</v>
      </c>
      <c r="B502" s="584">
        <v>3</v>
      </c>
      <c r="C502" s="588">
        <v>45901</v>
      </c>
      <c r="D502" s="583">
        <f t="shared" si="19"/>
        <v>36</v>
      </c>
      <c r="E502" s="618" t="str">
        <f>+VLOOKUP(Tabla3[[#This Row],[PATENTE]],'BASE DATOS'!F:G,2,0)</f>
        <v xml:space="preserve">TRANSPORTE GENA GAIA - IKE806 </v>
      </c>
      <c r="F502" s="584" t="str">
        <f>+VLOOKUP(Tabla3[[#This Row],[PATENTE]],'BASE DATOS'!F:H,3,0)</f>
        <v>24P</v>
      </c>
      <c r="G502" s="584" t="str">
        <f>+VLOOKUP(Tabla3[[#This Row],[PATENTE]],'BASE DATOS'!F:I,4,0)</f>
        <v>Gestya</v>
      </c>
      <c r="H502" s="584" t="str">
        <f>+VLOOKUP(Tabla3[[#This Row],[PATENTE]],'BASE DATOS'!F:J,5,0)</f>
        <v xml:space="preserve">NO </v>
      </c>
      <c r="I502" s="584" t="str">
        <f>+VLOOKUP(Tabla3[[#This Row],[PATENTE]],'BASE DATOS'!F:K,6,0)</f>
        <v>NO</v>
      </c>
      <c r="J502" s="584">
        <f>+VLOOKUP(Tabla3[[#This Row],[PATENTE]],'BASE DATOS'!F:L,7,0)</f>
        <v>2010</v>
      </c>
      <c r="K502" s="619">
        <f>+VLOOKUP(Tabla3[[#This Row],[PATENTE]],'BASE DATOS'!F:M,8,0)</f>
        <v>15</v>
      </c>
      <c r="N502" s="826"/>
      <c r="O502" s="1015"/>
      <c r="P502" s="1015"/>
      <c r="Q502" s="1015"/>
      <c r="R502" s="965" t="str">
        <f t="shared" si="17"/>
        <v>-</v>
      </c>
    </row>
    <row r="503" spans="1:18" hidden="1">
      <c r="A503" s="578" t="s">
        <v>900</v>
      </c>
      <c r="B503" s="584">
        <v>3</v>
      </c>
      <c r="C503" s="588">
        <v>45901</v>
      </c>
      <c r="D503" s="583">
        <f t="shared" si="19"/>
        <v>36</v>
      </c>
      <c r="E503" s="618" t="str">
        <f>+VLOOKUP(Tabla3[[#This Row],[PATENTE]],'BASE DATOS'!F:G,2,0)</f>
        <v>TRANSPORTE GENA GAIA - IMO939</v>
      </c>
      <c r="F503" s="584" t="str">
        <f>+VLOOKUP(Tabla3[[#This Row],[PATENTE]],'BASE DATOS'!F:H,3,0)</f>
        <v>24P</v>
      </c>
      <c r="G503" s="584" t="str">
        <f>+VLOOKUP(Tabla3[[#This Row],[PATENTE]],'BASE DATOS'!F:I,4,0)</f>
        <v>Gestya</v>
      </c>
      <c r="H503" s="584" t="str">
        <f>+VLOOKUP(Tabla3[[#This Row],[PATENTE]],'BASE DATOS'!F:J,5,0)</f>
        <v xml:space="preserve">NO </v>
      </c>
      <c r="I503" s="584" t="str">
        <f>+VLOOKUP(Tabla3[[#This Row],[PATENTE]],'BASE DATOS'!F:K,6,0)</f>
        <v>NO</v>
      </c>
      <c r="J503" s="584">
        <f>+VLOOKUP(Tabla3[[#This Row],[PATENTE]],'BASE DATOS'!F:L,7,0)</f>
        <v>2010</v>
      </c>
      <c r="K503" s="619">
        <f>+VLOOKUP(Tabla3[[#This Row],[PATENTE]],'BASE DATOS'!F:M,8,0)</f>
        <v>15</v>
      </c>
      <c r="N503" s="826"/>
      <c r="O503" s="1015"/>
      <c r="P503" s="1015"/>
      <c r="Q503" s="1015"/>
      <c r="R503" s="965" t="str">
        <f t="shared" si="17"/>
        <v>-</v>
      </c>
    </row>
    <row r="504" spans="1:18" hidden="1">
      <c r="A504" s="577" t="s">
        <v>896</v>
      </c>
      <c r="B504" s="584">
        <v>3</v>
      </c>
      <c r="C504" s="588">
        <v>45901</v>
      </c>
      <c r="D504" s="583">
        <f t="shared" si="19"/>
        <v>36</v>
      </c>
      <c r="E504" s="618" t="str">
        <f>+VLOOKUP(Tabla3[[#This Row],[PATENTE]],'BASE DATOS'!F:G,2,0)</f>
        <v xml:space="preserve">TRANSP MAVIR - RHQ609 </v>
      </c>
      <c r="F504" s="584" t="str">
        <f>+VLOOKUP(Tabla3[[#This Row],[PATENTE]],'BASE DATOS'!F:H,3,0)</f>
        <v>10P</v>
      </c>
      <c r="G504" s="584" t="str">
        <f>+VLOOKUP(Tabla3[[#This Row],[PATENTE]],'BASE DATOS'!F:I,4,0)</f>
        <v>NO</v>
      </c>
      <c r="H504" s="584" t="str">
        <f>+VLOOKUP(Tabla3[[#This Row],[PATENTE]],'BASE DATOS'!F:J,5,0)</f>
        <v xml:space="preserve">NO </v>
      </c>
      <c r="I504" s="584" t="str">
        <f>+VLOOKUP(Tabla3[[#This Row],[PATENTE]],'BASE DATOS'!F:K,6,0)</f>
        <v>NO</v>
      </c>
      <c r="J504" s="584">
        <f>+VLOOKUP(Tabla3[[#This Row],[PATENTE]],'BASE DATOS'!F:L,7,0)</f>
        <v>1995</v>
      </c>
      <c r="K504" s="593">
        <v>0</v>
      </c>
      <c r="N504" s="826"/>
      <c r="O504" s="1015"/>
      <c r="P504" s="1015"/>
      <c r="Q504" s="1015"/>
      <c r="R504" s="965" t="str">
        <f t="shared" si="17"/>
        <v>-</v>
      </c>
    </row>
    <row r="505" spans="1:18" hidden="1">
      <c r="A505" s="578" t="s">
        <v>912</v>
      </c>
      <c r="B505" s="584">
        <v>2</v>
      </c>
      <c r="C505" s="588">
        <v>45901</v>
      </c>
      <c r="D505" s="583">
        <f t="shared" si="19"/>
        <v>36</v>
      </c>
      <c r="E505" s="618" t="str">
        <f>+VLOOKUP(Tabla3[[#This Row],[PATENTE]],'BASE DATOS'!F:G,2,0)</f>
        <v xml:space="preserve">PACHECO JULIO - AC028WN </v>
      </c>
      <c r="F505" s="584" t="str">
        <f>+VLOOKUP(Tabla3[[#This Row],[PATENTE]],'BASE DATOS'!F:H,3,0)</f>
        <v>8P</v>
      </c>
      <c r="G505" s="584" t="str">
        <f>+VLOOKUP(Tabla3[[#This Row],[PATENTE]],'BASE DATOS'!F:I,4,0)</f>
        <v>SI</v>
      </c>
      <c r="H505" s="584" t="str">
        <f>+VLOOKUP(Tabla3[[#This Row],[PATENTE]],'BASE DATOS'!F:J,5,0)</f>
        <v>SI</v>
      </c>
      <c r="I505" s="584" t="str">
        <f>+VLOOKUP(Tabla3[[#This Row],[PATENTE]],'BASE DATOS'!F:K,6,0)</f>
        <v>SI</v>
      </c>
      <c r="J505" s="584">
        <f>+VLOOKUP(Tabla3[[#This Row],[PATENTE]],'BASE DATOS'!F:L,7,0)</f>
        <v>2017</v>
      </c>
      <c r="K505" s="619">
        <f>+VLOOKUP(Tabla3[[#This Row],[PATENTE]],'BASE DATOS'!F:M,8,0)</f>
        <v>8</v>
      </c>
      <c r="N505" s="826"/>
      <c r="O505" s="1015"/>
      <c r="P505" s="1015"/>
      <c r="Q505" s="1015"/>
      <c r="R505" s="965" t="str">
        <f t="shared" si="17"/>
        <v>-</v>
      </c>
    </row>
    <row r="506" spans="1:18" hidden="1">
      <c r="A506" s="578" t="s">
        <v>916</v>
      </c>
      <c r="B506" s="584">
        <v>2</v>
      </c>
      <c r="C506" s="588">
        <v>45901</v>
      </c>
      <c r="D506" s="583">
        <f t="shared" si="19"/>
        <v>36</v>
      </c>
      <c r="E506" s="618" t="str">
        <f>+VLOOKUP(Tabla3[[#This Row],[PATENTE]],'BASE DATOS'!F:G,2,0)</f>
        <v xml:space="preserve">TRANSP MAIDANA CARLOS - EYP088 </v>
      </c>
      <c r="F506" s="584" t="str">
        <f>+VLOOKUP(Tabla3[[#This Row],[PATENTE]],'BASE DATOS'!F:H,3,0)</f>
        <v>6P</v>
      </c>
      <c r="G506" s="584" t="str">
        <f>+VLOOKUP(Tabla3[[#This Row],[PATENTE]],'BASE DATOS'!F:I,4,0)</f>
        <v>SI</v>
      </c>
      <c r="H506" s="584" t="str">
        <f>+VLOOKUP(Tabla3[[#This Row],[PATENTE]],'BASE DATOS'!F:J,5,0)</f>
        <v>SI</v>
      </c>
      <c r="I506" s="584" t="str">
        <f>+VLOOKUP(Tabla3[[#This Row],[PATENTE]],'BASE DATOS'!F:K,6,0)</f>
        <v>NO</v>
      </c>
      <c r="J506" s="584">
        <f>+VLOOKUP(Tabla3[[#This Row],[PATENTE]],'BASE DATOS'!F:L,7,0)</f>
        <v>2006</v>
      </c>
      <c r="K506" s="619">
        <f>+VLOOKUP(Tabla3[[#This Row],[PATENTE]],'BASE DATOS'!F:M,8,0)</f>
        <v>19</v>
      </c>
      <c r="N506" s="826"/>
      <c r="O506" s="1015"/>
      <c r="P506" s="1015"/>
      <c r="Q506" s="1015"/>
      <c r="R506" s="965" t="str">
        <f t="shared" si="17"/>
        <v>-</v>
      </c>
    </row>
    <row r="507" spans="1:18" hidden="1">
      <c r="A507" s="578" t="s">
        <v>943</v>
      </c>
      <c r="B507" s="584">
        <v>2</v>
      </c>
      <c r="C507" s="588">
        <v>45901</v>
      </c>
      <c r="D507" s="583">
        <f t="shared" si="19"/>
        <v>36</v>
      </c>
      <c r="E507" s="618" t="str">
        <f>+VLOOKUP(Tabla3[[#This Row],[PATENTE]],'BASE DATOS'!F:G,2,0)</f>
        <v>GANZINI HUGO - KTJ626</v>
      </c>
      <c r="F507" s="584" t="str">
        <f>+VLOOKUP(Tabla3[[#This Row],[PATENTE]],'BASE DATOS'!F:H,3,0)</f>
        <v>8P</v>
      </c>
      <c r="G507" s="584" t="str">
        <f>+VLOOKUP(Tabla3[[#This Row],[PATENTE]],'BASE DATOS'!F:I,4,0)</f>
        <v>NO</v>
      </c>
      <c r="H507" s="584" t="str">
        <f>+VLOOKUP(Tabla3[[#This Row],[PATENTE]],'BASE DATOS'!F:J,5,0)</f>
        <v xml:space="preserve">NO </v>
      </c>
      <c r="I507" s="584" t="str">
        <f>+VLOOKUP(Tabla3[[#This Row],[PATENTE]],'BASE DATOS'!F:K,6,0)</f>
        <v>NO</v>
      </c>
      <c r="J507" s="584">
        <f>+VLOOKUP(Tabla3[[#This Row],[PATENTE]],'BASE DATOS'!F:L,7,0)</f>
        <v>2011</v>
      </c>
      <c r="K507" s="619">
        <f>+VLOOKUP(Tabla3[[#This Row],[PATENTE]],'BASE DATOS'!F:M,8,0)</f>
        <v>14</v>
      </c>
      <c r="N507" s="826"/>
      <c r="O507" s="1015"/>
      <c r="P507" s="1015"/>
      <c r="Q507" s="1015"/>
      <c r="R507" s="965" t="str">
        <f t="shared" si="17"/>
        <v>-</v>
      </c>
    </row>
    <row r="508" spans="1:18" hidden="1">
      <c r="A508" s="578" t="s">
        <v>877</v>
      </c>
      <c r="B508" s="584">
        <v>2</v>
      </c>
      <c r="C508" s="588">
        <v>45901</v>
      </c>
      <c r="D508" s="583">
        <f t="shared" si="19"/>
        <v>36</v>
      </c>
      <c r="E508" s="618" t="str">
        <f>+VLOOKUP(Tabla3[[#This Row],[PATENTE]],'BASE DATOS'!F:G,2,0)</f>
        <v>TRANSP MAIDANA CARLOS - OWA126</v>
      </c>
      <c r="F508" s="584" t="str">
        <f>+VLOOKUP(Tabla3[[#This Row],[PATENTE]],'BASE DATOS'!F:H,3,0)</f>
        <v>4P</v>
      </c>
      <c r="G508" s="584" t="str">
        <f>+VLOOKUP(Tabla3[[#This Row],[PATENTE]],'BASE DATOS'!F:I,4,0)</f>
        <v>SI</v>
      </c>
      <c r="H508" s="584" t="str">
        <f>+VLOOKUP(Tabla3[[#This Row],[PATENTE]],'BASE DATOS'!F:J,5,0)</f>
        <v>SI</v>
      </c>
      <c r="I508" s="584" t="str">
        <f>+VLOOKUP(Tabla3[[#This Row],[PATENTE]],'BASE DATOS'!F:K,6,0)</f>
        <v>NO</v>
      </c>
      <c r="J508" s="584">
        <f>+VLOOKUP(Tabla3[[#This Row],[PATENTE]],'BASE DATOS'!F:L,7,0)</f>
        <v>2015</v>
      </c>
      <c r="K508" s="619">
        <f>+VLOOKUP(Tabla3[[#This Row],[PATENTE]],'BASE DATOS'!F:M,8,0)</f>
        <v>10</v>
      </c>
      <c r="N508" s="826"/>
      <c r="O508" s="1015"/>
      <c r="P508" s="1015"/>
      <c r="Q508" s="1015"/>
      <c r="R508" s="965" t="str">
        <f t="shared" si="17"/>
        <v>-</v>
      </c>
    </row>
    <row r="509" spans="1:18" hidden="1">
      <c r="A509" s="578" t="s">
        <v>1133</v>
      </c>
      <c r="B509" s="584">
        <v>1</v>
      </c>
      <c r="C509" s="588">
        <v>45901</v>
      </c>
      <c r="D509" s="583">
        <f t="shared" si="19"/>
        <v>36</v>
      </c>
      <c r="E509" s="618" t="str">
        <f>+VLOOKUP(Tabla3[[#This Row],[PATENTE]],'BASE DATOS'!F:G,2,0)</f>
        <v xml:space="preserve">BELLIMAR SRL - AB787MT </v>
      </c>
      <c r="F509" s="584" t="str">
        <f>+VLOOKUP(Tabla3[[#This Row],[PATENTE]],'BASE DATOS'!F:H,3,0)</f>
        <v>28P</v>
      </c>
      <c r="G509" s="584" t="str">
        <f>+VLOOKUP(Tabla3[[#This Row],[PATENTE]],'BASE DATOS'!F:I,4,0)</f>
        <v>NO</v>
      </c>
      <c r="H509" s="584" t="str">
        <f>+VLOOKUP(Tabla3[[#This Row],[PATENTE]],'BASE DATOS'!F:J,5,0)</f>
        <v xml:space="preserve">NO </v>
      </c>
      <c r="I509" s="584" t="str">
        <f>+VLOOKUP(Tabla3[[#This Row],[PATENTE]],'BASE DATOS'!F:K,6,0)</f>
        <v>NO</v>
      </c>
      <c r="J509" s="584">
        <f>+VLOOKUP(Tabla3[[#This Row],[PATENTE]],'BASE DATOS'!F:L,7,0)</f>
        <v>2017</v>
      </c>
      <c r="K509" s="619">
        <f>+VLOOKUP(Tabla3[[#This Row],[PATENTE]],'BASE DATOS'!F:M,8,0)</f>
        <v>8</v>
      </c>
      <c r="N509" s="826"/>
      <c r="O509" s="1015"/>
      <c r="P509" s="1015"/>
      <c r="Q509" s="1015"/>
      <c r="R509" s="965" t="str">
        <f t="shared" si="17"/>
        <v>-</v>
      </c>
    </row>
    <row r="510" spans="1:18" hidden="1">
      <c r="A510" s="578" t="s">
        <v>907</v>
      </c>
      <c r="B510" s="584">
        <v>1</v>
      </c>
      <c r="C510" s="588">
        <v>45901</v>
      </c>
      <c r="D510" s="583">
        <f t="shared" si="19"/>
        <v>36</v>
      </c>
      <c r="E510" s="618" t="str">
        <f>+VLOOKUP(Tabla3[[#This Row],[PATENTE]],'BASE DATOS'!F:G,2,0)</f>
        <v xml:space="preserve">LAURIA (SERVAL) - AH583GW </v>
      </c>
      <c r="F510" s="584" t="str">
        <f>+VLOOKUP(Tabla3[[#This Row],[PATENTE]],'BASE DATOS'!F:H,3,0)</f>
        <v>8P</v>
      </c>
      <c r="G510" s="584" t="str">
        <f>+VLOOKUP(Tabla3[[#This Row],[PATENTE]],'BASE DATOS'!F:I,4,0)</f>
        <v>SI</v>
      </c>
      <c r="H510" s="584" t="str">
        <f>+VLOOKUP(Tabla3[[#This Row],[PATENTE]],'BASE DATOS'!F:J,5,0)</f>
        <v>SI</v>
      </c>
      <c r="I510" s="584" t="str">
        <f>+VLOOKUP(Tabla3[[#This Row],[PATENTE]],'BASE DATOS'!F:K,6,0)</f>
        <v>NO</v>
      </c>
      <c r="J510" s="584">
        <f>+VLOOKUP(Tabla3[[#This Row],[PATENTE]],'BASE DATOS'!F:L,7,0)</f>
        <v>2025</v>
      </c>
      <c r="K510" s="619">
        <f>+VLOOKUP(Tabla3[[#This Row],[PATENTE]],'BASE DATOS'!F:M,8,0)</f>
        <v>0</v>
      </c>
      <c r="N510" s="826"/>
      <c r="O510" s="1015"/>
      <c r="P510" s="1015"/>
      <c r="Q510" s="1015"/>
      <c r="R510" s="965" t="str">
        <f t="shared" si="17"/>
        <v>-</v>
      </c>
    </row>
    <row r="511" spans="1:18" hidden="1">
      <c r="A511" s="578" t="s">
        <v>929</v>
      </c>
      <c r="B511" s="584">
        <v>1</v>
      </c>
      <c r="C511" s="588">
        <v>45901</v>
      </c>
      <c r="D511" s="583">
        <f t="shared" si="19"/>
        <v>36</v>
      </c>
      <c r="E511" s="618" t="str">
        <f>+VLOOKUP(Tabla3[[#This Row],[PATENTE]],'BASE DATOS'!F:G,2,0)</f>
        <v xml:space="preserve">PRONTOMAR - BAI674 </v>
      </c>
      <c r="F511" s="584" t="str">
        <f>+VLOOKUP(Tabla3[[#This Row],[PATENTE]],'BASE DATOS'!F:H,3,0)</f>
        <v>14P</v>
      </c>
      <c r="G511" s="584" t="str">
        <f>+VLOOKUP(Tabla3[[#This Row],[PATENTE]],'BASE DATOS'!F:I,4,0)</f>
        <v>NO</v>
      </c>
      <c r="H511" s="584" t="str">
        <f>+VLOOKUP(Tabla3[[#This Row],[PATENTE]],'BASE DATOS'!F:J,5,0)</f>
        <v xml:space="preserve">NO </v>
      </c>
      <c r="I511" s="584" t="str">
        <f>+VLOOKUP(Tabla3[[#This Row],[PATENTE]],'BASE DATOS'!F:K,6,0)</f>
        <v>NO</v>
      </c>
      <c r="J511" s="584">
        <f>+VLOOKUP(Tabla3[[#This Row],[PATENTE]],'BASE DATOS'!F:L,7,0)</f>
        <v>1996</v>
      </c>
      <c r="K511" s="619">
        <f>+VLOOKUP(Tabla3[[#This Row],[PATENTE]],'BASE DATOS'!F:M,8,0)</f>
        <v>29</v>
      </c>
      <c r="N511" s="826"/>
      <c r="O511" s="1015"/>
      <c r="P511" s="1015"/>
      <c r="Q511" s="1015"/>
      <c r="R511" s="1024" t="str">
        <f t="shared" si="17"/>
        <v>-</v>
      </c>
    </row>
    <row r="512" spans="1:18" hidden="1">
      <c r="A512" s="578" t="s">
        <v>944</v>
      </c>
      <c r="B512" s="584">
        <v>1</v>
      </c>
      <c r="C512" s="588">
        <v>45901</v>
      </c>
      <c r="D512" s="583">
        <f t="shared" si="19"/>
        <v>36</v>
      </c>
      <c r="E512" s="618" t="str">
        <f>+VLOOKUP(Tabla3[[#This Row],[PATENTE]],'BASE DATOS'!F:G,2,0)</f>
        <v xml:space="preserve">TRANSPORTE GENA GAIA - BHG261 </v>
      </c>
      <c r="F512" s="584" t="str">
        <f>+VLOOKUP(Tabla3[[#This Row],[PATENTE]],'BASE DATOS'!F:H,3,0)</f>
        <v>26P</v>
      </c>
      <c r="G512" s="584" t="str">
        <f>+VLOOKUP(Tabla3[[#This Row],[PATENTE]],'BASE DATOS'!F:I,4,0)</f>
        <v>Gestya</v>
      </c>
      <c r="H512" s="584" t="str">
        <f>+VLOOKUP(Tabla3[[#This Row],[PATENTE]],'BASE DATOS'!F:J,5,0)</f>
        <v xml:space="preserve">NO </v>
      </c>
      <c r="I512" s="584" t="str">
        <f>+VLOOKUP(Tabla3[[#This Row],[PATENTE]],'BASE DATOS'!F:K,6,0)</f>
        <v>NO</v>
      </c>
      <c r="J512" s="584">
        <f>+VLOOKUP(Tabla3[[#This Row],[PATENTE]],'BASE DATOS'!F:L,7,0)</f>
        <v>1997</v>
      </c>
      <c r="K512" s="619">
        <f>+VLOOKUP(Tabla3[[#This Row],[PATENTE]],'BASE DATOS'!F:M,8,0)</f>
        <v>28</v>
      </c>
      <c r="N512" s="826"/>
      <c r="O512" s="1015"/>
      <c r="P512" s="1015"/>
      <c r="Q512" s="1015"/>
      <c r="R512" s="1024" t="str">
        <f t="shared" si="17"/>
        <v>-</v>
      </c>
    </row>
    <row r="513" spans="1:18" hidden="1">
      <c r="A513" s="578" t="s">
        <v>946</v>
      </c>
      <c r="B513" s="584">
        <v>1</v>
      </c>
      <c r="C513" s="588">
        <v>45901</v>
      </c>
      <c r="D513" s="583">
        <f t="shared" si="19"/>
        <v>36</v>
      </c>
      <c r="E513" s="618" t="str">
        <f>+VLOOKUP(Tabla3[[#This Row],[PATENTE]],'BASE DATOS'!F:G,2,0)</f>
        <v xml:space="preserve">PRONTOMAR - DFE635 </v>
      </c>
      <c r="F513" s="584" t="str">
        <f>+VLOOKUP(Tabla3[[#This Row],[PATENTE]],'BASE DATOS'!F:H,3,0)</f>
        <v>14P</v>
      </c>
      <c r="G513" s="584" t="str">
        <f>+VLOOKUP(Tabla3[[#This Row],[PATENTE]],'BASE DATOS'!F:I,4,0)</f>
        <v>NO</v>
      </c>
      <c r="H513" s="584" t="str">
        <f>+VLOOKUP(Tabla3[[#This Row],[PATENTE]],'BASE DATOS'!F:J,5,0)</f>
        <v xml:space="preserve">NO </v>
      </c>
      <c r="I513" s="584" t="str">
        <f>+VLOOKUP(Tabla3[[#This Row],[PATENTE]],'BASE DATOS'!F:K,6,0)</f>
        <v>NO</v>
      </c>
      <c r="J513" s="584">
        <f>+VLOOKUP(Tabla3[[#This Row],[PATENTE]],'BASE DATOS'!F:L,7,0)</f>
        <v>2000</v>
      </c>
      <c r="K513" s="619">
        <f>+VLOOKUP(Tabla3[[#This Row],[PATENTE]],'BASE DATOS'!F:M,8,0)</f>
        <v>25</v>
      </c>
      <c r="N513" s="826"/>
      <c r="O513" s="1015"/>
      <c r="P513" s="1015"/>
      <c r="Q513" s="1015"/>
      <c r="R513" s="1024" t="str">
        <f t="shared" si="17"/>
        <v>-</v>
      </c>
    </row>
    <row r="514" spans="1:18" hidden="1">
      <c r="A514" s="578" t="s">
        <v>892</v>
      </c>
      <c r="B514" s="584">
        <v>1</v>
      </c>
      <c r="C514" s="588">
        <v>45901</v>
      </c>
      <c r="D514" s="583">
        <f t="shared" si="19"/>
        <v>36</v>
      </c>
      <c r="E514" s="618" t="str">
        <f>+VLOOKUP(Tabla3[[#This Row],[PATENTE]],'BASE DATOS'!F:G,2,0)</f>
        <v xml:space="preserve">COLO - FTL525 </v>
      </c>
      <c r="F514" s="584" t="str">
        <f>+VLOOKUP(Tabla3[[#This Row],[PATENTE]],'BASE DATOS'!F:H,3,0)</f>
        <v>1P</v>
      </c>
      <c r="G514" s="584" t="str">
        <f>+VLOOKUP(Tabla3[[#This Row],[PATENTE]],'BASE DATOS'!F:I,4,0)</f>
        <v>NO</v>
      </c>
      <c r="H514" s="584" t="str">
        <f>+VLOOKUP(Tabla3[[#This Row],[PATENTE]],'BASE DATOS'!F:J,5,0)</f>
        <v>SI</v>
      </c>
      <c r="I514" s="584" t="str">
        <f>+VLOOKUP(Tabla3[[#This Row],[PATENTE]],'BASE DATOS'!F:K,6,0)</f>
        <v>NO</v>
      </c>
      <c r="J514" s="584">
        <f>+VLOOKUP(Tabla3[[#This Row],[PATENTE]],'BASE DATOS'!F:L,7,0)</f>
        <v>2008</v>
      </c>
      <c r="K514" s="619">
        <f>+VLOOKUP(Tabla3[[#This Row],[PATENTE]],'BASE DATOS'!F:M,8,0)</f>
        <v>17</v>
      </c>
      <c r="N514" s="826"/>
      <c r="O514" s="1015"/>
      <c r="P514" s="1015"/>
      <c r="Q514" s="1015"/>
      <c r="R514" s="1024" t="str">
        <f t="shared" ref="R514:R577" si="20">IFERROR(AVERAGE(O514:Q514),"-")</f>
        <v>-</v>
      </c>
    </row>
    <row r="515" spans="1:18" hidden="1">
      <c r="A515" s="578" t="s">
        <v>889</v>
      </c>
      <c r="B515" s="584">
        <v>1</v>
      </c>
      <c r="C515" s="588">
        <v>45901</v>
      </c>
      <c r="D515" s="583">
        <f t="shared" si="19"/>
        <v>36</v>
      </c>
      <c r="E515" s="618" t="str">
        <f>+VLOOKUP(Tabla3[[#This Row],[PATENTE]],'BASE DATOS'!F:G,2,0)</f>
        <v xml:space="preserve">COLO - HAW164 </v>
      </c>
      <c r="F515" s="584" t="str">
        <f>+VLOOKUP(Tabla3[[#This Row],[PATENTE]],'BASE DATOS'!F:H,3,0)</f>
        <v>6P</v>
      </c>
      <c r="G515" s="584" t="str">
        <f>+VLOOKUP(Tabla3[[#This Row],[PATENTE]],'BASE DATOS'!F:I,4,0)</f>
        <v>NO</v>
      </c>
      <c r="H515" s="584" t="str">
        <f>+VLOOKUP(Tabla3[[#This Row],[PATENTE]],'BASE DATOS'!F:J,5,0)</f>
        <v>SI</v>
      </c>
      <c r="I515" s="584" t="str">
        <f>+VLOOKUP(Tabla3[[#This Row],[PATENTE]],'BASE DATOS'!F:K,6,0)</f>
        <v>NO</v>
      </c>
      <c r="J515" s="584">
        <f>+VLOOKUP(Tabla3[[#This Row],[PATENTE]],'BASE DATOS'!F:L,7,0)</f>
        <v>2009</v>
      </c>
      <c r="K515" s="619">
        <f>+VLOOKUP(Tabla3[[#This Row],[PATENTE]],'BASE DATOS'!F:M,8,0)</f>
        <v>16</v>
      </c>
      <c r="N515" s="826"/>
      <c r="O515" s="1015"/>
      <c r="P515" s="1015"/>
      <c r="Q515" s="1015"/>
      <c r="R515" s="1024" t="str">
        <f t="shared" si="20"/>
        <v>-</v>
      </c>
    </row>
    <row r="516" spans="1:18" hidden="1">
      <c r="A516" s="578" t="s">
        <v>928</v>
      </c>
      <c r="B516" s="584">
        <v>1</v>
      </c>
      <c r="C516" s="588">
        <v>45901</v>
      </c>
      <c r="D516" s="583">
        <f t="shared" si="19"/>
        <v>36</v>
      </c>
      <c r="E516" s="618" t="str">
        <f>+VLOOKUP(Tabla3[[#This Row],[PATENTE]],'BASE DATOS'!F:G,2,0)</f>
        <v xml:space="preserve">GANZINI HUGO - HEF181 </v>
      </c>
      <c r="F516" s="584" t="str">
        <f>+VLOOKUP(Tabla3[[#This Row],[PATENTE]],'BASE DATOS'!F:H,3,0)</f>
        <v>12P</v>
      </c>
      <c r="G516" s="584" t="str">
        <f>+VLOOKUP(Tabla3[[#This Row],[PATENTE]],'BASE DATOS'!F:I,4,0)</f>
        <v>NO</v>
      </c>
      <c r="H516" s="584" t="str">
        <f>+VLOOKUP(Tabla3[[#This Row],[PATENTE]],'BASE DATOS'!F:J,5,0)</f>
        <v xml:space="preserve">NO </v>
      </c>
      <c r="I516" s="584" t="str">
        <f>+VLOOKUP(Tabla3[[#This Row],[PATENTE]],'BASE DATOS'!F:K,6,0)</f>
        <v>NO</v>
      </c>
      <c r="J516" s="584">
        <f>+VLOOKUP(Tabla3[[#This Row],[PATENTE]],'BASE DATOS'!F:L,7,0)</f>
        <v>2008</v>
      </c>
      <c r="K516" s="619">
        <f>+VLOOKUP(Tabla3[[#This Row],[PATENTE]],'BASE DATOS'!F:M,8,0)</f>
        <v>17</v>
      </c>
      <c r="N516" s="826"/>
      <c r="O516" s="1015"/>
      <c r="P516" s="1015"/>
      <c r="Q516" s="1015"/>
      <c r="R516" s="1024" t="str">
        <f t="shared" si="20"/>
        <v>-</v>
      </c>
    </row>
    <row r="517" spans="1:18" hidden="1">
      <c r="A517" s="578" t="s">
        <v>898</v>
      </c>
      <c r="B517" s="584">
        <v>7</v>
      </c>
      <c r="C517" s="589">
        <v>45908</v>
      </c>
      <c r="D517" s="582">
        <v>37</v>
      </c>
      <c r="E517" s="618" t="str">
        <f>+VLOOKUP(Tabla3[[#This Row],[PATENTE]],'BASE DATOS'!F:G,2,0)</f>
        <v xml:space="preserve">TRANSP BERMEJO - NXP980 </v>
      </c>
      <c r="F517" s="584" t="str">
        <f>+VLOOKUP(Tabla3[[#This Row],[PATENTE]],'BASE DATOS'!F:H,3,0)</f>
        <v>12P</v>
      </c>
      <c r="G517" s="584" t="str">
        <f>+VLOOKUP(Tabla3[[#This Row],[PATENTE]],'BASE DATOS'!F:I,4,0)</f>
        <v>SI</v>
      </c>
      <c r="H517" s="584" t="str">
        <f>+VLOOKUP(Tabla3[[#This Row],[PATENTE]],'BASE DATOS'!F:J,5,0)</f>
        <v>SI</v>
      </c>
      <c r="I517" s="584" t="str">
        <f>+VLOOKUP(Tabla3[[#This Row],[PATENTE]],'BASE DATOS'!F:K,6,0)</f>
        <v>SI</v>
      </c>
      <c r="J517" s="584">
        <f>+VLOOKUP(Tabla3[[#This Row],[PATENTE]],'BASE DATOS'!F:L,7,0)</f>
        <v>2015</v>
      </c>
      <c r="K517" s="619">
        <f>+VLOOKUP(Tabla3[[#This Row],[PATENTE]],'BASE DATOS'!F:M,8,0)</f>
        <v>10</v>
      </c>
      <c r="N517" s="826"/>
      <c r="O517" s="1015"/>
      <c r="P517" s="1015"/>
      <c r="Q517" s="1015"/>
      <c r="R517" s="1024" t="str">
        <f t="shared" si="20"/>
        <v>-</v>
      </c>
    </row>
    <row r="518" spans="1:18" hidden="1">
      <c r="A518" s="578" t="s">
        <v>884</v>
      </c>
      <c r="B518" s="584">
        <v>6</v>
      </c>
      <c r="C518" s="589">
        <v>45908</v>
      </c>
      <c r="D518" s="582">
        <v>37</v>
      </c>
      <c r="E518" s="618" t="str">
        <f>+VLOOKUP(Tabla3[[#This Row],[PATENTE]],'BASE DATOS'!F:G,2,0)</f>
        <v xml:space="preserve">LAURIA (SERVAL) - AB233IT </v>
      </c>
      <c r="F518" s="584" t="str">
        <f>+VLOOKUP(Tabla3[[#This Row],[PATENTE]],'BASE DATOS'!F:H,3,0)</f>
        <v>6P</v>
      </c>
      <c r="G518" s="584" t="str">
        <f>+VLOOKUP(Tabla3[[#This Row],[PATENTE]],'BASE DATOS'!F:I,4,0)</f>
        <v>SI</v>
      </c>
      <c r="H518" s="584" t="str">
        <f>+VLOOKUP(Tabla3[[#This Row],[PATENTE]],'BASE DATOS'!F:J,5,0)</f>
        <v>SI</v>
      </c>
      <c r="I518" s="584" t="str">
        <f>+VLOOKUP(Tabla3[[#This Row],[PATENTE]],'BASE DATOS'!F:K,6,0)</f>
        <v>NO</v>
      </c>
      <c r="J518" s="584">
        <f>+VLOOKUP(Tabla3[[#This Row],[PATENTE]],'BASE DATOS'!F:L,7,0)</f>
        <v>2017</v>
      </c>
      <c r="K518" s="619">
        <f>+VLOOKUP(Tabla3[[#This Row],[PATENTE]],'BASE DATOS'!F:M,8,0)</f>
        <v>8</v>
      </c>
      <c r="N518" s="826"/>
      <c r="O518" s="1015"/>
      <c r="P518" s="1015"/>
      <c r="Q518" s="1015"/>
      <c r="R518" s="1024" t="str">
        <f t="shared" si="20"/>
        <v>-</v>
      </c>
    </row>
    <row r="519" spans="1:18" hidden="1">
      <c r="A519" s="581" t="s">
        <v>883</v>
      </c>
      <c r="B519" s="587">
        <v>6</v>
      </c>
      <c r="C519" s="589">
        <v>45908</v>
      </c>
      <c r="D519" s="582">
        <v>37</v>
      </c>
      <c r="E519" s="620" t="str">
        <f>+VLOOKUP(Tabla3[[#This Row],[PATENTE]],'BASE DATOS'!F:G,2,0)</f>
        <v xml:space="preserve">PACHECO JULIO - ACI503 </v>
      </c>
      <c r="F519" s="587" t="str">
        <f>+VLOOKUP(Tabla3[[#This Row],[PATENTE]],'BASE DATOS'!F:H,3,0)</f>
        <v>12P</v>
      </c>
      <c r="G519" s="587" t="str">
        <f>+VLOOKUP(Tabla3[[#This Row],[PATENTE]],'BASE DATOS'!F:I,4,0)</f>
        <v>NO</v>
      </c>
      <c r="H519" s="584" t="str">
        <f>+VLOOKUP(Tabla3[[#This Row],[PATENTE]],'BASE DATOS'!F:J,5,0)</f>
        <v>SI</v>
      </c>
      <c r="I519" s="587" t="str">
        <f>+VLOOKUP(Tabla3[[#This Row],[PATENTE]],'BASE DATOS'!F:K,6,0)</f>
        <v>SI</v>
      </c>
      <c r="J519" s="587">
        <f>+VLOOKUP(Tabla3[[#This Row],[PATENTE]],'BASE DATOS'!F:L,7,0)</f>
        <v>2000</v>
      </c>
      <c r="K519" s="621">
        <f>+VLOOKUP(Tabla3[[#This Row],[PATENTE]],'BASE DATOS'!F:M,8,0)</f>
        <v>25</v>
      </c>
      <c r="N519" s="826"/>
      <c r="O519" s="1015"/>
      <c r="P519" s="1015"/>
      <c r="Q519" s="1015"/>
      <c r="R519" s="1024" t="str">
        <f t="shared" si="20"/>
        <v>-</v>
      </c>
    </row>
    <row r="520" spans="1:18" hidden="1">
      <c r="A520" s="581" t="s">
        <v>895</v>
      </c>
      <c r="B520" s="587">
        <v>6</v>
      </c>
      <c r="C520" s="589">
        <v>45908</v>
      </c>
      <c r="D520" s="583">
        <f t="shared" ref="D520:D551" si="21">+WEEKNUM(C520)</f>
        <v>37</v>
      </c>
      <c r="E520" s="620" t="str">
        <f>+VLOOKUP(Tabla3[[#This Row],[PATENTE]],'BASE DATOS'!F:G,2,0)</f>
        <v xml:space="preserve">TRANSPORTE MICAELA </v>
      </c>
      <c r="F520" s="587" t="str">
        <f>+VLOOKUP(Tabla3[[#This Row],[PATENTE]],'BASE DATOS'!F:H,3,0)</f>
        <v>2P</v>
      </c>
      <c r="G520" s="587" t="str">
        <f>+VLOOKUP(Tabla3[[#This Row],[PATENTE]],'BASE DATOS'!F:I,4,0)</f>
        <v>NO</v>
      </c>
      <c r="H520" s="584" t="str">
        <f>+VLOOKUP(Tabla3[[#This Row],[PATENTE]],'BASE DATOS'!F:J,5,0)</f>
        <v>SI</v>
      </c>
      <c r="I520" s="587" t="str">
        <f>+VLOOKUP(Tabla3[[#This Row],[PATENTE]],'BASE DATOS'!F:K,6,0)</f>
        <v>NO</v>
      </c>
      <c r="J520" s="587">
        <f>+VLOOKUP(Tabla3[[#This Row],[PATENTE]],'BASE DATOS'!F:L,7,0)</f>
        <v>2024</v>
      </c>
      <c r="K520" s="621">
        <f>+VLOOKUP(Tabla3[[#This Row],[PATENTE]],'BASE DATOS'!F:M,8,0)</f>
        <v>1</v>
      </c>
      <c r="N520" s="826"/>
      <c r="O520" s="1015"/>
      <c r="P520" s="1015"/>
      <c r="Q520" s="1015"/>
      <c r="R520" s="1024" t="str">
        <f t="shared" si="20"/>
        <v>-</v>
      </c>
    </row>
    <row r="521" spans="1:18" hidden="1">
      <c r="A521" s="578" t="s">
        <v>932</v>
      </c>
      <c r="B521" s="584">
        <v>6</v>
      </c>
      <c r="C521" s="589">
        <v>45908</v>
      </c>
      <c r="D521" s="582">
        <f t="shared" si="21"/>
        <v>37</v>
      </c>
      <c r="E521" s="618" t="str">
        <f>+VLOOKUP(Tabla3[[#This Row],[PATENTE]],'BASE DATOS'!F:G,2,0)</f>
        <v xml:space="preserve">TRANSP MAVIR - EFL176 </v>
      </c>
      <c r="F521" s="584" t="str">
        <f>+VLOOKUP(Tabla3[[#This Row],[PATENTE]],'BASE DATOS'!F:H,3,0)</f>
        <v>12P</v>
      </c>
      <c r="G521" s="584" t="str">
        <f>+VLOOKUP(Tabla3[[#This Row],[PATENTE]],'BASE DATOS'!F:I,4,0)</f>
        <v>SI</v>
      </c>
      <c r="H521" s="584" t="str">
        <f>+VLOOKUP(Tabla3[[#This Row],[PATENTE]],'BASE DATOS'!F:J,5,0)</f>
        <v>SI</v>
      </c>
      <c r="I521" s="584" t="str">
        <f>+VLOOKUP(Tabla3[[#This Row],[PATENTE]],'BASE DATOS'!F:K,6,0)</f>
        <v>NO</v>
      </c>
      <c r="J521" s="584">
        <f>+VLOOKUP(Tabla3[[#This Row],[PATENTE]],'BASE DATOS'!F:L,7,0)</f>
        <v>1998</v>
      </c>
      <c r="K521" s="619">
        <f>+VLOOKUP(Tabla3[[#This Row],[PATENTE]],'BASE DATOS'!F:M,8,0)</f>
        <v>27</v>
      </c>
      <c r="N521" s="826"/>
      <c r="O521" s="1015"/>
      <c r="P521" s="1015"/>
      <c r="Q521" s="1015"/>
      <c r="R521" s="1024" t="str">
        <f t="shared" si="20"/>
        <v>-</v>
      </c>
    </row>
    <row r="522" spans="1:18" hidden="1">
      <c r="A522" s="578" t="s">
        <v>891</v>
      </c>
      <c r="B522" s="584">
        <v>6</v>
      </c>
      <c r="C522" s="589">
        <v>45908</v>
      </c>
      <c r="D522" s="582">
        <f t="shared" si="21"/>
        <v>37</v>
      </c>
      <c r="E522" s="618" t="str">
        <f>+VLOOKUP(Tabla3[[#This Row],[PATENTE]],'BASE DATOS'!F:G,2,0)</f>
        <v xml:space="preserve">GANZINI HUGO - HHA085 </v>
      </c>
      <c r="F522" s="584" t="str">
        <f>+VLOOKUP(Tabla3[[#This Row],[PATENTE]],'BASE DATOS'!F:H,3,0)</f>
        <v>2P</v>
      </c>
      <c r="G522" s="584" t="str">
        <f>+VLOOKUP(Tabla3[[#This Row],[PATENTE]],'BASE DATOS'!F:I,4,0)</f>
        <v>SI</v>
      </c>
      <c r="H522" s="584" t="str">
        <f>+VLOOKUP(Tabla3[[#This Row],[PATENTE]],'BASE DATOS'!F:J,5,0)</f>
        <v>SI</v>
      </c>
      <c r="I522" s="584" t="str">
        <f>+VLOOKUP(Tabla3[[#This Row],[PATENTE]],'BASE DATOS'!F:K,6,0)</f>
        <v>NO</v>
      </c>
      <c r="J522" s="584">
        <f>+VLOOKUP(Tabla3[[#This Row],[PATENTE]],'BASE DATOS'!F:L,7,0)</f>
        <v>2008</v>
      </c>
      <c r="K522" s="619">
        <f>+VLOOKUP(Tabla3[[#This Row],[PATENTE]],'BASE DATOS'!F:M,8,0)</f>
        <v>17</v>
      </c>
      <c r="N522" s="826"/>
      <c r="O522" s="1015"/>
      <c r="P522" s="1015"/>
      <c r="Q522" s="1015"/>
      <c r="R522" s="1024" t="str">
        <f t="shared" si="20"/>
        <v>-</v>
      </c>
    </row>
    <row r="523" spans="1:18" hidden="1">
      <c r="A523" s="578" t="s">
        <v>933</v>
      </c>
      <c r="B523" s="584">
        <v>6</v>
      </c>
      <c r="C523" s="589">
        <v>45908</v>
      </c>
      <c r="D523" s="582">
        <f t="shared" si="21"/>
        <v>37</v>
      </c>
      <c r="E523" s="618" t="str">
        <f>+VLOOKUP(Tabla3[[#This Row],[PATENTE]],'BASE DATOS'!F:G,2,0)</f>
        <v xml:space="preserve">TRANSPORTE GENA GAIA - IKE806 </v>
      </c>
      <c r="F523" s="584" t="str">
        <f>+VLOOKUP(Tabla3[[#This Row],[PATENTE]],'BASE DATOS'!F:H,3,0)</f>
        <v>24P</v>
      </c>
      <c r="G523" s="584" t="str">
        <f>+VLOOKUP(Tabla3[[#This Row],[PATENTE]],'BASE DATOS'!F:I,4,0)</f>
        <v>Gestya</v>
      </c>
      <c r="H523" s="584" t="str">
        <f>+VLOOKUP(Tabla3[[#This Row],[PATENTE]],'BASE DATOS'!F:J,5,0)</f>
        <v xml:space="preserve">NO </v>
      </c>
      <c r="I523" s="584" t="str">
        <f>+VLOOKUP(Tabla3[[#This Row],[PATENTE]],'BASE DATOS'!F:K,6,0)</f>
        <v>NO</v>
      </c>
      <c r="J523" s="584">
        <f>+VLOOKUP(Tabla3[[#This Row],[PATENTE]],'BASE DATOS'!F:L,7,0)</f>
        <v>2010</v>
      </c>
      <c r="K523" s="619">
        <f>+VLOOKUP(Tabla3[[#This Row],[PATENTE]],'BASE DATOS'!F:M,8,0)</f>
        <v>15</v>
      </c>
      <c r="N523" s="826"/>
      <c r="O523" s="1015"/>
      <c r="P523" s="1015"/>
      <c r="Q523" s="1015"/>
      <c r="R523" s="1024" t="str">
        <f t="shared" si="20"/>
        <v>-</v>
      </c>
    </row>
    <row r="524" spans="1:18" hidden="1">
      <c r="A524" s="578" t="s">
        <v>902</v>
      </c>
      <c r="B524" s="584">
        <v>6</v>
      </c>
      <c r="C524" s="589">
        <v>45908</v>
      </c>
      <c r="D524" s="582">
        <f t="shared" si="21"/>
        <v>37</v>
      </c>
      <c r="E524" s="618" t="str">
        <f>+VLOOKUP(Tabla3[[#This Row],[PATENTE]],'BASE DATOS'!F:G,2,0)</f>
        <v xml:space="preserve">GUSTAVO CERQUETTA - KZA644 </v>
      </c>
      <c r="F524" s="584" t="str">
        <f>+VLOOKUP(Tabla3[[#This Row],[PATENTE]],'BASE DATOS'!F:H,3,0)</f>
        <v>2P</v>
      </c>
      <c r="G524" s="584" t="str">
        <f>+VLOOKUP(Tabla3[[#This Row],[PATENTE]],'BASE DATOS'!F:I,4,0)</f>
        <v>NO</v>
      </c>
      <c r="H524" s="584" t="str">
        <f>+VLOOKUP(Tabla3[[#This Row],[PATENTE]],'BASE DATOS'!F:J,5,0)</f>
        <v>SI</v>
      </c>
      <c r="I524" s="584" t="str">
        <f>+VLOOKUP(Tabla3[[#This Row],[PATENTE]],'BASE DATOS'!F:K,6,0)</f>
        <v>NO</v>
      </c>
      <c r="J524" s="584">
        <f>+VLOOKUP(Tabla3[[#This Row],[PATENTE]],'BASE DATOS'!F:L,7,0)</f>
        <v>2012</v>
      </c>
      <c r="K524" s="619">
        <f>+VLOOKUP(Tabla3[[#This Row],[PATENTE]],'BASE DATOS'!F:M,8,0)</f>
        <v>13</v>
      </c>
      <c r="N524" s="826"/>
      <c r="O524" s="1015"/>
      <c r="P524" s="1015"/>
      <c r="Q524" s="1015"/>
      <c r="R524" s="1024" t="str">
        <f t="shared" si="20"/>
        <v>-</v>
      </c>
    </row>
    <row r="525" spans="1:18" hidden="1">
      <c r="A525" s="578" t="s">
        <v>897</v>
      </c>
      <c r="B525" s="584">
        <v>6</v>
      </c>
      <c r="C525" s="589">
        <v>45908</v>
      </c>
      <c r="D525" s="582">
        <f t="shared" si="21"/>
        <v>37</v>
      </c>
      <c r="E525" s="618" t="str">
        <f>+VLOOKUP(Tabla3[[#This Row],[PATENTE]],'BASE DATOS'!F:G,2,0)</f>
        <v xml:space="preserve">TRANSP CLAUDIO BUSTOS - LSG801 </v>
      </c>
      <c r="F525" s="584" t="str">
        <f>+VLOOKUP(Tabla3[[#This Row],[PATENTE]],'BASE DATOS'!F:H,3,0)</f>
        <v>2P</v>
      </c>
      <c r="G525" s="584" t="str">
        <f>+VLOOKUP(Tabla3[[#This Row],[PATENTE]],'BASE DATOS'!F:I,4,0)</f>
        <v>SI</v>
      </c>
      <c r="H525" s="584" t="str">
        <f>+VLOOKUP(Tabla3[[#This Row],[PATENTE]],'BASE DATOS'!F:J,5,0)</f>
        <v>SI</v>
      </c>
      <c r="I525" s="584" t="str">
        <f>+VLOOKUP(Tabla3[[#This Row],[PATENTE]],'BASE DATOS'!F:K,6,0)</f>
        <v>NO</v>
      </c>
      <c r="J525" s="584">
        <f>+VLOOKUP(Tabla3[[#This Row],[PATENTE]],'BASE DATOS'!F:L,7,0)</f>
        <v>2013</v>
      </c>
      <c r="K525" s="619">
        <f>+VLOOKUP(Tabla3[[#This Row],[PATENTE]],'BASE DATOS'!F:M,8,0)</f>
        <v>12</v>
      </c>
      <c r="N525" s="826"/>
      <c r="O525" s="1015"/>
      <c r="P525" s="1015"/>
      <c r="Q525" s="1015"/>
      <c r="R525" s="1024" t="str">
        <f t="shared" si="20"/>
        <v>-</v>
      </c>
    </row>
    <row r="526" spans="1:18" hidden="1">
      <c r="A526" s="578" t="s">
        <v>919</v>
      </c>
      <c r="B526" s="584">
        <v>5</v>
      </c>
      <c r="C526" s="589">
        <v>45908</v>
      </c>
      <c r="D526" s="582">
        <f t="shared" si="21"/>
        <v>37</v>
      </c>
      <c r="E526" s="618" t="str">
        <f>+VLOOKUP(Tabla3[[#This Row],[PATENTE]],'BASE DATOS'!F:G,2,0)</f>
        <v xml:space="preserve">GUSTAVO CERQUETTA - AA427LT </v>
      </c>
      <c r="F526" s="584" t="str">
        <f>+VLOOKUP(Tabla3[[#This Row],[PATENTE]],'BASE DATOS'!F:H,3,0)</f>
        <v>1P</v>
      </c>
      <c r="G526" s="584" t="str">
        <f>+VLOOKUP(Tabla3[[#This Row],[PATENTE]],'BASE DATOS'!F:I,4,0)</f>
        <v>NO</v>
      </c>
      <c r="H526" s="584" t="str">
        <f>+VLOOKUP(Tabla3[[#This Row],[PATENTE]],'BASE DATOS'!F:J,5,0)</f>
        <v>SI</v>
      </c>
      <c r="I526" s="584" t="str">
        <f>+VLOOKUP(Tabla3[[#This Row],[PATENTE]],'BASE DATOS'!F:K,6,0)</f>
        <v>NO</v>
      </c>
      <c r="J526" s="584">
        <f>+VLOOKUP(Tabla3[[#This Row],[PATENTE]],'BASE DATOS'!F:L,7,0)</f>
        <v>2016</v>
      </c>
      <c r="K526" s="619">
        <f>+VLOOKUP(Tabla3[[#This Row],[PATENTE]],'BASE DATOS'!F:M,8,0)</f>
        <v>9</v>
      </c>
      <c r="N526" s="826"/>
      <c r="O526" s="1015"/>
      <c r="P526" s="1015"/>
      <c r="Q526" s="1015"/>
      <c r="R526" s="1024" t="str">
        <f t="shared" si="20"/>
        <v>-</v>
      </c>
    </row>
    <row r="527" spans="1:18" hidden="1">
      <c r="A527" s="578" t="s">
        <v>905</v>
      </c>
      <c r="B527" s="584">
        <v>5</v>
      </c>
      <c r="C527" s="589">
        <v>45908</v>
      </c>
      <c r="D527" s="582">
        <f t="shared" si="21"/>
        <v>37</v>
      </c>
      <c r="E527" s="618" t="str">
        <f>+VLOOKUP(Tabla3[[#This Row],[PATENTE]],'BASE DATOS'!F:G,2,0)</f>
        <v xml:space="preserve">J RIMOLDI - AB312SE </v>
      </c>
      <c r="F527" s="584" t="str">
        <f>+VLOOKUP(Tabla3[[#This Row],[PATENTE]],'BASE DATOS'!F:H,3,0)</f>
        <v>8P</v>
      </c>
      <c r="G527" s="584" t="str">
        <f>+VLOOKUP(Tabla3[[#This Row],[PATENTE]],'BASE DATOS'!F:I,4,0)</f>
        <v>SI</v>
      </c>
      <c r="H527" s="584" t="str">
        <f>+VLOOKUP(Tabla3[[#This Row],[PATENTE]],'BASE DATOS'!F:J,5,0)</f>
        <v>SI</v>
      </c>
      <c r="I527" s="584" t="str">
        <f>+VLOOKUP(Tabla3[[#This Row],[PATENTE]],'BASE DATOS'!F:K,6,0)</f>
        <v>NO</v>
      </c>
      <c r="J527" s="584">
        <f>+VLOOKUP(Tabla3[[#This Row],[PATENTE]],'BASE DATOS'!F:L,7,0)</f>
        <v>2017</v>
      </c>
      <c r="K527" s="619">
        <f>+VLOOKUP(Tabla3[[#This Row],[PATENTE]],'BASE DATOS'!F:M,8,0)</f>
        <v>8</v>
      </c>
      <c r="N527" s="826"/>
      <c r="O527" s="1015"/>
      <c r="P527" s="1015"/>
      <c r="Q527" s="1015"/>
      <c r="R527" s="1024" t="str">
        <f t="shared" si="20"/>
        <v>-</v>
      </c>
    </row>
    <row r="528" spans="1:18" hidden="1">
      <c r="A528" s="578" t="s">
        <v>890</v>
      </c>
      <c r="B528" s="584">
        <v>5</v>
      </c>
      <c r="C528" s="589">
        <v>45908</v>
      </c>
      <c r="D528" s="582">
        <f t="shared" si="21"/>
        <v>37</v>
      </c>
      <c r="E528" s="618" t="str">
        <f>+VLOOKUP(Tabla3[[#This Row],[PATENTE]],'BASE DATOS'!F:G,2,0)</f>
        <v xml:space="preserve">TRANSPORTE GRACIELA - AC040RO </v>
      </c>
      <c r="F528" s="584" t="str">
        <f>+VLOOKUP(Tabla3[[#This Row],[PATENTE]],'BASE DATOS'!F:H,3,0)</f>
        <v>1P</v>
      </c>
      <c r="G528" s="584" t="str">
        <f>+VLOOKUP(Tabla3[[#This Row],[PATENTE]],'BASE DATOS'!F:I,4,0)</f>
        <v>SI</v>
      </c>
      <c r="H528" s="584" t="str">
        <f>+VLOOKUP(Tabla3[[#This Row],[PATENTE]],'BASE DATOS'!F:J,5,0)</f>
        <v>ACEPTA( VER CAMI)</v>
      </c>
      <c r="I528" s="584" t="str">
        <f>+VLOOKUP(Tabla3[[#This Row],[PATENTE]],'BASE DATOS'!F:K,6,0)</f>
        <v>NO</v>
      </c>
      <c r="J528" s="584">
        <f>+VLOOKUP(Tabla3[[#This Row],[PATENTE]],'BASE DATOS'!F:L,7,0)</f>
        <v>2017</v>
      </c>
      <c r="K528" s="619">
        <f>+VLOOKUP(Tabla3[[#This Row],[PATENTE]],'BASE DATOS'!F:M,8,0)</f>
        <v>8</v>
      </c>
      <c r="N528" s="826"/>
      <c r="O528" s="1015"/>
      <c r="P528" s="1015"/>
      <c r="Q528" s="1015"/>
      <c r="R528" s="1024" t="str">
        <f t="shared" si="20"/>
        <v>-</v>
      </c>
    </row>
    <row r="529" spans="1:18" hidden="1">
      <c r="A529" s="578" t="s">
        <v>880</v>
      </c>
      <c r="B529" s="584">
        <v>5</v>
      </c>
      <c r="C529" s="589">
        <v>45908</v>
      </c>
      <c r="D529" s="582">
        <f t="shared" si="21"/>
        <v>37</v>
      </c>
      <c r="E529" s="618" t="str">
        <f>+VLOOKUP(Tabla3[[#This Row],[PATENTE]],'BASE DATOS'!F:G,2,0)</f>
        <v xml:space="preserve">LAURIA (SERVAL) - AD575XK </v>
      </c>
      <c r="F529" s="584" t="str">
        <f>+VLOOKUP(Tabla3[[#This Row],[PATENTE]],'BASE DATOS'!F:H,3,0)</f>
        <v>8P</v>
      </c>
      <c r="G529" s="584" t="str">
        <f>+VLOOKUP(Tabla3[[#This Row],[PATENTE]],'BASE DATOS'!F:I,4,0)</f>
        <v>SI</v>
      </c>
      <c r="H529" s="584" t="str">
        <f>+VLOOKUP(Tabla3[[#This Row],[PATENTE]],'BASE DATOS'!F:J,5,0)</f>
        <v>SI</v>
      </c>
      <c r="I529" s="584" t="str">
        <f>+VLOOKUP(Tabla3[[#This Row],[PATENTE]],'BASE DATOS'!F:K,6,0)</f>
        <v>NO</v>
      </c>
      <c r="J529" s="584">
        <f>+VLOOKUP(Tabla3[[#This Row],[PATENTE]],'BASE DATOS'!F:L,7,0)</f>
        <v>2019</v>
      </c>
      <c r="K529" s="619">
        <f>+VLOOKUP(Tabla3[[#This Row],[PATENTE]],'BASE DATOS'!F:M,8,0)</f>
        <v>6</v>
      </c>
      <c r="N529" s="826"/>
      <c r="O529" s="1015"/>
      <c r="P529" s="1015"/>
      <c r="Q529" s="1015"/>
      <c r="R529" s="1024" t="str">
        <f t="shared" si="20"/>
        <v>-</v>
      </c>
    </row>
    <row r="530" spans="1:18" hidden="1">
      <c r="A530" s="578" t="s">
        <v>903</v>
      </c>
      <c r="B530" s="584">
        <v>5</v>
      </c>
      <c r="C530" s="589">
        <v>45908</v>
      </c>
      <c r="D530" s="582">
        <f t="shared" si="21"/>
        <v>37</v>
      </c>
      <c r="E530" s="618" t="str">
        <f>+VLOOKUP(Tabla3[[#This Row],[PATENTE]],'BASE DATOS'!F:G,2,0)</f>
        <v xml:space="preserve">TRANSP CLAUDIO BUSTOS - AG243PE </v>
      </c>
      <c r="F530" s="584" t="str">
        <f>+VLOOKUP(Tabla3[[#This Row],[PATENTE]],'BASE DATOS'!F:H,3,0)</f>
        <v>1P</v>
      </c>
      <c r="G530" s="584" t="str">
        <f>+VLOOKUP(Tabla3[[#This Row],[PATENTE]],'BASE DATOS'!F:I,4,0)</f>
        <v>SI</v>
      </c>
      <c r="H530" s="584" t="str">
        <f>+VLOOKUP(Tabla3[[#This Row],[PATENTE]],'BASE DATOS'!F:J,5,0)</f>
        <v>SI</v>
      </c>
      <c r="I530" s="584" t="str">
        <f>+VLOOKUP(Tabla3[[#This Row],[PATENTE]],'BASE DATOS'!F:K,6,0)</f>
        <v>NO</v>
      </c>
      <c r="J530" s="584">
        <f>+VLOOKUP(Tabla3[[#This Row],[PATENTE]],'BASE DATOS'!F:L,7,0)</f>
        <v>2024</v>
      </c>
      <c r="K530" s="619">
        <f>+VLOOKUP(Tabla3[[#This Row],[PATENTE]],'BASE DATOS'!F:M,8,0)</f>
        <v>1</v>
      </c>
      <c r="N530" s="826"/>
      <c r="O530" s="1015"/>
      <c r="P530" s="1015"/>
      <c r="Q530" s="1015"/>
      <c r="R530" s="1024" t="str">
        <f t="shared" si="20"/>
        <v>-</v>
      </c>
    </row>
    <row r="531" spans="1:18" hidden="1">
      <c r="A531" s="578" t="s">
        <v>887</v>
      </c>
      <c r="B531" s="584">
        <v>5</v>
      </c>
      <c r="C531" s="589">
        <v>45908</v>
      </c>
      <c r="D531" s="582">
        <f t="shared" si="21"/>
        <v>37</v>
      </c>
      <c r="E531" s="618" t="str">
        <f>+VLOOKUP(Tabla3[[#This Row],[PATENTE]],'BASE DATOS'!F:G,2,0)</f>
        <v>ENRIQUE ROLLINO - BXB394</v>
      </c>
      <c r="F531" s="584" t="str">
        <f>+VLOOKUP(Tabla3[[#This Row],[PATENTE]],'BASE DATOS'!F:H,3,0)</f>
        <v>2P</v>
      </c>
      <c r="G531" s="584" t="str">
        <f>+VLOOKUP(Tabla3[[#This Row],[PATENTE]],'BASE DATOS'!F:I,4,0)</f>
        <v>SI</v>
      </c>
      <c r="H531" s="584" t="str">
        <f>+VLOOKUP(Tabla3[[#This Row],[PATENTE]],'BASE DATOS'!F:J,5,0)</f>
        <v>SI</v>
      </c>
      <c r="I531" s="584" t="str">
        <f>+VLOOKUP(Tabla3[[#This Row],[PATENTE]],'BASE DATOS'!F:K,6,0)</f>
        <v>NO</v>
      </c>
      <c r="J531" s="584">
        <f>+VLOOKUP(Tabla3[[#This Row],[PATENTE]],'BASE DATOS'!F:L,7,0)</f>
        <v>1998</v>
      </c>
      <c r="K531" s="619">
        <f>+VLOOKUP(Tabla3[[#This Row],[PATENTE]],'BASE DATOS'!F:M,8,0)</f>
        <v>27</v>
      </c>
      <c r="N531" s="826"/>
      <c r="O531" s="1015"/>
      <c r="P531" s="1015"/>
      <c r="Q531" s="1015"/>
      <c r="R531" s="1024" t="str">
        <f t="shared" si="20"/>
        <v>-</v>
      </c>
    </row>
    <row r="532" spans="1:18" hidden="1">
      <c r="A532" s="578" t="s">
        <v>904</v>
      </c>
      <c r="B532" s="584">
        <v>5</v>
      </c>
      <c r="C532" s="589">
        <v>45908</v>
      </c>
      <c r="D532" s="582">
        <f t="shared" si="21"/>
        <v>37</v>
      </c>
      <c r="E532" s="618" t="str">
        <f>+VLOOKUP(Tabla3[[#This Row],[PATENTE]],'BASE DATOS'!F:G,2,0)</f>
        <v xml:space="preserve">ENRIQUE ROLLINO - DFO656 </v>
      </c>
      <c r="F532" s="584" t="str">
        <f>+VLOOKUP(Tabla3[[#This Row],[PATENTE]],'BASE DATOS'!F:H,3,0)</f>
        <v>6P</v>
      </c>
      <c r="G532" s="584" t="str">
        <f>+VLOOKUP(Tabla3[[#This Row],[PATENTE]],'BASE DATOS'!F:I,4,0)</f>
        <v>SI</v>
      </c>
      <c r="H532" s="584" t="str">
        <f>+VLOOKUP(Tabla3[[#This Row],[PATENTE]],'BASE DATOS'!F:J,5,0)</f>
        <v>SI</v>
      </c>
      <c r="I532" s="584" t="str">
        <f>+VLOOKUP(Tabla3[[#This Row],[PATENTE]],'BASE DATOS'!F:K,6,0)</f>
        <v>NO</v>
      </c>
      <c r="J532" s="584">
        <f>+VLOOKUP(Tabla3[[#This Row],[PATENTE]],'BASE DATOS'!F:L,7,0)</f>
        <v>2000</v>
      </c>
      <c r="K532" s="619">
        <f>+VLOOKUP(Tabla3[[#This Row],[PATENTE]],'BASE DATOS'!F:M,8,0)</f>
        <v>25</v>
      </c>
      <c r="N532" s="826"/>
      <c r="O532" s="1015"/>
      <c r="P532" s="1015"/>
      <c r="Q532" s="1015"/>
      <c r="R532" s="1024" t="str">
        <f t="shared" si="20"/>
        <v>-</v>
      </c>
    </row>
    <row r="533" spans="1:18" hidden="1">
      <c r="A533" s="578" t="s">
        <v>881</v>
      </c>
      <c r="B533" s="584">
        <v>5</v>
      </c>
      <c r="C533" s="589">
        <v>45908</v>
      </c>
      <c r="D533" s="582">
        <f t="shared" si="21"/>
        <v>37</v>
      </c>
      <c r="E533" s="618" t="str">
        <f>+VLOOKUP(Tabla3[[#This Row],[PATENTE]],'BASE DATOS'!F:G,2,0)</f>
        <v xml:space="preserve">MAÑAS NORBERTO - DUQ686 </v>
      </c>
      <c r="F533" s="584" t="str">
        <f>+VLOOKUP(Tabla3[[#This Row],[PATENTE]],'BASE DATOS'!F:H,3,0)</f>
        <v>8P</v>
      </c>
      <c r="G533" s="584" t="str">
        <f>+VLOOKUP(Tabla3[[#This Row],[PATENTE]],'BASE DATOS'!F:I,4,0)</f>
        <v>SI</v>
      </c>
      <c r="H533" s="584" t="str">
        <f>+VLOOKUP(Tabla3[[#This Row],[PATENTE]],'BASE DATOS'!F:J,5,0)</f>
        <v>SI</v>
      </c>
      <c r="I533" s="584" t="str">
        <f>+VLOOKUP(Tabla3[[#This Row],[PATENTE]],'BASE DATOS'!F:K,6,0)</f>
        <v>NO</v>
      </c>
      <c r="J533" s="584">
        <f>+VLOOKUP(Tabla3[[#This Row],[PATENTE]],'BASE DATOS'!F:L,7,0)</f>
        <v>2001</v>
      </c>
      <c r="K533" s="619">
        <f>+VLOOKUP(Tabla3[[#This Row],[PATENTE]],'BASE DATOS'!F:M,8,0)</f>
        <v>24</v>
      </c>
      <c r="N533" s="826"/>
      <c r="O533" s="1015"/>
      <c r="P533" s="1015"/>
      <c r="Q533" s="1015"/>
      <c r="R533" s="1024" t="str">
        <f t="shared" si="20"/>
        <v>-</v>
      </c>
    </row>
    <row r="534" spans="1:18" hidden="1">
      <c r="A534" s="578" t="s">
        <v>915</v>
      </c>
      <c r="B534" s="584">
        <v>5</v>
      </c>
      <c r="C534" s="589">
        <v>45908</v>
      </c>
      <c r="D534" s="582">
        <f t="shared" si="21"/>
        <v>37</v>
      </c>
      <c r="E534" s="618" t="str">
        <f>+VLOOKUP(Tabla3[[#This Row],[PATENTE]],'BASE DATOS'!F:G,2,0)</f>
        <v>TRANSPORTE GRACIELA - FPL254</v>
      </c>
      <c r="F534" s="584" t="str">
        <f>+VLOOKUP(Tabla3[[#This Row],[PATENTE]],'BASE DATOS'!F:H,3,0)</f>
        <v>2P</v>
      </c>
      <c r="G534" s="584" t="str">
        <f>+VLOOKUP(Tabla3[[#This Row],[PATENTE]],'BASE DATOS'!F:I,4,0)</f>
        <v>SI</v>
      </c>
      <c r="H534" s="584" t="str">
        <f>+VLOOKUP(Tabla3[[#This Row],[PATENTE]],'BASE DATOS'!F:J,5,0)</f>
        <v>NO (CAMI)</v>
      </c>
      <c r="I534" s="584" t="str">
        <f>+VLOOKUP(Tabla3[[#This Row],[PATENTE]],'BASE DATOS'!F:K,6,0)</f>
        <v>NO</v>
      </c>
      <c r="J534" s="584">
        <f>+VLOOKUP(Tabla3[[#This Row],[PATENTE]],'BASE DATOS'!F:L,7,0)</f>
        <v>2012</v>
      </c>
      <c r="K534" s="619">
        <f>+VLOOKUP(Tabla3[[#This Row],[PATENTE]],'BASE DATOS'!F:M,8,0)</f>
        <v>13</v>
      </c>
      <c r="N534" s="826"/>
      <c r="O534" s="1015"/>
      <c r="P534" s="1015"/>
      <c r="Q534" s="1015"/>
      <c r="R534" s="1024" t="str">
        <f t="shared" si="20"/>
        <v>-</v>
      </c>
    </row>
    <row r="535" spans="1:18" hidden="1">
      <c r="A535" s="578" t="s">
        <v>889</v>
      </c>
      <c r="B535" s="584">
        <v>5</v>
      </c>
      <c r="C535" s="589">
        <v>45908</v>
      </c>
      <c r="D535" s="582">
        <f t="shared" si="21"/>
        <v>37</v>
      </c>
      <c r="E535" s="618" t="str">
        <f>+VLOOKUP(Tabla3[[#This Row],[PATENTE]],'BASE DATOS'!F:G,2,0)</f>
        <v xml:space="preserve">COLO - HAW164 </v>
      </c>
      <c r="F535" s="584" t="str">
        <f>+VLOOKUP(Tabla3[[#This Row],[PATENTE]],'BASE DATOS'!F:H,3,0)</f>
        <v>6P</v>
      </c>
      <c r="G535" s="584" t="str">
        <f>+VLOOKUP(Tabla3[[#This Row],[PATENTE]],'BASE DATOS'!F:I,4,0)</f>
        <v>NO</v>
      </c>
      <c r="H535" s="584" t="str">
        <f>+VLOOKUP(Tabla3[[#This Row],[PATENTE]],'BASE DATOS'!F:J,5,0)</f>
        <v>SI</v>
      </c>
      <c r="I535" s="584" t="str">
        <f>+VLOOKUP(Tabla3[[#This Row],[PATENTE]],'BASE DATOS'!F:K,6,0)</f>
        <v>NO</v>
      </c>
      <c r="J535" s="584">
        <f>+VLOOKUP(Tabla3[[#This Row],[PATENTE]],'BASE DATOS'!F:L,7,0)</f>
        <v>2009</v>
      </c>
      <c r="K535" s="619">
        <f>+VLOOKUP(Tabla3[[#This Row],[PATENTE]],'BASE DATOS'!F:M,8,0)</f>
        <v>16</v>
      </c>
      <c r="N535" s="826"/>
      <c r="O535" s="1015"/>
      <c r="P535" s="1015"/>
      <c r="Q535" s="1015"/>
      <c r="R535" s="1024" t="str">
        <f t="shared" si="20"/>
        <v>-</v>
      </c>
    </row>
    <row r="536" spans="1:18" hidden="1">
      <c r="A536" s="578" t="s">
        <v>885</v>
      </c>
      <c r="B536" s="584">
        <v>5</v>
      </c>
      <c r="C536" s="589">
        <v>45908</v>
      </c>
      <c r="D536" s="582">
        <f t="shared" si="21"/>
        <v>37</v>
      </c>
      <c r="E536" s="618" t="str">
        <f>+VLOOKUP(Tabla3[[#This Row],[PATENTE]],'BASE DATOS'!F:G,2,0)</f>
        <v xml:space="preserve">TRANSP DON NENO - IES288 </v>
      </c>
      <c r="F536" s="584" t="str">
        <f>+VLOOKUP(Tabla3[[#This Row],[PATENTE]],'BASE DATOS'!F:H,3,0)</f>
        <v>2P</v>
      </c>
      <c r="G536" s="584" t="str">
        <f>+VLOOKUP(Tabla3[[#This Row],[PATENTE]],'BASE DATOS'!F:I,4,0)</f>
        <v>SI</v>
      </c>
      <c r="H536" s="584" t="str">
        <f>+VLOOKUP(Tabla3[[#This Row],[PATENTE]],'BASE DATOS'!F:J,5,0)</f>
        <v>SI</v>
      </c>
      <c r="I536" s="584" t="str">
        <f>+VLOOKUP(Tabla3[[#This Row],[PATENTE]],'BASE DATOS'!F:K,6,0)</f>
        <v>NO</v>
      </c>
      <c r="J536" s="584">
        <f>+VLOOKUP(Tabla3[[#This Row],[PATENTE]],'BASE DATOS'!F:L,7,0)</f>
        <v>2009</v>
      </c>
      <c r="K536" s="619">
        <f>+VLOOKUP(Tabla3[[#This Row],[PATENTE]],'BASE DATOS'!F:M,8,0)</f>
        <v>16</v>
      </c>
      <c r="N536" s="826"/>
      <c r="O536" s="1015"/>
      <c r="P536" s="1015"/>
      <c r="Q536" s="1015"/>
      <c r="R536" s="1024" t="str">
        <f t="shared" si="20"/>
        <v>-</v>
      </c>
    </row>
    <row r="537" spans="1:18" hidden="1">
      <c r="A537" s="578" t="s">
        <v>901</v>
      </c>
      <c r="B537" s="584">
        <v>5</v>
      </c>
      <c r="C537" s="589">
        <v>45908</v>
      </c>
      <c r="D537" s="582">
        <f t="shared" si="21"/>
        <v>37</v>
      </c>
      <c r="E537" s="618" t="str">
        <f>+VLOOKUP(Tabla3[[#This Row],[PATENTE]],'BASE DATOS'!F:G,2,0)</f>
        <v xml:space="preserve">TRANSPORTE  GRACIELA - IYE750 </v>
      </c>
      <c r="F537" s="584" t="str">
        <f>+VLOOKUP(Tabla3[[#This Row],[PATENTE]],'BASE DATOS'!F:H,3,0)</f>
        <v>1P</v>
      </c>
      <c r="G537" s="584" t="str">
        <f>+VLOOKUP(Tabla3[[#This Row],[PATENTE]],'BASE DATOS'!F:I,4,0)</f>
        <v>NO</v>
      </c>
      <c r="H537" s="584" t="str">
        <f>+VLOOKUP(Tabla3[[#This Row],[PATENTE]],'BASE DATOS'!F:J,5,0)</f>
        <v>SI</v>
      </c>
      <c r="I537" s="584" t="str">
        <f>+VLOOKUP(Tabla3[[#This Row],[PATENTE]],'BASE DATOS'!F:K,6,0)</f>
        <v>NO</v>
      </c>
      <c r="J537" s="584">
        <f>+VLOOKUP(Tabla3[[#This Row],[PATENTE]],'BASE DATOS'!F:L,7,0)</f>
        <v>2009</v>
      </c>
      <c r="K537" s="619">
        <f>+VLOOKUP(Tabla3[[#This Row],[PATENTE]],'BASE DATOS'!F:M,8,0)</f>
        <v>16</v>
      </c>
      <c r="N537" s="826"/>
      <c r="O537" s="1015"/>
      <c r="P537" s="1015"/>
      <c r="Q537" s="1015"/>
      <c r="R537" s="1024" t="str">
        <f t="shared" si="20"/>
        <v>-</v>
      </c>
    </row>
    <row r="538" spans="1:18" hidden="1">
      <c r="A538" s="578" t="s">
        <v>913</v>
      </c>
      <c r="B538" s="584">
        <v>5</v>
      </c>
      <c r="C538" s="589">
        <v>45908</v>
      </c>
      <c r="D538" s="582">
        <f t="shared" si="21"/>
        <v>37</v>
      </c>
      <c r="E538" s="618" t="str">
        <f>+VLOOKUP(Tabla3[[#This Row],[PATENTE]],'BASE DATOS'!F:G,2,0)</f>
        <v xml:space="preserve">TRANSP DON NENO - KSI803 </v>
      </c>
      <c r="F538" s="584" t="str">
        <f>+VLOOKUP(Tabla3[[#This Row],[PATENTE]],'BASE DATOS'!F:H,3,0)</f>
        <v>2P</v>
      </c>
      <c r="G538" s="584" t="str">
        <f>+VLOOKUP(Tabla3[[#This Row],[PATENTE]],'BASE DATOS'!F:I,4,0)</f>
        <v>SI</v>
      </c>
      <c r="H538" s="584" t="str">
        <f>+VLOOKUP(Tabla3[[#This Row],[PATENTE]],'BASE DATOS'!F:J,5,0)</f>
        <v>SI</v>
      </c>
      <c r="I538" s="584" t="str">
        <f>+VLOOKUP(Tabla3[[#This Row],[PATENTE]],'BASE DATOS'!F:K,6,0)</f>
        <v>NO</v>
      </c>
      <c r="J538" s="584">
        <f>+VLOOKUP(Tabla3[[#This Row],[PATENTE]],'BASE DATOS'!F:L,7,0)</f>
        <v>2012</v>
      </c>
      <c r="K538" s="619">
        <f>+VLOOKUP(Tabla3[[#This Row],[PATENTE]],'BASE DATOS'!F:M,8,0)</f>
        <v>13</v>
      </c>
      <c r="N538" s="826"/>
      <c r="O538" s="1015"/>
      <c r="P538" s="1015"/>
      <c r="Q538" s="1015"/>
      <c r="R538" s="1024" t="str">
        <f t="shared" si="20"/>
        <v>-</v>
      </c>
    </row>
    <row r="539" spans="1:18" hidden="1">
      <c r="A539" s="578" t="s">
        <v>909</v>
      </c>
      <c r="B539" s="584">
        <v>5</v>
      </c>
      <c r="C539" s="589">
        <v>45908</v>
      </c>
      <c r="D539" s="582">
        <f t="shared" si="21"/>
        <v>37</v>
      </c>
      <c r="E539" s="618" t="str">
        <f>+VLOOKUP(Tabla3[[#This Row],[PATENTE]],'BASE DATOS'!F:G,2,0)</f>
        <v xml:space="preserve">CRISTIAN MOYA - NHR055 </v>
      </c>
      <c r="F539" s="584" t="str">
        <f>+VLOOKUP(Tabla3[[#This Row],[PATENTE]],'BASE DATOS'!F:H,3,0)</f>
        <v>6P</v>
      </c>
      <c r="G539" s="584" t="str">
        <f>+VLOOKUP(Tabla3[[#This Row],[PATENTE]],'BASE DATOS'!F:I,4,0)</f>
        <v>SI</v>
      </c>
      <c r="H539" s="584" t="str">
        <f>+VLOOKUP(Tabla3[[#This Row],[PATENTE]],'BASE DATOS'!F:J,5,0)</f>
        <v>SI</v>
      </c>
      <c r="I539" s="584" t="str">
        <f>+VLOOKUP(Tabla3[[#This Row],[PATENTE]],'BASE DATOS'!F:K,6,0)</f>
        <v>NO</v>
      </c>
      <c r="J539" s="584">
        <f>+VLOOKUP(Tabla3[[#This Row],[PATENTE]],'BASE DATOS'!F:L,7,0)</f>
        <v>2013</v>
      </c>
      <c r="K539" s="619">
        <f>+VLOOKUP(Tabla3[[#This Row],[PATENTE]],'BASE DATOS'!F:M,8,0)</f>
        <v>12</v>
      </c>
      <c r="N539" s="826"/>
      <c r="O539" s="1015"/>
      <c r="P539" s="1015"/>
      <c r="Q539" s="1015"/>
      <c r="R539" s="1024" t="str">
        <f t="shared" si="20"/>
        <v>-</v>
      </c>
    </row>
    <row r="540" spans="1:18" hidden="1">
      <c r="A540" s="578" t="s">
        <v>886</v>
      </c>
      <c r="B540" s="584">
        <v>5</v>
      </c>
      <c r="C540" s="589">
        <v>45908</v>
      </c>
      <c r="D540" s="582">
        <f t="shared" si="21"/>
        <v>37</v>
      </c>
      <c r="E540" s="618" t="str">
        <f>+VLOOKUP(Tabla3[[#This Row],[PATENTE]],'BASE DATOS'!F:G,2,0)</f>
        <v xml:space="preserve">TRANSP LAGOS - NOO925 </v>
      </c>
      <c r="F540" s="584" t="str">
        <f>+VLOOKUP(Tabla3[[#This Row],[PATENTE]],'BASE DATOS'!F:H,3,0)</f>
        <v>8P</v>
      </c>
      <c r="G540" s="584" t="str">
        <f>+VLOOKUP(Tabla3[[#This Row],[PATENTE]],'BASE DATOS'!F:I,4,0)</f>
        <v>SI</v>
      </c>
      <c r="H540" s="584" t="str">
        <f>+VLOOKUP(Tabla3[[#This Row],[PATENTE]],'BASE DATOS'!F:J,5,0)</f>
        <v>SI</v>
      </c>
      <c r="I540" s="584" t="str">
        <f>+VLOOKUP(Tabla3[[#This Row],[PATENTE]],'BASE DATOS'!F:K,6,0)</f>
        <v>NO</v>
      </c>
      <c r="J540" s="584">
        <f>+VLOOKUP(Tabla3[[#This Row],[PATENTE]],'BASE DATOS'!F:L,7,0)</f>
        <v>2014</v>
      </c>
      <c r="K540" s="619">
        <f>+VLOOKUP(Tabla3[[#This Row],[PATENTE]],'BASE DATOS'!F:M,8,0)</f>
        <v>11</v>
      </c>
      <c r="N540" s="826"/>
      <c r="O540" s="1015"/>
      <c r="P540" s="1015"/>
      <c r="Q540" s="1015"/>
      <c r="R540" s="1024" t="str">
        <f t="shared" si="20"/>
        <v>-</v>
      </c>
    </row>
    <row r="541" spans="1:18" hidden="1">
      <c r="A541" s="578" t="s">
        <v>877</v>
      </c>
      <c r="B541" s="584">
        <v>5</v>
      </c>
      <c r="C541" s="589">
        <v>45908</v>
      </c>
      <c r="D541" s="582">
        <f t="shared" si="21"/>
        <v>37</v>
      </c>
      <c r="E541" s="618" t="str">
        <f>+VLOOKUP(Tabla3[[#This Row],[PATENTE]],'BASE DATOS'!F:G,2,0)</f>
        <v>TRANSP MAIDANA CARLOS - OWA126</v>
      </c>
      <c r="F541" s="584" t="str">
        <f>+VLOOKUP(Tabla3[[#This Row],[PATENTE]],'BASE DATOS'!F:H,3,0)</f>
        <v>4P</v>
      </c>
      <c r="G541" s="584" t="str">
        <f>+VLOOKUP(Tabla3[[#This Row],[PATENTE]],'BASE DATOS'!F:I,4,0)</f>
        <v>SI</v>
      </c>
      <c r="H541" s="584" t="str">
        <f>+VLOOKUP(Tabla3[[#This Row],[PATENTE]],'BASE DATOS'!F:J,5,0)</f>
        <v>SI</v>
      </c>
      <c r="I541" s="584" t="str">
        <f>+VLOOKUP(Tabla3[[#This Row],[PATENTE]],'BASE DATOS'!F:K,6,0)</f>
        <v>NO</v>
      </c>
      <c r="J541" s="584">
        <f>+VLOOKUP(Tabla3[[#This Row],[PATENTE]],'BASE DATOS'!F:L,7,0)</f>
        <v>2015</v>
      </c>
      <c r="K541" s="619">
        <f>+VLOOKUP(Tabla3[[#This Row],[PATENTE]],'BASE DATOS'!F:M,8,0)</f>
        <v>10</v>
      </c>
      <c r="N541" s="826"/>
      <c r="O541" s="1015"/>
      <c r="P541" s="1015"/>
      <c r="Q541" s="1015"/>
      <c r="R541" s="1024" t="str">
        <f t="shared" si="20"/>
        <v>-</v>
      </c>
    </row>
    <row r="542" spans="1:18" hidden="1">
      <c r="A542" s="578" t="s">
        <v>879</v>
      </c>
      <c r="B542" s="584">
        <v>5</v>
      </c>
      <c r="C542" s="589">
        <v>45908</v>
      </c>
      <c r="D542" s="582">
        <f t="shared" si="21"/>
        <v>37</v>
      </c>
      <c r="E542" s="618" t="str">
        <f>+VLOOKUP(Tabla3[[#This Row],[PATENTE]],'BASE DATOS'!F:G,2,0)</f>
        <v xml:space="preserve">TRANSP JP - OYP470 </v>
      </c>
      <c r="F542" s="584" t="str">
        <f>+VLOOKUP(Tabla3[[#This Row],[PATENTE]],'BASE DATOS'!F:H,3,0)</f>
        <v>8P</v>
      </c>
      <c r="G542" s="584" t="str">
        <f>+VLOOKUP(Tabla3[[#This Row],[PATENTE]],'BASE DATOS'!F:I,4,0)</f>
        <v>SI</v>
      </c>
      <c r="H542" s="584" t="str">
        <f>+VLOOKUP(Tabla3[[#This Row],[PATENTE]],'BASE DATOS'!F:J,5,0)</f>
        <v>SI</v>
      </c>
      <c r="I542" s="584" t="str">
        <f>+VLOOKUP(Tabla3[[#This Row],[PATENTE]],'BASE DATOS'!F:K,6,0)</f>
        <v>NO</v>
      </c>
      <c r="J542" s="584">
        <f>+VLOOKUP(Tabla3[[#This Row],[PATENTE]],'BASE DATOS'!F:L,7,0)</f>
        <v>2011</v>
      </c>
      <c r="K542" s="619">
        <f>+VLOOKUP(Tabla3[[#This Row],[PATENTE]],'BASE DATOS'!F:M,8,0)</f>
        <v>14</v>
      </c>
      <c r="N542" s="826"/>
      <c r="O542" s="1015"/>
      <c r="P542" s="1015"/>
      <c r="Q542" s="1015"/>
      <c r="R542" s="1024" t="str">
        <f t="shared" si="20"/>
        <v>-</v>
      </c>
    </row>
    <row r="543" spans="1:18" hidden="1">
      <c r="A543" s="578" t="s">
        <v>878</v>
      </c>
      <c r="B543" s="584">
        <v>4</v>
      </c>
      <c r="C543" s="589">
        <v>45908</v>
      </c>
      <c r="D543" s="582">
        <f t="shared" si="21"/>
        <v>37</v>
      </c>
      <c r="E543" s="618" t="str">
        <f>+VLOOKUP(Tabla3[[#This Row],[PATENTE]],'BASE DATOS'!F:G,2,0)</f>
        <v xml:space="preserve">PACHECO JULIO - AA854LY </v>
      </c>
      <c r="F543" s="584" t="str">
        <f>+VLOOKUP(Tabla3[[#This Row],[PATENTE]],'BASE DATOS'!F:H,3,0)</f>
        <v>7P</v>
      </c>
      <c r="G543" s="584" t="str">
        <f>+VLOOKUP(Tabla3[[#This Row],[PATENTE]],'BASE DATOS'!F:I,4,0)</f>
        <v>SI</v>
      </c>
      <c r="H543" s="584" t="str">
        <f>+VLOOKUP(Tabla3[[#This Row],[PATENTE]],'BASE DATOS'!F:J,5,0)</f>
        <v>SI</v>
      </c>
      <c r="I543" s="584" t="str">
        <f>+VLOOKUP(Tabla3[[#This Row],[PATENTE]],'BASE DATOS'!F:K,6,0)</f>
        <v>NO</v>
      </c>
      <c r="J543" s="584">
        <f>+VLOOKUP(Tabla3[[#This Row],[PATENTE]],'BASE DATOS'!F:L,7,0)</f>
        <v>2016</v>
      </c>
      <c r="K543" s="619">
        <f>+VLOOKUP(Tabla3[[#This Row],[PATENTE]],'BASE DATOS'!F:M,8,0)</f>
        <v>9</v>
      </c>
      <c r="N543" s="826"/>
      <c r="O543" s="1015"/>
      <c r="P543" s="1015"/>
      <c r="Q543" s="1015"/>
      <c r="R543" s="1024" t="str">
        <f t="shared" si="20"/>
        <v>-</v>
      </c>
    </row>
    <row r="544" spans="1:18" hidden="1">
      <c r="A544" s="578" t="s">
        <v>899</v>
      </c>
      <c r="B544" s="584">
        <v>4</v>
      </c>
      <c r="C544" s="589">
        <v>45908</v>
      </c>
      <c r="D544" s="582">
        <f t="shared" si="21"/>
        <v>37</v>
      </c>
      <c r="E544" s="618" t="str">
        <f>+VLOOKUP(Tabla3[[#This Row],[PATENTE]],'BASE DATOS'!F:G,2,0)</f>
        <v xml:space="preserve">VAZQUEZ (TRV SRL) - AB176KN </v>
      </c>
      <c r="F544" s="584" t="str">
        <f>+VLOOKUP(Tabla3[[#This Row],[PATENTE]],'BASE DATOS'!F:H,3,0)</f>
        <v>8P</v>
      </c>
      <c r="G544" s="584" t="str">
        <f>+VLOOKUP(Tabla3[[#This Row],[PATENTE]],'BASE DATOS'!F:I,4,0)</f>
        <v>SI</v>
      </c>
      <c r="H544" s="584" t="str">
        <f>+VLOOKUP(Tabla3[[#This Row],[PATENTE]],'BASE DATOS'!F:J,5,0)</f>
        <v>SI</v>
      </c>
      <c r="I544" s="584" t="str">
        <f>+VLOOKUP(Tabla3[[#This Row],[PATENTE]],'BASE DATOS'!F:K,6,0)</f>
        <v>SI</v>
      </c>
      <c r="J544" s="584">
        <f>+VLOOKUP(Tabla3[[#This Row],[PATENTE]],'BASE DATOS'!F:L,7,0)</f>
        <v>2017</v>
      </c>
      <c r="K544" s="619">
        <f>+VLOOKUP(Tabla3[[#This Row],[PATENTE]],'BASE DATOS'!F:M,8,0)</f>
        <v>8</v>
      </c>
      <c r="N544" s="826"/>
      <c r="O544" s="1015"/>
      <c r="P544" s="1015"/>
      <c r="Q544" s="1015"/>
      <c r="R544" s="1024" t="str">
        <f t="shared" si="20"/>
        <v>-</v>
      </c>
    </row>
    <row r="545" spans="1:18" hidden="1">
      <c r="A545" s="578" t="s">
        <v>906</v>
      </c>
      <c r="B545" s="584">
        <v>4</v>
      </c>
      <c r="C545" s="589">
        <v>45908</v>
      </c>
      <c r="D545" s="582">
        <f t="shared" si="21"/>
        <v>37</v>
      </c>
      <c r="E545" s="618" t="str">
        <f>+VLOOKUP(Tabla3[[#This Row],[PATENTE]],'BASE DATOS'!F:G,2,0)</f>
        <v xml:space="preserve">VAZQUEZ (TRV SRL) - AD472GK </v>
      </c>
      <c r="F545" s="584" t="str">
        <f>+VLOOKUP(Tabla3[[#This Row],[PATENTE]],'BASE DATOS'!F:H,3,0)</f>
        <v>8P</v>
      </c>
      <c r="G545" s="584" t="str">
        <f>+VLOOKUP(Tabla3[[#This Row],[PATENTE]],'BASE DATOS'!F:I,4,0)</f>
        <v>NO</v>
      </c>
      <c r="H545" s="584" t="str">
        <f>+VLOOKUP(Tabla3[[#This Row],[PATENTE]],'BASE DATOS'!F:J,5,0)</f>
        <v>NO</v>
      </c>
      <c r="I545" s="584" t="str">
        <f>+VLOOKUP(Tabla3[[#This Row],[PATENTE]],'BASE DATOS'!F:K,6,0)</f>
        <v>SI</v>
      </c>
      <c r="J545" s="584">
        <f>+VLOOKUP(Tabla3[[#This Row],[PATENTE]],'BASE DATOS'!F:L,7,0)</f>
        <v>2019</v>
      </c>
      <c r="K545" s="619">
        <f>+VLOOKUP(Tabla3[[#This Row],[PATENTE]],'BASE DATOS'!F:M,8,0)</f>
        <v>6</v>
      </c>
      <c r="N545" s="826"/>
      <c r="O545" s="1015"/>
      <c r="P545" s="1015"/>
      <c r="Q545" s="1015"/>
      <c r="R545" s="1024" t="str">
        <f t="shared" si="20"/>
        <v>-</v>
      </c>
    </row>
    <row r="546" spans="1:18" hidden="1">
      <c r="A546" s="578" t="s">
        <v>888</v>
      </c>
      <c r="B546" s="584">
        <v>4</v>
      </c>
      <c r="C546" s="589">
        <v>45908</v>
      </c>
      <c r="D546" s="582">
        <f t="shared" si="21"/>
        <v>37</v>
      </c>
      <c r="E546" s="618" t="str">
        <f>+VLOOKUP(Tabla3[[#This Row],[PATENTE]],'BASE DATOS'!F:G,2,0)</f>
        <v xml:space="preserve">TRANSP FIRST CLASS - AD535UI </v>
      </c>
      <c r="F546" s="584" t="str">
        <f>+VLOOKUP(Tabla3[[#This Row],[PATENTE]],'BASE DATOS'!F:H,3,0)</f>
        <v>6P</v>
      </c>
      <c r="G546" s="584" t="str">
        <f>+VLOOKUP(Tabla3[[#This Row],[PATENTE]],'BASE DATOS'!F:I,4,0)</f>
        <v>SI</v>
      </c>
      <c r="H546" s="584" t="str">
        <f>+VLOOKUP(Tabla3[[#This Row],[PATENTE]],'BASE DATOS'!F:J,5,0)</f>
        <v>SI</v>
      </c>
      <c r="I546" s="584" t="str">
        <f>+VLOOKUP(Tabla3[[#This Row],[PATENTE]],'BASE DATOS'!F:K,6,0)</f>
        <v>NO</v>
      </c>
      <c r="J546" s="584">
        <f>+VLOOKUP(Tabla3[[#This Row],[PATENTE]],'BASE DATOS'!F:L,7,0)</f>
        <v>2019</v>
      </c>
      <c r="K546" s="619">
        <f>+VLOOKUP(Tabla3[[#This Row],[PATENTE]],'BASE DATOS'!F:M,8,0)</f>
        <v>6</v>
      </c>
      <c r="N546" s="826"/>
      <c r="O546" s="1015"/>
      <c r="P546" s="1015"/>
      <c r="Q546" s="1015"/>
      <c r="R546" s="1024" t="str">
        <f t="shared" si="20"/>
        <v>-</v>
      </c>
    </row>
    <row r="547" spans="1:18" hidden="1">
      <c r="A547" s="578" t="s">
        <v>922</v>
      </c>
      <c r="B547" s="584">
        <v>4</v>
      </c>
      <c r="C547" s="589">
        <v>45908</v>
      </c>
      <c r="D547" s="582">
        <f t="shared" si="21"/>
        <v>37</v>
      </c>
      <c r="E547" s="618" t="str">
        <f>+VLOOKUP(Tabla3[[#This Row],[PATENTE]],'BASE DATOS'!F:G,2,0)</f>
        <v>LAURIA (SERVAL) - AF342ZY</v>
      </c>
      <c r="F547" s="584" t="str">
        <f>+VLOOKUP(Tabla3[[#This Row],[PATENTE]],'BASE DATOS'!F:H,3,0)</f>
        <v>8P</v>
      </c>
      <c r="G547" s="584" t="str">
        <f>+VLOOKUP(Tabla3[[#This Row],[PATENTE]],'BASE DATOS'!F:I,4,0)</f>
        <v>SI</v>
      </c>
      <c r="H547" s="584" t="str">
        <f>+VLOOKUP(Tabla3[[#This Row],[PATENTE]],'BASE DATOS'!F:J,5,0)</f>
        <v>SI</v>
      </c>
      <c r="I547" s="584" t="str">
        <f>+VLOOKUP(Tabla3[[#This Row],[PATENTE]],'BASE DATOS'!F:K,6,0)</f>
        <v>NO</v>
      </c>
      <c r="J547" s="584">
        <f>+VLOOKUP(Tabla3[[#This Row],[PATENTE]],'BASE DATOS'!F:L,7,0)</f>
        <v>2022</v>
      </c>
      <c r="K547" s="619">
        <f>+VLOOKUP(Tabla3[[#This Row],[PATENTE]],'BASE DATOS'!F:M,8,0)</f>
        <v>3</v>
      </c>
      <c r="N547" s="826"/>
      <c r="O547" s="1015"/>
      <c r="P547" s="1015"/>
      <c r="Q547" s="1015"/>
      <c r="R547" s="1024" t="str">
        <f t="shared" si="20"/>
        <v>-</v>
      </c>
    </row>
    <row r="548" spans="1:18" hidden="1">
      <c r="A548" s="578" t="s">
        <v>925</v>
      </c>
      <c r="B548" s="584">
        <v>4</v>
      </c>
      <c r="C548" s="589">
        <v>45908</v>
      </c>
      <c r="D548" s="582">
        <f t="shared" si="21"/>
        <v>37</v>
      </c>
      <c r="E548" s="618" t="str">
        <f>+VLOOKUP(Tabla3[[#This Row],[PATENTE]],'BASE DATOS'!F:G,2,0)</f>
        <v xml:space="preserve">TRANSP MAIDANA FACUNDO - KOW745 </v>
      </c>
      <c r="F548" s="584" t="str">
        <f>+VLOOKUP(Tabla3[[#This Row],[PATENTE]],'BASE DATOS'!F:H,3,0)</f>
        <v>8P</v>
      </c>
      <c r="G548" s="584" t="str">
        <f>+VLOOKUP(Tabla3[[#This Row],[PATENTE]],'BASE DATOS'!F:I,4,0)</f>
        <v>SI</v>
      </c>
      <c r="H548" s="584" t="str">
        <f>+VLOOKUP(Tabla3[[#This Row],[PATENTE]],'BASE DATOS'!F:J,5,0)</f>
        <v>SI</v>
      </c>
      <c r="I548" s="584" t="str">
        <f>+VLOOKUP(Tabla3[[#This Row],[PATENTE]],'BASE DATOS'!F:K,6,0)</f>
        <v>NO</v>
      </c>
      <c r="J548" s="584">
        <f>+VLOOKUP(Tabla3[[#This Row],[PATENTE]],'BASE DATOS'!F:L,7,0)</f>
        <v>2012</v>
      </c>
      <c r="K548" s="619">
        <f>+VLOOKUP(Tabla3[[#This Row],[PATENTE]],'BASE DATOS'!F:M,8,0)</f>
        <v>13</v>
      </c>
      <c r="N548" s="826"/>
      <c r="O548" s="1015"/>
      <c r="P548" s="1015"/>
      <c r="Q548" s="1015"/>
      <c r="R548" s="1024" t="str">
        <f t="shared" si="20"/>
        <v>-</v>
      </c>
    </row>
    <row r="549" spans="1:18" hidden="1">
      <c r="A549" s="578" t="s">
        <v>920</v>
      </c>
      <c r="B549" s="584">
        <v>4</v>
      </c>
      <c r="C549" s="589">
        <v>45908</v>
      </c>
      <c r="D549" s="582">
        <f t="shared" si="21"/>
        <v>37</v>
      </c>
      <c r="E549" s="618" t="str">
        <f>+VLOOKUP(Tabla3[[#This Row],[PATENTE]],'BASE DATOS'!F:G,2,0)</f>
        <v xml:space="preserve">TRANSP LAGOS - MRV682 </v>
      </c>
      <c r="F549" s="584" t="str">
        <f>+VLOOKUP(Tabla3[[#This Row],[PATENTE]],'BASE DATOS'!F:H,3,0)</f>
        <v>8P</v>
      </c>
      <c r="G549" s="584" t="str">
        <f>+VLOOKUP(Tabla3[[#This Row],[PATENTE]],'BASE DATOS'!F:I,4,0)</f>
        <v>SI</v>
      </c>
      <c r="H549" s="584" t="str">
        <f>+VLOOKUP(Tabla3[[#This Row],[PATENTE]],'BASE DATOS'!F:J,5,0)</f>
        <v>SI</v>
      </c>
      <c r="I549" s="584" t="str">
        <f>+VLOOKUP(Tabla3[[#This Row],[PATENTE]],'BASE DATOS'!F:K,6,0)</f>
        <v>NO</v>
      </c>
      <c r="J549" s="584">
        <f>+VLOOKUP(Tabla3[[#This Row],[PATENTE]],'BASE DATOS'!F:L,7,0)</f>
        <v>2013</v>
      </c>
      <c r="K549" s="619">
        <f>+VLOOKUP(Tabla3[[#This Row],[PATENTE]],'BASE DATOS'!F:M,8,0)</f>
        <v>12</v>
      </c>
      <c r="N549" s="826"/>
      <c r="O549" s="1015"/>
      <c r="P549" s="1015"/>
      <c r="Q549" s="1015"/>
      <c r="R549" s="1024" t="str">
        <f t="shared" si="20"/>
        <v>-</v>
      </c>
    </row>
    <row r="550" spans="1:18" hidden="1">
      <c r="A550" s="578" t="s">
        <v>896</v>
      </c>
      <c r="B550" s="584">
        <v>4</v>
      </c>
      <c r="C550" s="589">
        <v>45908</v>
      </c>
      <c r="D550" s="582">
        <f t="shared" si="21"/>
        <v>37</v>
      </c>
      <c r="E550" s="618" t="str">
        <f>+VLOOKUP(Tabla3[[#This Row],[PATENTE]],'BASE DATOS'!F:G,2,0)</f>
        <v xml:space="preserve">TRANSP MAVIR - RHQ609 </v>
      </c>
      <c r="F550" s="584" t="str">
        <f>+VLOOKUP(Tabla3[[#This Row],[PATENTE]],'BASE DATOS'!F:H,3,0)</f>
        <v>10P</v>
      </c>
      <c r="G550" s="584" t="str">
        <f>+VLOOKUP(Tabla3[[#This Row],[PATENTE]],'BASE DATOS'!F:I,4,0)</f>
        <v>NO</v>
      </c>
      <c r="H550" s="584" t="str">
        <f>+VLOOKUP(Tabla3[[#This Row],[PATENTE]],'BASE DATOS'!F:J,5,0)</f>
        <v xml:space="preserve">NO </v>
      </c>
      <c r="I550" s="584" t="str">
        <f>+VLOOKUP(Tabla3[[#This Row],[PATENTE]],'BASE DATOS'!F:K,6,0)</f>
        <v>NO</v>
      </c>
      <c r="J550" s="584">
        <f>+VLOOKUP(Tabla3[[#This Row],[PATENTE]],'BASE DATOS'!F:L,7,0)</f>
        <v>1995</v>
      </c>
      <c r="K550" s="593">
        <v>0</v>
      </c>
      <c r="N550" s="826"/>
      <c r="O550" s="1015"/>
      <c r="P550" s="1015"/>
      <c r="Q550" s="1015"/>
      <c r="R550" s="1024" t="str">
        <f t="shared" si="20"/>
        <v>-</v>
      </c>
    </row>
    <row r="551" spans="1:18" hidden="1">
      <c r="A551" s="578" t="s">
        <v>912</v>
      </c>
      <c r="B551" s="584">
        <v>3</v>
      </c>
      <c r="C551" s="589">
        <v>45908</v>
      </c>
      <c r="D551" s="582">
        <f t="shared" si="21"/>
        <v>37</v>
      </c>
      <c r="E551" s="618" t="str">
        <f>+VLOOKUP(Tabla3[[#This Row],[PATENTE]],'BASE DATOS'!F:G,2,0)</f>
        <v xml:space="preserve">PACHECO JULIO - AC028WN </v>
      </c>
      <c r="F551" s="584" t="str">
        <f>+VLOOKUP(Tabla3[[#This Row],[PATENTE]],'BASE DATOS'!F:H,3,0)</f>
        <v>8P</v>
      </c>
      <c r="G551" s="584" t="str">
        <f>+VLOOKUP(Tabla3[[#This Row],[PATENTE]],'BASE DATOS'!F:I,4,0)</f>
        <v>SI</v>
      </c>
      <c r="H551" s="584" t="str">
        <f>+VLOOKUP(Tabla3[[#This Row],[PATENTE]],'BASE DATOS'!F:J,5,0)</f>
        <v>SI</v>
      </c>
      <c r="I551" s="584" t="str">
        <f>+VLOOKUP(Tabla3[[#This Row],[PATENTE]],'BASE DATOS'!F:K,6,0)</f>
        <v>SI</v>
      </c>
      <c r="J551" s="584">
        <f>+VLOOKUP(Tabla3[[#This Row],[PATENTE]],'BASE DATOS'!F:L,7,0)</f>
        <v>2017</v>
      </c>
      <c r="K551" s="619">
        <f>+VLOOKUP(Tabla3[[#This Row],[PATENTE]],'BASE DATOS'!F:M,8,0)</f>
        <v>8</v>
      </c>
      <c r="N551" s="826"/>
      <c r="O551" s="1015"/>
      <c r="P551" s="1015"/>
      <c r="Q551" s="1015"/>
      <c r="R551" s="1024" t="str">
        <f t="shared" si="20"/>
        <v>-</v>
      </c>
    </row>
    <row r="552" spans="1:18" hidden="1">
      <c r="A552" s="578" t="s">
        <v>907</v>
      </c>
      <c r="B552" s="584">
        <v>3</v>
      </c>
      <c r="C552" s="589">
        <v>45908</v>
      </c>
      <c r="D552" s="582">
        <f t="shared" ref="D552:D583" si="22">+WEEKNUM(C552)</f>
        <v>37</v>
      </c>
      <c r="E552" s="618" t="str">
        <f>+VLOOKUP(Tabla3[[#This Row],[PATENTE]],'BASE DATOS'!F:G,2,0)</f>
        <v xml:space="preserve">LAURIA (SERVAL) - AH583GW </v>
      </c>
      <c r="F552" s="584" t="str">
        <f>+VLOOKUP(Tabla3[[#This Row],[PATENTE]],'BASE DATOS'!F:H,3,0)</f>
        <v>8P</v>
      </c>
      <c r="G552" s="584" t="str">
        <f>+VLOOKUP(Tabla3[[#This Row],[PATENTE]],'BASE DATOS'!F:I,4,0)</f>
        <v>SI</v>
      </c>
      <c r="H552" s="584" t="str">
        <f>+VLOOKUP(Tabla3[[#This Row],[PATENTE]],'BASE DATOS'!F:J,5,0)</f>
        <v>SI</v>
      </c>
      <c r="I552" s="584" t="str">
        <f>+VLOOKUP(Tabla3[[#This Row],[PATENTE]],'BASE DATOS'!F:K,6,0)</f>
        <v>NO</v>
      </c>
      <c r="J552" s="584">
        <f>+VLOOKUP(Tabla3[[#This Row],[PATENTE]],'BASE DATOS'!F:L,7,0)</f>
        <v>2025</v>
      </c>
      <c r="K552" s="619">
        <f>+VLOOKUP(Tabla3[[#This Row],[PATENTE]],'BASE DATOS'!F:M,8,0)</f>
        <v>0</v>
      </c>
      <c r="N552" s="826"/>
      <c r="O552" s="1015"/>
      <c r="P552" s="1015"/>
      <c r="Q552" s="1015"/>
      <c r="R552" s="1024" t="str">
        <f t="shared" si="20"/>
        <v>-</v>
      </c>
    </row>
    <row r="553" spans="1:18" hidden="1">
      <c r="A553" s="578" t="s">
        <v>893</v>
      </c>
      <c r="B553" s="584">
        <v>3</v>
      </c>
      <c r="C553" s="589">
        <v>45908</v>
      </c>
      <c r="D553" s="582">
        <f t="shared" si="22"/>
        <v>37</v>
      </c>
      <c r="E553" s="618" t="str">
        <f>+VLOOKUP(Tabla3[[#This Row],[PATENTE]],'BASE DATOS'!F:G,2,0)</f>
        <v xml:space="preserve">GANZINI HUGO - CFF038 </v>
      </c>
      <c r="F553" s="584" t="str">
        <f>+VLOOKUP(Tabla3[[#This Row],[PATENTE]],'BASE DATOS'!F:H,3,0)</f>
        <v>2P</v>
      </c>
      <c r="G553" s="584" t="str">
        <f>+VLOOKUP(Tabla3[[#This Row],[PATENTE]],'BASE DATOS'!F:I,4,0)</f>
        <v>SI</v>
      </c>
      <c r="H553" s="584" t="str">
        <f>+VLOOKUP(Tabla3[[#This Row],[PATENTE]],'BASE DATOS'!F:J,5,0)</f>
        <v>SI</v>
      </c>
      <c r="I553" s="584" t="str">
        <f>+VLOOKUP(Tabla3[[#This Row],[PATENTE]],'BASE DATOS'!F:K,6,0)</f>
        <v>NO</v>
      </c>
      <c r="J553" s="584">
        <f>+VLOOKUP(Tabla3[[#This Row],[PATENTE]],'BASE DATOS'!F:L,7,0)</f>
        <v>1999</v>
      </c>
      <c r="K553" s="619">
        <f>+VLOOKUP(Tabla3[[#This Row],[PATENTE]],'BASE DATOS'!F:M,8,0)</f>
        <v>26</v>
      </c>
      <c r="N553" s="826"/>
      <c r="O553" s="1015"/>
      <c r="P553" s="1015"/>
      <c r="Q553" s="1015"/>
      <c r="R553" s="1024" t="str">
        <f t="shared" si="20"/>
        <v>-</v>
      </c>
    </row>
    <row r="554" spans="1:18" hidden="1">
      <c r="A554" s="578" t="s">
        <v>916</v>
      </c>
      <c r="B554" s="584">
        <v>3</v>
      </c>
      <c r="C554" s="589">
        <v>45908</v>
      </c>
      <c r="D554" s="582">
        <f t="shared" si="22"/>
        <v>37</v>
      </c>
      <c r="E554" s="618" t="str">
        <f>+VLOOKUP(Tabla3[[#This Row],[PATENTE]],'BASE DATOS'!F:G,2,0)</f>
        <v xml:space="preserve">TRANSP MAIDANA CARLOS - EYP088 </v>
      </c>
      <c r="F554" s="584" t="str">
        <f>+VLOOKUP(Tabla3[[#This Row],[PATENTE]],'BASE DATOS'!F:H,3,0)</f>
        <v>6P</v>
      </c>
      <c r="G554" s="584" t="str">
        <f>+VLOOKUP(Tabla3[[#This Row],[PATENTE]],'BASE DATOS'!F:I,4,0)</f>
        <v>SI</v>
      </c>
      <c r="H554" s="584" t="str">
        <f>+VLOOKUP(Tabla3[[#This Row],[PATENTE]],'BASE DATOS'!F:J,5,0)</f>
        <v>SI</v>
      </c>
      <c r="I554" s="584" t="str">
        <f>+VLOOKUP(Tabla3[[#This Row],[PATENTE]],'BASE DATOS'!F:K,6,0)</f>
        <v>NO</v>
      </c>
      <c r="J554" s="584">
        <f>+VLOOKUP(Tabla3[[#This Row],[PATENTE]],'BASE DATOS'!F:L,7,0)</f>
        <v>2006</v>
      </c>
      <c r="K554" s="619">
        <f>+VLOOKUP(Tabla3[[#This Row],[PATENTE]],'BASE DATOS'!F:M,8,0)</f>
        <v>19</v>
      </c>
      <c r="N554" s="826"/>
      <c r="O554" s="1015"/>
      <c r="P554" s="1015"/>
      <c r="Q554" s="1015"/>
      <c r="R554" s="1024" t="str">
        <f t="shared" si="20"/>
        <v>-</v>
      </c>
    </row>
    <row r="555" spans="1:18" hidden="1">
      <c r="A555" s="578" t="s">
        <v>892</v>
      </c>
      <c r="B555" s="584">
        <v>3</v>
      </c>
      <c r="C555" s="589">
        <v>45908</v>
      </c>
      <c r="D555" s="582">
        <f t="shared" si="22"/>
        <v>37</v>
      </c>
      <c r="E555" s="618" t="str">
        <f>+VLOOKUP(Tabla3[[#This Row],[PATENTE]],'BASE DATOS'!F:G,2,0)</f>
        <v xml:space="preserve">COLO - FTL525 </v>
      </c>
      <c r="F555" s="584" t="str">
        <f>+VLOOKUP(Tabla3[[#This Row],[PATENTE]],'BASE DATOS'!F:H,3,0)</f>
        <v>1P</v>
      </c>
      <c r="G555" s="584" t="str">
        <f>+VLOOKUP(Tabla3[[#This Row],[PATENTE]],'BASE DATOS'!F:I,4,0)</f>
        <v>NO</v>
      </c>
      <c r="H555" s="584" t="str">
        <f>+VLOOKUP(Tabla3[[#This Row],[PATENTE]],'BASE DATOS'!F:J,5,0)</f>
        <v>SI</v>
      </c>
      <c r="I555" s="584" t="str">
        <f>+VLOOKUP(Tabla3[[#This Row],[PATENTE]],'BASE DATOS'!F:K,6,0)</f>
        <v>NO</v>
      </c>
      <c r="J555" s="584">
        <f>+VLOOKUP(Tabla3[[#This Row],[PATENTE]],'BASE DATOS'!F:L,7,0)</f>
        <v>2008</v>
      </c>
      <c r="K555" s="619">
        <f>+VLOOKUP(Tabla3[[#This Row],[PATENTE]],'BASE DATOS'!F:M,8,0)</f>
        <v>17</v>
      </c>
      <c r="N555" s="826"/>
      <c r="O555" s="1015"/>
      <c r="P555" s="1015"/>
      <c r="Q555" s="1015"/>
      <c r="R555" s="1024" t="str">
        <f t="shared" si="20"/>
        <v>-</v>
      </c>
    </row>
    <row r="556" spans="1:18" hidden="1">
      <c r="A556" s="578" t="s">
        <v>914</v>
      </c>
      <c r="B556" s="584">
        <v>3</v>
      </c>
      <c r="C556" s="589">
        <v>45908</v>
      </c>
      <c r="D556" s="582">
        <f t="shared" si="22"/>
        <v>37</v>
      </c>
      <c r="E556" s="618" t="str">
        <f>+VLOOKUP(Tabla3[[#This Row],[PATENTE]],'BASE DATOS'!F:G,2,0)</f>
        <v>TRANSP DON NENO - HCP674</v>
      </c>
      <c r="F556" s="584" t="str">
        <f>+VLOOKUP(Tabla3[[#This Row],[PATENTE]],'BASE DATOS'!F:H,3,0)</f>
        <v>2P</v>
      </c>
      <c r="G556" s="584" t="str">
        <f>+VLOOKUP(Tabla3[[#This Row],[PATENTE]],'BASE DATOS'!F:I,4,0)</f>
        <v>NO</v>
      </c>
      <c r="H556" s="584" t="str">
        <f>+VLOOKUP(Tabla3[[#This Row],[PATENTE]],'BASE DATOS'!F:J,5,0)</f>
        <v xml:space="preserve">NO </v>
      </c>
      <c r="I556" s="584" t="str">
        <f>+VLOOKUP(Tabla3[[#This Row],[PATENTE]],'BASE DATOS'!F:K,6,0)</f>
        <v>NO</v>
      </c>
      <c r="J556" s="584">
        <f>+VLOOKUP(Tabla3[[#This Row],[PATENTE]],'BASE DATOS'!F:L,7,0)</f>
        <v>2008</v>
      </c>
      <c r="K556" s="619">
        <f>+VLOOKUP(Tabla3[[#This Row],[PATENTE]],'BASE DATOS'!F:M,8,0)</f>
        <v>17</v>
      </c>
      <c r="N556" s="826"/>
      <c r="O556" s="1015"/>
      <c r="P556" s="1015"/>
      <c r="Q556" s="1015"/>
      <c r="R556" s="1024" t="str">
        <f t="shared" si="20"/>
        <v>-</v>
      </c>
    </row>
    <row r="557" spans="1:18" hidden="1">
      <c r="A557" s="578" t="s">
        <v>1154</v>
      </c>
      <c r="B557" s="584">
        <v>3</v>
      </c>
      <c r="C557" s="589">
        <v>45908</v>
      </c>
      <c r="D557" s="582">
        <f t="shared" si="22"/>
        <v>37</v>
      </c>
      <c r="E557" s="618" t="str">
        <f>+VLOOKUP(Tabla3[[#This Row],[PATENTE]],'BASE DATOS'!F:G,2,0)</f>
        <v>DON NENO - 2P</v>
      </c>
      <c r="F557" s="584" t="str">
        <f>+VLOOKUP(Tabla3[[#This Row],[PATENTE]],'BASE DATOS'!F:H,3,0)</f>
        <v>8P</v>
      </c>
      <c r="G557" s="584" t="str">
        <f>+VLOOKUP(Tabla3[[#This Row],[PATENTE]],'BASE DATOS'!F:I,4,0)</f>
        <v>SI</v>
      </c>
      <c r="H557" s="584" t="str">
        <f>+VLOOKUP(Tabla3[[#This Row],[PATENTE]],'BASE DATOS'!F:J,5,0)</f>
        <v xml:space="preserve">NO </v>
      </c>
      <c r="I557" s="584" t="str">
        <f>+VLOOKUP(Tabla3[[#This Row],[PATENTE]],'BASE DATOS'!F:K,6,0)</f>
        <v>NO</v>
      </c>
      <c r="J557" s="584">
        <f>+VLOOKUP(Tabla3[[#This Row],[PATENTE]],'BASE DATOS'!F:L,7,0)</f>
        <v>2008</v>
      </c>
      <c r="K557" s="619">
        <f>+VLOOKUP(Tabla3[[#This Row],[PATENTE]],'BASE DATOS'!F:M,8,0)</f>
        <v>17</v>
      </c>
      <c r="N557" s="826"/>
      <c r="O557" s="1015"/>
      <c r="P557" s="1015"/>
      <c r="Q557" s="1015"/>
      <c r="R557" s="1024" t="str">
        <f t="shared" si="20"/>
        <v>-</v>
      </c>
    </row>
    <row r="558" spans="1:18" hidden="1">
      <c r="A558" s="578" t="s">
        <v>921</v>
      </c>
      <c r="B558" s="584">
        <v>2</v>
      </c>
      <c r="C558" s="589">
        <v>45908</v>
      </c>
      <c r="D558" s="582">
        <f t="shared" si="22"/>
        <v>37</v>
      </c>
      <c r="E558" s="618" t="str">
        <f>+VLOOKUP(Tabla3[[#This Row],[PATENTE]],'BASE DATOS'!F:G,2,0)</f>
        <v xml:space="preserve">MAÑAS NORBERTO - CQQ304 </v>
      </c>
      <c r="F558" s="584" t="str">
        <f>+VLOOKUP(Tabla3[[#This Row],[PATENTE]],'BASE DATOS'!F:H,3,0)</f>
        <v>11P</v>
      </c>
      <c r="G558" s="584" t="str">
        <f>+VLOOKUP(Tabla3[[#This Row],[PATENTE]],'BASE DATOS'!F:I,4,0)</f>
        <v>SI</v>
      </c>
      <c r="H558" s="584" t="str">
        <f>+VLOOKUP(Tabla3[[#This Row],[PATENTE]],'BASE DATOS'!F:J,5,0)</f>
        <v>SI</v>
      </c>
      <c r="I558" s="584" t="str">
        <f>+VLOOKUP(Tabla3[[#This Row],[PATENTE]],'BASE DATOS'!F:K,6,0)</f>
        <v>NO</v>
      </c>
      <c r="J558" s="584">
        <f>+VLOOKUP(Tabla3[[#This Row],[PATENTE]],'BASE DATOS'!F:L,7,0)</f>
        <v>2000</v>
      </c>
      <c r="K558" s="619">
        <f>+VLOOKUP(Tabla3[[#This Row],[PATENTE]],'BASE DATOS'!F:M,8,0)</f>
        <v>25</v>
      </c>
      <c r="N558" s="826"/>
      <c r="O558" s="1015"/>
      <c r="P558" s="1015"/>
      <c r="Q558" s="1015"/>
      <c r="R558" s="1024" t="str">
        <f t="shared" si="20"/>
        <v>-</v>
      </c>
    </row>
    <row r="559" spans="1:18" hidden="1">
      <c r="A559" s="578" t="s">
        <v>926</v>
      </c>
      <c r="B559" s="584">
        <v>2</v>
      </c>
      <c r="C559" s="589">
        <v>45908</v>
      </c>
      <c r="D559" s="582">
        <f t="shared" si="22"/>
        <v>37</v>
      </c>
      <c r="E559" s="618" t="str">
        <f>+VLOOKUP(Tabla3[[#This Row],[PATENTE]],'BASE DATOS'!F:G,2,0)</f>
        <v xml:space="preserve">TRANSPORTE GENA GAIA - DUF042 </v>
      </c>
      <c r="F559" s="584" t="str">
        <f>+VLOOKUP(Tabla3[[#This Row],[PATENTE]],'BASE DATOS'!F:H,3,0)</f>
        <v>24P</v>
      </c>
      <c r="G559" s="584" t="str">
        <f>+VLOOKUP(Tabla3[[#This Row],[PATENTE]],'BASE DATOS'!F:I,4,0)</f>
        <v>Gestya</v>
      </c>
      <c r="H559" s="584" t="str">
        <f>+VLOOKUP(Tabla3[[#This Row],[PATENTE]],'BASE DATOS'!F:J,5,0)</f>
        <v xml:space="preserve">NO </v>
      </c>
      <c r="I559" s="584" t="str">
        <f>+VLOOKUP(Tabla3[[#This Row],[PATENTE]],'BASE DATOS'!F:K,6,0)</f>
        <v>NO</v>
      </c>
      <c r="J559" s="584">
        <f>+VLOOKUP(Tabla3[[#This Row],[PATENTE]],'BASE DATOS'!F:L,7,0)</f>
        <v>2001</v>
      </c>
      <c r="K559" s="619">
        <f>+VLOOKUP(Tabla3[[#This Row],[PATENTE]],'BASE DATOS'!F:M,8,0)</f>
        <v>24</v>
      </c>
      <c r="N559" s="826"/>
      <c r="O559" s="1015"/>
      <c r="P559" s="1015"/>
      <c r="Q559" s="1015"/>
      <c r="R559" s="1024" t="str">
        <f t="shared" si="20"/>
        <v>-</v>
      </c>
    </row>
    <row r="560" spans="1:18" hidden="1">
      <c r="A560" s="578" t="s">
        <v>943</v>
      </c>
      <c r="B560" s="584">
        <v>2</v>
      </c>
      <c r="C560" s="589">
        <v>45908</v>
      </c>
      <c r="D560" s="582">
        <f t="shared" si="22"/>
        <v>37</v>
      </c>
      <c r="E560" s="618" t="str">
        <f>+VLOOKUP(Tabla3[[#This Row],[PATENTE]],'BASE DATOS'!F:G,2,0)</f>
        <v>GANZINI HUGO - KTJ626</v>
      </c>
      <c r="F560" s="584" t="str">
        <f>+VLOOKUP(Tabla3[[#This Row],[PATENTE]],'BASE DATOS'!F:H,3,0)</f>
        <v>8P</v>
      </c>
      <c r="G560" s="584" t="str">
        <f>+VLOOKUP(Tabla3[[#This Row],[PATENTE]],'BASE DATOS'!F:I,4,0)</f>
        <v>NO</v>
      </c>
      <c r="H560" s="584" t="str">
        <f>+VLOOKUP(Tabla3[[#This Row],[PATENTE]],'BASE DATOS'!F:J,5,0)</f>
        <v xml:space="preserve">NO </v>
      </c>
      <c r="I560" s="584" t="str">
        <f>+VLOOKUP(Tabla3[[#This Row],[PATENTE]],'BASE DATOS'!F:K,6,0)</f>
        <v>NO</v>
      </c>
      <c r="J560" s="584">
        <f>+VLOOKUP(Tabla3[[#This Row],[PATENTE]],'BASE DATOS'!F:L,7,0)</f>
        <v>2011</v>
      </c>
      <c r="K560" s="619">
        <f>+VLOOKUP(Tabla3[[#This Row],[PATENTE]],'BASE DATOS'!F:M,8,0)</f>
        <v>14</v>
      </c>
      <c r="N560" s="826"/>
      <c r="O560" s="1015"/>
      <c r="P560" s="1015"/>
      <c r="Q560" s="1015"/>
      <c r="R560" s="1024" t="str">
        <f t="shared" si="20"/>
        <v>-</v>
      </c>
    </row>
    <row r="561" spans="1:18" hidden="1">
      <c r="A561" s="578" t="s">
        <v>1133</v>
      </c>
      <c r="B561" s="584">
        <v>1</v>
      </c>
      <c r="C561" s="589">
        <v>45908</v>
      </c>
      <c r="D561" s="582">
        <f t="shared" si="22"/>
        <v>37</v>
      </c>
      <c r="E561" s="618" t="str">
        <f>+VLOOKUP(Tabla3[[#This Row],[PATENTE]],'BASE DATOS'!F:G,2,0)</f>
        <v xml:space="preserve">BELLIMAR SRL - AB787MT </v>
      </c>
      <c r="F561" s="584" t="str">
        <f>+VLOOKUP(Tabla3[[#This Row],[PATENTE]],'BASE DATOS'!F:H,3,0)</f>
        <v>28P</v>
      </c>
      <c r="G561" s="584" t="str">
        <f>+VLOOKUP(Tabla3[[#This Row],[PATENTE]],'BASE DATOS'!F:I,4,0)</f>
        <v>NO</v>
      </c>
      <c r="H561" s="584" t="str">
        <f>+VLOOKUP(Tabla3[[#This Row],[PATENTE]],'BASE DATOS'!F:J,5,0)</f>
        <v xml:space="preserve">NO </v>
      </c>
      <c r="I561" s="584" t="str">
        <f>+VLOOKUP(Tabla3[[#This Row],[PATENTE]],'BASE DATOS'!F:K,6,0)</f>
        <v>NO</v>
      </c>
      <c r="J561" s="584">
        <f>+VLOOKUP(Tabla3[[#This Row],[PATENTE]],'BASE DATOS'!F:L,7,0)</f>
        <v>2017</v>
      </c>
      <c r="K561" s="619">
        <f>+VLOOKUP(Tabla3[[#This Row],[PATENTE]],'BASE DATOS'!F:M,8,0)</f>
        <v>8</v>
      </c>
      <c r="N561" s="826"/>
      <c r="O561" s="1015"/>
      <c r="P561" s="1015"/>
      <c r="Q561" s="1015"/>
      <c r="R561" s="1024" t="str">
        <f t="shared" si="20"/>
        <v>-</v>
      </c>
    </row>
    <row r="562" spans="1:18" hidden="1">
      <c r="A562" s="578" t="s">
        <v>944</v>
      </c>
      <c r="B562" s="584">
        <v>1</v>
      </c>
      <c r="C562" s="589">
        <v>45908</v>
      </c>
      <c r="D562" s="582">
        <f t="shared" si="22"/>
        <v>37</v>
      </c>
      <c r="E562" s="618" t="str">
        <f>+VLOOKUP(Tabla3[[#This Row],[PATENTE]],'BASE DATOS'!F:G,2,0)</f>
        <v xml:space="preserve">TRANSPORTE GENA GAIA - BHG261 </v>
      </c>
      <c r="F562" s="584" t="str">
        <f>+VLOOKUP(Tabla3[[#This Row],[PATENTE]],'BASE DATOS'!F:H,3,0)</f>
        <v>26P</v>
      </c>
      <c r="G562" s="584" t="str">
        <f>+VLOOKUP(Tabla3[[#This Row],[PATENTE]],'BASE DATOS'!F:I,4,0)</f>
        <v>Gestya</v>
      </c>
      <c r="H562" s="584" t="str">
        <f>+VLOOKUP(Tabla3[[#This Row],[PATENTE]],'BASE DATOS'!F:J,5,0)</f>
        <v xml:space="preserve">NO </v>
      </c>
      <c r="I562" s="584" t="str">
        <f>+VLOOKUP(Tabla3[[#This Row],[PATENTE]],'BASE DATOS'!F:K,6,0)</f>
        <v>NO</v>
      </c>
      <c r="J562" s="584">
        <f>+VLOOKUP(Tabla3[[#This Row],[PATENTE]],'BASE DATOS'!F:L,7,0)</f>
        <v>1997</v>
      </c>
      <c r="K562" s="619">
        <f>+VLOOKUP(Tabla3[[#This Row],[PATENTE]],'BASE DATOS'!F:M,8,0)</f>
        <v>28</v>
      </c>
      <c r="N562" s="826"/>
      <c r="O562" s="1015"/>
      <c r="P562" s="1015"/>
      <c r="Q562" s="1015"/>
      <c r="R562" s="1024" t="str">
        <f t="shared" si="20"/>
        <v>-</v>
      </c>
    </row>
    <row r="563" spans="1:18" hidden="1">
      <c r="A563" s="578" t="s">
        <v>1128</v>
      </c>
      <c r="B563" s="584">
        <v>1</v>
      </c>
      <c r="C563" s="589">
        <v>45908</v>
      </c>
      <c r="D563" s="582">
        <f t="shared" si="22"/>
        <v>37</v>
      </c>
      <c r="E563" s="618" t="str">
        <f>+VLOOKUP(Tabla3[[#This Row],[PATENTE]],'BASE DATOS'!F:G,2,0)</f>
        <v xml:space="preserve">PRONTOMAR - EDW922 </v>
      </c>
      <c r="F563" s="584" t="str">
        <f>+VLOOKUP(Tabla3[[#This Row],[PATENTE]],'BASE DATOS'!F:H,3,0)</f>
        <v>14P</v>
      </c>
      <c r="G563" s="584" t="str">
        <f>+VLOOKUP(Tabla3[[#This Row],[PATENTE]],'BASE DATOS'!F:I,4,0)</f>
        <v>NO</v>
      </c>
      <c r="H563" s="584" t="str">
        <f>+VLOOKUP(Tabla3[[#This Row],[PATENTE]],'BASE DATOS'!F:J,5,0)</f>
        <v xml:space="preserve">NO </v>
      </c>
      <c r="I563" s="584" t="str">
        <f>+VLOOKUP(Tabla3[[#This Row],[PATENTE]],'BASE DATOS'!F:K,6,0)</f>
        <v>NO</v>
      </c>
      <c r="J563" s="584">
        <f>+VLOOKUP(Tabla3[[#This Row],[PATENTE]],'BASE DATOS'!F:L,7,0)</f>
        <v>2003</v>
      </c>
      <c r="K563" s="619">
        <f>+VLOOKUP(Tabla3[[#This Row],[PATENTE]],'BASE DATOS'!F:M,8,0)</f>
        <v>22</v>
      </c>
      <c r="N563" s="826"/>
      <c r="O563" s="1015"/>
      <c r="P563" s="1015"/>
      <c r="Q563" s="1015"/>
      <c r="R563" s="1024" t="str">
        <f t="shared" si="20"/>
        <v>-</v>
      </c>
    </row>
    <row r="564" spans="1:18" hidden="1">
      <c r="A564" s="578" t="s">
        <v>1160</v>
      </c>
      <c r="B564" s="584">
        <v>1</v>
      </c>
      <c r="C564" s="589">
        <v>45908</v>
      </c>
      <c r="D564" s="582">
        <f t="shared" si="22"/>
        <v>37</v>
      </c>
      <c r="E564" s="618" t="str">
        <f>+VLOOKUP(Tabla3[[#This Row],[PATENTE]],'BASE DATOS'!F:G,2,0)</f>
        <v xml:space="preserve">TRANSP MAVIR - EFL158 </v>
      </c>
      <c r="F564" s="584" t="str">
        <f>+VLOOKUP(Tabla3[[#This Row],[PATENTE]],'BASE DATOS'!F:H,3,0)</f>
        <v>11P</v>
      </c>
      <c r="G564" s="584" t="str">
        <f>+VLOOKUP(Tabla3[[#This Row],[PATENTE]],'BASE DATOS'!F:I,4,0)</f>
        <v>NO</v>
      </c>
      <c r="H564" s="584" t="str">
        <f>+VLOOKUP(Tabla3[[#This Row],[PATENTE]],'BASE DATOS'!F:J,5,0)</f>
        <v xml:space="preserve">NO </v>
      </c>
      <c r="I564" s="584" t="str">
        <f>+VLOOKUP(Tabla3[[#This Row],[PATENTE]],'BASE DATOS'!F:K,6,0)</f>
        <v>SI</v>
      </c>
      <c r="J564" s="584">
        <f>+VLOOKUP(Tabla3[[#This Row],[PATENTE]],'BASE DATOS'!F:L,7,0)</f>
        <v>2003</v>
      </c>
      <c r="K564" s="593">
        <v>0</v>
      </c>
      <c r="N564" s="826"/>
      <c r="O564" s="1015"/>
      <c r="P564" s="1015"/>
      <c r="Q564" s="1015"/>
      <c r="R564" s="1024" t="str">
        <f t="shared" si="20"/>
        <v>-</v>
      </c>
    </row>
    <row r="565" spans="1:18" hidden="1">
      <c r="A565" s="578" t="s">
        <v>900</v>
      </c>
      <c r="B565" s="584">
        <v>1</v>
      </c>
      <c r="C565" s="589">
        <v>45908</v>
      </c>
      <c r="D565" s="582">
        <f t="shared" si="22"/>
        <v>37</v>
      </c>
      <c r="E565" s="618" t="str">
        <f>+VLOOKUP(Tabla3[[#This Row],[PATENTE]],'BASE DATOS'!F:G,2,0)</f>
        <v>TRANSPORTE GENA GAIA - IMO939</v>
      </c>
      <c r="F565" s="584" t="str">
        <f>+VLOOKUP(Tabla3[[#This Row],[PATENTE]],'BASE DATOS'!F:H,3,0)</f>
        <v>24P</v>
      </c>
      <c r="G565" s="584" t="str">
        <f>+VLOOKUP(Tabla3[[#This Row],[PATENTE]],'BASE DATOS'!F:I,4,0)</f>
        <v>Gestya</v>
      </c>
      <c r="H565" s="584" t="str">
        <f>+VLOOKUP(Tabla3[[#This Row],[PATENTE]],'BASE DATOS'!F:J,5,0)</f>
        <v xml:space="preserve">NO </v>
      </c>
      <c r="I565" s="584" t="str">
        <f>+VLOOKUP(Tabla3[[#This Row],[PATENTE]],'BASE DATOS'!F:K,6,0)</f>
        <v>NO</v>
      </c>
      <c r="J565" s="584">
        <f>+VLOOKUP(Tabla3[[#This Row],[PATENTE]],'BASE DATOS'!F:L,7,0)</f>
        <v>2010</v>
      </c>
      <c r="K565" s="619">
        <f>+VLOOKUP(Tabla3[[#This Row],[PATENTE]],'BASE DATOS'!F:M,8,0)</f>
        <v>15</v>
      </c>
      <c r="N565" s="826"/>
      <c r="O565" s="1015"/>
      <c r="P565" s="1015"/>
      <c r="Q565" s="1015"/>
      <c r="R565" s="1024" t="str">
        <f t="shared" si="20"/>
        <v>-</v>
      </c>
    </row>
    <row r="566" spans="1:18" hidden="1">
      <c r="A566" s="578" t="s">
        <v>1136</v>
      </c>
      <c r="B566" s="584">
        <v>1</v>
      </c>
      <c r="C566" s="589">
        <v>45908</v>
      </c>
      <c r="D566" s="582">
        <f t="shared" si="22"/>
        <v>37</v>
      </c>
      <c r="E566" s="618" t="str">
        <f>+VLOOKUP(Tabla3[[#This Row],[PATENTE]],'BASE DATOS'!F:G,2,0)</f>
        <v>GANZINI HUGO - LEK390</v>
      </c>
      <c r="F566" s="584" t="str">
        <f>+VLOOKUP(Tabla3[[#This Row],[PATENTE]],'BASE DATOS'!F:H,3,0)</f>
        <v>8P</v>
      </c>
      <c r="G566" s="584" t="str">
        <f>+VLOOKUP(Tabla3[[#This Row],[PATENTE]],'BASE DATOS'!F:I,4,0)</f>
        <v>NO</v>
      </c>
      <c r="H566" s="584" t="str">
        <f>+VLOOKUP(Tabla3[[#This Row],[PATENTE]],'BASE DATOS'!F:J,5,0)</f>
        <v xml:space="preserve">NO </v>
      </c>
      <c r="I566" s="584" t="str">
        <f>+VLOOKUP(Tabla3[[#This Row],[PATENTE]],'BASE DATOS'!F:K,6,0)</f>
        <v>NO</v>
      </c>
      <c r="J566" s="584">
        <f>+VLOOKUP(Tabla3[[#This Row],[PATENTE]],'BASE DATOS'!F:L,7,0)</f>
        <v>2013</v>
      </c>
      <c r="K566" s="619">
        <f>+VLOOKUP(Tabla3[[#This Row],[PATENTE]],'BASE DATOS'!F:M,8,0)</f>
        <v>12</v>
      </c>
      <c r="N566" s="826"/>
      <c r="O566" s="1015"/>
      <c r="P566" s="1015"/>
      <c r="Q566" s="1015"/>
      <c r="R566" s="1024" t="str">
        <f t="shared" si="20"/>
        <v>-</v>
      </c>
    </row>
    <row r="567" spans="1:18" hidden="1">
      <c r="A567" s="578" t="s">
        <v>1163</v>
      </c>
      <c r="B567" s="584">
        <v>1</v>
      </c>
      <c r="C567" s="589">
        <v>45908</v>
      </c>
      <c r="D567" s="582">
        <f t="shared" si="22"/>
        <v>37</v>
      </c>
      <c r="E567" s="618" t="str">
        <f>+VLOOKUP(Tabla3[[#This Row],[PATENTE]],'BASE DATOS'!F:G,2,0)</f>
        <v>GANZINI HUGO -NXM925</v>
      </c>
      <c r="F567" s="584" t="str">
        <f>+VLOOKUP(Tabla3[[#This Row],[PATENTE]],'BASE DATOS'!F:H,3,0)</f>
        <v>2P</v>
      </c>
      <c r="G567" s="584" t="str">
        <f>+VLOOKUP(Tabla3[[#This Row],[PATENTE]],'BASE DATOS'!F:I,4,0)</f>
        <v>NO</v>
      </c>
      <c r="H567" s="584" t="str">
        <f>+VLOOKUP(Tabla3[[#This Row],[PATENTE]],'BASE DATOS'!F:J,5,0)</f>
        <v xml:space="preserve">NO </v>
      </c>
      <c r="I567" s="584" t="str">
        <f>+VLOOKUP(Tabla3[[#This Row],[PATENTE]],'BASE DATOS'!F:K,6,0)</f>
        <v>NO</v>
      </c>
      <c r="J567" s="584">
        <f>+VLOOKUP(Tabla3[[#This Row],[PATENTE]],'BASE DATOS'!F:L,7,0)</f>
        <v>2013</v>
      </c>
      <c r="K567" s="619">
        <f>+VLOOKUP(Tabla3[[#This Row],[PATENTE]],'BASE DATOS'!F:M,8,0)</f>
        <v>12</v>
      </c>
      <c r="N567" s="826"/>
      <c r="O567" s="1015"/>
      <c r="P567" s="1015"/>
      <c r="Q567" s="1015"/>
      <c r="R567" s="1024" t="str">
        <f t="shared" si="20"/>
        <v>-</v>
      </c>
    </row>
    <row r="568" spans="1:18" hidden="1">
      <c r="A568" s="578" t="s">
        <v>907</v>
      </c>
      <c r="B568" s="584">
        <v>7</v>
      </c>
      <c r="C568" s="590">
        <v>45915</v>
      </c>
      <c r="D568" s="582">
        <f t="shared" si="22"/>
        <v>38</v>
      </c>
      <c r="E568" s="618" t="str">
        <f>+VLOOKUP(Tabla3[[#This Row],[PATENTE]],'BASE DATOS'!F:G,2,0)</f>
        <v xml:space="preserve">LAURIA (SERVAL) - AH583GW </v>
      </c>
      <c r="F568" s="584" t="str">
        <f>+VLOOKUP(Tabla3[[#This Row],[PATENTE]],'BASE DATOS'!F:H,3,0)</f>
        <v>8P</v>
      </c>
      <c r="G568" s="584" t="str">
        <f>+VLOOKUP(Tabla3[[#This Row],[PATENTE]],'BASE DATOS'!F:I,4,0)</f>
        <v>SI</v>
      </c>
      <c r="H568" s="584" t="str">
        <f>+VLOOKUP(Tabla3[[#This Row],[PATENTE]],'BASE DATOS'!F:J,5,0)</f>
        <v>SI</v>
      </c>
      <c r="I568" s="584" t="str">
        <f>+VLOOKUP(Tabla3[[#This Row],[PATENTE]],'BASE DATOS'!F:K,6,0)</f>
        <v>NO</v>
      </c>
      <c r="J568" s="584">
        <f>+VLOOKUP(Tabla3[[#This Row],[PATENTE]],'BASE DATOS'!F:L,7,0)</f>
        <v>2025</v>
      </c>
      <c r="K568" s="619">
        <f>+VLOOKUP(Tabla3[[#This Row],[PATENTE]],'BASE DATOS'!F:M,8,0)</f>
        <v>0</v>
      </c>
      <c r="N568" s="826"/>
      <c r="O568" s="1015"/>
      <c r="P568" s="1015"/>
      <c r="Q568" s="1015"/>
      <c r="R568" s="1024" t="str">
        <f t="shared" si="20"/>
        <v>-</v>
      </c>
    </row>
    <row r="569" spans="1:18" hidden="1">
      <c r="A569" s="577" t="s">
        <v>905</v>
      </c>
      <c r="B569" s="584">
        <v>6</v>
      </c>
      <c r="C569" s="590">
        <v>45915</v>
      </c>
      <c r="D569" s="582">
        <f t="shared" si="22"/>
        <v>38</v>
      </c>
      <c r="E569" s="618" t="str">
        <f>+VLOOKUP(Tabla3[[#This Row],[PATENTE]],'BASE DATOS'!F:G,2,0)</f>
        <v xml:space="preserve">J RIMOLDI - AB312SE </v>
      </c>
      <c r="F569" s="584" t="str">
        <f>+VLOOKUP(Tabla3[[#This Row],[PATENTE]],'BASE DATOS'!F:H,3,0)</f>
        <v>8P</v>
      </c>
      <c r="G569" s="584" t="str">
        <f>+VLOOKUP(Tabla3[[#This Row],[PATENTE]],'BASE DATOS'!F:I,4,0)</f>
        <v>SI</v>
      </c>
      <c r="H569" s="584" t="str">
        <f>+VLOOKUP(Tabla3[[#This Row],[PATENTE]],'BASE DATOS'!F:J,5,0)</f>
        <v>SI</v>
      </c>
      <c r="I569" s="584" t="str">
        <f>+VLOOKUP(Tabla3[[#This Row],[PATENTE]],'BASE DATOS'!F:K,6,0)</f>
        <v>NO</v>
      </c>
      <c r="J569" s="584">
        <f>+VLOOKUP(Tabla3[[#This Row],[PATENTE]],'BASE DATOS'!F:L,7,0)</f>
        <v>2017</v>
      </c>
      <c r="K569" s="619">
        <f>+VLOOKUP(Tabla3[[#This Row],[PATENTE]],'BASE DATOS'!F:M,8,0)</f>
        <v>8</v>
      </c>
      <c r="N569" s="826"/>
      <c r="O569" s="1015"/>
      <c r="P569" s="1015"/>
      <c r="Q569" s="1015"/>
      <c r="R569" s="1024" t="str">
        <f t="shared" si="20"/>
        <v>-</v>
      </c>
    </row>
    <row r="570" spans="1:18" hidden="1">
      <c r="A570" s="578" t="s">
        <v>912</v>
      </c>
      <c r="B570" s="584">
        <v>6</v>
      </c>
      <c r="C570" s="590">
        <v>45915</v>
      </c>
      <c r="D570" s="582">
        <f t="shared" si="22"/>
        <v>38</v>
      </c>
      <c r="E570" s="618" t="str">
        <f>+VLOOKUP(Tabla3[[#This Row],[PATENTE]],'BASE DATOS'!F:G,2,0)</f>
        <v xml:space="preserve">PACHECO JULIO - AC028WN </v>
      </c>
      <c r="F570" s="584" t="str">
        <f>+VLOOKUP(Tabla3[[#This Row],[PATENTE]],'BASE DATOS'!F:H,3,0)</f>
        <v>8P</v>
      </c>
      <c r="G570" s="584" t="str">
        <f>+VLOOKUP(Tabla3[[#This Row],[PATENTE]],'BASE DATOS'!F:I,4,0)</f>
        <v>SI</v>
      </c>
      <c r="H570" s="584" t="str">
        <f>+VLOOKUP(Tabla3[[#This Row],[PATENTE]],'BASE DATOS'!F:J,5,0)</f>
        <v>SI</v>
      </c>
      <c r="I570" s="584" t="str">
        <f>+VLOOKUP(Tabla3[[#This Row],[PATENTE]],'BASE DATOS'!F:K,6,0)</f>
        <v>SI</v>
      </c>
      <c r="J570" s="584">
        <f>+VLOOKUP(Tabla3[[#This Row],[PATENTE]],'BASE DATOS'!F:L,7,0)</f>
        <v>2017</v>
      </c>
      <c r="K570" s="619">
        <f>+VLOOKUP(Tabla3[[#This Row],[PATENTE]],'BASE DATOS'!F:M,8,0)</f>
        <v>8</v>
      </c>
      <c r="N570" s="826"/>
      <c r="O570" s="1015"/>
      <c r="P570" s="1015"/>
      <c r="Q570" s="1015"/>
      <c r="R570" s="1024" t="str">
        <f t="shared" si="20"/>
        <v>-</v>
      </c>
    </row>
    <row r="571" spans="1:18" hidden="1">
      <c r="A571" s="578" t="s">
        <v>881</v>
      </c>
      <c r="B571" s="584">
        <v>6</v>
      </c>
      <c r="C571" s="590">
        <v>45915</v>
      </c>
      <c r="D571" s="582">
        <f t="shared" si="22"/>
        <v>38</v>
      </c>
      <c r="E571" s="618" t="str">
        <f>+VLOOKUP(Tabla3[[#This Row],[PATENTE]],'BASE DATOS'!F:G,2,0)</f>
        <v xml:space="preserve">MAÑAS NORBERTO - DUQ686 </v>
      </c>
      <c r="F571" s="584" t="str">
        <f>+VLOOKUP(Tabla3[[#This Row],[PATENTE]],'BASE DATOS'!F:H,3,0)</f>
        <v>8P</v>
      </c>
      <c r="G571" s="584" t="str">
        <f>+VLOOKUP(Tabla3[[#This Row],[PATENTE]],'BASE DATOS'!F:I,4,0)</f>
        <v>SI</v>
      </c>
      <c r="H571" s="584" t="str">
        <f>+VLOOKUP(Tabla3[[#This Row],[PATENTE]],'BASE DATOS'!F:J,5,0)</f>
        <v>SI</v>
      </c>
      <c r="I571" s="584" t="str">
        <f>+VLOOKUP(Tabla3[[#This Row],[PATENTE]],'BASE DATOS'!F:K,6,0)</f>
        <v>NO</v>
      </c>
      <c r="J571" s="584">
        <f>+VLOOKUP(Tabla3[[#This Row],[PATENTE]],'BASE DATOS'!F:L,7,0)</f>
        <v>2001</v>
      </c>
      <c r="K571" s="619">
        <f>+VLOOKUP(Tabla3[[#This Row],[PATENTE]],'BASE DATOS'!F:M,8,0)</f>
        <v>24</v>
      </c>
      <c r="N571" s="826"/>
      <c r="O571" s="1015"/>
      <c r="P571" s="1015"/>
      <c r="Q571" s="1015"/>
      <c r="R571" s="1024" t="str">
        <f t="shared" si="20"/>
        <v>-</v>
      </c>
    </row>
    <row r="572" spans="1:18" hidden="1">
      <c r="A572" s="578" t="s">
        <v>932</v>
      </c>
      <c r="B572" s="584">
        <v>6</v>
      </c>
      <c r="C572" s="590">
        <v>45915</v>
      </c>
      <c r="D572" s="582">
        <f t="shared" si="22"/>
        <v>38</v>
      </c>
      <c r="E572" s="618" t="str">
        <f>+VLOOKUP(Tabla3[[#This Row],[PATENTE]],'BASE DATOS'!F:G,2,0)</f>
        <v xml:space="preserve">TRANSP MAVIR - EFL176 </v>
      </c>
      <c r="F572" s="584" t="str">
        <f>+VLOOKUP(Tabla3[[#This Row],[PATENTE]],'BASE DATOS'!F:H,3,0)</f>
        <v>12P</v>
      </c>
      <c r="G572" s="584" t="str">
        <f>+VLOOKUP(Tabla3[[#This Row],[PATENTE]],'BASE DATOS'!F:I,4,0)</f>
        <v>SI</v>
      </c>
      <c r="H572" s="584" t="str">
        <f>+VLOOKUP(Tabla3[[#This Row],[PATENTE]],'BASE DATOS'!F:J,5,0)</f>
        <v>SI</v>
      </c>
      <c r="I572" s="584" t="str">
        <f>+VLOOKUP(Tabla3[[#This Row],[PATENTE]],'BASE DATOS'!F:K,6,0)</f>
        <v>NO</v>
      </c>
      <c r="J572" s="584">
        <f>+VLOOKUP(Tabla3[[#This Row],[PATENTE]],'BASE DATOS'!F:L,7,0)</f>
        <v>1998</v>
      </c>
      <c r="K572" s="619">
        <f>+VLOOKUP(Tabla3[[#This Row],[PATENTE]],'BASE DATOS'!F:M,8,0)</f>
        <v>27</v>
      </c>
      <c r="N572" s="826"/>
      <c r="O572" s="1015"/>
      <c r="P572" s="1015"/>
      <c r="Q572" s="1015"/>
      <c r="R572" s="1024" t="str">
        <f t="shared" si="20"/>
        <v>-</v>
      </c>
    </row>
    <row r="573" spans="1:18" hidden="1">
      <c r="A573" s="578" t="s">
        <v>892</v>
      </c>
      <c r="B573" s="584">
        <v>6</v>
      </c>
      <c r="C573" s="590">
        <v>45915</v>
      </c>
      <c r="D573" s="582">
        <f t="shared" si="22"/>
        <v>38</v>
      </c>
      <c r="E573" s="618" t="str">
        <f>+VLOOKUP(Tabla3[[#This Row],[PATENTE]],'BASE DATOS'!F:G,2,0)</f>
        <v xml:space="preserve">COLO - FTL525 </v>
      </c>
      <c r="F573" s="584" t="str">
        <f>+VLOOKUP(Tabla3[[#This Row],[PATENTE]],'BASE DATOS'!F:H,3,0)</f>
        <v>1P</v>
      </c>
      <c r="G573" s="584" t="str">
        <f>+VLOOKUP(Tabla3[[#This Row],[PATENTE]],'BASE DATOS'!F:I,4,0)</f>
        <v>NO</v>
      </c>
      <c r="H573" s="584" t="str">
        <f>+VLOOKUP(Tabla3[[#This Row],[PATENTE]],'BASE DATOS'!F:J,5,0)</f>
        <v>SI</v>
      </c>
      <c r="I573" s="584" t="str">
        <f>+VLOOKUP(Tabla3[[#This Row],[PATENTE]],'BASE DATOS'!F:K,6,0)</f>
        <v>NO</v>
      </c>
      <c r="J573" s="584">
        <f>+VLOOKUP(Tabla3[[#This Row],[PATENTE]],'BASE DATOS'!F:L,7,0)</f>
        <v>2008</v>
      </c>
      <c r="K573" s="619">
        <f>+VLOOKUP(Tabla3[[#This Row],[PATENTE]],'BASE DATOS'!F:M,8,0)</f>
        <v>17</v>
      </c>
      <c r="N573" s="826"/>
      <c r="O573" s="1015"/>
      <c r="P573" s="1015"/>
      <c r="Q573" s="1015"/>
      <c r="R573" s="1024" t="str">
        <f t="shared" si="20"/>
        <v>-</v>
      </c>
    </row>
    <row r="574" spans="1:18" hidden="1">
      <c r="A574" s="578" t="s">
        <v>889</v>
      </c>
      <c r="B574" s="584">
        <v>6</v>
      </c>
      <c r="C574" s="590">
        <v>45915</v>
      </c>
      <c r="D574" s="582">
        <f t="shared" si="22"/>
        <v>38</v>
      </c>
      <c r="E574" s="618" t="str">
        <f>+VLOOKUP(Tabla3[[#This Row],[PATENTE]],'BASE DATOS'!F:G,2,0)</f>
        <v xml:space="preserve">COLO - HAW164 </v>
      </c>
      <c r="F574" s="584" t="str">
        <f>+VLOOKUP(Tabla3[[#This Row],[PATENTE]],'BASE DATOS'!F:H,3,0)</f>
        <v>6P</v>
      </c>
      <c r="G574" s="584" t="str">
        <f>+VLOOKUP(Tabla3[[#This Row],[PATENTE]],'BASE DATOS'!F:I,4,0)</f>
        <v>NO</v>
      </c>
      <c r="H574" s="584" t="str">
        <f>+VLOOKUP(Tabla3[[#This Row],[PATENTE]],'BASE DATOS'!F:J,5,0)</f>
        <v>SI</v>
      </c>
      <c r="I574" s="584" t="str">
        <f>+VLOOKUP(Tabla3[[#This Row],[PATENTE]],'BASE DATOS'!F:K,6,0)</f>
        <v>NO</v>
      </c>
      <c r="J574" s="584">
        <f>+VLOOKUP(Tabla3[[#This Row],[PATENTE]],'BASE DATOS'!F:L,7,0)</f>
        <v>2009</v>
      </c>
      <c r="K574" s="619">
        <f>+VLOOKUP(Tabla3[[#This Row],[PATENTE]],'BASE DATOS'!F:M,8,0)</f>
        <v>16</v>
      </c>
      <c r="N574" s="826"/>
      <c r="O574" s="1015"/>
      <c r="P574" s="1015"/>
      <c r="Q574" s="1015"/>
      <c r="R574" s="1024" t="str">
        <f t="shared" si="20"/>
        <v>-</v>
      </c>
    </row>
    <row r="575" spans="1:18" hidden="1">
      <c r="A575" s="578" t="s">
        <v>891</v>
      </c>
      <c r="B575" s="584">
        <v>6</v>
      </c>
      <c r="C575" s="590">
        <v>45915</v>
      </c>
      <c r="D575" s="582">
        <f t="shared" si="22"/>
        <v>38</v>
      </c>
      <c r="E575" s="618" t="str">
        <f>+VLOOKUP(Tabla3[[#This Row],[PATENTE]],'BASE DATOS'!F:G,2,0)</f>
        <v xml:space="preserve">GANZINI HUGO - HHA085 </v>
      </c>
      <c r="F575" s="584" t="str">
        <f>+VLOOKUP(Tabla3[[#This Row],[PATENTE]],'BASE DATOS'!F:H,3,0)</f>
        <v>2P</v>
      </c>
      <c r="G575" s="584" t="str">
        <f>+VLOOKUP(Tabla3[[#This Row],[PATENTE]],'BASE DATOS'!F:I,4,0)</f>
        <v>SI</v>
      </c>
      <c r="H575" s="584" t="str">
        <f>+VLOOKUP(Tabla3[[#This Row],[PATENTE]],'BASE DATOS'!F:J,5,0)</f>
        <v>SI</v>
      </c>
      <c r="I575" s="584" t="str">
        <f>+VLOOKUP(Tabla3[[#This Row],[PATENTE]],'BASE DATOS'!F:K,6,0)</f>
        <v>NO</v>
      </c>
      <c r="J575" s="584">
        <f>+VLOOKUP(Tabla3[[#This Row],[PATENTE]],'BASE DATOS'!F:L,7,0)</f>
        <v>2008</v>
      </c>
      <c r="K575" s="619">
        <f>+VLOOKUP(Tabla3[[#This Row],[PATENTE]],'BASE DATOS'!F:M,8,0)</f>
        <v>17</v>
      </c>
      <c r="N575" s="826"/>
      <c r="O575" s="1015"/>
      <c r="P575" s="1015"/>
      <c r="Q575" s="1015"/>
      <c r="R575" s="1024" t="str">
        <f t="shared" si="20"/>
        <v>-</v>
      </c>
    </row>
    <row r="576" spans="1:18" hidden="1">
      <c r="A576" s="578" t="s">
        <v>902</v>
      </c>
      <c r="B576" s="584">
        <v>6</v>
      </c>
      <c r="C576" s="590">
        <v>45915</v>
      </c>
      <c r="D576" s="582">
        <f t="shared" si="22"/>
        <v>38</v>
      </c>
      <c r="E576" s="618" t="str">
        <f>+VLOOKUP(Tabla3[[#This Row],[PATENTE]],'BASE DATOS'!F:G,2,0)</f>
        <v xml:space="preserve">GUSTAVO CERQUETTA - KZA644 </v>
      </c>
      <c r="F576" s="584" t="str">
        <f>+VLOOKUP(Tabla3[[#This Row],[PATENTE]],'BASE DATOS'!F:H,3,0)</f>
        <v>2P</v>
      </c>
      <c r="G576" s="584" t="str">
        <f>+VLOOKUP(Tabla3[[#This Row],[PATENTE]],'BASE DATOS'!F:I,4,0)</f>
        <v>NO</v>
      </c>
      <c r="H576" s="584" t="str">
        <f>+VLOOKUP(Tabla3[[#This Row],[PATENTE]],'BASE DATOS'!F:J,5,0)</f>
        <v>SI</v>
      </c>
      <c r="I576" s="584" t="str">
        <f>+VLOOKUP(Tabla3[[#This Row],[PATENTE]],'BASE DATOS'!F:K,6,0)</f>
        <v>NO</v>
      </c>
      <c r="J576" s="584">
        <f>+VLOOKUP(Tabla3[[#This Row],[PATENTE]],'BASE DATOS'!F:L,7,0)</f>
        <v>2012</v>
      </c>
      <c r="K576" s="619">
        <f>+VLOOKUP(Tabla3[[#This Row],[PATENTE]],'BASE DATOS'!F:M,8,0)</f>
        <v>13</v>
      </c>
      <c r="N576" s="826"/>
      <c r="O576" s="1015"/>
      <c r="P576" s="1015"/>
      <c r="Q576" s="1015"/>
      <c r="R576" s="1024" t="str">
        <f t="shared" si="20"/>
        <v>-</v>
      </c>
    </row>
    <row r="577" spans="1:18" hidden="1">
      <c r="A577" s="578" t="s">
        <v>909</v>
      </c>
      <c r="B577" s="584">
        <v>6</v>
      </c>
      <c r="C577" s="590">
        <v>45915</v>
      </c>
      <c r="D577" s="582">
        <f t="shared" si="22"/>
        <v>38</v>
      </c>
      <c r="E577" s="618" t="str">
        <f>+VLOOKUP(Tabla3[[#This Row],[PATENTE]],'BASE DATOS'!F:G,2,0)</f>
        <v xml:space="preserve">CRISTIAN MOYA - NHR055 </v>
      </c>
      <c r="F577" s="584" t="str">
        <f>+VLOOKUP(Tabla3[[#This Row],[PATENTE]],'BASE DATOS'!F:H,3,0)</f>
        <v>6P</v>
      </c>
      <c r="G577" s="584" t="str">
        <f>+VLOOKUP(Tabla3[[#This Row],[PATENTE]],'BASE DATOS'!F:I,4,0)</f>
        <v>SI</v>
      </c>
      <c r="H577" s="584" t="str">
        <f>+VLOOKUP(Tabla3[[#This Row],[PATENTE]],'BASE DATOS'!F:J,5,0)</f>
        <v>SI</v>
      </c>
      <c r="I577" s="584" t="str">
        <f>+VLOOKUP(Tabla3[[#This Row],[PATENTE]],'BASE DATOS'!F:K,6,0)</f>
        <v>NO</v>
      </c>
      <c r="J577" s="584">
        <f>+VLOOKUP(Tabla3[[#This Row],[PATENTE]],'BASE DATOS'!F:L,7,0)</f>
        <v>2013</v>
      </c>
      <c r="K577" s="619">
        <f>+VLOOKUP(Tabla3[[#This Row],[PATENTE]],'BASE DATOS'!F:M,8,0)</f>
        <v>12</v>
      </c>
      <c r="N577" s="826"/>
      <c r="O577" s="1015"/>
      <c r="P577" s="1015"/>
      <c r="Q577" s="1015"/>
      <c r="R577" s="1024" t="str">
        <f t="shared" si="20"/>
        <v>-</v>
      </c>
    </row>
    <row r="578" spans="1:18" hidden="1">
      <c r="A578" s="578" t="s">
        <v>898</v>
      </c>
      <c r="B578" s="584">
        <v>6</v>
      </c>
      <c r="C578" s="590">
        <v>45915</v>
      </c>
      <c r="D578" s="582">
        <f t="shared" si="22"/>
        <v>38</v>
      </c>
      <c r="E578" s="618" t="str">
        <f>+VLOOKUP(Tabla3[[#This Row],[PATENTE]],'BASE DATOS'!F:G,2,0)</f>
        <v xml:space="preserve">TRANSP BERMEJO - NXP980 </v>
      </c>
      <c r="F578" s="584" t="str">
        <f>+VLOOKUP(Tabla3[[#This Row],[PATENTE]],'BASE DATOS'!F:H,3,0)</f>
        <v>12P</v>
      </c>
      <c r="G578" s="584" t="str">
        <f>+VLOOKUP(Tabla3[[#This Row],[PATENTE]],'BASE DATOS'!F:I,4,0)</f>
        <v>SI</v>
      </c>
      <c r="H578" s="584" t="str">
        <f>+VLOOKUP(Tabla3[[#This Row],[PATENTE]],'BASE DATOS'!F:J,5,0)</f>
        <v>SI</v>
      </c>
      <c r="I578" s="584" t="str">
        <f>+VLOOKUP(Tabla3[[#This Row],[PATENTE]],'BASE DATOS'!F:K,6,0)</f>
        <v>SI</v>
      </c>
      <c r="J578" s="584">
        <f>+VLOOKUP(Tabla3[[#This Row],[PATENTE]],'BASE DATOS'!F:L,7,0)</f>
        <v>2015</v>
      </c>
      <c r="K578" s="619">
        <f>+VLOOKUP(Tabla3[[#This Row],[PATENTE]],'BASE DATOS'!F:M,8,0)</f>
        <v>10</v>
      </c>
      <c r="N578" s="826"/>
      <c r="O578" s="1015"/>
      <c r="P578" s="1015"/>
      <c r="Q578" s="1015"/>
      <c r="R578" s="1024" t="str">
        <f t="shared" ref="R578:R588" si="23">IFERROR(AVERAGE(O578:Q578),"-")</f>
        <v>-</v>
      </c>
    </row>
    <row r="579" spans="1:18" hidden="1">
      <c r="A579" s="578" t="s">
        <v>877</v>
      </c>
      <c r="B579" s="584">
        <v>6</v>
      </c>
      <c r="C579" s="590">
        <v>45915</v>
      </c>
      <c r="D579" s="582">
        <f t="shared" si="22"/>
        <v>38</v>
      </c>
      <c r="E579" s="618" t="str">
        <f>+VLOOKUP(Tabla3[[#This Row],[PATENTE]],'BASE DATOS'!F:G,2,0)</f>
        <v>TRANSP MAIDANA CARLOS - OWA126</v>
      </c>
      <c r="F579" s="584" t="str">
        <f>+VLOOKUP(Tabla3[[#This Row],[PATENTE]],'BASE DATOS'!F:H,3,0)</f>
        <v>4P</v>
      </c>
      <c r="G579" s="584" t="str">
        <f>+VLOOKUP(Tabla3[[#This Row],[PATENTE]],'BASE DATOS'!F:I,4,0)</f>
        <v>SI</v>
      </c>
      <c r="H579" s="584" t="str">
        <f>+VLOOKUP(Tabla3[[#This Row],[PATENTE]],'BASE DATOS'!F:J,5,0)</f>
        <v>SI</v>
      </c>
      <c r="I579" s="584" t="str">
        <f>+VLOOKUP(Tabla3[[#This Row],[PATENTE]],'BASE DATOS'!F:K,6,0)</f>
        <v>NO</v>
      </c>
      <c r="J579" s="584">
        <f>+VLOOKUP(Tabla3[[#This Row],[PATENTE]],'BASE DATOS'!F:L,7,0)</f>
        <v>2015</v>
      </c>
      <c r="K579" s="619">
        <f>+VLOOKUP(Tabla3[[#This Row],[PATENTE]],'BASE DATOS'!F:M,8,0)</f>
        <v>10</v>
      </c>
      <c r="N579" s="826"/>
      <c r="O579" s="1015"/>
      <c r="P579" s="1015"/>
      <c r="Q579" s="1015"/>
      <c r="R579" s="1024" t="str">
        <f t="shared" si="23"/>
        <v>-</v>
      </c>
    </row>
    <row r="580" spans="1:18" hidden="1">
      <c r="A580" s="578" t="s">
        <v>899</v>
      </c>
      <c r="B580" s="584">
        <v>5</v>
      </c>
      <c r="C580" s="590">
        <v>45915</v>
      </c>
      <c r="D580" s="582">
        <f t="shared" si="22"/>
        <v>38</v>
      </c>
      <c r="E580" s="618" t="str">
        <f>+VLOOKUP(Tabla3[[#This Row],[PATENTE]],'BASE DATOS'!F:G,2,0)</f>
        <v xml:space="preserve">VAZQUEZ (TRV SRL) - AB176KN </v>
      </c>
      <c r="F580" s="584" t="str">
        <f>+VLOOKUP(Tabla3[[#This Row],[PATENTE]],'BASE DATOS'!F:H,3,0)</f>
        <v>8P</v>
      </c>
      <c r="G580" s="584" t="str">
        <f>+VLOOKUP(Tabla3[[#This Row],[PATENTE]],'BASE DATOS'!F:I,4,0)</f>
        <v>SI</v>
      </c>
      <c r="H580" s="584" t="str">
        <f>+VLOOKUP(Tabla3[[#This Row],[PATENTE]],'BASE DATOS'!F:J,5,0)</f>
        <v>SI</v>
      </c>
      <c r="I580" s="584" t="str">
        <f>+VLOOKUP(Tabla3[[#This Row],[PATENTE]],'BASE DATOS'!F:K,6,0)</f>
        <v>SI</v>
      </c>
      <c r="J580" s="584">
        <f>+VLOOKUP(Tabla3[[#This Row],[PATENTE]],'BASE DATOS'!F:L,7,0)</f>
        <v>2017</v>
      </c>
      <c r="K580" s="619">
        <f>+VLOOKUP(Tabla3[[#This Row],[PATENTE]],'BASE DATOS'!F:M,8,0)</f>
        <v>8</v>
      </c>
      <c r="N580" s="826"/>
      <c r="O580" s="1015"/>
      <c r="P580" s="1015"/>
      <c r="Q580" s="1015"/>
      <c r="R580" s="1024" t="str">
        <f t="shared" si="23"/>
        <v>-</v>
      </c>
    </row>
    <row r="581" spans="1:18" hidden="1">
      <c r="A581" s="578" t="s">
        <v>922</v>
      </c>
      <c r="B581" s="584">
        <v>5</v>
      </c>
      <c r="C581" s="590">
        <v>45915</v>
      </c>
      <c r="D581" s="582">
        <f t="shared" si="22"/>
        <v>38</v>
      </c>
      <c r="E581" s="618" t="str">
        <f>+VLOOKUP(Tabla3[[#This Row],[PATENTE]],'BASE DATOS'!F:G,2,0)</f>
        <v>LAURIA (SERVAL) - AF342ZY</v>
      </c>
      <c r="F581" s="584" t="str">
        <f>+VLOOKUP(Tabla3[[#This Row],[PATENTE]],'BASE DATOS'!F:H,3,0)</f>
        <v>8P</v>
      </c>
      <c r="G581" s="584" t="str">
        <f>+VLOOKUP(Tabla3[[#This Row],[PATENTE]],'BASE DATOS'!F:I,4,0)</f>
        <v>SI</v>
      </c>
      <c r="H581" s="584" t="str">
        <f>+VLOOKUP(Tabla3[[#This Row],[PATENTE]],'BASE DATOS'!F:J,5,0)</f>
        <v>SI</v>
      </c>
      <c r="I581" s="584" t="str">
        <f>+VLOOKUP(Tabla3[[#This Row],[PATENTE]],'BASE DATOS'!F:K,6,0)</f>
        <v>NO</v>
      </c>
      <c r="J581" s="584">
        <f>+VLOOKUP(Tabla3[[#This Row],[PATENTE]],'BASE DATOS'!F:L,7,0)</f>
        <v>2022</v>
      </c>
      <c r="K581" s="619">
        <f>+VLOOKUP(Tabla3[[#This Row],[PATENTE]],'BASE DATOS'!F:M,8,0)</f>
        <v>3</v>
      </c>
      <c r="N581" s="826"/>
      <c r="O581" s="1015"/>
      <c r="P581" s="1015"/>
      <c r="Q581" s="1015"/>
      <c r="R581" s="1024" t="str">
        <f t="shared" si="23"/>
        <v>-</v>
      </c>
    </row>
    <row r="582" spans="1:18" hidden="1">
      <c r="A582" s="578" t="s">
        <v>903</v>
      </c>
      <c r="B582" s="584">
        <v>5</v>
      </c>
      <c r="C582" s="590">
        <v>45915</v>
      </c>
      <c r="D582" s="582">
        <f t="shared" si="22"/>
        <v>38</v>
      </c>
      <c r="E582" s="618" t="str">
        <f>+VLOOKUP(Tabla3[[#This Row],[PATENTE]],'BASE DATOS'!F:G,2,0)</f>
        <v xml:space="preserve">TRANSP CLAUDIO BUSTOS - AG243PE </v>
      </c>
      <c r="F582" s="584" t="str">
        <f>+VLOOKUP(Tabla3[[#This Row],[PATENTE]],'BASE DATOS'!F:H,3,0)</f>
        <v>1P</v>
      </c>
      <c r="G582" s="584" t="str">
        <f>+VLOOKUP(Tabla3[[#This Row],[PATENTE]],'BASE DATOS'!F:I,4,0)</f>
        <v>SI</v>
      </c>
      <c r="H582" s="584" t="str">
        <f>+VLOOKUP(Tabla3[[#This Row],[PATENTE]],'BASE DATOS'!F:J,5,0)</f>
        <v>SI</v>
      </c>
      <c r="I582" s="584" t="str">
        <f>+VLOOKUP(Tabla3[[#This Row],[PATENTE]],'BASE DATOS'!F:K,6,0)</f>
        <v>NO</v>
      </c>
      <c r="J582" s="584">
        <f>+VLOOKUP(Tabla3[[#This Row],[PATENTE]],'BASE DATOS'!F:L,7,0)</f>
        <v>2024</v>
      </c>
      <c r="K582" s="619">
        <f>+VLOOKUP(Tabla3[[#This Row],[PATENTE]],'BASE DATOS'!F:M,8,0)</f>
        <v>1</v>
      </c>
      <c r="N582" s="826"/>
      <c r="O582" s="1015"/>
      <c r="P582" s="1015"/>
      <c r="Q582" s="1015"/>
      <c r="R582" s="1024" t="str">
        <f t="shared" si="23"/>
        <v>-</v>
      </c>
    </row>
    <row r="583" spans="1:18" hidden="1">
      <c r="A583" s="578" t="s">
        <v>887</v>
      </c>
      <c r="B583" s="584">
        <v>5</v>
      </c>
      <c r="C583" s="590">
        <v>45915</v>
      </c>
      <c r="D583" s="582">
        <f t="shared" si="22"/>
        <v>38</v>
      </c>
      <c r="E583" s="618" t="str">
        <f>+VLOOKUP(Tabla3[[#This Row],[PATENTE]],'BASE DATOS'!F:G,2,0)</f>
        <v>ENRIQUE ROLLINO - BXB394</v>
      </c>
      <c r="F583" s="584" t="str">
        <f>+VLOOKUP(Tabla3[[#This Row],[PATENTE]],'BASE DATOS'!F:H,3,0)</f>
        <v>2P</v>
      </c>
      <c r="G583" s="584" t="str">
        <f>+VLOOKUP(Tabla3[[#This Row],[PATENTE]],'BASE DATOS'!F:I,4,0)</f>
        <v>SI</v>
      </c>
      <c r="H583" s="584" t="str">
        <f>+VLOOKUP(Tabla3[[#This Row],[PATENTE]],'BASE DATOS'!F:J,5,0)</f>
        <v>SI</v>
      </c>
      <c r="I583" s="584" t="str">
        <f>+VLOOKUP(Tabla3[[#This Row],[PATENTE]],'BASE DATOS'!F:K,6,0)</f>
        <v>NO</v>
      </c>
      <c r="J583" s="584">
        <f>+VLOOKUP(Tabla3[[#This Row],[PATENTE]],'BASE DATOS'!F:L,7,0)</f>
        <v>1998</v>
      </c>
      <c r="K583" s="619">
        <f>+VLOOKUP(Tabla3[[#This Row],[PATENTE]],'BASE DATOS'!F:M,8,0)</f>
        <v>27</v>
      </c>
      <c r="N583" s="826"/>
      <c r="O583" s="1015"/>
      <c r="P583" s="1015"/>
      <c r="Q583" s="1015"/>
      <c r="R583" s="1024" t="str">
        <f t="shared" si="23"/>
        <v>-</v>
      </c>
    </row>
    <row r="584" spans="1:18" hidden="1">
      <c r="A584" s="578" t="s">
        <v>904</v>
      </c>
      <c r="B584" s="584">
        <v>5</v>
      </c>
      <c r="C584" s="590">
        <v>45915</v>
      </c>
      <c r="D584" s="582">
        <f t="shared" ref="D584:D615" si="24">+WEEKNUM(C584)</f>
        <v>38</v>
      </c>
      <c r="E584" s="618" t="str">
        <f>+VLOOKUP(Tabla3[[#This Row],[PATENTE]],'BASE DATOS'!F:G,2,0)</f>
        <v xml:space="preserve">ENRIQUE ROLLINO - DFO656 </v>
      </c>
      <c r="F584" s="584" t="str">
        <f>+VLOOKUP(Tabla3[[#This Row],[PATENTE]],'BASE DATOS'!F:H,3,0)</f>
        <v>6P</v>
      </c>
      <c r="G584" s="584" t="str">
        <f>+VLOOKUP(Tabla3[[#This Row],[PATENTE]],'BASE DATOS'!F:I,4,0)</f>
        <v>SI</v>
      </c>
      <c r="H584" s="584" t="str">
        <f>+VLOOKUP(Tabla3[[#This Row],[PATENTE]],'BASE DATOS'!F:J,5,0)</f>
        <v>SI</v>
      </c>
      <c r="I584" s="584" t="str">
        <f>+VLOOKUP(Tabla3[[#This Row],[PATENTE]],'BASE DATOS'!F:K,6,0)</f>
        <v>NO</v>
      </c>
      <c r="J584" s="584">
        <f>+VLOOKUP(Tabla3[[#This Row],[PATENTE]],'BASE DATOS'!F:L,7,0)</f>
        <v>2000</v>
      </c>
      <c r="K584" s="619">
        <f>+VLOOKUP(Tabla3[[#This Row],[PATENTE]],'BASE DATOS'!F:M,8,0)</f>
        <v>25</v>
      </c>
      <c r="N584" s="826"/>
      <c r="O584" s="1015"/>
      <c r="P584" s="1015"/>
      <c r="Q584" s="1015"/>
      <c r="R584" s="1024" t="str">
        <f t="shared" si="23"/>
        <v>-</v>
      </c>
    </row>
    <row r="585" spans="1:18" hidden="1">
      <c r="A585" s="578" t="s">
        <v>885</v>
      </c>
      <c r="B585" s="584">
        <v>5</v>
      </c>
      <c r="C585" s="590">
        <v>45915</v>
      </c>
      <c r="D585" s="582">
        <f t="shared" si="24"/>
        <v>38</v>
      </c>
      <c r="E585" s="618" t="str">
        <f>+VLOOKUP(Tabla3[[#This Row],[PATENTE]],'BASE DATOS'!F:G,2,0)</f>
        <v xml:space="preserve">TRANSP DON NENO - IES288 </v>
      </c>
      <c r="F585" s="584" t="str">
        <f>+VLOOKUP(Tabla3[[#This Row],[PATENTE]],'BASE DATOS'!F:H,3,0)</f>
        <v>2P</v>
      </c>
      <c r="G585" s="584" t="str">
        <f>+VLOOKUP(Tabla3[[#This Row],[PATENTE]],'BASE DATOS'!F:I,4,0)</f>
        <v>SI</v>
      </c>
      <c r="H585" s="584" t="str">
        <f>+VLOOKUP(Tabla3[[#This Row],[PATENTE]],'BASE DATOS'!F:J,5,0)</f>
        <v>SI</v>
      </c>
      <c r="I585" s="584" t="str">
        <f>+VLOOKUP(Tabla3[[#This Row],[PATENTE]],'BASE DATOS'!F:K,6,0)</f>
        <v>NO</v>
      </c>
      <c r="J585" s="584">
        <f>+VLOOKUP(Tabla3[[#This Row],[PATENTE]],'BASE DATOS'!F:L,7,0)</f>
        <v>2009</v>
      </c>
      <c r="K585" s="619">
        <f>+VLOOKUP(Tabla3[[#This Row],[PATENTE]],'BASE DATOS'!F:M,8,0)</f>
        <v>16</v>
      </c>
      <c r="N585" s="826"/>
      <c r="O585" s="1015"/>
      <c r="P585" s="1015"/>
      <c r="Q585" s="1015"/>
      <c r="R585" s="1024" t="str">
        <f t="shared" si="23"/>
        <v>-</v>
      </c>
    </row>
    <row r="586" spans="1:18" hidden="1">
      <c r="A586" s="578" t="s">
        <v>936</v>
      </c>
      <c r="B586" s="584">
        <v>4</v>
      </c>
      <c r="C586" s="590">
        <v>45915</v>
      </c>
      <c r="D586" s="582">
        <f t="shared" si="24"/>
        <v>38</v>
      </c>
      <c r="E586" s="618" t="str">
        <f>+VLOOKUP(Tabla3[[#This Row],[PATENTE]],'BASE DATOS'!F:G,2,0)</f>
        <v>TRANSP YANINA  LUONGO - AA050HC</v>
      </c>
      <c r="F586" s="584" t="str">
        <f>+VLOOKUP(Tabla3[[#This Row],[PATENTE]],'BASE DATOS'!F:H,3,0)</f>
        <v>1.5P</v>
      </c>
      <c r="G586" s="584" t="str">
        <f>+VLOOKUP(Tabla3[[#This Row],[PATENTE]],'BASE DATOS'!F:I,4,0)</f>
        <v>NO</v>
      </c>
      <c r="H586" s="584" t="str">
        <f>+VLOOKUP(Tabla3[[#This Row],[PATENTE]],'BASE DATOS'!F:J,5,0)</f>
        <v>SI</v>
      </c>
      <c r="I586" s="584" t="str">
        <f>+VLOOKUP(Tabla3[[#This Row],[PATENTE]],'BASE DATOS'!F:K,6,0)</f>
        <v>NO</v>
      </c>
      <c r="J586" s="584">
        <f>+VLOOKUP(Tabla3[[#This Row],[PATENTE]],'BASE DATOS'!F:L,7,0)</f>
        <v>2016</v>
      </c>
      <c r="K586" s="619">
        <f>+VLOOKUP(Tabla3[[#This Row],[PATENTE]],'BASE DATOS'!F:M,8,0)</f>
        <v>9</v>
      </c>
      <c r="N586" s="826"/>
      <c r="O586" s="1015"/>
      <c r="P586" s="1015"/>
      <c r="Q586" s="1015"/>
      <c r="R586" s="1024" t="str">
        <f t="shared" si="23"/>
        <v>-</v>
      </c>
    </row>
    <row r="587" spans="1:18" hidden="1">
      <c r="A587" s="578" t="s">
        <v>919</v>
      </c>
      <c r="B587" s="584">
        <v>4</v>
      </c>
      <c r="C587" s="590">
        <v>45915</v>
      </c>
      <c r="D587" s="582">
        <f t="shared" si="24"/>
        <v>38</v>
      </c>
      <c r="E587" s="618" t="str">
        <f>+VLOOKUP(Tabla3[[#This Row],[PATENTE]],'BASE DATOS'!F:G,2,0)</f>
        <v xml:space="preserve">GUSTAVO CERQUETTA - AA427LT </v>
      </c>
      <c r="F587" s="584" t="str">
        <f>+VLOOKUP(Tabla3[[#This Row],[PATENTE]],'BASE DATOS'!F:H,3,0)</f>
        <v>1P</v>
      </c>
      <c r="G587" s="584" t="str">
        <f>+VLOOKUP(Tabla3[[#This Row],[PATENTE]],'BASE DATOS'!F:I,4,0)</f>
        <v>NO</v>
      </c>
      <c r="H587" s="584" t="str">
        <f>+VLOOKUP(Tabla3[[#This Row],[PATENTE]],'BASE DATOS'!F:J,5,0)</f>
        <v>SI</v>
      </c>
      <c r="I587" s="584" t="str">
        <f>+VLOOKUP(Tabla3[[#This Row],[PATENTE]],'BASE DATOS'!F:K,6,0)</f>
        <v>NO</v>
      </c>
      <c r="J587" s="584">
        <f>+VLOOKUP(Tabla3[[#This Row],[PATENTE]],'BASE DATOS'!F:L,7,0)</f>
        <v>2016</v>
      </c>
      <c r="K587" s="619">
        <f>+VLOOKUP(Tabla3[[#This Row],[PATENTE]],'BASE DATOS'!F:M,8,0)</f>
        <v>9</v>
      </c>
      <c r="N587" s="826"/>
      <c r="O587" s="1015"/>
      <c r="P587" s="1015"/>
      <c r="Q587" s="1015"/>
      <c r="R587" s="1024" t="str">
        <f t="shared" si="23"/>
        <v>-</v>
      </c>
    </row>
    <row r="588" spans="1:18" hidden="1">
      <c r="A588" s="578" t="s">
        <v>890</v>
      </c>
      <c r="B588" s="584">
        <v>4</v>
      </c>
      <c r="C588" s="590">
        <v>45915</v>
      </c>
      <c r="D588" s="582">
        <f t="shared" si="24"/>
        <v>38</v>
      </c>
      <c r="E588" s="618" t="str">
        <f>+VLOOKUP(Tabla3[[#This Row],[PATENTE]],'BASE DATOS'!F:G,2,0)</f>
        <v xml:space="preserve">TRANSPORTE GRACIELA - AC040RO </v>
      </c>
      <c r="F588" s="584" t="str">
        <f>+VLOOKUP(Tabla3[[#This Row],[PATENTE]],'BASE DATOS'!F:H,3,0)</f>
        <v>1P</v>
      </c>
      <c r="G588" s="584" t="str">
        <f>+VLOOKUP(Tabla3[[#This Row],[PATENTE]],'BASE DATOS'!F:I,4,0)</f>
        <v>SI</v>
      </c>
      <c r="H588" s="584" t="str">
        <f>+VLOOKUP(Tabla3[[#This Row],[PATENTE]],'BASE DATOS'!F:J,5,0)</f>
        <v>ACEPTA( VER CAMI)</v>
      </c>
      <c r="I588" s="584" t="str">
        <f>+VLOOKUP(Tabla3[[#This Row],[PATENTE]],'BASE DATOS'!F:K,6,0)</f>
        <v>NO</v>
      </c>
      <c r="J588" s="584">
        <f>+VLOOKUP(Tabla3[[#This Row],[PATENTE]],'BASE DATOS'!F:L,7,0)</f>
        <v>2017</v>
      </c>
      <c r="K588" s="619">
        <f>+VLOOKUP(Tabla3[[#This Row],[PATENTE]],'BASE DATOS'!F:M,8,0)</f>
        <v>8</v>
      </c>
      <c r="N588" s="826"/>
      <c r="O588" s="1015"/>
      <c r="P588" s="1015"/>
      <c r="Q588" s="1015"/>
      <c r="R588" s="1024" t="str">
        <f t="shared" si="23"/>
        <v>-</v>
      </c>
    </row>
    <row r="589" spans="1:18" hidden="1">
      <c r="A589" s="578" t="s">
        <v>883</v>
      </c>
      <c r="B589" s="584">
        <v>4</v>
      </c>
      <c r="C589" s="590">
        <v>45915</v>
      </c>
      <c r="D589" s="582">
        <f t="shared" si="24"/>
        <v>38</v>
      </c>
      <c r="E589" s="618" t="str">
        <f>+VLOOKUP(Tabla3[[#This Row],[PATENTE]],'BASE DATOS'!F:G,2,0)</f>
        <v xml:space="preserve">PACHECO JULIO - ACI503 </v>
      </c>
      <c r="F589" s="584" t="str">
        <f>+VLOOKUP(Tabla3[[#This Row],[PATENTE]],'BASE DATOS'!F:H,3,0)</f>
        <v>12P</v>
      </c>
      <c r="G589" s="584" t="str">
        <f>+VLOOKUP(Tabla3[[#This Row],[PATENTE]],'BASE DATOS'!F:I,4,0)</f>
        <v>NO</v>
      </c>
      <c r="H589" s="584" t="str">
        <f>+VLOOKUP(Tabla3[[#This Row],[PATENTE]],'BASE DATOS'!F:J,5,0)</f>
        <v>SI</v>
      </c>
      <c r="I589" s="584" t="str">
        <f>+VLOOKUP(Tabla3[[#This Row],[PATENTE]],'BASE DATOS'!F:K,6,0)</f>
        <v>SI</v>
      </c>
      <c r="J589" s="584">
        <f>+VLOOKUP(Tabla3[[#This Row],[PATENTE]],'BASE DATOS'!F:L,7,0)</f>
        <v>2000</v>
      </c>
      <c r="K589" s="619">
        <f>+VLOOKUP(Tabla3[[#This Row],[PATENTE]],'BASE DATOS'!F:M,8,0)</f>
        <v>25</v>
      </c>
      <c r="N589" s="826"/>
      <c r="O589" s="1015"/>
      <c r="P589" s="1015"/>
      <c r="Q589" s="1015"/>
      <c r="R589" s="826"/>
    </row>
    <row r="590" spans="1:18" hidden="1">
      <c r="A590" s="578" t="s">
        <v>888</v>
      </c>
      <c r="B590" s="584">
        <v>4</v>
      </c>
      <c r="C590" s="590">
        <v>45915</v>
      </c>
      <c r="D590" s="582">
        <f t="shared" si="24"/>
        <v>38</v>
      </c>
      <c r="E590" s="618" t="str">
        <f>+VLOOKUP(Tabla3[[#This Row],[PATENTE]],'BASE DATOS'!F:G,2,0)</f>
        <v xml:space="preserve">TRANSP FIRST CLASS - AD535UI </v>
      </c>
      <c r="F590" s="584" t="str">
        <f>+VLOOKUP(Tabla3[[#This Row],[PATENTE]],'BASE DATOS'!F:H,3,0)</f>
        <v>6P</v>
      </c>
      <c r="G590" s="584" t="str">
        <f>+VLOOKUP(Tabla3[[#This Row],[PATENTE]],'BASE DATOS'!F:I,4,0)</f>
        <v>SI</v>
      </c>
      <c r="H590" s="584" t="str">
        <f>+VLOOKUP(Tabla3[[#This Row],[PATENTE]],'BASE DATOS'!F:J,5,0)</f>
        <v>SI</v>
      </c>
      <c r="I590" s="584" t="str">
        <f>+VLOOKUP(Tabla3[[#This Row],[PATENTE]],'BASE DATOS'!F:K,6,0)</f>
        <v>NO</v>
      </c>
      <c r="J590" s="584">
        <f>+VLOOKUP(Tabla3[[#This Row],[PATENTE]],'BASE DATOS'!F:L,7,0)</f>
        <v>2019</v>
      </c>
      <c r="K590" s="619">
        <f>+VLOOKUP(Tabla3[[#This Row],[PATENTE]],'BASE DATOS'!F:M,8,0)</f>
        <v>6</v>
      </c>
      <c r="N590" s="826"/>
      <c r="O590" s="1015"/>
      <c r="P590" s="1015"/>
      <c r="Q590" s="1015"/>
      <c r="R590" s="826"/>
    </row>
    <row r="591" spans="1:18" hidden="1">
      <c r="A591" s="578" t="s">
        <v>895</v>
      </c>
      <c r="B591" s="584">
        <v>4</v>
      </c>
      <c r="C591" s="590">
        <v>45915</v>
      </c>
      <c r="D591" s="582">
        <f t="shared" si="24"/>
        <v>38</v>
      </c>
      <c r="E591" s="618" t="str">
        <f>+VLOOKUP(Tabla3[[#This Row],[PATENTE]],'BASE DATOS'!F:G,2,0)</f>
        <v xml:space="preserve">TRANSPORTE MICAELA </v>
      </c>
      <c r="F591" s="584" t="str">
        <f>+VLOOKUP(Tabla3[[#This Row],[PATENTE]],'BASE DATOS'!F:H,3,0)</f>
        <v>2P</v>
      </c>
      <c r="G591" s="584" t="str">
        <f>+VLOOKUP(Tabla3[[#This Row],[PATENTE]],'BASE DATOS'!F:I,4,0)</f>
        <v>NO</v>
      </c>
      <c r="H591" s="584" t="str">
        <f>+VLOOKUP(Tabla3[[#This Row],[PATENTE]],'BASE DATOS'!F:J,5,0)</f>
        <v>SI</v>
      </c>
      <c r="I591" s="584" t="str">
        <f>+VLOOKUP(Tabla3[[#This Row],[PATENTE]],'BASE DATOS'!F:K,6,0)</f>
        <v>NO</v>
      </c>
      <c r="J591" s="584">
        <f>+VLOOKUP(Tabla3[[#This Row],[PATENTE]],'BASE DATOS'!F:L,7,0)</f>
        <v>2024</v>
      </c>
      <c r="K591" s="619">
        <f>+VLOOKUP(Tabla3[[#This Row],[PATENTE]],'BASE DATOS'!F:M,8,0)</f>
        <v>1</v>
      </c>
      <c r="N591" s="826"/>
      <c r="O591" s="1015"/>
      <c r="P591" s="1015"/>
      <c r="Q591" s="1015"/>
      <c r="R591" s="826"/>
    </row>
    <row r="592" spans="1:18" hidden="1">
      <c r="A592" s="578" t="s">
        <v>926</v>
      </c>
      <c r="B592" s="584">
        <v>4</v>
      </c>
      <c r="C592" s="590">
        <v>45915</v>
      </c>
      <c r="D592" s="582">
        <f t="shared" si="24"/>
        <v>38</v>
      </c>
      <c r="E592" s="618" t="str">
        <f>+VLOOKUP(Tabla3[[#This Row],[PATENTE]],'BASE DATOS'!F:G,2,0)</f>
        <v xml:space="preserve">TRANSPORTE GENA GAIA - DUF042 </v>
      </c>
      <c r="F592" s="584" t="str">
        <f>+VLOOKUP(Tabla3[[#This Row],[PATENTE]],'BASE DATOS'!F:H,3,0)</f>
        <v>24P</v>
      </c>
      <c r="G592" s="584" t="str">
        <f>+VLOOKUP(Tabla3[[#This Row],[PATENTE]],'BASE DATOS'!F:I,4,0)</f>
        <v>Gestya</v>
      </c>
      <c r="H592" s="584" t="str">
        <f>+VLOOKUP(Tabla3[[#This Row],[PATENTE]],'BASE DATOS'!F:J,5,0)</f>
        <v xml:space="preserve">NO </v>
      </c>
      <c r="I592" s="584" t="str">
        <f>+VLOOKUP(Tabla3[[#This Row],[PATENTE]],'BASE DATOS'!F:K,6,0)</f>
        <v>NO</v>
      </c>
      <c r="J592" s="584">
        <f>+VLOOKUP(Tabla3[[#This Row],[PATENTE]],'BASE DATOS'!F:L,7,0)</f>
        <v>2001</v>
      </c>
      <c r="K592" s="619">
        <f>+VLOOKUP(Tabla3[[#This Row],[PATENTE]],'BASE DATOS'!F:M,8,0)</f>
        <v>24</v>
      </c>
      <c r="N592" s="826"/>
      <c r="O592" s="1015"/>
      <c r="P592" s="1015"/>
      <c r="Q592" s="1015"/>
      <c r="R592" s="826"/>
    </row>
    <row r="593" spans="1:18" hidden="1">
      <c r="A593" s="578" t="s">
        <v>900</v>
      </c>
      <c r="B593" s="584">
        <v>4</v>
      </c>
      <c r="C593" s="590">
        <v>45915</v>
      </c>
      <c r="D593" s="582">
        <f t="shared" si="24"/>
        <v>38</v>
      </c>
      <c r="E593" s="618" t="str">
        <f>+VLOOKUP(Tabla3[[#This Row],[PATENTE]],'BASE DATOS'!F:G,2,0)</f>
        <v>TRANSPORTE GENA GAIA - IMO939</v>
      </c>
      <c r="F593" s="584" t="str">
        <f>+VLOOKUP(Tabla3[[#This Row],[PATENTE]],'BASE DATOS'!F:H,3,0)</f>
        <v>24P</v>
      </c>
      <c r="G593" s="584" t="str">
        <f>+VLOOKUP(Tabla3[[#This Row],[PATENTE]],'BASE DATOS'!F:I,4,0)</f>
        <v>Gestya</v>
      </c>
      <c r="H593" s="584" t="str">
        <f>+VLOOKUP(Tabla3[[#This Row],[PATENTE]],'BASE DATOS'!F:J,5,0)</f>
        <v xml:space="preserve">NO </v>
      </c>
      <c r="I593" s="584" t="str">
        <f>+VLOOKUP(Tabla3[[#This Row],[PATENTE]],'BASE DATOS'!F:K,6,0)</f>
        <v>NO</v>
      </c>
      <c r="J593" s="584">
        <f>+VLOOKUP(Tabla3[[#This Row],[PATENTE]],'BASE DATOS'!F:L,7,0)</f>
        <v>2010</v>
      </c>
      <c r="K593" s="619">
        <f>+VLOOKUP(Tabla3[[#This Row],[PATENTE]],'BASE DATOS'!F:M,8,0)</f>
        <v>15</v>
      </c>
      <c r="N593" s="826"/>
      <c r="O593" s="1015"/>
      <c r="P593" s="1015"/>
      <c r="Q593" s="1015"/>
      <c r="R593" s="826"/>
    </row>
    <row r="594" spans="1:18" hidden="1">
      <c r="A594" s="578" t="s">
        <v>920</v>
      </c>
      <c r="B594" s="584">
        <v>4</v>
      </c>
      <c r="C594" s="590">
        <v>45915</v>
      </c>
      <c r="D594" s="582">
        <f t="shared" si="24"/>
        <v>38</v>
      </c>
      <c r="E594" s="618" t="str">
        <f>+VLOOKUP(Tabla3[[#This Row],[PATENTE]],'BASE DATOS'!F:G,2,0)</f>
        <v xml:space="preserve">TRANSP LAGOS - MRV682 </v>
      </c>
      <c r="F594" s="584" t="str">
        <f>+VLOOKUP(Tabla3[[#This Row],[PATENTE]],'BASE DATOS'!F:H,3,0)</f>
        <v>8P</v>
      </c>
      <c r="G594" s="584" t="str">
        <f>+VLOOKUP(Tabla3[[#This Row],[PATENTE]],'BASE DATOS'!F:I,4,0)</f>
        <v>SI</v>
      </c>
      <c r="H594" s="584" t="str">
        <f>+VLOOKUP(Tabla3[[#This Row],[PATENTE]],'BASE DATOS'!F:J,5,0)</f>
        <v>SI</v>
      </c>
      <c r="I594" s="584" t="str">
        <f>+VLOOKUP(Tabla3[[#This Row],[PATENTE]],'BASE DATOS'!F:K,6,0)</f>
        <v>NO</v>
      </c>
      <c r="J594" s="584">
        <f>+VLOOKUP(Tabla3[[#This Row],[PATENTE]],'BASE DATOS'!F:L,7,0)</f>
        <v>2013</v>
      </c>
      <c r="K594" s="619">
        <f>+VLOOKUP(Tabla3[[#This Row],[PATENTE]],'BASE DATOS'!F:M,8,0)</f>
        <v>12</v>
      </c>
      <c r="N594" s="826"/>
      <c r="O594" s="1015"/>
      <c r="P594" s="1015"/>
      <c r="Q594" s="1015"/>
      <c r="R594" s="826"/>
    </row>
    <row r="595" spans="1:18" hidden="1">
      <c r="A595" s="578" t="s">
        <v>886</v>
      </c>
      <c r="B595" s="584">
        <v>4</v>
      </c>
      <c r="C595" s="590">
        <v>45915</v>
      </c>
      <c r="D595" s="582">
        <f t="shared" si="24"/>
        <v>38</v>
      </c>
      <c r="E595" s="618" t="str">
        <f>+VLOOKUP(Tabla3[[#This Row],[PATENTE]],'BASE DATOS'!F:G,2,0)</f>
        <v xml:space="preserve">TRANSP LAGOS - NOO925 </v>
      </c>
      <c r="F595" s="584" t="str">
        <f>+VLOOKUP(Tabla3[[#This Row],[PATENTE]],'BASE DATOS'!F:H,3,0)</f>
        <v>8P</v>
      </c>
      <c r="G595" s="584" t="str">
        <f>+VLOOKUP(Tabla3[[#This Row],[PATENTE]],'BASE DATOS'!F:I,4,0)</f>
        <v>SI</v>
      </c>
      <c r="H595" s="584" t="str">
        <f>+VLOOKUP(Tabla3[[#This Row],[PATENTE]],'BASE DATOS'!F:J,5,0)</f>
        <v>SI</v>
      </c>
      <c r="I595" s="584" t="str">
        <f>+VLOOKUP(Tabla3[[#This Row],[PATENTE]],'BASE DATOS'!F:K,6,0)</f>
        <v>NO</v>
      </c>
      <c r="J595" s="584">
        <f>+VLOOKUP(Tabla3[[#This Row],[PATENTE]],'BASE DATOS'!F:L,7,0)</f>
        <v>2014</v>
      </c>
      <c r="K595" s="619">
        <f>+VLOOKUP(Tabla3[[#This Row],[PATENTE]],'BASE DATOS'!F:M,8,0)</f>
        <v>11</v>
      </c>
      <c r="N595" s="826"/>
      <c r="O595" s="1015"/>
      <c r="P595" s="1015"/>
      <c r="Q595" s="1015"/>
      <c r="R595" s="826"/>
    </row>
    <row r="596" spans="1:18" hidden="1">
      <c r="A596" s="578" t="s">
        <v>879</v>
      </c>
      <c r="B596" s="584">
        <v>4</v>
      </c>
      <c r="C596" s="590">
        <v>45915</v>
      </c>
      <c r="D596" s="582">
        <f t="shared" si="24"/>
        <v>38</v>
      </c>
      <c r="E596" s="618" t="str">
        <f>+VLOOKUP(Tabla3[[#This Row],[PATENTE]],'BASE DATOS'!F:G,2,0)</f>
        <v xml:space="preserve">TRANSP JP - OYP470 </v>
      </c>
      <c r="F596" s="584" t="str">
        <f>+VLOOKUP(Tabla3[[#This Row],[PATENTE]],'BASE DATOS'!F:H,3,0)</f>
        <v>8P</v>
      </c>
      <c r="G596" s="584" t="str">
        <f>+VLOOKUP(Tabla3[[#This Row],[PATENTE]],'BASE DATOS'!F:I,4,0)</f>
        <v>SI</v>
      </c>
      <c r="H596" s="584" t="str">
        <f>+VLOOKUP(Tabla3[[#This Row],[PATENTE]],'BASE DATOS'!F:J,5,0)</f>
        <v>SI</v>
      </c>
      <c r="I596" s="584" t="str">
        <f>+VLOOKUP(Tabla3[[#This Row],[PATENTE]],'BASE DATOS'!F:K,6,0)</f>
        <v>NO</v>
      </c>
      <c r="J596" s="584">
        <f>+VLOOKUP(Tabla3[[#This Row],[PATENTE]],'BASE DATOS'!F:L,7,0)</f>
        <v>2011</v>
      </c>
      <c r="K596" s="619">
        <f>+VLOOKUP(Tabla3[[#This Row],[PATENTE]],'BASE DATOS'!F:M,8,0)</f>
        <v>14</v>
      </c>
      <c r="N596" s="826"/>
      <c r="O596" s="1015"/>
      <c r="P596" s="1015"/>
      <c r="Q596" s="1015"/>
      <c r="R596" s="826"/>
    </row>
    <row r="597" spans="1:18" hidden="1">
      <c r="A597" s="578" t="s">
        <v>878</v>
      </c>
      <c r="B597" s="584">
        <v>3</v>
      </c>
      <c r="C597" s="590">
        <v>45915</v>
      </c>
      <c r="D597" s="582">
        <f t="shared" si="24"/>
        <v>38</v>
      </c>
      <c r="E597" s="618" t="str">
        <f>+VLOOKUP(Tabla3[[#This Row],[PATENTE]],'BASE DATOS'!F:G,2,0)</f>
        <v xml:space="preserve">PACHECO JULIO - AA854LY </v>
      </c>
      <c r="F597" s="584" t="str">
        <f>+VLOOKUP(Tabla3[[#This Row],[PATENTE]],'BASE DATOS'!F:H,3,0)</f>
        <v>7P</v>
      </c>
      <c r="G597" s="584" t="str">
        <f>+VLOOKUP(Tabla3[[#This Row],[PATENTE]],'BASE DATOS'!F:I,4,0)</f>
        <v>SI</v>
      </c>
      <c r="H597" s="584" t="str">
        <f>+VLOOKUP(Tabla3[[#This Row],[PATENTE]],'BASE DATOS'!F:J,5,0)</f>
        <v>SI</v>
      </c>
      <c r="I597" s="584" t="str">
        <f>+VLOOKUP(Tabla3[[#This Row],[PATENTE]],'BASE DATOS'!F:K,6,0)</f>
        <v>NO</v>
      </c>
      <c r="J597" s="584">
        <f>+VLOOKUP(Tabla3[[#This Row],[PATENTE]],'BASE DATOS'!F:L,7,0)</f>
        <v>2016</v>
      </c>
      <c r="K597" s="619">
        <f>+VLOOKUP(Tabla3[[#This Row],[PATENTE]],'BASE DATOS'!F:M,8,0)</f>
        <v>9</v>
      </c>
      <c r="N597" s="826"/>
      <c r="O597" s="1015"/>
      <c r="P597" s="1015"/>
      <c r="Q597" s="1015"/>
      <c r="R597" s="826"/>
    </row>
    <row r="598" spans="1:18" hidden="1">
      <c r="A598" s="578" t="s">
        <v>884</v>
      </c>
      <c r="B598" s="584">
        <v>3</v>
      </c>
      <c r="C598" s="590">
        <v>45915</v>
      </c>
      <c r="D598" s="582">
        <f t="shared" si="24"/>
        <v>38</v>
      </c>
      <c r="E598" s="618" t="str">
        <f>+VLOOKUP(Tabla3[[#This Row],[PATENTE]],'BASE DATOS'!F:G,2,0)</f>
        <v xml:space="preserve">LAURIA (SERVAL) - AB233IT </v>
      </c>
      <c r="F598" s="584" t="str">
        <f>+VLOOKUP(Tabla3[[#This Row],[PATENTE]],'BASE DATOS'!F:H,3,0)</f>
        <v>6P</v>
      </c>
      <c r="G598" s="584" t="str">
        <f>+VLOOKUP(Tabla3[[#This Row],[PATENTE]],'BASE DATOS'!F:I,4,0)</f>
        <v>SI</v>
      </c>
      <c r="H598" s="584" t="str">
        <f>+VLOOKUP(Tabla3[[#This Row],[PATENTE]],'BASE DATOS'!F:J,5,0)</f>
        <v>SI</v>
      </c>
      <c r="I598" s="584" t="str">
        <f>+VLOOKUP(Tabla3[[#This Row],[PATENTE]],'BASE DATOS'!F:K,6,0)</f>
        <v>NO</v>
      </c>
      <c r="J598" s="584">
        <f>+VLOOKUP(Tabla3[[#This Row],[PATENTE]],'BASE DATOS'!F:L,7,0)</f>
        <v>2017</v>
      </c>
      <c r="K598" s="619">
        <f>+VLOOKUP(Tabla3[[#This Row],[PATENTE]],'BASE DATOS'!F:M,8,0)</f>
        <v>8</v>
      </c>
      <c r="N598" s="826"/>
      <c r="O598" s="1015"/>
      <c r="P598" s="1015"/>
      <c r="Q598" s="1015"/>
      <c r="R598" s="826"/>
    </row>
    <row r="599" spans="1:18" hidden="1">
      <c r="A599" s="578" t="s">
        <v>880</v>
      </c>
      <c r="B599" s="584">
        <v>3</v>
      </c>
      <c r="C599" s="590">
        <v>45915</v>
      </c>
      <c r="D599" s="582">
        <f t="shared" si="24"/>
        <v>38</v>
      </c>
      <c r="E599" s="618" t="str">
        <f>+VLOOKUP(Tabla3[[#This Row],[PATENTE]],'BASE DATOS'!F:G,2,0)</f>
        <v xml:space="preserve">LAURIA (SERVAL) - AD575XK </v>
      </c>
      <c r="F599" s="584" t="str">
        <f>+VLOOKUP(Tabla3[[#This Row],[PATENTE]],'BASE DATOS'!F:H,3,0)</f>
        <v>8P</v>
      </c>
      <c r="G599" s="584" t="str">
        <f>+VLOOKUP(Tabla3[[#This Row],[PATENTE]],'BASE DATOS'!F:I,4,0)</f>
        <v>SI</v>
      </c>
      <c r="H599" s="584" t="str">
        <f>+VLOOKUP(Tabla3[[#This Row],[PATENTE]],'BASE DATOS'!F:J,5,0)</f>
        <v>SI</v>
      </c>
      <c r="I599" s="584" t="str">
        <f>+VLOOKUP(Tabla3[[#This Row],[PATENTE]],'BASE DATOS'!F:K,6,0)</f>
        <v>NO</v>
      </c>
      <c r="J599" s="584">
        <f>+VLOOKUP(Tabla3[[#This Row],[PATENTE]],'BASE DATOS'!F:L,7,0)</f>
        <v>2019</v>
      </c>
      <c r="K599" s="619">
        <f>+VLOOKUP(Tabla3[[#This Row],[PATENTE]],'BASE DATOS'!F:M,8,0)</f>
        <v>6</v>
      </c>
      <c r="N599" s="826"/>
      <c r="O599" s="1015"/>
      <c r="P599" s="1015"/>
      <c r="Q599" s="1015"/>
      <c r="R599" s="826"/>
    </row>
    <row r="600" spans="1:18" hidden="1">
      <c r="A600" s="578" t="s">
        <v>921</v>
      </c>
      <c r="B600" s="584">
        <v>3</v>
      </c>
      <c r="C600" s="590">
        <v>45915</v>
      </c>
      <c r="D600" s="582">
        <f t="shared" si="24"/>
        <v>38</v>
      </c>
      <c r="E600" s="618" t="str">
        <f>+VLOOKUP(Tabla3[[#This Row],[PATENTE]],'BASE DATOS'!F:G,2,0)</f>
        <v xml:space="preserve">MAÑAS NORBERTO - CQQ304 </v>
      </c>
      <c r="F600" s="584" t="str">
        <f>+VLOOKUP(Tabla3[[#This Row],[PATENTE]],'BASE DATOS'!F:H,3,0)</f>
        <v>11P</v>
      </c>
      <c r="G600" s="584" t="str">
        <f>+VLOOKUP(Tabla3[[#This Row],[PATENTE]],'BASE DATOS'!F:I,4,0)</f>
        <v>SI</v>
      </c>
      <c r="H600" s="584" t="str">
        <f>+VLOOKUP(Tabla3[[#This Row],[PATENTE]],'BASE DATOS'!F:J,5,0)</f>
        <v>SI</v>
      </c>
      <c r="I600" s="584" t="str">
        <f>+VLOOKUP(Tabla3[[#This Row],[PATENTE]],'BASE DATOS'!F:K,6,0)</f>
        <v>NO</v>
      </c>
      <c r="J600" s="584">
        <f>+VLOOKUP(Tabla3[[#This Row],[PATENTE]],'BASE DATOS'!F:L,7,0)</f>
        <v>2000</v>
      </c>
      <c r="K600" s="619">
        <f>+VLOOKUP(Tabla3[[#This Row],[PATENTE]],'BASE DATOS'!F:M,8,0)</f>
        <v>25</v>
      </c>
      <c r="N600" s="826"/>
      <c r="O600" s="1015"/>
      <c r="P600" s="1015"/>
      <c r="Q600" s="1015"/>
      <c r="R600" s="826"/>
    </row>
    <row r="601" spans="1:18" hidden="1">
      <c r="A601" s="578" t="s">
        <v>915</v>
      </c>
      <c r="B601" s="584">
        <v>3</v>
      </c>
      <c r="C601" s="590">
        <v>45915</v>
      </c>
      <c r="D601" s="582">
        <f t="shared" si="24"/>
        <v>38</v>
      </c>
      <c r="E601" s="618" t="str">
        <f>+VLOOKUP(Tabla3[[#This Row],[PATENTE]],'BASE DATOS'!F:G,2,0)</f>
        <v>TRANSPORTE GRACIELA - FPL254</v>
      </c>
      <c r="F601" s="584" t="str">
        <f>+VLOOKUP(Tabla3[[#This Row],[PATENTE]],'BASE DATOS'!F:H,3,0)</f>
        <v>2P</v>
      </c>
      <c r="G601" s="584" t="str">
        <f>+VLOOKUP(Tabla3[[#This Row],[PATENTE]],'BASE DATOS'!F:I,4,0)</f>
        <v>SI</v>
      </c>
      <c r="H601" s="584" t="str">
        <f>+VLOOKUP(Tabla3[[#This Row],[PATENTE]],'BASE DATOS'!F:J,5,0)</f>
        <v>NO (CAMI)</v>
      </c>
      <c r="I601" s="584" t="str">
        <f>+VLOOKUP(Tabla3[[#This Row],[PATENTE]],'BASE DATOS'!F:K,6,0)</f>
        <v>NO</v>
      </c>
      <c r="J601" s="584">
        <f>+VLOOKUP(Tabla3[[#This Row],[PATENTE]],'BASE DATOS'!F:L,7,0)</f>
        <v>2012</v>
      </c>
      <c r="K601" s="619">
        <f>+VLOOKUP(Tabla3[[#This Row],[PATENTE]],'BASE DATOS'!F:M,8,0)</f>
        <v>13</v>
      </c>
      <c r="N601" s="826"/>
      <c r="O601" s="1015"/>
      <c r="P601" s="1015"/>
      <c r="Q601" s="1015"/>
      <c r="R601" s="826"/>
    </row>
    <row r="602" spans="1:18" hidden="1">
      <c r="A602" s="578" t="s">
        <v>901</v>
      </c>
      <c r="B602" s="584">
        <v>3</v>
      </c>
      <c r="C602" s="590">
        <v>45915</v>
      </c>
      <c r="D602" s="582">
        <f t="shared" si="24"/>
        <v>38</v>
      </c>
      <c r="E602" s="618" t="str">
        <f>+VLOOKUP(Tabla3[[#This Row],[PATENTE]],'BASE DATOS'!F:G,2,0)</f>
        <v xml:space="preserve">TRANSPORTE  GRACIELA - IYE750 </v>
      </c>
      <c r="F602" s="584" t="str">
        <f>+VLOOKUP(Tabla3[[#This Row],[PATENTE]],'BASE DATOS'!F:H,3,0)</f>
        <v>1P</v>
      </c>
      <c r="G602" s="584" t="str">
        <f>+VLOOKUP(Tabla3[[#This Row],[PATENTE]],'BASE DATOS'!F:I,4,0)</f>
        <v>NO</v>
      </c>
      <c r="H602" s="584" t="str">
        <f>+VLOOKUP(Tabla3[[#This Row],[PATENTE]],'BASE DATOS'!F:J,5,0)</f>
        <v>SI</v>
      </c>
      <c r="I602" s="584" t="str">
        <f>+VLOOKUP(Tabla3[[#This Row],[PATENTE]],'BASE DATOS'!F:K,6,0)</f>
        <v>NO</v>
      </c>
      <c r="J602" s="584">
        <f>+VLOOKUP(Tabla3[[#This Row],[PATENTE]],'BASE DATOS'!F:L,7,0)</f>
        <v>2009</v>
      </c>
      <c r="K602" s="619">
        <f>+VLOOKUP(Tabla3[[#This Row],[PATENTE]],'BASE DATOS'!F:M,8,0)</f>
        <v>16</v>
      </c>
      <c r="N602" s="826"/>
      <c r="O602" s="1015"/>
      <c r="P602" s="1015"/>
      <c r="Q602" s="1015"/>
      <c r="R602" s="826"/>
    </row>
    <row r="603" spans="1:18" hidden="1">
      <c r="A603" s="578" t="s">
        <v>939</v>
      </c>
      <c r="B603" s="584">
        <v>3</v>
      </c>
      <c r="C603" s="590">
        <v>45915</v>
      </c>
      <c r="D603" s="582">
        <f t="shared" si="24"/>
        <v>38</v>
      </c>
      <c r="E603" s="618" t="str">
        <f>+VLOOKUP(Tabla3[[#This Row],[PATENTE]],'BASE DATOS'!F:G,2,0)</f>
        <v>TRANSP CLAUDIO BUSTOS - JOQ178</v>
      </c>
      <c r="F603" s="584" t="str">
        <f>+VLOOKUP(Tabla3[[#This Row],[PATENTE]],'BASE DATOS'!F:H,3,0)</f>
        <v>1P</v>
      </c>
      <c r="G603" s="584" t="str">
        <f>+VLOOKUP(Tabla3[[#This Row],[PATENTE]],'BASE DATOS'!F:I,4,0)</f>
        <v>NO</v>
      </c>
      <c r="H603" s="584" t="str">
        <f>+VLOOKUP(Tabla3[[#This Row],[PATENTE]],'BASE DATOS'!F:J,5,0)</f>
        <v>SI</v>
      </c>
      <c r="I603" s="584" t="str">
        <f>+VLOOKUP(Tabla3[[#This Row],[PATENTE]],'BASE DATOS'!F:K,6,0)</f>
        <v>NO</v>
      </c>
      <c r="J603" s="584">
        <f>+VLOOKUP(Tabla3[[#This Row],[PATENTE]],'BASE DATOS'!F:L,7,0)</f>
        <v>2010</v>
      </c>
      <c r="K603" s="619">
        <f>+VLOOKUP(Tabla3[[#This Row],[PATENTE]],'BASE DATOS'!F:M,8,0)</f>
        <v>15</v>
      </c>
      <c r="N603" s="826"/>
      <c r="O603" s="1015"/>
      <c r="P603" s="1015"/>
      <c r="Q603" s="1015"/>
      <c r="R603" s="826"/>
    </row>
    <row r="604" spans="1:18" hidden="1">
      <c r="A604" s="578" t="s">
        <v>943</v>
      </c>
      <c r="B604" s="584">
        <v>3</v>
      </c>
      <c r="C604" s="590">
        <v>45915</v>
      </c>
      <c r="D604" s="582">
        <f t="shared" si="24"/>
        <v>38</v>
      </c>
      <c r="E604" s="618" t="str">
        <f>+VLOOKUP(Tabla3[[#This Row],[PATENTE]],'BASE DATOS'!F:G,2,0)</f>
        <v>GANZINI HUGO - KTJ626</v>
      </c>
      <c r="F604" s="584" t="str">
        <f>+VLOOKUP(Tabla3[[#This Row],[PATENTE]],'BASE DATOS'!F:H,3,0)</f>
        <v>8P</v>
      </c>
      <c r="G604" s="584" t="str">
        <f>+VLOOKUP(Tabla3[[#This Row],[PATENTE]],'BASE DATOS'!F:I,4,0)</f>
        <v>NO</v>
      </c>
      <c r="H604" s="584" t="str">
        <f>+VLOOKUP(Tabla3[[#This Row],[PATENTE]],'BASE DATOS'!F:J,5,0)</f>
        <v xml:space="preserve">NO </v>
      </c>
      <c r="I604" s="584" t="str">
        <f>+VLOOKUP(Tabla3[[#This Row],[PATENTE]],'BASE DATOS'!F:K,6,0)</f>
        <v>NO</v>
      </c>
      <c r="J604" s="584">
        <f>+VLOOKUP(Tabla3[[#This Row],[PATENTE]],'BASE DATOS'!F:L,7,0)</f>
        <v>2011</v>
      </c>
      <c r="K604" s="619">
        <f>+VLOOKUP(Tabla3[[#This Row],[PATENTE]],'BASE DATOS'!F:M,8,0)</f>
        <v>14</v>
      </c>
      <c r="N604" s="826"/>
      <c r="O604" s="1015"/>
      <c r="P604" s="1015"/>
      <c r="Q604" s="1015"/>
      <c r="R604" s="826"/>
    </row>
    <row r="605" spans="1:18" hidden="1">
      <c r="A605" s="578" t="s">
        <v>896</v>
      </c>
      <c r="B605" s="584">
        <v>3</v>
      </c>
      <c r="C605" s="590">
        <v>45915</v>
      </c>
      <c r="D605" s="582">
        <f t="shared" si="24"/>
        <v>38</v>
      </c>
      <c r="E605" s="618" t="str">
        <f>+VLOOKUP(Tabla3[[#This Row],[PATENTE]],'BASE DATOS'!F:G,2,0)</f>
        <v xml:space="preserve">TRANSP MAVIR - RHQ609 </v>
      </c>
      <c r="F605" s="584" t="str">
        <f>+VLOOKUP(Tabla3[[#This Row],[PATENTE]],'BASE DATOS'!F:H,3,0)</f>
        <v>10P</v>
      </c>
      <c r="G605" s="584" t="str">
        <f>+VLOOKUP(Tabla3[[#This Row],[PATENTE]],'BASE DATOS'!F:I,4,0)</f>
        <v>NO</v>
      </c>
      <c r="H605" s="584" t="str">
        <f>+VLOOKUP(Tabla3[[#This Row],[PATENTE]],'BASE DATOS'!F:J,5,0)</f>
        <v xml:space="preserve">NO </v>
      </c>
      <c r="I605" s="584" t="str">
        <f>+VLOOKUP(Tabla3[[#This Row],[PATENTE]],'BASE DATOS'!F:K,6,0)</f>
        <v>NO</v>
      </c>
      <c r="J605" s="584">
        <f>+VLOOKUP(Tabla3[[#This Row],[PATENTE]],'BASE DATOS'!F:L,7,0)</f>
        <v>1995</v>
      </c>
      <c r="K605" s="593">
        <v>0</v>
      </c>
      <c r="N605" s="826"/>
      <c r="O605" s="1015"/>
      <c r="P605" s="1015"/>
      <c r="Q605" s="1015"/>
      <c r="R605" s="826"/>
    </row>
    <row r="606" spans="1:18" hidden="1">
      <c r="A606" s="578" t="s">
        <v>906</v>
      </c>
      <c r="B606" s="584">
        <v>2</v>
      </c>
      <c r="C606" s="590">
        <v>45915</v>
      </c>
      <c r="D606" s="582">
        <f t="shared" si="24"/>
        <v>38</v>
      </c>
      <c r="E606" s="618" t="str">
        <f>+VLOOKUP(Tabla3[[#This Row],[PATENTE]],'BASE DATOS'!F:G,2,0)</f>
        <v xml:space="preserve">VAZQUEZ (TRV SRL) - AD472GK </v>
      </c>
      <c r="F606" s="584" t="str">
        <f>+VLOOKUP(Tabla3[[#This Row],[PATENTE]],'BASE DATOS'!F:H,3,0)</f>
        <v>8P</v>
      </c>
      <c r="G606" s="584" t="str">
        <f>+VLOOKUP(Tabla3[[#This Row],[PATENTE]],'BASE DATOS'!F:I,4,0)</f>
        <v>NO</v>
      </c>
      <c r="H606" s="584" t="str">
        <f>+VLOOKUP(Tabla3[[#This Row],[PATENTE]],'BASE DATOS'!F:J,5,0)</f>
        <v>NO</v>
      </c>
      <c r="I606" s="584" t="str">
        <f>+VLOOKUP(Tabla3[[#This Row],[PATENTE]],'BASE DATOS'!F:K,6,0)</f>
        <v>SI</v>
      </c>
      <c r="J606" s="584">
        <f>+VLOOKUP(Tabla3[[#This Row],[PATENTE]],'BASE DATOS'!F:L,7,0)</f>
        <v>2019</v>
      </c>
      <c r="K606" s="619">
        <f>+VLOOKUP(Tabla3[[#This Row],[PATENTE]],'BASE DATOS'!F:M,8,0)</f>
        <v>6</v>
      </c>
      <c r="N606" s="826"/>
      <c r="O606" s="1015"/>
      <c r="P606" s="1015"/>
      <c r="Q606" s="1015"/>
      <c r="R606" s="826"/>
    </row>
    <row r="607" spans="1:18" hidden="1">
      <c r="A607" s="578" t="s">
        <v>917</v>
      </c>
      <c r="B607" s="584">
        <v>2</v>
      </c>
      <c r="C607" s="590">
        <v>45915</v>
      </c>
      <c r="D607" s="582">
        <f t="shared" si="24"/>
        <v>38</v>
      </c>
      <c r="E607" s="618" t="str">
        <f>+VLOOKUP(Tabla3[[#This Row],[PATENTE]],'BASE DATOS'!F:G,2,0)</f>
        <v xml:space="preserve">PRONTOMAR - BUZ242 </v>
      </c>
      <c r="F607" s="584" t="str">
        <f>+VLOOKUP(Tabla3[[#This Row],[PATENTE]],'BASE DATOS'!F:H,3,0)</f>
        <v>16P</v>
      </c>
      <c r="G607" s="584" t="str">
        <f>+VLOOKUP(Tabla3[[#This Row],[PATENTE]],'BASE DATOS'!F:I,4,0)</f>
        <v>NO</v>
      </c>
      <c r="H607" s="584" t="str">
        <f>+VLOOKUP(Tabla3[[#This Row],[PATENTE]],'BASE DATOS'!F:J,5,0)</f>
        <v xml:space="preserve">NO </v>
      </c>
      <c r="I607" s="584" t="str">
        <f>+VLOOKUP(Tabla3[[#This Row],[PATENTE]],'BASE DATOS'!F:K,6,0)</f>
        <v>NO</v>
      </c>
      <c r="J607" s="584">
        <f>+VLOOKUP(Tabla3[[#This Row],[PATENTE]],'BASE DATOS'!F:L,7,0)</f>
        <v>1998</v>
      </c>
      <c r="K607" s="619">
        <f>+VLOOKUP(Tabla3[[#This Row],[PATENTE]],'BASE DATOS'!F:M,8,0)</f>
        <v>27</v>
      </c>
      <c r="N607" s="826"/>
      <c r="O607" s="1015"/>
      <c r="P607" s="1015"/>
      <c r="Q607" s="1015"/>
      <c r="R607" s="826"/>
    </row>
    <row r="608" spans="1:18" hidden="1">
      <c r="A608" s="578" t="s">
        <v>916</v>
      </c>
      <c r="B608" s="584">
        <v>2</v>
      </c>
      <c r="C608" s="590">
        <v>45915</v>
      </c>
      <c r="D608" s="582">
        <f t="shared" si="24"/>
        <v>38</v>
      </c>
      <c r="E608" s="618" t="str">
        <f>+VLOOKUP(Tabla3[[#This Row],[PATENTE]],'BASE DATOS'!F:G,2,0)</f>
        <v xml:space="preserve">TRANSP MAIDANA CARLOS - EYP088 </v>
      </c>
      <c r="F608" s="584" t="str">
        <f>+VLOOKUP(Tabla3[[#This Row],[PATENTE]],'BASE DATOS'!F:H,3,0)</f>
        <v>6P</v>
      </c>
      <c r="G608" s="584" t="str">
        <f>+VLOOKUP(Tabla3[[#This Row],[PATENTE]],'BASE DATOS'!F:I,4,0)</f>
        <v>SI</v>
      </c>
      <c r="H608" s="584" t="str">
        <f>+VLOOKUP(Tabla3[[#This Row],[PATENTE]],'BASE DATOS'!F:J,5,0)</f>
        <v>SI</v>
      </c>
      <c r="I608" s="584" t="str">
        <f>+VLOOKUP(Tabla3[[#This Row],[PATENTE]],'BASE DATOS'!F:K,6,0)</f>
        <v>NO</v>
      </c>
      <c r="J608" s="584">
        <f>+VLOOKUP(Tabla3[[#This Row],[PATENTE]],'BASE DATOS'!F:L,7,0)</f>
        <v>2006</v>
      </c>
      <c r="K608" s="619">
        <f>+VLOOKUP(Tabla3[[#This Row],[PATENTE]],'BASE DATOS'!F:M,8,0)</f>
        <v>19</v>
      </c>
      <c r="N608" s="826"/>
      <c r="O608" s="1015"/>
      <c r="P608" s="1015"/>
      <c r="Q608" s="1015"/>
      <c r="R608" s="826"/>
    </row>
    <row r="609" spans="1:18" hidden="1">
      <c r="A609" s="578" t="s">
        <v>930</v>
      </c>
      <c r="B609" s="584">
        <v>2</v>
      </c>
      <c r="C609" s="590">
        <v>45915</v>
      </c>
      <c r="D609" s="582">
        <f t="shared" si="24"/>
        <v>38</v>
      </c>
      <c r="E609" s="618" t="str">
        <f>+VLOOKUP(Tabla3[[#This Row],[PATENTE]],'BASE DATOS'!F:G,2,0)</f>
        <v xml:space="preserve">GANZINI HUGO - JJF375 </v>
      </c>
      <c r="F609" s="584" t="str">
        <f>+VLOOKUP(Tabla3[[#This Row],[PATENTE]],'BASE DATOS'!F:H,3,0)</f>
        <v>14P</v>
      </c>
      <c r="G609" s="584" t="str">
        <f>+VLOOKUP(Tabla3[[#This Row],[PATENTE]],'BASE DATOS'!F:I,4,0)</f>
        <v>SI</v>
      </c>
      <c r="H609" s="584" t="str">
        <f>+VLOOKUP(Tabla3[[#This Row],[PATENTE]],'BASE DATOS'!F:J,5,0)</f>
        <v xml:space="preserve">NO </v>
      </c>
      <c r="I609" s="584" t="str">
        <f>+VLOOKUP(Tabla3[[#This Row],[PATENTE]],'BASE DATOS'!F:K,6,0)</f>
        <v>NO</v>
      </c>
      <c r="J609" s="584">
        <f>+VLOOKUP(Tabla3[[#This Row],[PATENTE]],'BASE DATOS'!F:L,7,0)</f>
        <v>2011</v>
      </c>
      <c r="K609" s="619">
        <f>+VLOOKUP(Tabla3[[#This Row],[PATENTE]],'BASE DATOS'!F:M,8,0)</f>
        <v>14</v>
      </c>
      <c r="N609" s="826"/>
      <c r="O609" s="1015"/>
      <c r="P609" s="1015"/>
      <c r="Q609" s="1015"/>
      <c r="R609" s="826"/>
    </row>
    <row r="610" spans="1:18" hidden="1">
      <c r="A610" s="578" t="s">
        <v>925</v>
      </c>
      <c r="B610" s="584">
        <v>2</v>
      </c>
      <c r="C610" s="590">
        <v>45915</v>
      </c>
      <c r="D610" s="582">
        <f t="shared" si="24"/>
        <v>38</v>
      </c>
      <c r="E610" s="618" t="str">
        <f>+VLOOKUP(Tabla3[[#This Row],[PATENTE]],'BASE DATOS'!F:G,2,0)</f>
        <v xml:space="preserve">TRANSP MAIDANA FACUNDO - KOW745 </v>
      </c>
      <c r="F610" s="584" t="str">
        <f>+VLOOKUP(Tabla3[[#This Row],[PATENTE]],'BASE DATOS'!F:H,3,0)</f>
        <v>8P</v>
      </c>
      <c r="G610" s="584" t="str">
        <f>+VLOOKUP(Tabla3[[#This Row],[PATENTE]],'BASE DATOS'!F:I,4,0)</f>
        <v>SI</v>
      </c>
      <c r="H610" s="584" t="str">
        <f>+VLOOKUP(Tabla3[[#This Row],[PATENTE]],'BASE DATOS'!F:J,5,0)</f>
        <v>SI</v>
      </c>
      <c r="I610" s="584" t="str">
        <f>+VLOOKUP(Tabla3[[#This Row],[PATENTE]],'BASE DATOS'!F:K,6,0)</f>
        <v>NO</v>
      </c>
      <c r="J610" s="584">
        <f>+VLOOKUP(Tabla3[[#This Row],[PATENTE]],'BASE DATOS'!F:L,7,0)</f>
        <v>2012</v>
      </c>
      <c r="K610" s="619">
        <f>+VLOOKUP(Tabla3[[#This Row],[PATENTE]],'BASE DATOS'!F:M,8,0)</f>
        <v>13</v>
      </c>
      <c r="N610" s="826"/>
      <c r="O610" s="1015"/>
      <c r="P610" s="1015"/>
      <c r="Q610" s="1015"/>
      <c r="R610" s="826"/>
    </row>
    <row r="611" spans="1:18" hidden="1">
      <c r="A611" s="578" t="s">
        <v>913</v>
      </c>
      <c r="B611" s="584">
        <v>2</v>
      </c>
      <c r="C611" s="590">
        <v>45915</v>
      </c>
      <c r="D611" s="582">
        <f t="shared" si="24"/>
        <v>38</v>
      </c>
      <c r="E611" s="618" t="str">
        <f>+VLOOKUP(Tabla3[[#This Row],[PATENTE]],'BASE DATOS'!F:G,2,0)</f>
        <v xml:space="preserve">TRANSP DON NENO - KSI803 </v>
      </c>
      <c r="F611" s="584" t="str">
        <f>+VLOOKUP(Tabla3[[#This Row],[PATENTE]],'BASE DATOS'!F:H,3,0)</f>
        <v>2P</v>
      </c>
      <c r="G611" s="584" t="str">
        <f>+VLOOKUP(Tabla3[[#This Row],[PATENTE]],'BASE DATOS'!F:I,4,0)</f>
        <v>SI</v>
      </c>
      <c r="H611" s="584" t="str">
        <f>+VLOOKUP(Tabla3[[#This Row],[PATENTE]],'BASE DATOS'!F:J,5,0)</f>
        <v>SI</v>
      </c>
      <c r="I611" s="584" t="str">
        <f>+VLOOKUP(Tabla3[[#This Row],[PATENTE]],'BASE DATOS'!F:K,6,0)</f>
        <v>NO</v>
      </c>
      <c r="J611" s="584">
        <f>+VLOOKUP(Tabla3[[#This Row],[PATENTE]],'BASE DATOS'!F:L,7,0)</f>
        <v>2012</v>
      </c>
      <c r="K611" s="619">
        <f>+VLOOKUP(Tabla3[[#This Row],[PATENTE]],'BASE DATOS'!F:M,8,0)</f>
        <v>13</v>
      </c>
      <c r="N611" s="826"/>
      <c r="O611" s="1015"/>
      <c r="P611" s="1015"/>
      <c r="Q611" s="1015"/>
      <c r="R611" s="826"/>
    </row>
    <row r="612" spans="1:18" hidden="1">
      <c r="A612" s="577" t="s">
        <v>1133</v>
      </c>
      <c r="B612" s="584">
        <v>1</v>
      </c>
      <c r="C612" s="590">
        <v>45915</v>
      </c>
      <c r="D612" s="582">
        <f t="shared" si="24"/>
        <v>38</v>
      </c>
      <c r="E612" s="618" t="str">
        <f>+VLOOKUP(Tabla3[[#This Row],[PATENTE]],'BASE DATOS'!F:G,2,0)</f>
        <v xml:space="preserve">BELLIMAR SRL - AB787MT </v>
      </c>
      <c r="F612" s="584" t="str">
        <f>+VLOOKUP(Tabla3[[#This Row],[PATENTE]],'BASE DATOS'!F:H,3,0)</f>
        <v>28P</v>
      </c>
      <c r="G612" s="584" t="str">
        <f>+VLOOKUP(Tabla3[[#This Row],[PATENTE]],'BASE DATOS'!F:I,4,0)</f>
        <v>NO</v>
      </c>
      <c r="H612" s="584" t="str">
        <f>+VLOOKUP(Tabla3[[#This Row],[PATENTE]],'BASE DATOS'!F:J,5,0)</f>
        <v xml:space="preserve">NO </v>
      </c>
      <c r="I612" s="584" t="str">
        <f>+VLOOKUP(Tabla3[[#This Row],[PATENTE]],'BASE DATOS'!F:K,6,0)</f>
        <v>NO</v>
      </c>
      <c r="J612" s="584">
        <f>+VLOOKUP(Tabla3[[#This Row],[PATENTE]],'BASE DATOS'!F:L,7,0)</f>
        <v>2017</v>
      </c>
      <c r="K612" s="619">
        <f>+VLOOKUP(Tabla3[[#This Row],[PATENTE]],'BASE DATOS'!F:M,8,0)</f>
        <v>8</v>
      </c>
      <c r="N612" s="826"/>
      <c r="O612" s="1015"/>
      <c r="P612" s="1015"/>
      <c r="Q612" s="1015"/>
      <c r="R612" s="826"/>
    </row>
    <row r="613" spans="1:18" hidden="1">
      <c r="A613" s="578" t="s">
        <v>937</v>
      </c>
      <c r="B613" s="584">
        <v>1</v>
      </c>
      <c r="C613" s="590">
        <v>45915</v>
      </c>
      <c r="D613" s="582">
        <f t="shared" si="24"/>
        <v>38</v>
      </c>
      <c r="E613" s="618" t="str">
        <f>+VLOOKUP(Tabla3[[#This Row],[PATENTE]],'BASE DATOS'!F:G,2,0)</f>
        <v>TRANSP. CM TRANZ - AC049FP CALZIA RETIRA CLIENTE</v>
      </c>
      <c r="F613" s="584" t="str">
        <f>+VLOOKUP(Tabla3[[#This Row],[PATENTE]],'BASE DATOS'!F:H,3,0)</f>
        <v>24P</v>
      </c>
      <c r="G613" s="584" t="str">
        <f>+VLOOKUP(Tabla3[[#This Row],[PATENTE]],'BASE DATOS'!F:I,4,0)</f>
        <v>NO</v>
      </c>
      <c r="H613" s="584" t="str">
        <f>+VLOOKUP(Tabla3[[#This Row],[PATENTE]],'BASE DATOS'!F:J,5,0)</f>
        <v xml:space="preserve">NO </v>
      </c>
      <c r="I613" s="584" t="str">
        <f>+VLOOKUP(Tabla3[[#This Row],[PATENTE]],'BASE DATOS'!F:K,6,0)</f>
        <v>NO</v>
      </c>
      <c r="J613" s="584">
        <f>+VLOOKUP(Tabla3[[#This Row],[PATENTE]],'BASE DATOS'!F:L,7,0)</f>
        <v>0</v>
      </c>
      <c r="K613" s="619">
        <f>+VLOOKUP(Tabla3[[#This Row],[PATENTE]],'BASE DATOS'!F:M,8,0)</f>
        <v>0</v>
      </c>
      <c r="N613" s="826"/>
      <c r="O613" s="1015"/>
      <c r="P613" s="1015"/>
      <c r="Q613" s="1015"/>
      <c r="R613" s="826"/>
    </row>
    <row r="614" spans="1:18" hidden="1">
      <c r="A614" s="578" t="s">
        <v>1164</v>
      </c>
      <c r="B614" s="584">
        <v>1</v>
      </c>
      <c r="C614" s="590">
        <v>45915</v>
      </c>
      <c r="D614" s="582">
        <f t="shared" si="24"/>
        <v>38</v>
      </c>
      <c r="E614" s="618" t="str">
        <f>+VLOOKUP(Tabla3[[#This Row],[PATENTE]],'BASE DATOS'!F:G,2,0)</f>
        <v>BELLIMAR SRL - AE319RL</v>
      </c>
      <c r="F614" s="584" t="str">
        <f>+VLOOKUP(Tabla3[[#This Row],[PATENTE]],'BASE DATOS'!F:H,3,0)</f>
        <v>28P</v>
      </c>
      <c r="G614" s="584" t="str">
        <f>+VLOOKUP(Tabla3[[#This Row],[PATENTE]],'BASE DATOS'!F:I,4,0)</f>
        <v>NO</v>
      </c>
      <c r="H614" s="584" t="str">
        <f>+VLOOKUP(Tabla3[[#This Row],[PATENTE]],'BASE DATOS'!F:J,5,0)</f>
        <v xml:space="preserve">NO </v>
      </c>
      <c r="I614" s="584" t="str">
        <f>+VLOOKUP(Tabla3[[#This Row],[PATENTE]],'BASE DATOS'!F:K,6,0)</f>
        <v>NO</v>
      </c>
      <c r="J614" s="584">
        <f>+VLOOKUP(Tabla3[[#This Row],[PATENTE]],'BASE DATOS'!F:L,7,0)</f>
        <v>2025</v>
      </c>
      <c r="K614" s="619">
        <f>+VLOOKUP(Tabla3[[#This Row],[PATENTE]],'BASE DATOS'!F:M,8,0)</f>
        <v>0</v>
      </c>
      <c r="N614" s="826"/>
      <c r="O614" s="1015"/>
      <c r="P614" s="1015"/>
      <c r="Q614" s="1015"/>
      <c r="R614" s="826"/>
    </row>
    <row r="615" spans="1:18" hidden="1">
      <c r="A615" s="578" t="s">
        <v>893</v>
      </c>
      <c r="B615" s="584">
        <v>1</v>
      </c>
      <c r="C615" s="590">
        <v>45915</v>
      </c>
      <c r="D615" s="582">
        <f t="shared" si="24"/>
        <v>38</v>
      </c>
      <c r="E615" s="618" t="str">
        <f>+VLOOKUP(Tabla3[[#This Row],[PATENTE]],'BASE DATOS'!F:G,2,0)</f>
        <v xml:space="preserve">GANZINI HUGO - CFF038 </v>
      </c>
      <c r="F615" s="584" t="str">
        <f>+VLOOKUP(Tabla3[[#This Row],[PATENTE]],'BASE DATOS'!F:H,3,0)</f>
        <v>2P</v>
      </c>
      <c r="G615" s="584" t="str">
        <f>+VLOOKUP(Tabla3[[#This Row],[PATENTE]],'BASE DATOS'!F:I,4,0)</f>
        <v>SI</v>
      </c>
      <c r="H615" s="584" t="str">
        <f>+VLOOKUP(Tabla3[[#This Row],[PATENTE]],'BASE DATOS'!F:J,5,0)</f>
        <v>SI</v>
      </c>
      <c r="I615" s="584" t="str">
        <f>+VLOOKUP(Tabla3[[#This Row],[PATENTE]],'BASE DATOS'!F:K,6,0)</f>
        <v>NO</v>
      </c>
      <c r="J615" s="584">
        <f>+VLOOKUP(Tabla3[[#This Row],[PATENTE]],'BASE DATOS'!F:L,7,0)</f>
        <v>1999</v>
      </c>
      <c r="K615" s="619">
        <f>+VLOOKUP(Tabla3[[#This Row],[PATENTE]],'BASE DATOS'!F:M,8,0)</f>
        <v>26</v>
      </c>
      <c r="N615" s="826"/>
      <c r="O615" s="1015"/>
      <c r="P615" s="1015"/>
      <c r="Q615" s="1015"/>
      <c r="R615" s="826"/>
    </row>
    <row r="616" spans="1:18" hidden="1">
      <c r="A616" s="578" t="s">
        <v>918</v>
      </c>
      <c r="B616" s="584">
        <v>1</v>
      </c>
      <c r="C616" s="590">
        <v>45915</v>
      </c>
      <c r="D616" s="582">
        <f t="shared" ref="D616:D647" si="25">+WEEKNUM(C616)</f>
        <v>38</v>
      </c>
      <c r="E616" s="618" t="str">
        <f>+VLOOKUP(Tabla3[[#This Row],[PATENTE]],'BASE DATOS'!F:G,2,0)</f>
        <v>TRANSPORTE GENA GAIA - DGO507</v>
      </c>
      <c r="F616" s="584" t="str">
        <f>+VLOOKUP(Tabla3[[#This Row],[PATENTE]],'BASE DATOS'!F:H,3,0)</f>
        <v>24P</v>
      </c>
      <c r="G616" s="584" t="str">
        <f>+VLOOKUP(Tabla3[[#This Row],[PATENTE]],'BASE DATOS'!F:I,4,0)</f>
        <v>Gestya</v>
      </c>
      <c r="H616" s="584" t="str">
        <f>+VLOOKUP(Tabla3[[#This Row],[PATENTE]],'BASE DATOS'!F:J,5,0)</f>
        <v xml:space="preserve">NO </v>
      </c>
      <c r="I616" s="584" t="str">
        <f>+VLOOKUP(Tabla3[[#This Row],[PATENTE]],'BASE DATOS'!F:K,6,0)</f>
        <v>NO</v>
      </c>
      <c r="J616" s="584">
        <f>+VLOOKUP(Tabla3[[#This Row],[PATENTE]],'BASE DATOS'!F:L,7,0)</f>
        <v>2001</v>
      </c>
      <c r="K616" s="619">
        <f>+VLOOKUP(Tabla3[[#This Row],[PATENTE]],'BASE DATOS'!F:M,8,0)</f>
        <v>24</v>
      </c>
      <c r="N616" s="826"/>
      <c r="O616" s="1015"/>
      <c r="P616" s="1015"/>
      <c r="Q616" s="1015"/>
      <c r="R616" s="826"/>
    </row>
    <row r="617" spans="1:18" hidden="1">
      <c r="A617" s="578" t="s">
        <v>923</v>
      </c>
      <c r="B617" s="584">
        <v>1</v>
      </c>
      <c r="C617" s="590">
        <v>45915</v>
      </c>
      <c r="D617" s="582">
        <f t="shared" si="25"/>
        <v>38</v>
      </c>
      <c r="E617" s="618" t="str">
        <f>+VLOOKUP(Tabla3[[#This Row],[PATENTE]],'BASE DATOS'!F:G,2,0)</f>
        <v xml:space="preserve">TRANSPORTE GENA GAIA - DLP830 </v>
      </c>
      <c r="F617" s="584" t="str">
        <f>+VLOOKUP(Tabla3[[#This Row],[PATENTE]],'BASE DATOS'!F:H,3,0)</f>
        <v>24P</v>
      </c>
      <c r="G617" s="584" t="str">
        <f>+VLOOKUP(Tabla3[[#This Row],[PATENTE]],'BASE DATOS'!F:I,4,0)</f>
        <v>Gestya</v>
      </c>
      <c r="H617" s="584" t="str">
        <f>+VLOOKUP(Tabla3[[#This Row],[PATENTE]],'BASE DATOS'!F:J,5,0)</f>
        <v xml:space="preserve">NO </v>
      </c>
      <c r="I617" s="584" t="str">
        <f>+VLOOKUP(Tabla3[[#This Row],[PATENTE]],'BASE DATOS'!F:K,6,0)</f>
        <v>NO</v>
      </c>
      <c r="J617" s="584">
        <f>+VLOOKUP(Tabla3[[#This Row],[PATENTE]],'BASE DATOS'!F:L,7,0)</f>
        <v>2001</v>
      </c>
      <c r="K617" s="619">
        <f>+VLOOKUP(Tabla3[[#This Row],[PATENTE]],'BASE DATOS'!F:M,8,0)</f>
        <v>24</v>
      </c>
      <c r="N617" s="826"/>
      <c r="O617" s="1015"/>
      <c r="P617" s="1015"/>
      <c r="Q617" s="1015"/>
      <c r="R617" s="826"/>
    </row>
    <row r="618" spans="1:18" hidden="1">
      <c r="A618" s="578" t="s">
        <v>945</v>
      </c>
      <c r="B618" s="584">
        <v>1</v>
      </c>
      <c r="C618" s="590">
        <v>45915</v>
      </c>
      <c r="D618" s="582">
        <f t="shared" si="25"/>
        <v>38</v>
      </c>
      <c r="E618" s="618" t="str">
        <f>+VLOOKUP(Tabla3[[#This Row],[PATENTE]],'BASE DATOS'!F:G,2,0)</f>
        <v>GANZINI HUGO - FWZ500 - 4P</v>
      </c>
      <c r="F618" s="584" t="str">
        <f>+VLOOKUP(Tabla3[[#This Row],[PATENTE]],'BASE DATOS'!F:H,3,0)</f>
        <v>4P</v>
      </c>
      <c r="G618" s="584" t="str">
        <f>+VLOOKUP(Tabla3[[#This Row],[PATENTE]],'BASE DATOS'!F:I,4,0)</f>
        <v>NO</v>
      </c>
      <c r="H618" s="584" t="str">
        <f>+VLOOKUP(Tabla3[[#This Row],[PATENTE]],'BASE DATOS'!F:J,5,0)</f>
        <v xml:space="preserve">NO </v>
      </c>
      <c r="I618" s="584" t="str">
        <f>+VLOOKUP(Tabla3[[#This Row],[PATENTE]],'BASE DATOS'!F:K,6,0)</f>
        <v>NO</v>
      </c>
      <c r="J618" s="584">
        <f>+VLOOKUP(Tabla3[[#This Row],[PATENTE]],'BASE DATOS'!F:L,7,0)</f>
        <v>2006</v>
      </c>
      <c r="K618" s="619">
        <f>+VLOOKUP(Tabla3[[#This Row],[PATENTE]],'BASE DATOS'!F:M,8,0)</f>
        <v>19</v>
      </c>
      <c r="N618" s="826"/>
      <c r="O618" s="1015"/>
      <c r="P618" s="1015"/>
      <c r="Q618" s="1015"/>
      <c r="R618" s="826"/>
    </row>
    <row r="619" spans="1:18" hidden="1">
      <c r="A619" s="578" t="s">
        <v>1154</v>
      </c>
      <c r="B619" s="584">
        <v>1</v>
      </c>
      <c r="C619" s="590">
        <v>45915</v>
      </c>
      <c r="D619" s="582">
        <f t="shared" si="25"/>
        <v>38</v>
      </c>
      <c r="E619" s="618" t="str">
        <f>+VLOOKUP(Tabla3[[#This Row],[PATENTE]],'BASE DATOS'!F:G,2,0)</f>
        <v>DON NENO - 2P</v>
      </c>
      <c r="F619" s="584" t="str">
        <f>+VLOOKUP(Tabla3[[#This Row],[PATENTE]],'BASE DATOS'!F:H,3,0)</f>
        <v>8P</v>
      </c>
      <c r="G619" s="584" t="str">
        <f>+VLOOKUP(Tabla3[[#This Row],[PATENTE]],'BASE DATOS'!F:I,4,0)</f>
        <v>SI</v>
      </c>
      <c r="H619" s="584" t="str">
        <f>+VLOOKUP(Tabla3[[#This Row],[PATENTE]],'BASE DATOS'!F:J,5,0)</f>
        <v xml:space="preserve">NO </v>
      </c>
      <c r="I619" s="584" t="str">
        <f>+VLOOKUP(Tabla3[[#This Row],[PATENTE]],'BASE DATOS'!F:K,6,0)</f>
        <v>NO</v>
      </c>
      <c r="J619" s="584">
        <f>+VLOOKUP(Tabla3[[#This Row],[PATENTE]],'BASE DATOS'!F:L,7,0)</f>
        <v>2008</v>
      </c>
      <c r="K619" s="619">
        <f>+VLOOKUP(Tabla3[[#This Row],[PATENTE]],'BASE DATOS'!F:M,8,0)</f>
        <v>17</v>
      </c>
      <c r="N619" s="826"/>
      <c r="O619" s="1015"/>
      <c r="P619" s="1015"/>
      <c r="Q619" s="1015"/>
      <c r="R619" s="826"/>
    </row>
    <row r="620" spans="1:18" hidden="1">
      <c r="A620" s="581" t="s">
        <v>933</v>
      </c>
      <c r="B620" s="587">
        <v>1</v>
      </c>
      <c r="C620" s="590">
        <v>45915</v>
      </c>
      <c r="D620" s="583">
        <f t="shared" si="25"/>
        <v>38</v>
      </c>
      <c r="E620" s="620" t="str">
        <f>+VLOOKUP(Tabla3[[#This Row],[PATENTE]],'BASE DATOS'!F:G,2,0)</f>
        <v xml:space="preserve">TRANSPORTE GENA GAIA - IKE806 </v>
      </c>
      <c r="F620" s="587" t="str">
        <f>+VLOOKUP(Tabla3[[#This Row],[PATENTE]],'BASE DATOS'!F:H,3,0)</f>
        <v>24P</v>
      </c>
      <c r="G620" s="587" t="str">
        <f>+VLOOKUP(Tabla3[[#This Row],[PATENTE]],'BASE DATOS'!F:I,4,0)</f>
        <v>Gestya</v>
      </c>
      <c r="H620" s="584" t="str">
        <f>+VLOOKUP(Tabla3[[#This Row],[PATENTE]],'BASE DATOS'!F:J,5,0)</f>
        <v xml:space="preserve">NO </v>
      </c>
      <c r="I620" s="587" t="str">
        <f>+VLOOKUP(Tabla3[[#This Row],[PATENTE]],'BASE DATOS'!F:K,6,0)</f>
        <v>NO</v>
      </c>
      <c r="J620" s="587">
        <f>+VLOOKUP(Tabla3[[#This Row],[PATENTE]],'BASE DATOS'!F:L,7,0)</f>
        <v>2010</v>
      </c>
      <c r="K620" s="621">
        <f>+VLOOKUP(Tabla3[[#This Row],[PATENTE]],'BASE DATOS'!F:M,8,0)</f>
        <v>15</v>
      </c>
      <c r="N620" s="826"/>
      <c r="O620" s="1015"/>
      <c r="P620" s="1015"/>
      <c r="Q620" s="1015"/>
      <c r="R620" s="826"/>
    </row>
    <row r="621" spans="1:18" hidden="1">
      <c r="A621" s="581" t="s">
        <v>948</v>
      </c>
      <c r="B621" s="587">
        <v>1</v>
      </c>
      <c r="C621" s="590">
        <v>45915</v>
      </c>
      <c r="D621" s="583">
        <f t="shared" si="25"/>
        <v>38</v>
      </c>
      <c r="E621" s="620" t="str">
        <f>+VLOOKUP(Tabla3[[#This Row],[PATENTE]],'BASE DATOS'!F:G,2,0)</f>
        <v>CAMILA - 24P RETIRA CLIENTE</v>
      </c>
      <c r="F621" s="587" t="str">
        <f>+VLOOKUP(Tabla3[[#This Row],[PATENTE]],'BASE DATOS'!F:H,3,0)</f>
        <v>24P</v>
      </c>
      <c r="G621" s="587" t="str">
        <f>+VLOOKUP(Tabla3[[#This Row],[PATENTE]],'BASE DATOS'!F:I,4,0)</f>
        <v>NO</v>
      </c>
      <c r="H621" s="584" t="str">
        <f>+VLOOKUP(Tabla3[[#This Row],[PATENTE]],'BASE DATOS'!F:J,5,0)</f>
        <v xml:space="preserve">NO </v>
      </c>
      <c r="I621" s="587" t="str">
        <f>+VLOOKUP(Tabla3[[#This Row],[PATENTE]],'BASE DATOS'!F:K,6,0)</f>
        <v>NO</v>
      </c>
      <c r="J621" s="587">
        <f>+VLOOKUP(Tabla3[[#This Row],[PATENTE]],'BASE DATOS'!F:L,7,0)</f>
        <v>0</v>
      </c>
      <c r="K621" s="621">
        <f>+VLOOKUP(Tabla3[[#This Row],[PATENTE]],'BASE DATOS'!F:M,8,0)</f>
        <v>2025</v>
      </c>
      <c r="N621" s="826"/>
      <c r="O621" s="1015"/>
      <c r="P621" s="1015"/>
      <c r="Q621" s="1015"/>
      <c r="R621" s="826"/>
    </row>
    <row r="622" spans="1:18" hidden="1">
      <c r="A622" s="578" t="s">
        <v>897</v>
      </c>
      <c r="B622" s="584">
        <v>1</v>
      </c>
      <c r="C622" s="590">
        <v>45915</v>
      </c>
      <c r="D622" s="582">
        <f t="shared" si="25"/>
        <v>38</v>
      </c>
      <c r="E622" s="618" t="str">
        <f>+VLOOKUP(Tabla3[[#This Row],[PATENTE]],'BASE DATOS'!F:G,2,0)</f>
        <v xml:space="preserve">TRANSP CLAUDIO BUSTOS - LSG801 </v>
      </c>
      <c r="F622" s="584" t="str">
        <f>+VLOOKUP(Tabla3[[#This Row],[PATENTE]],'BASE DATOS'!F:H,3,0)</f>
        <v>2P</v>
      </c>
      <c r="G622" s="584" t="str">
        <f>+VLOOKUP(Tabla3[[#This Row],[PATENTE]],'BASE DATOS'!F:I,4,0)</f>
        <v>SI</v>
      </c>
      <c r="H622" s="584" t="str">
        <f>+VLOOKUP(Tabla3[[#This Row],[PATENTE]],'BASE DATOS'!F:J,5,0)</f>
        <v>SI</v>
      </c>
      <c r="I622" s="584" t="str">
        <f>+VLOOKUP(Tabla3[[#This Row],[PATENTE]],'BASE DATOS'!F:K,6,0)</f>
        <v>NO</v>
      </c>
      <c r="J622" s="584">
        <f>+VLOOKUP(Tabla3[[#This Row],[PATENTE]],'BASE DATOS'!F:L,7,0)</f>
        <v>2013</v>
      </c>
      <c r="K622" s="619">
        <f>+VLOOKUP(Tabla3[[#This Row],[PATENTE]],'BASE DATOS'!F:M,8,0)</f>
        <v>12</v>
      </c>
      <c r="N622" s="826"/>
      <c r="O622" s="1015"/>
      <c r="P622" s="1015"/>
      <c r="Q622" s="1015"/>
      <c r="R622" s="826"/>
    </row>
    <row r="623" spans="1:18" hidden="1">
      <c r="A623" s="578" t="s">
        <v>919</v>
      </c>
      <c r="B623" s="584">
        <v>6</v>
      </c>
      <c r="C623" s="590">
        <v>45922</v>
      </c>
      <c r="D623" s="582">
        <f t="shared" si="25"/>
        <v>39</v>
      </c>
      <c r="E623" s="618" t="str">
        <f>+VLOOKUP(Tabla3[[#This Row],[PATENTE]],'BASE DATOS'!F:G,2,0)</f>
        <v xml:space="preserve">GUSTAVO CERQUETTA - AA427LT </v>
      </c>
      <c r="F623" s="584" t="str">
        <f>+VLOOKUP(Tabla3[[#This Row],[PATENTE]],'BASE DATOS'!F:H,3,0)</f>
        <v>1P</v>
      </c>
      <c r="G623" s="584" t="str">
        <f>+VLOOKUP(Tabla3[[#This Row],[PATENTE]],'BASE DATOS'!F:I,4,0)</f>
        <v>NO</v>
      </c>
      <c r="H623" s="584" t="str">
        <f>+VLOOKUP(Tabla3[[#This Row],[PATENTE]],'BASE DATOS'!F:J,5,0)</f>
        <v>SI</v>
      </c>
      <c r="I623" s="584" t="str">
        <f>+VLOOKUP(Tabla3[[#This Row],[PATENTE]],'BASE DATOS'!F:K,6,0)</f>
        <v>NO</v>
      </c>
      <c r="J623" s="584">
        <f>+VLOOKUP(Tabla3[[#This Row],[PATENTE]],'BASE DATOS'!F:L,7,0)</f>
        <v>2016</v>
      </c>
      <c r="K623" s="619">
        <f>+VLOOKUP(Tabla3[[#This Row],[PATENTE]],'BASE DATOS'!F:M,8,0)</f>
        <v>9</v>
      </c>
      <c r="N623" s="826"/>
      <c r="O623" s="1015"/>
      <c r="P623" s="1015"/>
      <c r="Q623" s="1015"/>
      <c r="R623" s="826"/>
    </row>
    <row r="624" spans="1:18" hidden="1">
      <c r="A624" s="578" t="s">
        <v>895</v>
      </c>
      <c r="B624" s="584">
        <v>6</v>
      </c>
      <c r="C624" s="590">
        <v>45922</v>
      </c>
      <c r="D624" s="582">
        <f t="shared" si="25"/>
        <v>39</v>
      </c>
      <c r="E624" s="618" t="str">
        <f>+VLOOKUP(Tabla3[[#This Row],[PATENTE]],'BASE DATOS'!F:G,2,0)</f>
        <v xml:space="preserve">TRANSPORTE MICAELA </v>
      </c>
      <c r="F624" s="584" t="str">
        <f>+VLOOKUP(Tabla3[[#This Row],[PATENTE]],'BASE DATOS'!F:H,3,0)</f>
        <v>2P</v>
      </c>
      <c r="G624" s="584" t="str">
        <f>+VLOOKUP(Tabla3[[#This Row],[PATENTE]],'BASE DATOS'!F:I,4,0)</f>
        <v>NO</v>
      </c>
      <c r="H624" s="584" t="str">
        <f>+VLOOKUP(Tabla3[[#This Row],[PATENTE]],'BASE DATOS'!F:J,5,0)</f>
        <v>SI</v>
      </c>
      <c r="I624" s="584" t="str">
        <f>+VLOOKUP(Tabla3[[#This Row],[PATENTE]],'BASE DATOS'!F:K,6,0)</f>
        <v>NO</v>
      </c>
      <c r="J624" s="584">
        <f>+VLOOKUP(Tabla3[[#This Row],[PATENTE]],'BASE DATOS'!F:L,7,0)</f>
        <v>2024</v>
      </c>
      <c r="K624" s="619">
        <f>+VLOOKUP(Tabla3[[#This Row],[PATENTE]],'BASE DATOS'!F:M,8,0)</f>
        <v>1</v>
      </c>
      <c r="N624" s="826"/>
      <c r="O624" s="1015"/>
      <c r="P624" s="1015"/>
      <c r="Q624" s="1015"/>
      <c r="R624" s="826"/>
    </row>
    <row r="625" spans="1:18" hidden="1">
      <c r="A625" s="578" t="s">
        <v>926</v>
      </c>
      <c r="B625" s="584">
        <v>6</v>
      </c>
      <c r="C625" s="590">
        <v>45922</v>
      </c>
      <c r="D625" s="582">
        <f t="shared" si="25"/>
        <v>39</v>
      </c>
      <c r="E625" s="618" t="str">
        <f>+VLOOKUP(Tabla3[[#This Row],[PATENTE]],'BASE DATOS'!F:G,2,0)</f>
        <v xml:space="preserve">TRANSPORTE GENA GAIA - DUF042 </v>
      </c>
      <c r="F625" s="584" t="str">
        <f>+VLOOKUP(Tabla3[[#This Row],[PATENTE]],'BASE DATOS'!F:H,3,0)</f>
        <v>24P</v>
      </c>
      <c r="G625" s="584" t="str">
        <f>+VLOOKUP(Tabla3[[#This Row],[PATENTE]],'BASE DATOS'!F:I,4,0)</f>
        <v>Gestya</v>
      </c>
      <c r="H625" s="584" t="str">
        <f>+VLOOKUP(Tabla3[[#This Row],[PATENTE]],'BASE DATOS'!F:J,5,0)</f>
        <v xml:space="preserve">NO </v>
      </c>
      <c r="I625" s="584" t="str">
        <f>+VLOOKUP(Tabla3[[#This Row],[PATENTE]],'BASE DATOS'!F:K,6,0)</f>
        <v>NO</v>
      </c>
      <c r="J625" s="584">
        <f>+VLOOKUP(Tabla3[[#This Row],[PATENTE]],'BASE DATOS'!F:L,7,0)</f>
        <v>2001</v>
      </c>
      <c r="K625" s="619">
        <f>+VLOOKUP(Tabla3[[#This Row],[PATENTE]],'BASE DATOS'!F:M,8,0)</f>
        <v>24</v>
      </c>
      <c r="N625" s="826"/>
      <c r="O625" s="1015"/>
      <c r="P625" s="1015"/>
      <c r="Q625" s="1015"/>
      <c r="R625" s="826"/>
    </row>
    <row r="626" spans="1:18" hidden="1">
      <c r="A626" s="578" t="s">
        <v>885</v>
      </c>
      <c r="B626" s="584">
        <v>6</v>
      </c>
      <c r="C626" s="590">
        <v>45922</v>
      </c>
      <c r="D626" s="582">
        <f t="shared" si="25"/>
        <v>39</v>
      </c>
      <c r="E626" s="618" t="str">
        <f>+VLOOKUP(Tabla3[[#This Row],[PATENTE]],'BASE DATOS'!F:G,2,0)</f>
        <v xml:space="preserve">TRANSP DON NENO - IES288 </v>
      </c>
      <c r="F626" s="584" t="str">
        <f>+VLOOKUP(Tabla3[[#This Row],[PATENTE]],'BASE DATOS'!F:H,3,0)</f>
        <v>2P</v>
      </c>
      <c r="G626" s="584" t="str">
        <f>+VLOOKUP(Tabla3[[#This Row],[PATENTE]],'BASE DATOS'!F:I,4,0)</f>
        <v>SI</v>
      </c>
      <c r="H626" s="584" t="str">
        <f>+VLOOKUP(Tabla3[[#This Row],[PATENTE]],'BASE DATOS'!F:J,5,0)</f>
        <v>SI</v>
      </c>
      <c r="I626" s="584" t="str">
        <f>+VLOOKUP(Tabla3[[#This Row],[PATENTE]],'BASE DATOS'!F:K,6,0)</f>
        <v>NO</v>
      </c>
      <c r="J626" s="584">
        <f>+VLOOKUP(Tabla3[[#This Row],[PATENTE]],'BASE DATOS'!F:L,7,0)</f>
        <v>2009</v>
      </c>
      <c r="K626" s="619">
        <f>+VLOOKUP(Tabla3[[#This Row],[PATENTE]],'BASE DATOS'!F:M,8,0)</f>
        <v>16</v>
      </c>
      <c r="N626" s="826"/>
      <c r="O626" s="1015"/>
      <c r="P626" s="1015"/>
      <c r="Q626" s="1015"/>
      <c r="R626" s="826"/>
    </row>
    <row r="627" spans="1:18" hidden="1">
      <c r="A627" s="578" t="s">
        <v>897</v>
      </c>
      <c r="B627" s="584">
        <v>6</v>
      </c>
      <c r="C627" s="590">
        <v>45922</v>
      </c>
      <c r="D627" s="582">
        <f t="shared" si="25"/>
        <v>39</v>
      </c>
      <c r="E627" s="618" t="str">
        <f>+VLOOKUP(Tabla3[[#This Row],[PATENTE]],'BASE DATOS'!F:G,2,0)</f>
        <v xml:space="preserve">TRANSP CLAUDIO BUSTOS - LSG801 </v>
      </c>
      <c r="F627" s="584" t="str">
        <f>+VLOOKUP(Tabla3[[#This Row],[PATENTE]],'BASE DATOS'!F:H,3,0)</f>
        <v>2P</v>
      </c>
      <c r="G627" s="584" t="str">
        <f>+VLOOKUP(Tabla3[[#This Row],[PATENTE]],'BASE DATOS'!F:I,4,0)</f>
        <v>SI</v>
      </c>
      <c r="H627" s="584" t="str">
        <f>+VLOOKUP(Tabla3[[#This Row],[PATENTE]],'BASE DATOS'!F:J,5,0)</f>
        <v>SI</v>
      </c>
      <c r="I627" s="584" t="str">
        <f>+VLOOKUP(Tabla3[[#This Row],[PATENTE]],'BASE DATOS'!F:K,6,0)</f>
        <v>NO</v>
      </c>
      <c r="J627" s="584">
        <f>+VLOOKUP(Tabla3[[#This Row],[PATENTE]],'BASE DATOS'!F:L,7,0)</f>
        <v>2013</v>
      </c>
      <c r="K627" s="619">
        <f>+VLOOKUP(Tabla3[[#This Row],[PATENTE]],'BASE DATOS'!F:M,8,0)</f>
        <v>12</v>
      </c>
      <c r="N627" s="826"/>
      <c r="O627" s="1015"/>
      <c r="P627" s="1015"/>
      <c r="Q627" s="1015"/>
      <c r="R627" s="826"/>
    </row>
    <row r="628" spans="1:18" hidden="1">
      <c r="A628" s="578" t="s">
        <v>898</v>
      </c>
      <c r="B628" s="584">
        <v>6</v>
      </c>
      <c r="C628" s="590">
        <v>45922</v>
      </c>
      <c r="D628" s="582">
        <f t="shared" si="25"/>
        <v>39</v>
      </c>
      <c r="E628" s="618" t="str">
        <f>+VLOOKUP(Tabla3[[#This Row],[PATENTE]],'BASE DATOS'!F:G,2,0)</f>
        <v xml:space="preserve">TRANSP BERMEJO - NXP980 </v>
      </c>
      <c r="F628" s="584" t="str">
        <f>+VLOOKUP(Tabla3[[#This Row],[PATENTE]],'BASE DATOS'!F:H,3,0)</f>
        <v>12P</v>
      </c>
      <c r="G628" s="584" t="str">
        <f>+VLOOKUP(Tabla3[[#This Row],[PATENTE]],'BASE DATOS'!F:I,4,0)</f>
        <v>SI</v>
      </c>
      <c r="H628" s="584" t="str">
        <f>+VLOOKUP(Tabla3[[#This Row],[PATENTE]],'BASE DATOS'!F:J,5,0)</f>
        <v>SI</v>
      </c>
      <c r="I628" s="584" t="str">
        <f>+VLOOKUP(Tabla3[[#This Row],[PATENTE]],'BASE DATOS'!F:K,6,0)</f>
        <v>SI</v>
      </c>
      <c r="J628" s="584">
        <f>+VLOOKUP(Tabla3[[#This Row],[PATENTE]],'BASE DATOS'!F:L,7,0)</f>
        <v>2015</v>
      </c>
      <c r="K628" s="619">
        <f>+VLOOKUP(Tabla3[[#This Row],[PATENTE]],'BASE DATOS'!F:M,8,0)</f>
        <v>10</v>
      </c>
      <c r="N628" s="826"/>
      <c r="O628" s="1015"/>
      <c r="P628" s="1015"/>
      <c r="Q628" s="1015"/>
      <c r="R628" s="826"/>
    </row>
    <row r="629" spans="1:18" hidden="1">
      <c r="A629" s="578" t="s">
        <v>899</v>
      </c>
      <c r="B629" s="584">
        <v>5</v>
      </c>
      <c r="C629" s="590">
        <v>45922</v>
      </c>
      <c r="D629" s="582">
        <f t="shared" si="25"/>
        <v>39</v>
      </c>
      <c r="E629" s="618" t="str">
        <f>+VLOOKUP(Tabla3[[#This Row],[PATENTE]],'BASE DATOS'!F:G,2,0)</f>
        <v xml:space="preserve">VAZQUEZ (TRV SRL) - AB176KN </v>
      </c>
      <c r="F629" s="584" t="str">
        <f>+VLOOKUP(Tabla3[[#This Row],[PATENTE]],'BASE DATOS'!F:H,3,0)</f>
        <v>8P</v>
      </c>
      <c r="G629" s="584" t="str">
        <f>+VLOOKUP(Tabla3[[#This Row],[PATENTE]],'BASE DATOS'!F:I,4,0)</f>
        <v>SI</v>
      </c>
      <c r="H629" s="584" t="str">
        <f>+VLOOKUP(Tabla3[[#This Row],[PATENTE]],'BASE DATOS'!F:J,5,0)</f>
        <v>SI</v>
      </c>
      <c r="I629" s="584" t="str">
        <f>+VLOOKUP(Tabla3[[#This Row],[PATENTE]],'BASE DATOS'!F:K,6,0)</f>
        <v>SI</v>
      </c>
      <c r="J629" s="584">
        <f>+VLOOKUP(Tabla3[[#This Row],[PATENTE]],'BASE DATOS'!F:L,7,0)</f>
        <v>2017</v>
      </c>
      <c r="K629" s="619">
        <f>+VLOOKUP(Tabla3[[#This Row],[PATENTE]],'BASE DATOS'!F:M,8,0)</f>
        <v>8</v>
      </c>
      <c r="N629" s="826"/>
      <c r="O629" s="1015"/>
      <c r="P629" s="1015"/>
      <c r="Q629" s="1015"/>
      <c r="R629" s="826"/>
    </row>
    <row r="630" spans="1:18" hidden="1">
      <c r="A630" s="578" t="s">
        <v>884</v>
      </c>
      <c r="B630" s="584">
        <v>5</v>
      </c>
      <c r="C630" s="590">
        <v>45922</v>
      </c>
      <c r="D630" s="582">
        <f t="shared" si="25"/>
        <v>39</v>
      </c>
      <c r="E630" s="618" t="str">
        <f>+VLOOKUP(Tabla3[[#This Row],[PATENTE]],'BASE DATOS'!F:G,2,0)</f>
        <v xml:space="preserve">LAURIA (SERVAL) - AB233IT </v>
      </c>
      <c r="F630" s="584" t="str">
        <f>+VLOOKUP(Tabla3[[#This Row],[PATENTE]],'BASE DATOS'!F:H,3,0)</f>
        <v>6P</v>
      </c>
      <c r="G630" s="584" t="str">
        <f>+VLOOKUP(Tabla3[[#This Row],[PATENTE]],'BASE DATOS'!F:I,4,0)</f>
        <v>SI</v>
      </c>
      <c r="H630" s="584" t="str">
        <f>+VLOOKUP(Tabla3[[#This Row],[PATENTE]],'BASE DATOS'!F:J,5,0)</f>
        <v>SI</v>
      </c>
      <c r="I630" s="584" t="str">
        <f>+VLOOKUP(Tabla3[[#This Row],[PATENTE]],'BASE DATOS'!F:K,6,0)</f>
        <v>NO</v>
      </c>
      <c r="J630" s="584">
        <f>+VLOOKUP(Tabla3[[#This Row],[PATENTE]],'BASE DATOS'!F:L,7,0)</f>
        <v>2017</v>
      </c>
      <c r="K630" s="619">
        <f>+VLOOKUP(Tabla3[[#This Row],[PATENTE]],'BASE DATOS'!F:M,8,0)</f>
        <v>8</v>
      </c>
      <c r="N630" s="826"/>
      <c r="O630" s="1015"/>
      <c r="P630" s="1015"/>
      <c r="Q630" s="1015"/>
      <c r="R630" s="826"/>
    </row>
    <row r="631" spans="1:18" hidden="1">
      <c r="A631" s="578" t="s">
        <v>905</v>
      </c>
      <c r="B631" s="584">
        <v>5</v>
      </c>
      <c r="C631" s="590">
        <v>45922</v>
      </c>
      <c r="D631" s="582">
        <f t="shared" si="25"/>
        <v>39</v>
      </c>
      <c r="E631" s="618" t="str">
        <f>+VLOOKUP(Tabla3[[#This Row],[PATENTE]],'BASE DATOS'!F:G,2,0)</f>
        <v xml:space="preserve">J RIMOLDI - AB312SE </v>
      </c>
      <c r="F631" s="584" t="str">
        <f>+VLOOKUP(Tabla3[[#This Row],[PATENTE]],'BASE DATOS'!F:H,3,0)</f>
        <v>8P</v>
      </c>
      <c r="G631" s="584" t="str">
        <f>+VLOOKUP(Tabla3[[#This Row],[PATENTE]],'BASE DATOS'!F:I,4,0)</f>
        <v>SI</v>
      </c>
      <c r="H631" s="584" t="str">
        <f>+VLOOKUP(Tabla3[[#This Row],[PATENTE]],'BASE DATOS'!F:J,5,0)</f>
        <v>SI</v>
      </c>
      <c r="I631" s="584" t="str">
        <f>+VLOOKUP(Tabla3[[#This Row],[PATENTE]],'BASE DATOS'!F:K,6,0)</f>
        <v>NO</v>
      </c>
      <c r="J631" s="584">
        <f>+VLOOKUP(Tabla3[[#This Row],[PATENTE]],'BASE DATOS'!F:L,7,0)</f>
        <v>2017</v>
      </c>
      <c r="K631" s="619">
        <f>+VLOOKUP(Tabla3[[#This Row],[PATENTE]],'BASE DATOS'!F:M,8,0)</f>
        <v>8</v>
      </c>
      <c r="N631" s="826"/>
      <c r="O631" s="1015"/>
      <c r="P631" s="1015"/>
      <c r="Q631" s="1015"/>
      <c r="R631" s="826"/>
    </row>
    <row r="632" spans="1:18" hidden="1">
      <c r="A632" s="578" t="s">
        <v>912</v>
      </c>
      <c r="B632" s="584">
        <v>5</v>
      </c>
      <c r="C632" s="590">
        <v>45922</v>
      </c>
      <c r="D632" s="582">
        <f t="shared" si="25"/>
        <v>39</v>
      </c>
      <c r="E632" s="618" t="str">
        <f>+VLOOKUP(Tabla3[[#This Row],[PATENTE]],'BASE DATOS'!F:G,2,0)</f>
        <v xml:space="preserve">PACHECO JULIO - AC028WN </v>
      </c>
      <c r="F632" s="584" t="str">
        <f>+VLOOKUP(Tabla3[[#This Row],[PATENTE]],'BASE DATOS'!F:H,3,0)</f>
        <v>8P</v>
      </c>
      <c r="G632" s="584" t="str">
        <f>+VLOOKUP(Tabla3[[#This Row],[PATENTE]],'BASE DATOS'!F:I,4,0)</f>
        <v>SI</v>
      </c>
      <c r="H632" s="584" t="str">
        <f>+VLOOKUP(Tabla3[[#This Row],[PATENTE]],'BASE DATOS'!F:J,5,0)</f>
        <v>SI</v>
      </c>
      <c r="I632" s="584" t="str">
        <f>+VLOOKUP(Tabla3[[#This Row],[PATENTE]],'BASE DATOS'!F:K,6,0)</f>
        <v>SI</v>
      </c>
      <c r="J632" s="584">
        <f>+VLOOKUP(Tabla3[[#This Row],[PATENTE]],'BASE DATOS'!F:L,7,0)</f>
        <v>2017</v>
      </c>
      <c r="K632" s="619">
        <f>+VLOOKUP(Tabla3[[#This Row],[PATENTE]],'BASE DATOS'!F:M,8,0)</f>
        <v>8</v>
      </c>
      <c r="N632" s="826"/>
      <c r="O632" s="1015"/>
      <c r="P632" s="1015"/>
      <c r="Q632" s="1015"/>
      <c r="R632" s="826"/>
    </row>
    <row r="633" spans="1:18" hidden="1">
      <c r="A633" s="578" t="s">
        <v>890</v>
      </c>
      <c r="B633" s="584">
        <v>5</v>
      </c>
      <c r="C633" s="590">
        <v>45922</v>
      </c>
      <c r="D633" s="582">
        <f t="shared" si="25"/>
        <v>39</v>
      </c>
      <c r="E633" s="618" t="str">
        <f>+VLOOKUP(Tabla3[[#This Row],[PATENTE]],'BASE DATOS'!F:G,2,0)</f>
        <v xml:space="preserve">TRANSPORTE GRACIELA - AC040RO </v>
      </c>
      <c r="F633" s="584" t="str">
        <f>+VLOOKUP(Tabla3[[#This Row],[PATENTE]],'BASE DATOS'!F:H,3,0)</f>
        <v>1P</v>
      </c>
      <c r="G633" s="584" t="str">
        <f>+VLOOKUP(Tabla3[[#This Row],[PATENTE]],'BASE DATOS'!F:I,4,0)</f>
        <v>SI</v>
      </c>
      <c r="H633" s="584" t="str">
        <f>+VLOOKUP(Tabla3[[#This Row],[PATENTE]],'BASE DATOS'!F:J,5,0)</f>
        <v>ACEPTA( VER CAMI)</v>
      </c>
      <c r="I633" s="584" t="str">
        <f>+VLOOKUP(Tabla3[[#This Row],[PATENTE]],'BASE DATOS'!F:K,6,0)</f>
        <v>NO</v>
      </c>
      <c r="J633" s="584">
        <f>+VLOOKUP(Tabla3[[#This Row],[PATENTE]],'BASE DATOS'!F:L,7,0)</f>
        <v>2017</v>
      </c>
      <c r="K633" s="619">
        <f>+VLOOKUP(Tabla3[[#This Row],[PATENTE]],'BASE DATOS'!F:M,8,0)</f>
        <v>8</v>
      </c>
      <c r="N633" s="826"/>
      <c r="O633" s="1015"/>
      <c r="P633" s="1015"/>
      <c r="Q633" s="1015"/>
      <c r="R633" s="826"/>
    </row>
    <row r="634" spans="1:18" hidden="1">
      <c r="A634" s="578" t="s">
        <v>888</v>
      </c>
      <c r="B634" s="584">
        <v>5</v>
      </c>
      <c r="C634" s="590">
        <v>45922</v>
      </c>
      <c r="D634" s="582">
        <f t="shared" si="25"/>
        <v>39</v>
      </c>
      <c r="E634" s="618" t="str">
        <f>+VLOOKUP(Tabla3[[#This Row],[PATENTE]],'BASE DATOS'!F:G,2,0)</f>
        <v xml:space="preserve">TRANSP FIRST CLASS - AD535UI </v>
      </c>
      <c r="F634" s="584" t="str">
        <f>+VLOOKUP(Tabla3[[#This Row],[PATENTE]],'BASE DATOS'!F:H,3,0)</f>
        <v>6P</v>
      </c>
      <c r="G634" s="584" t="str">
        <f>+VLOOKUP(Tabla3[[#This Row],[PATENTE]],'BASE DATOS'!F:I,4,0)</f>
        <v>SI</v>
      </c>
      <c r="H634" s="584" t="str">
        <f>+VLOOKUP(Tabla3[[#This Row],[PATENTE]],'BASE DATOS'!F:J,5,0)</f>
        <v>SI</v>
      </c>
      <c r="I634" s="584" t="str">
        <f>+VLOOKUP(Tabla3[[#This Row],[PATENTE]],'BASE DATOS'!F:K,6,0)</f>
        <v>NO</v>
      </c>
      <c r="J634" s="584">
        <f>+VLOOKUP(Tabla3[[#This Row],[PATENTE]],'BASE DATOS'!F:L,7,0)</f>
        <v>2019</v>
      </c>
      <c r="K634" s="619">
        <f>+VLOOKUP(Tabla3[[#This Row],[PATENTE]],'BASE DATOS'!F:M,8,0)</f>
        <v>6</v>
      </c>
      <c r="N634" s="826"/>
      <c r="O634" s="1015"/>
      <c r="P634" s="1015"/>
      <c r="Q634" s="1015"/>
      <c r="R634" s="826"/>
    </row>
    <row r="635" spans="1:18" hidden="1">
      <c r="A635" s="578" t="s">
        <v>922</v>
      </c>
      <c r="B635" s="584">
        <v>5</v>
      </c>
      <c r="C635" s="590">
        <v>45922</v>
      </c>
      <c r="D635" s="582">
        <f t="shared" si="25"/>
        <v>39</v>
      </c>
      <c r="E635" s="618" t="str">
        <f>+VLOOKUP(Tabla3[[#This Row],[PATENTE]],'BASE DATOS'!F:G,2,0)</f>
        <v>LAURIA (SERVAL) - AF342ZY</v>
      </c>
      <c r="F635" s="584" t="str">
        <f>+VLOOKUP(Tabla3[[#This Row],[PATENTE]],'BASE DATOS'!F:H,3,0)</f>
        <v>8P</v>
      </c>
      <c r="G635" s="584" t="str">
        <f>+VLOOKUP(Tabla3[[#This Row],[PATENTE]],'BASE DATOS'!F:I,4,0)</f>
        <v>SI</v>
      </c>
      <c r="H635" s="584" t="str">
        <f>+VLOOKUP(Tabla3[[#This Row],[PATENTE]],'BASE DATOS'!F:J,5,0)</f>
        <v>SI</v>
      </c>
      <c r="I635" s="584" t="str">
        <f>+VLOOKUP(Tabla3[[#This Row],[PATENTE]],'BASE DATOS'!F:K,6,0)</f>
        <v>NO</v>
      </c>
      <c r="J635" s="584">
        <f>+VLOOKUP(Tabla3[[#This Row],[PATENTE]],'BASE DATOS'!F:L,7,0)</f>
        <v>2022</v>
      </c>
      <c r="K635" s="619">
        <f>+VLOOKUP(Tabla3[[#This Row],[PATENTE]],'BASE DATOS'!F:M,8,0)</f>
        <v>3</v>
      </c>
      <c r="N635" s="826"/>
      <c r="O635" s="1015"/>
      <c r="P635" s="1015"/>
      <c r="Q635" s="1015"/>
      <c r="R635" s="826"/>
    </row>
    <row r="636" spans="1:18" hidden="1">
      <c r="A636" s="578" t="s">
        <v>907</v>
      </c>
      <c r="B636" s="584">
        <v>5</v>
      </c>
      <c r="C636" s="590">
        <v>45922</v>
      </c>
      <c r="D636" s="582">
        <f t="shared" si="25"/>
        <v>39</v>
      </c>
      <c r="E636" s="618" t="str">
        <f>+VLOOKUP(Tabla3[[#This Row],[PATENTE]],'BASE DATOS'!F:G,2,0)</f>
        <v xml:space="preserve">LAURIA (SERVAL) - AH583GW </v>
      </c>
      <c r="F636" s="584" t="str">
        <f>+VLOOKUP(Tabla3[[#This Row],[PATENTE]],'BASE DATOS'!F:H,3,0)</f>
        <v>8P</v>
      </c>
      <c r="G636" s="584" t="str">
        <f>+VLOOKUP(Tabla3[[#This Row],[PATENTE]],'BASE DATOS'!F:I,4,0)</f>
        <v>SI</v>
      </c>
      <c r="H636" s="584" t="str">
        <f>+VLOOKUP(Tabla3[[#This Row],[PATENTE]],'BASE DATOS'!F:J,5,0)</f>
        <v>SI</v>
      </c>
      <c r="I636" s="584" t="str">
        <f>+VLOOKUP(Tabla3[[#This Row],[PATENTE]],'BASE DATOS'!F:K,6,0)</f>
        <v>NO</v>
      </c>
      <c r="J636" s="584">
        <f>+VLOOKUP(Tabla3[[#This Row],[PATENTE]],'BASE DATOS'!F:L,7,0)</f>
        <v>2025</v>
      </c>
      <c r="K636" s="619">
        <f>+VLOOKUP(Tabla3[[#This Row],[PATENTE]],'BASE DATOS'!F:M,8,0)</f>
        <v>0</v>
      </c>
      <c r="N636" s="826"/>
      <c r="O636" s="1015"/>
      <c r="P636" s="1015"/>
      <c r="Q636" s="1015"/>
      <c r="R636" s="826"/>
    </row>
    <row r="637" spans="1:18" hidden="1">
      <c r="A637" s="578" t="s">
        <v>887</v>
      </c>
      <c r="B637" s="584">
        <v>5</v>
      </c>
      <c r="C637" s="590">
        <v>45922</v>
      </c>
      <c r="D637" s="582">
        <f t="shared" si="25"/>
        <v>39</v>
      </c>
      <c r="E637" s="618" t="str">
        <f>+VLOOKUP(Tabla3[[#This Row],[PATENTE]],'BASE DATOS'!F:G,2,0)</f>
        <v>ENRIQUE ROLLINO - BXB394</v>
      </c>
      <c r="F637" s="584" t="str">
        <f>+VLOOKUP(Tabla3[[#This Row],[PATENTE]],'BASE DATOS'!F:H,3,0)</f>
        <v>2P</v>
      </c>
      <c r="G637" s="584" t="str">
        <f>+VLOOKUP(Tabla3[[#This Row],[PATENTE]],'BASE DATOS'!F:I,4,0)</f>
        <v>SI</v>
      </c>
      <c r="H637" s="584" t="str">
        <f>+VLOOKUP(Tabla3[[#This Row],[PATENTE]],'BASE DATOS'!F:J,5,0)</f>
        <v>SI</v>
      </c>
      <c r="I637" s="584" t="str">
        <f>+VLOOKUP(Tabla3[[#This Row],[PATENTE]],'BASE DATOS'!F:K,6,0)</f>
        <v>NO</v>
      </c>
      <c r="J637" s="584">
        <f>+VLOOKUP(Tabla3[[#This Row],[PATENTE]],'BASE DATOS'!F:L,7,0)</f>
        <v>1998</v>
      </c>
      <c r="K637" s="619">
        <f>+VLOOKUP(Tabla3[[#This Row],[PATENTE]],'BASE DATOS'!F:M,8,0)</f>
        <v>27</v>
      </c>
      <c r="N637" s="826"/>
      <c r="O637" s="1015"/>
      <c r="P637" s="1015"/>
      <c r="Q637" s="1015"/>
      <c r="R637" s="826"/>
    </row>
    <row r="638" spans="1:18" hidden="1">
      <c r="A638" s="578" t="s">
        <v>921</v>
      </c>
      <c r="B638" s="584">
        <v>5</v>
      </c>
      <c r="C638" s="590">
        <v>45922</v>
      </c>
      <c r="D638" s="582">
        <f t="shared" si="25"/>
        <v>39</v>
      </c>
      <c r="E638" s="618" t="str">
        <f>+VLOOKUP(Tabla3[[#This Row],[PATENTE]],'BASE DATOS'!F:G,2,0)</f>
        <v xml:space="preserve">MAÑAS NORBERTO - CQQ304 </v>
      </c>
      <c r="F638" s="584" t="str">
        <f>+VLOOKUP(Tabla3[[#This Row],[PATENTE]],'BASE DATOS'!F:H,3,0)</f>
        <v>11P</v>
      </c>
      <c r="G638" s="584" t="str">
        <f>+VLOOKUP(Tabla3[[#This Row],[PATENTE]],'BASE DATOS'!F:I,4,0)</f>
        <v>SI</v>
      </c>
      <c r="H638" s="584" t="str">
        <f>+VLOOKUP(Tabla3[[#This Row],[PATENTE]],'BASE DATOS'!F:J,5,0)</f>
        <v>SI</v>
      </c>
      <c r="I638" s="584" t="str">
        <f>+VLOOKUP(Tabla3[[#This Row],[PATENTE]],'BASE DATOS'!F:K,6,0)</f>
        <v>NO</v>
      </c>
      <c r="J638" s="584">
        <f>+VLOOKUP(Tabla3[[#This Row],[PATENTE]],'BASE DATOS'!F:L,7,0)</f>
        <v>2000</v>
      </c>
      <c r="K638" s="619">
        <f>+VLOOKUP(Tabla3[[#This Row],[PATENTE]],'BASE DATOS'!F:M,8,0)</f>
        <v>25</v>
      </c>
      <c r="N638" s="826"/>
      <c r="O638" s="1015"/>
      <c r="P638" s="1015"/>
      <c r="Q638" s="1015"/>
      <c r="R638" s="826"/>
    </row>
    <row r="639" spans="1:18" hidden="1">
      <c r="A639" s="578" t="s">
        <v>904</v>
      </c>
      <c r="B639" s="584">
        <v>5</v>
      </c>
      <c r="C639" s="590">
        <v>45922</v>
      </c>
      <c r="D639" s="582">
        <f t="shared" si="25"/>
        <v>39</v>
      </c>
      <c r="E639" s="618" t="str">
        <f>+VLOOKUP(Tabla3[[#This Row],[PATENTE]],'BASE DATOS'!F:G,2,0)</f>
        <v xml:space="preserve">ENRIQUE ROLLINO - DFO656 </v>
      </c>
      <c r="F639" s="584" t="str">
        <f>+VLOOKUP(Tabla3[[#This Row],[PATENTE]],'BASE DATOS'!F:H,3,0)</f>
        <v>6P</v>
      </c>
      <c r="G639" s="584" t="str">
        <f>+VLOOKUP(Tabla3[[#This Row],[PATENTE]],'BASE DATOS'!F:I,4,0)</f>
        <v>SI</v>
      </c>
      <c r="H639" s="584" t="str">
        <f>+VLOOKUP(Tabla3[[#This Row],[PATENTE]],'BASE DATOS'!F:J,5,0)</f>
        <v>SI</v>
      </c>
      <c r="I639" s="584" t="str">
        <f>+VLOOKUP(Tabla3[[#This Row],[PATENTE]],'BASE DATOS'!F:K,6,0)</f>
        <v>NO</v>
      </c>
      <c r="J639" s="584">
        <f>+VLOOKUP(Tabla3[[#This Row],[PATENTE]],'BASE DATOS'!F:L,7,0)</f>
        <v>2000</v>
      </c>
      <c r="K639" s="619">
        <f>+VLOOKUP(Tabla3[[#This Row],[PATENTE]],'BASE DATOS'!F:M,8,0)</f>
        <v>25</v>
      </c>
      <c r="N639" s="826"/>
      <c r="O639" s="1015"/>
      <c r="P639" s="1015"/>
      <c r="Q639" s="1015"/>
      <c r="R639" s="826"/>
    </row>
    <row r="640" spans="1:18" hidden="1">
      <c r="A640" s="578" t="s">
        <v>932</v>
      </c>
      <c r="B640" s="584">
        <v>5</v>
      </c>
      <c r="C640" s="590">
        <v>45922</v>
      </c>
      <c r="D640" s="582">
        <f t="shared" si="25"/>
        <v>39</v>
      </c>
      <c r="E640" s="618" t="str">
        <f>+VLOOKUP(Tabla3[[#This Row],[PATENTE]],'BASE DATOS'!F:G,2,0)</f>
        <v xml:space="preserve">TRANSP MAVIR - EFL176 </v>
      </c>
      <c r="F640" s="584" t="str">
        <f>+VLOOKUP(Tabla3[[#This Row],[PATENTE]],'BASE DATOS'!F:H,3,0)</f>
        <v>12P</v>
      </c>
      <c r="G640" s="584" t="str">
        <f>+VLOOKUP(Tabla3[[#This Row],[PATENTE]],'BASE DATOS'!F:I,4,0)</f>
        <v>SI</v>
      </c>
      <c r="H640" s="584" t="str">
        <f>+VLOOKUP(Tabla3[[#This Row],[PATENTE]],'BASE DATOS'!F:J,5,0)</f>
        <v>SI</v>
      </c>
      <c r="I640" s="584" t="str">
        <f>+VLOOKUP(Tabla3[[#This Row],[PATENTE]],'BASE DATOS'!F:K,6,0)</f>
        <v>NO</v>
      </c>
      <c r="J640" s="584">
        <f>+VLOOKUP(Tabla3[[#This Row],[PATENTE]],'BASE DATOS'!F:L,7,0)</f>
        <v>1998</v>
      </c>
      <c r="K640" s="619">
        <f>+VLOOKUP(Tabla3[[#This Row],[PATENTE]],'BASE DATOS'!F:M,8,0)</f>
        <v>27</v>
      </c>
      <c r="N640" s="826"/>
      <c r="O640" s="1015"/>
      <c r="P640" s="1015"/>
      <c r="Q640" s="1015"/>
      <c r="R640" s="826"/>
    </row>
    <row r="641" spans="1:18" hidden="1">
      <c r="A641" s="578" t="s">
        <v>916</v>
      </c>
      <c r="B641" s="584">
        <v>5</v>
      </c>
      <c r="C641" s="590">
        <v>45922</v>
      </c>
      <c r="D641" s="582">
        <f t="shared" si="25"/>
        <v>39</v>
      </c>
      <c r="E641" s="618" t="str">
        <f>+VLOOKUP(Tabla3[[#This Row],[PATENTE]],'BASE DATOS'!F:G,2,0)</f>
        <v xml:space="preserve">TRANSP MAIDANA CARLOS - EYP088 </v>
      </c>
      <c r="F641" s="584" t="str">
        <f>+VLOOKUP(Tabla3[[#This Row],[PATENTE]],'BASE DATOS'!F:H,3,0)</f>
        <v>6P</v>
      </c>
      <c r="G641" s="584" t="str">
        <f>+VLOOKUP(Tabla3[[#This Row],[PATENTE]],'BASE DATOS'!F:I,4,0)</f>
        <v>SI</v>
      </c>
      <c r="H641" s="584" t="str">
        <f>+VLOOKUP(Tabla3[[#This Row],[PATENTE]],'BASE DATOS'!F:J,5,0)</f>
        <v>SI</v>
      </c>
      <c r="I641" s="584" t="str">
        <f>+VLOOKUP(Tabla3[[#This Row],[PATENTE]],'BASE DATOS'!F:K,6,0)</f>
        <v>NO</v>
      </c>
      <c r="J641" s="584">
        <f>+VLOOKUP(Tabla3[[#This Row],[PATENTE]],'BASE DATOS'!F:L,7,0)</f>
        <v>2006</v>
      </c>
      <c r="K641" s="619">
        <f>+VLOOKUP(Tabla3[[#This Row],[PATENTE]],'BASE DATOS'!F:M,8,0)</f>
        <v>19</v>
      </c>
      <c r="N641" s="826"/>
      <c r="O641" s="1015"/>
      <c r="P641" s="1015"/>
      <c r="Q641" s="1015"/>
      <c r="R641" s="826"/>
    </row>
    <row r="642" spans="1:18" hidden="1">
      <c r="A642" s="578" t="s">
        <v>892</v>
      </c>
      <c r="B642" s="584">
        <v>5</v>
      </c>
      <c r="C642" s="590">
        <v>45922</v>
      </c>
      <c r="D642" s="582">
        <f t="shared" si="25"/>
        <v>39</v>
      </c>
      <c r="E642" s="618" t="str">
        <f>+VLOOKUP(Tabla3[[#This Row],[PATENTE]],'BASE DATOS'!F:G,2,0)</f>
        <v xml:space="preserve">COLO - FTL525 </v>
      </c>
      <c r="F642" s="584" t="str">
        <f>+VLOOKUP(Tabla3[[#This Row],[PATENTE]],'BASE DATOS'!F:H,3,0)</f>
        <v>1P</v>
      </c>
      <c r="G642" s="584" t="str">
        <f>+VLOOKUP(Tabla3[[#This Row],[PATENTE]],'BASE DATOS'!F:I,4,0)</f>
        <v>NO</v>
      </c>
      <c r="H642" s="584" t="str">
        <f>+VLOOKUP(Tabla3[[#This Row],[PATENTE]],'BASE DATOS'!F:J,5,0)</f>
        <v>SI</v>
      </c>
      <c r="I642" s="584" t="str">
        <f>+VLOOKUP(Tabla3[[#This Row],[PATENTE]],'BASE DATOS'!F:K,6,0)</f>
        <v>NO</v>
      </c>
      <c r="J642" s="584">
        <f>+VLOOKUP(Tabla3[[#This Row],[PATENTE]],'BASE DATOS'!F:L,7,0)</f>
        <v>2008</v>
      </c>
      <c r="K642" s="619">
        <f>+VLOOKUP(Tabla3[[#This Row],[PATENTE]],'BASE DATOS'!F:M,8,0)</f>
        <v>17</v>
      </c>
      <c r="N642" s="826"/>
      <c r="O642" s="1015"/>
      <c r="P642" s="1015"/>
      <c r="Q642" s="1015"/>
      <c r="R642" s="826"/>
    </row>
    <row r="643" spans="1:18" hidden="1">
      <c r="A643" s="578" t="s">
        <v>891</v>
      </c>
      <c r="B643" s="584">
        <v>5</v>
      </c>
      <c r="C643" s="590">
        <v>45922</v>
      </c>
      <c r="D643" s="582">
        <f t="shared" si="25"/>
        <v>39</v>
      </c>
      <c r="E643" s="618" t="str">
        <f>+VLOOKUP(Tabla3[[#This Row],[PATENTE]],'BASE DATOS'!F:G,2,0)</f>
        <v xml:space="preserve">GANZINI HUGO - HHA085 </v>
      </c>
      <c r="F643" s="584" t="str">
        <f>+VLOOKUP(Tabla3[[#This Row],[PATENTE]],'BASE DATOS'!F:H,3,0)</f>
        <v>2P</v>
      </c>
      <c r="G643" s="584" t="str">
        <f>+VLOOKUP(Tabla3[[#This Row],[PATENTE]],'BASE DATOS'!F:I,4,0)</f>
        <v>SI</v>
      </c>
      <c r="H643" s="584" t="str">
        <f>+VLOOKUP(Tabla3[[#This Row],[PATENTE]],'BASE DATOS'!F:J,5,0)</f>
        <v>SI</v>
      </c>
      <c r="I643" s="584" t="str">
        <f>+VLOOKUP(Tabla3[[#This Row],[PATENTE]],'BASE DATOS'!F:K,6,0)</f>
        <v>NO</v>
      </c>
      <c r="J643" s="584">
        <f>+VLOOKUP(Tabla3[[#This Row],[PATENTE]],'BASE DATOS'!F:L,7,0)</f>
        <v>2008</v>
      </c>
      <c r="K643" s="619">
        <f>+VLOOKUP(Tabla3[[#This Row],[PATENTE]],'BASE DATOS'!F:M,8,0)</f>
        <v>17</v>
      </c>
      <c r="N643" s="826"/>
      <c r="O643" s="1015"/>
      <c r="P643" s="1015"/>
      <c r="Q643" s="1015"/>
      <c r="R643" s="826"/>
    </row>
    <row r="644" spans="1:18" hidden="1">
      <c r="A644" s="578" t="s">
        <v>901</v>
      </c>
      <c r="B644" s="584">
        <v>5</v>
      </c>
      <c r="C644" s="590">
        <v>45922</v>
      </c>
      <c r="D644" s="582">
        <f t="shared" si="25"/>
        <v>39</v>
      </c>
      <c r="E644" s="618" t="str">
        <f>+VLOOKUP(Tabla3[[#This Row],[PATENTE]],'BASE DATOS'!F:G,2,0)</f>
        <v xml:space="preserve">TRANSPORTE  GRACIELA - IYE750 </v>
      </c>
      <c r="F644" s="584" t="str">
        <f>+VLOOKUP(Tabla3[[#This Row],[PATENTE]],'BASE DATOS'!F:H,3,0)</f>
        <v>1P</v>
      </c>
      <c r="G644" s="584" t="str">
        <f>+VLOOKUP(Tabla3[[#This Row],[PATENTE]],'BASE DATOS'!F:I,4,0)</f>
        <v>NO</v>
      </c>
      <c r="H644" s="584" t="str">
        <f>+VLOOKUP(Tabla3[[#This Row],[PATENTE]],'BASE DATOS'!F:J,5,0)</f>
        <v>SI</v>
      </c>
      <c r="I644" s="584" t="str">
        <f>+VLOOKUP(Tabla3[[#This Row],[PATENTE]],'BASE DATOS'!F:K,6,0)</f>
        <v>NO</v>
      </c>
      <c r="J644" s="584">
        <f>+VLOOKUP(Tabla3[[#This Row],[PATENTE]],'BASE DATOS'!F:L,7,0)</f>
        <v>2009</v>
      </c>
      <c r="K644" s="619">
        <f>+VLOOKUP(Tabla3[[#This Row],[PATENTE]],'BASE DATOS'!F:M,8,0)</f>
        <v>16</v>
      </c>
      <c r="N644" s="826"/>
      <c r="O644" s="1015"/>
      <c r="P644" s="1015"/>
      <c r="Q644" s="1015"/>
      <c r="R644" s="826"/>
    </row>
    <row r="645" spans="1:18" hidden="1">
      <c r="A645" s="578" t="s">
        <v>913</v>
      </c>
      <c r="B645" s="584">
        <v>5</v>
      </c>
      <c r="C645" s="590">
        <v>45922</v>
      </c>
      <c r="D645" s="582">
        <f t="shared" si="25"/>
        <v>39</v>
      </c>
      <c r="E645" s="618" t="str">
        <f>+VLOOKUP(Tabla3[[#This Row],[PATENTE]],'BASE DATOS'!F:G,2,0)</f>
        <v xml:space="preserve">TRANSP DON NENO - KSI803 </v>
      </c>
      <c r="F645" s="584" t="str">
        <f>+VLOOKUP(Tabla3[[#This Row],[PATENTE]],'BASE DATOS'!F:H,3,0)</f>
        <v>2P</v>
      </c>
      <c r="G645" s="584" t="str">
        <f>+VLOOKUP(Tabla3[[#This Row],[PATENTE]],'BASE DATOS'!F:I,4,0)</f>
        <v>SI</v>
      </c>
      <c r="H645" s="584" t="str">
        <f>+VLOOKUP(Tabla3[[#This Row],[PATENTE]],'BASE DATOS'!F:J,5,0)</f>
        <v>SI</v>
      </c>
      <c r="I645" s="584" t="str">
        <f>+VLOOKUP(Tabla3[[#This Row],[PATENTE]],'BASE DATOS'!F:K,6,0)</f>
        <v>NO</v>
      </c>
      <c r="J645" s="584">
        <f>+VLOOKUP(Tabla3[[#This Row],[PATENTE]],'BASE DATOS'!F:L,7,0)</f>
        <v>2012</v>
      </c>
      <c r="K645" s="619">
        <f>+VLOOKUP(Tabla3[[#This Row],[PATENTE]],'BASE DATOS'!F:M,8,0)</f>
        <v>13</v>
      </c>
      <c r="N645" s="826"/>
      <c r="O645" s="1015"/>
      <c r="P645" s="1015"/>
      <c r="Q645" s="1015"/>
      <c r="R645" s="826"/>
    </row>
    <row r="646" spans="1:18" hidden="1">
      <c r="A646" s="578" t="s">
        <v>909</v>
      </c>
      <c r="B646" s="584">
        <v>5</v>
      </c>
      <c r="C646" s="590">
        <v>45922</v>
      </c>
      <c r="D646" s="582">
        <f t="shared" si="25"/>
        <v>39</v>
      </c>
      <c r="E646" s="618" t="str">
        <f>+VLOOKUP(Tabla3[[#This Row],[PATENTE]],'BASE DATOS'!F:G,2,0)</f>
        <v xml:space="preserve">CRISTIAN MOYA - NHR055 </v>
      </c>
      <c r="F646" s="584" t="str">
        <f>+VLOOKUP(Tabla3[[#This Row],[PATENTE]],'BASE DATOS'!F:H,3,0)</f>
        <v>6P</v>
      </c>
      <c r="G646" s="584" t="str">
        <f>+VLOOKUP(Tabla3[[#This Row],[PATENTE]],'BASE DATOS'!F:I,4,0)</f>
        <v>SI</v>
      </c>
      <c r="H646" s="584" t="str">
        <f>+VLOOKUP(Tabla3[[#This Row],[PATENTE]],'BASE DATOS'!F:J,5,0)</f>
        <v>SI</v>
      </c>
      <c r="I646" s="584" t="str">
        <f>+VLOOKUP(Tabla3[[#This Row],[PATENTE]],'BASE DATOS'!F:K,6,0)</f>
        <v>NO</v>
      </c>
      <c r="J646" s="584">
        <f>+VLOOKUP(Tabla3[[#This Row],[PATENTE]],'BASE DATOS'!F:L,7,0)</f>
        <v>2013</v>
      </c>
      <c r="K646" s="619">
        <f>+VLOOKUP(Tabla3[[#This Row],[PATENTE]],'BASE DATOS'!F:M,8,0)</f>
        <v>12</v>
      </c>
      <c r="N646" s="826"/>
      <c r="O646" s="1015"/>
      <c r="P646" s="1015"/>
      <c r="Q646" s="1015"/>
      <c r="R646" s="826"/>
    </row>
    <row r="647" spans="1:18" hidden="1">
      <c r="A647" s="578" t="s">
        <v>886</v>
      </c>
      <c r="B647" s="584">
        <v>5</v>
      </c>
      <c r="C647" s="590">
        <v>45922</v>
      </c>
      <c r="D647" s="582">
        <f t="shared" si="25"/>
        <v>39</v>
      </c>
      <c r="E647" s="618" t="str">
        <f>+VLOOKUP(Tabla3[[#This Row],[PATENTE]],'BASE DATOS'!F:G,2,0)</f>
        <v xml:space="preserve">TRANSP LAGOS - NOO925 </v>
      </c>
      <c r="F647" s="584" t="str">
        <f>+VLOOKUP(Tabla3[[#This Row],[PATENTE]],'BASE DATOS'!F:H,3,0)</f>
        <v>8P</v>
      </c>
      <c r="G647" s="584" t="str">
        <f>+VLOOKUP(Tabla3[[#This Row],[PATENTE]],'BASE DATOS'!F:I,4,0)</f>
        <v>SI</v>
      </c>
      <c r="H647" s="584" t="str">
        <f>+VLOOKUP(Tabla3[[#This Row],[PATENTE]],'BASE DATOS'!F:J,5,0)</f>
        <v>SI</v>
      </c>
      <c r="I647" s="584" t="str">
        <f>+VLOOKUP(Tabla3[[#This Row],[PATENTE]],'BASE DATOS'!F:K,6,0)</f>
        <v>NO</v>
      </c>
      <c r="J647" s="584">
        <f>+VLOOKUP(Tabla3[[#This Row],[PATENTE]],'BASE DATOS'!F:L,7,0)</f>
        <v>2014</v>
      </c>
      <c r="K647" s="619">
        <f>+VLOOKUP(Tabla3[[#This Row],[PATENTE]],'BASE DATOS'!F:M,8,0)</f>
        <v>11</v>
      </c>
      <c r="N647" s="826"/>
      <c r="O647" s="1015"/>
      <c r="P647" s="1015"/>
      <c r="Q647" s="1015"/>
      <c r="R647" s="826"/>
    </row>
    <row r="648" spans="1:18" hidden="1">
      <c r="A648" s="578" t="s">
        <v>936</v>
      </c>
      <c r="B648" s="584">
        <v>4</v>
      </c>
      <c r="C648" s="590">
        <v>45922</v>
      </c>
      <c r="D648" s="582">
        <f t="shared" ref="D648:D679" si="26">+WEEKNUM(C648)</f>
        <v>39</v>
      </c>
      <c r="E648" s="618" t="str">
        <f>+VLOOKUP(Tabla3[[#This Row],[PATENTE]],'BASE DATOS'!F:G,2,0)</f>
        <v>TRANSP YANINA  LUONGO - AA050HC</v>
      </c>
      <c r="F648" s="584" t="str">
        <f>+VLOOKUP(Tabla3[[#This Row],[PATENTE]],'BASE DATOS'!F:H,3,0)</f>
        <v>1.5P</v>
      </c>
      <c r="G648" s="584" t="str">
        <f>+VLOOKUP(Tabla3[[#This Row],[PATENTE]],'BASE DATOS'!F:I,4,0)</f>
        <v>NO</v>
      </c>
      <c r="H648" s="584" t="str">
        <f>+VLOOKUP(Tabla3[[#This Row],[PATENTE]],'BASE DATOS'!F:J,5,0)</f>
        <v>SI</v>
      </c>
      <c r="I648" s="584" t="str">
        <f>+VLOOKUP(Tabla3[[#This Row],[PATENTE]],'BASE DATOS'!F:K,6,0)</f>
        <v>NO</v>
      </c>
      <c r="J648" s="584">
        <f>+VLOOKUP(Tabla3[[#This Row],[PATENTE]],'BASE DATOS'!F:L,7,0)</f>
        <v>2016</v>
      </c>
      <c r="K648" s="619">
        <f>+VLOOKUP(Tabla3[[#This Row],[PATENTE]],'BASE DATOS'!F:M,8,0)</f>
        <v>9</v>
      </c>
      <c r="N648" s="826"/>
      <c r="O648" s="1015"/>
      <c r="P648" s="1015"/>
      <c r="Q648" s="1015"/>
      <c r="R648" s="826"/>
    </row>
    <row r="649" spans="1:18" hidden="1">
      <c r="A649" s="578" t="s">
        <v>878</v>
      </c>
      <c r="B649" s="584">
        <v>4</v>
      </c>
      <c r="C649" s="590">
        <v>45922</v>
      </c>
      <c r="D649" s="582">
        <f t="shared" si="26"/>
        <v>39</v>
      </c>
      <c r="E649" s="618" t="str">
        <f>+VLOOKUP(Tabla3[[#This Row],[PATENTE]],'BASE DATOS'!F:G,2,0)</f>
        <v xml:space="preserve">PACHECO JULIO - AA854LY </v>
      </c>
      <c r="F649" s="584" t="str">
        <f>+VLOOKUP(Tabla3[[#This Row],[PATENTE]],'BASE DATOS'!F:H,3,0)</f>
        <v>7P</v>
      </c>
      <c r="G649" s="584" t="str">
        <f>+VLOOKUP(Tabla3[[#This Row],[PATENTE]],'BASE DATOS'!F:I,4,0)</f>
        <v>SI</v>
      </c>
      <c r="H649" s="584" t="str">
        <f>+VLOOKUP(Tabla3[[#This Row],[PATENTE]],'BASE DATOS'!F:J,5,0)</f>
        <v>SI</v>
      </c>
      <c r="I649" s="584" t="str">
        <f>+VLOOKUP(Tabla3[[#This Row],[PATENTE]],'BASE DATOS'!F:K,6,0)</f>
        <v>NO</v>
      </c>
      <c r="J649" s="584">
        <f>+VLOOKUP(Tabla3[[#This Row],[PATENTE]],'BASE DATOS'!F:L,7,0)</f>
        <v>2016</v>
      </c>
      <c r="K649" s="619">
        <f>+VLOOKUP(Tabla3[[#This Row],[PATENTE]],'BASE DATOS'!F:M,8,0)</f>
        <v>9</v>
      </c>
      <c r="N649" s="826"/>
      <c r="O649" s="1015"/>
      <c r="P649" s="1015"/>
      <c r="Q649" s="1015"/>
      <c r="R649" s="826"/>
    </row>
    <row r="650" spans="1:18" hidden="1">
      <c r="A650" s="578" t="s">
        <v>883</v>
      </c>
      <c r="B650" s="584">
        <v>4</v>
      </c>
      <c r="C650" s="590">
        <v>45922</v>
      </c>
      <c r="D650" s="582">
        <f t="shared" si="26"/>
        <v>39</v>
      </c>
      <c r="E650" s="618" t="str">
        <f>+VLOOKUP(Tabla3[[#This Row],[PATENTE]],'BASE DATOS'!F:G,2,0)</f>
        <v xml:space="preserve">PACHECO JULIO - ACI503 </v>
      </c>
      <c r="F650" s="584" t="str">
        <f>+VLOOKUP(Tabla3[[#This Row],[PATENTE]],'BASE DATOS'!F:H,3,0)</f>
        <v>12P</v>
      </c>
      <c r="G650" s="584" t="str">
        <f>+VLOOKUP(Tabla3[[#This Row],[PATENTE]],'BASE DATOS'!F:I,4,0)</f>
        <v>NO</v>
      </c>
      <c r="H650" s="584" t="str">
        <f>+VLOOKUP(Tabla3[[#This Row],[PATENTE]],'BASE DATOS'!F:J,5,0)</f>
        <v>SI</v>
      </c>
      <c r="I650" s="584" t="str">
        <f>+VLOOKUP(Tabla3[[#This Row],[PATENTE]],'BASE DATOS'!F:K,6,0)</f>
        <v>SI</v>
      </c>
      <c r="J650" s="584">
        <f>+VLOOKUP(Tabla3[[#This Row],[PATENTE]],'BASE DATOS'!F:L,7,0)</f>
        <v>2000</v>
      </c>
      <c r="K650" s="619">
        <f>+VLOOKUP(Tabla3[[#This Row],[PATENTE]],'BASE DATOS'!F:M,8,0)</f>
        <v>25</v>
      </c>
      <c r="N650" s="826"/>
      <c r="O650" s="1015"/>
      <c r="P650" s="1015"/>
      <c r="Q650" s="1015"/>
      <c r="R650" s="826"/>
    </row>
    <row r="651" spans="1:18" hidden="1">
      <c r="A651" s="578" t="s">
        <v>906</v>
      </c>
      <c r="B651" s="584">
        <v>4</v>
      </c>
      <c r="C651" s="590">
        <v>45922</v>
      </c>
      <c r="D651" s="582">
        <f t="shared" si="26"/>
        <v>39</v>
      </c>
      <c r="E651" s="618" t="str">
        <f>+VLOOKUP(Tabla3[[#This Row],[PATENTE]],'BASE DATOS'!F:G,2,0)</f>
        <v xml:space="preserve">VAZQUEZ (TRV SRL) - AD472GK </v>
      </c>
      <c r="F651" s="584" t="str">
        <f>+VLOOKUP(Tabla3[[#This Row],[PATENTE]],'BASE DATOS'!F:H,3,0)</f>
        <v>8P</v>
      </c>
      <c r="G651" s="584" t="str">
        <f>+VLOOKUP(Tabla3[[#This Row],[PATENTE]],'BASE DATOS'!F:I,4,0)</f>
        <v>NO</v>
      </c>
      <c r="H651" s="584" t="str">
        <f>+VLOOKUP(Tabla3[[#This Row],[PATENTE]],'BASE DATOS'!F:J,5,0)</f>
        <v>NO</v>
      </c>
      <c r="I651" s="584" t="str">
        <f>+VLOOKUP(Tabla3[[#This Row],[PATENTE]],'BASE DATOS'!F:K,6,0)</f>
        <v>SI</v>
      </c>
      <c r="J651" s="584">
        <f>+VLOOKUP(Tabla3[[#This Row],[PATENTE]],'BASE DATOS'!F:L,7,0)</f>
        <v>2019</v>
      </c>
      <c r="K651" s="619">
        <f>+VLOOKUP(Tabla3[[#This Row],[PATENTE]],'BASE DATOS'!F:M,8,0)</f>
        <v>6</v>
      </c>
      <c r="N651" s="826"/>
      <c r="O651" s="1015"/>
      <c r="P651" s="1015"/>
      <c r="Q651" s="1015"/>
      <c r="R651" s="826"/>
    </row>
    <row r="652" spans="1:18" hidden="1">
      <c r="A652" s="578" t="s">
        <v>903</v>
      </c>
      <c r="B652" s="584">
        <v>4</v>
      </c>
      <c r="C652" s="590">
        <v>45922</v>
      </c>
      <c r="D652" s="582">
        <f t="shared" si="26"/>
        <v>39</v>
      </c>
      <c r="E652" s="618" t="str">
        <f>+VLOOKUP(Tabla3[[#This Row],[PATENTE]],'BASE DATOS'!F:G,2,0)</f>
        <v xml:space="preserve">TRANSP CLAUDIO BUSTOS - AG243PE </v>
      </c>
      <c r="F652" s="584" t="str">
        <f>+VLOOKUP(Tabla3[[#This Row],[PATENTE]],'BASE DATOS'!F:H,3,0)</f>
        <v>1P</v>
      </c>
      <c r="G652" s="584" t="str">
        <f>+VLOOKUP(Tabla3[[#This Row],[PATENTE]],'BASE DATOS'!F:I,4,0)</f>
        <v>SI</v>
      </c>
      <c r="H652" s="584" t="str">
        <f>+VLOOKUP(Tabla3[[#This Row],[PATENTE]],'BASE DATOS'!F:J,5,0)</f>
        <v>SI</v>
      </c>
      <c r="I652" s="584" t="str">
        <f>+VLOOKUP(Tabla3[[#This Row],[PATENTE]],'BASE DATOS'!F:K,6,0)</f>
        <v>NO</v>
      </c>
      <c r="J652" s="584">
        <f>+VLOOKUP(Tabla3[[#This Row],[PATENTE]],'BASE DATOS'!F:L,7,0)</f>
        <v>2024</v>
      </c>
      <c r="K652" s="619">
        <f>+VLOOKUP(Tabla3[[#This Row],[PATENTE]],'BASE DATOS'!F:M,8,0)</f>
        <v>1</v>
      </c>
      <c r="N652" s="826"/>
      <c r="O652" s="1015"/>
      <c r="P652" s="1015"/>
      <c r="Q652" s="1015"/>
      <c r="R652" s="826"/>
    </row>
    <row r="653" spans="1:18" hidden="1">
      <c r="A653" s="578" t="s">
        <v>881</v>
      </c>
      <c r="B653" s="584">
        <v>4</v>
      </c>
      <c r="C653" s="590">
        <v>45922</v>
      </c>
      <c r="D653" s="582">
        <f t="shared" si="26"/>
        <v>39</v>
      </c>
      <c r="E653" s="618" t="str">
        <f>+VLOOKUP(Tabla3[[#This Row],[PATENTE]],'BASE DATOS'!F:G,2,0)</f>
        <v xml:space="preserve">MAÑAS NORBERTO - DUQ686 </v>
      </c>
      <c r="F653" s="584" t="str">
        <f>+VLOOKUP(Tabla3[[#This Row],[PATENTE]],'BASE DATOS'!F:H,3,0)</f>
        <v>8P</v>
      </c>
      <c r="G653" s="584" t="str">
        <f>+VLOOKUP(Tabla3[[#This Row],[PATENTE]],'BASE DATOS'!F:I,4,0)</f>
        <v>SI</v>
      </c>
      <c r="H653" s="584" t="str">
        <f>+VLOOKUP(Tabla3[[#This Row],[PATENTE]],'BASE DATOS'!F:J,5,0)</f>
        <v>SI</v>
      </c>
      <c r="I653" s="584" t="str">
        <f>+VLOOKUP(Tabla3[[#This Row],[PATENTE]],'BASE DATOS'!F:K,6,0)</f>
        <v>NO</v>
      </c>
      <c r="J653" s="584">
        <f>+VLOOKUP(Tabla3[[#This Row],[PATENTE]],'BASE DATOS'!F:L,7,0)</f>
        <v>2001</v>
      </c>
      <c r="K653" s="619">
        <f>+VLOOKUP(Tabla3[[#This Row],[PATENTE]],'BASE DATOS'!F:M,8,0)</f>
        <v>24</v>
      </c>
      <c r="N653" s="826"/>
      <c r="O653" s="1015"/>
      <c r="P653" s="1015"/>
      <c r="Q653" s="1015"/>
      <c r="R653" s="826"/>
    </row>
    <row r="654" spans="1:18" hidden="1">
      <c r="A654" s="578" t="s">
        <v>915</v>
      </c>
      <c r="B654" s="584">
        <v>4</v>
      </c>
      <c r="C654" s="590">
        <v>45922</v>
      </c>
      <c r="D654" s="582">
        <f t="shared" si="26"/>
        <v>39</v>
      </c>
      <c r="E654" s="618" t="str">
        <f>+VLOOKUP(Tabla3[[#This Row],[PATENTE]],'BASE DATOS'!F:G,2,0)</f>
        <v>TRANSPORTE GRACIELA - FPL254</v>
      </c>
      <c r="F654" s="584" t="str">
        <f>+VLOOKUP(Tabla3[[#This Row],[PATENTE]],'BASE DATOS'!F:H,3,0)</f>
        <v>2P</v>
      </c>
      <c r="G654" s="584" t="str">
        <f>+VLOOKUP(Tabla3[[#This Row],[PATENTE]],'BASE DATOS'!F:I,4,0)</f>
        <v>SI</v>
      </c>
      <c r="H654" s="584" t="str">
        <f>+VLOOKUP(Tabla3[[#This Row],[PATENTE]],'BASE DATOS'!F:J,5,0)</f>
        <v>NO (CAMI)</v>
      </c>
      <c r="I654" s="584" t="str">
        <f>+VLOOKUP(Tabla3[[#This Row],[PATENTE]],'BASE DATOS'!F:K,6,0)</f>
        <v>NO</v>
      </c>
      <c r="J654" s="584">
        <f>+VLOOKUP(Tabla3[[#This Row],[PATENTE]],'BASE DATOS'!F:L,7,0)</f>
        <v>2012</v>
      </c>
      <c r="K654" s="619">
        <f>+VLOOKUP(Tabla3[[#This Row],[PATENTE]],'BASE DATOS'!F:M,8,0)</f>
        <v>13</v>
      </c>
      <c r="N654" s="826"/>
      <c r="O654" s="1015"/>
      <c r="P654" s="1015"/>
      <c r="Q654" s="1015"/>
      <c r="R654" s="826"/>
    </row>
    <row r="655" spans="1:18" hidden="1">
      <c r="A655" s="578" t="s">
        <v>889</v>
      </c>
      <c r="B655" s="584">
        <v>4</v>
      </c>
      <c r="C655" s="590">
        <v>45922</v>
      </c>
      <c r="D655" s="582">
        <f t="shared" si="26"/>
        <v>39</v>
      </c>
      <c r="E655" s="618" t="str">
        <f>+VLOOKUP(Tabla3[[#This Row],[PATENTE]],'BASE DATOS'!F:G,2,0)</f>
        <v xml:space="preserve">COLO - HAW164 </v>
      </c>
      <c r="F655" s="584" t="str">
        <f>+VLOOKUP(Tabla3[[#This Row],[PATENTE]],'BASE DATOS'!F:H,3,0)</f>
        <v>6P</v>
      </c>
      <c r="G655" s="584" t="str">
        <f>+VLOOKUP(Tabla3[[#This Row],[PATENTE]],'BASE DATOS'!F:I,4,0)</f>
        <v>NO</v>
      </c>
      <c r="H655" s="584" t="str">
        <f>+VLOOKUP(Tabla3[[#This Row],[PATENTE]],'BASE DATOS'!F:J,5,0)</f>
        <v>SI</v>
      </c>
      <c r="I655" s="584" t="str">
        <f>+VLOOKUP(Tabla3[[#This Row],[PATENTE]],'BASE DATOS'!F:K,6,0)</f>
        <v>NO</v>
      </c>
      <c r="J655" s="584">
        <f>+VLOOKUP(Tabla3[[#This Row],[PATENTE]],'BASE DATOS'!F:L,7,0)</f>
        <v>2009</v>
      </c>
      <c r="K655" s="619">
        <f>+VLOOKUP(Tabla3[[#This Row],[PATENTE]],'BASE DATOS'!F:M,8,0)</f>
        <v>16</v>
      </c>
      <c r="N655" s="826"/>
      <c r="O655" s="1015"/>
      <c r="P655" s="1015"/>
      <c r="Q655" s="1015"/>
      <c r="R655" s="826"/>
    </row>
    <row r="656" spans="1:18" hidden="1">
      <c r="A656" s="578" t="s">
        <v>939</v>
      </c>
      <c r="B656" s="584">
        <v>4</v>
      </c>
      <c r="C656" s="590">
        <v>45922</v>
      </c>
      <c r="D656" s="582">
        <f t="shared" si="26"/>
        <v>39</v>
      </c>
      <c r="E656" s="618" t="str">
        <f>+VLOOKUP(Tabla3[[#This Row],[PATENTE]],'BASE DATOS'!F:G,2,0)</f>
        <v>TRANSP CLAUDIO BUSTOS - JOQ178</v>
      </c>
      <c r="F656" s="584" t="str">
        <f>+VLOOKUP(Tabla3[[#This Row],[PATENTE]],'BASE DATOS'!F:H,3,0)</f>
        <v>1P</v>
      </c>
      <c r="G656" s="584" t="str">
        <f>+VLOOKUP(Tabla3[[#This Row],[PATENTE]],'BASE DATOS'!F:I,4,0)</f>
        <v>NO</v>
      </c>
      <c r="H656" s="584" t="str">
        <f>+VLOOKUP(Tabla3[[#This Row],[PATENTE]],'BASE DATOS'!F:J,5,0)</f>
        <v>SI</v>
      </c>
      <c r="I656" s="584" t="str">
        <f>+VLOOKUP(Tabla3[[#This Row],[PATENTE]],'BASE DATOS'!F:K,6,0)</f>
        <v>NO</v>
      </c>
      <c r="J656" s="584">
        <f>+VLOOKUP(Tabla3[[#This Row],[PATENTE]],'BASE DATOS'!F:L,7,0)</f>
        <v>2010</v>
      </c>
      <c r="K656" s="619">
        <f>+VLOOKUP(Tabla3[[#This Row],[PATENTE]],'BASE DATOS'!F:M,8,0)</f>
        <v>15</v>
      </c>
      <c r="N656" s="826"/>
      <c r="O656" s="1015"/>
      <c r="P656" s="1015"/>
      <c r="Q656" s="1015"/>
      <c r="R656" s="826"/>
    </row>
    <row r="657" spans="1:18" hidden="1">
      <c r="A657" s="578" t="s">
        <v>925</v>
      </c>
      <c r="B657" s="584">
        <v>4</v>
      </c>
      <c r="C657" s="590">
        <v>45922</v>
      </c>
      <c r="D657" s="582">
        <f t="shared" si="26"/>
        <v>39</v>
      </c>
      <c r="E657" s="618" t="str">
        <f>+VLOOKUP(Tabla3[[#This Row],[PATENTE]],'BASE DATOS'!F:G,2,0)</f>
        <v xml:space="preserve">TRANSP MAIDANA FACUNDO - KOW745 </v>
      </c>
      <c r="F657" s="584" t="str">
        <f>+VLOOKUP(Tabla3[[#This Row],[PATENTE]],'BASE DATOS'!F:H,3,0)</f>
        <v>8P</v>
      </c>
      <c r="G657" s="584" t="str">
        <f>+VLOOKUP(Tabla3[[#This Row],[PATENTE]],'BASE DATOS'!F:I,4,0)</f>
        <v>SI</v>
      </c>
      <c r="H657" s="584" t="str">
        <f>+VLOOKUP(Tabla3[[#This Row],[PATENTE]],'BASE DATOS'!F:J,5,0)</f>
        <v>SI</v>
      </c>
      <c r="I657" s="584" t="str">
        <f>+VLOOKUP(Tabla3[[#This Row],[PATENTE]],'BASE DATOS'!F:K,6,0)</f>
        <v>NO</v>
      </c>
      <c r="J657" s="584">
        <f>+VLOOKUP(Tabla3[[#This Row],[PATENTE]],'BASE DATOS'!F:L,7,0)</f>
        <v>2012</v>
      </c>
      <c r="K657" s="619">
        <f>+VLOOKUP(Tabla3[[#This Row],[PATENTE]],'BASE DATOS'!F:M,8,0)</f>
        <v>13</v>
      </c>
      <c r="N657" s="826"/>
      <c r="O657" s="1015"/>
      <c r="P657" s="1015"/>
      <c r="Q657" s="1015"/>
      <c r="R657" s="826"/>
    </row>
    <row r="658" spans="1:18" hidden="1">
      <c r="A658" s="578" t="s">
        <v>902</v>
      </c>
      <c r="B658" s="584">
        <v>4</v>
      </c>
      <c r="C658" s="590">
        <v>45922</v>
      </c>
      <c r="D658" s="582">
        <f t="shared" si="26"/>
        <v>39</v>
      </c>
      <c r="E658" s="618" t="str">
        <f>+VLOOKUP(Tabla3[[#This Row],[PATENTE]],'BASE DATOS'!F:G,2,0)</f>
        <v xml:space="preserve">GUSTAVO CERQUETTA - KZA644 </v>
      </c>
      <c r="F658" s="584" t="str">
        <f>+VLOOKUP(Tabla3[[#This Row],[PATENTE]],'BASE DATOS'!F:H,3,0)</f>
        <v>2P</v>
      </c>
      <c r="G658" s="584" t="str">
        <f>+VLOOKUP(Tabla3[[#This Row],[PATENTE]],'BASE DATOS'!F:I,4,0)</f>
        <v>NO</v>
      </c>
      <c r="H658" s="584" t="str">
        <f>+VLOOKUP(Tabla3[[#This Row],[PATENTE]],'BASE DATOS'!F:J,5,0)</f>
        <v>SI</v>
      </c>
      <c r="I658" s="584" t="str">
        <f>+VLOOKUP(Tabla3[[#This Row],[PATENTE]],'BASE DATOS'!F:K,6,0)</f>
        <v>NO</v>
      </c>
      <c r="J658" s="584">
        <f>+VLOOKUP(Tabla3[[#This Row],[PATENTE]],'BASE DATOS'!F:L,7,0)</f>
        <v>2012</v>
      </c>
      <c r="K658" s="619">
        <f>+VLOOKUP(Tabla3[[#This Row],[PATENTE]],'BASE DATOS'!F:M,8,0)</f>
        <v>13</v>
      </c>
      <c r="N658" s="826"/>
      <c r="O658" s="1015"/>
      <c r="P658" s="1015"/>
      <c r="Q658" s="1015"/>
      <c r="R658" s="826"/>
    </row>
    <row r="659" spans="1:18" hidden="1">
      <c r="A659" s="578" t="s">
        <v>920</v>
      </c>
      <c r="B659" s="584">
        <v>4</v>
      </c>
      <c r="C659" s="590">
        <v>45922</v>
      </c>
      <c r="D659" s="582">
        <f t="shared" si="26"/>
        <v>39</v>
      </c>
      <c r="E659" s="618" t="str">
        <f>+VLOOKUP(Tabla3[[#This Row],[PATENTE]],'BASE DATOS'!F:G,2,0)</f>
        <v xml:space="preserve">TRANSP LAGOS - MRV682 </v>
      </c>
      <c r="F659" s="584" t="str">
        <f>+VLOOKUP(Tabla3[[#This Row],[PATENTE]],'BASE DATOS'!F:H,3,0)</f>
        <v>8P</v>
      </c>
      <c r="G659" s="584" t="str">
        <f>+VLOOKUP(Tabla3[[#This Row],[PATENTE]],'BASE DATOS'!F:I,4,0)</f>
        <v>SI</v>
      </c>
      <c r="H659" s="584" t="str">
        <f>+VLOOKUP(Tabla3[[#This Row],[PATENTE]],'BASE DATOS'!F:J,5,0)</f>
        <v>SI</v>
      </c>
      <c r="I659" s="584" t="str">
        <f>+VLOOKUP(Tabla3[[#This Row],[PATENTE]],'BASE DATOS'!F:K,6,0)</f>
        <v>NO</v>
      </c>
      <c r="J659" s="584">
        <f>+VLOOKUP(Tabla3[[#This Row],[PATENTE]],'BASE DATOS'!F:L,7,0)</f>
        <v>2013</v>
      </c>
      <c r="K659" s="619">
        <f>+VLOOKUP(Tabla3[[#This Row],[PATENTE]],'BASE DATOS'!F:M,8,0)</f>
        <v>12</v>
      </c>
      <c r="N659" s="826"/>
      <c r="O659" s="1015"/>
      <c r="P659" s="1015"/>
      <c r="Q659" s="1015"/>
      <c r="R659" s="826"/>
    </row>
    <row r="660" spans="1:18" hidden="1">
      <c r="A660" s="578" t="s">
        <v>877</v>
      </c>
      <c r="B660" s="584">
        <v>4</v>
      </c>
      <c r="C660" s="590">
        <v>45922</v>
      </c>
      <c r="D660" s="582">
        <f t="shared" si="26"/>
        <v>39</v>
      </c>
      <c r="E660" s="618" t="str">
        <f>+VLOOKUP(Tabla3[[#This Row],[PATENTE]],'BASE DATOS'!F:G,2,0)</f>
        <v>TRANSP MAIDANA CARLOS - OWA126</v>
      </c>
      <c r="F660" s="584" t="str">
        <f>+VLOOKUP(Tabla3[[#This Row],[PATENTE]],'BASE DATOS'!F:H,3,0)</f>
        <v>4P</v>
      </c>
      <c r="G660" s="584" t="str">
        <f>+VLOOKUP(Tabla3[[#This Row],[PATENTE]],'BASE DATOS'!F:I,4,0)</f>
        <v>SI</v>
      </c>
      <c r="H660" s="584" t="str">
        <f>+VLOOKUP(Tabla3[[#This Row],[PATENTE]],'BASE DATOS'!F:J,5,0)</f>
        <v>SI</v>
      </c>
      <c r="I660" s="584" t="str">
        <f>+VLOOKUP(Tabla3[[#This Row],[PATENTE]],'BASE DATOS'!F:K,6,0)</f>
        <v>NO</v>
      </c>
      <c r="J660" s="584">
        <f>+VLOOKUP(Tabla3[[#This Row],[PATENTE]],'BASE DATOS'!F:L,7,0)</f>
        <v>2015</v>
      </c>
      <c r="K660" s="619">
        <f>+VLOOKUP(Tabla3[[#This Row],[PATENTE]],'BASE DATOS'!F:M,8,0)</f>
        <v>10</v>
      </c>
      <c r="N660" s="826"/>
      <c r="O660" s="1015"/>
      <c r="P660" s="1015"/>
      <c r="Q660" s="1015"/>
      <c r="R660" s="826"/>
    </row>
    <row r="661" spans="1:18" hidden="1">
      <c r="A661" s="578" t="s">
        <v>879</v>
      </c>
      <c r="B661" s="584">
        <v>4</v>
      </c>
      <c r="C661" s="590">
        <v>45922</v>
      </c>
      <c r="D661" s="582">
        <f t="shared" si="26"/>
        <v>39</v>
      </c>
      <c r="E661" s="618" t="str">
        <f>+VLOOKUP(Tabla3[[#This Row],[PATENTE]],'BASE DATOS'!F:G,2,0)</f>
        <v xml:space="preserve">TRANSP JP - OYP470 </v>
      </c>
      <c r="F661" s="584" t="str">
        <f>+VLOOKUP(Tabla3[[#This Row],[PATENTE]],'BASE DATOS'!F:H,3,0)</f>
        <v>8P</v>
      </c>
      <c r="G661" s="584" t="str">
        <f>+VLOOKUP(Tabla3[[#This Row],[PATENTE]],'BASE DATOS'!F:I,4,0)</f>
        <v>SI</v>
      </c>
      <c r="H661" s="584" t="str">
        <f>+VLOOKUP(Tabla3[[#This Row],[PATENTE]],'BASE DATOS'!F:J,5,0)</f>
        <v>SI</v>
      </c>
      <c r="I661" s="584" t="str">
        <f>+VLOOKUP(Tabla3[[#This Row],[PATENTE]],'BASE DATOS'!F:K,6,0)</f>
        <v>NO</v>
      </c>
      <c r="J661" s="584">
        <f>+VLOOKUP(Tabla3[[#This Row],[PATENTE]],'BASE DATOS'!F:L,7,0)</f>
        <v>2011</v>
      </c>
      <c r="K661" s="619">
        <f>+VLOOKUP(Tabla3[[#This Row],[PATENTE]],'BASE DATOS'!F:M,8,0)</f>
        <v>14</v>
      </c>
      <c r="N661" s="826"/>
      <c r="O661" s="1015"/>
      <c r="P661" s="1015"/>
      <c r="Q661" s="1015"/>
      <c r="R661" s="826"/>
    </row>
    <row r="662" spans="1:18" hidden="1">
      <c r="A662" s="578" t="s">
        <v>900</v>
      </c>
      <c r="B662" s="584">
        <v>3</v>
      </c>
      <c r="C662" s="590">
        <v>45922</v>
      </c>
      <c r="D662" s="582">
        <f t="shared" si="26"/>
        <v>39</v>
      </c>
      <c r="E662" s="618" t="str">
        <f>+VLOOKUP(Tabla3[[#This Row],[PATENTE]],'BASE DATOS'!F:G,2,0)</f>
        <v>TRANSPORTE GENA GAIA - IMO939</v>
      </c>
      <c r="F662" s="584" t="str">
        <f>+VLOOKUP(Tabla3[[#This Row],[PATENTE]],'BASE DATOS'!F:H,3,0)</f>
        <v>24P</v>
      </c>
      <c r="G662" s="584" t="str">
        <f>+VLOOKUP(Tabla3[[#This Row],[PATENTE]],'BASE DATOS'!F:I,4,0)</f>
        <v>Gestya</v>
      </c>
      <c r="H662" s="584" t="str">
        <f>+VLOOKUP(Tabla3[[#This Row],[PATENTE]],'BASE DATOS'!F:J,5,0)</f>
        <v xml:space="preserve">NO </v>
      </c>
      <c r="I662" s="584" t="str">
        <f>+VLOOKUP(Tabla3[[#This Row],[PATENTE]],'BASE DATOS'!F:K,6,0)</f>
        <v>NO</v>
      </c>
      <c r="J662" s="584">
        <f>+VLOOKUP(Tabla3[[#This Row],[PATENTE]],'BASE DATOS'!F:L,7,0)</f>
        <v>2010</v>
      </c>
      <c r="K662" s="619">
        <f>+VLOOKUP(Tabla3[[#This Row],[PATENTE]],'BASE DATOS'!F:M,8,0)</f>
        <v>15</v>
      </c>
      <c r="N662" s="826"/>
      <c r="O662" s="1015"/>
      <c r="P662" s="1015"/>
      <c r="Q662" s="1015"/>
      <c r="R662" s="826"/>
    </row>
    <row r="663" spans="1:18" hidden="1">
      <c r="A663" s="578" t="s">
        <v>943</v>
      </c>
      <c r="B663" s="584">
        <v>3</v>
      </c>
      <c r="C663" s="590">
        <v>45922</v>
      </c>
      <c r="D663" s="582">
        <f t="shared" si="26"/>
        <v>39</v>
      </c>
      <c r="E663" s="618" t="str">
        <f>+VLOOKUP(Tabla3[[#This Row],[PATENTE]],'BASE DATOS'!F:G,2,0)</f>
        <v>GANZINI HUGO - KTJ626</v>
      </c>
      <c r="F663" s="584" t="str">
        <f>+VLOOKUP(Tabla3[[#This Row],[PATENTE]],'BASE DATOS'!F:H,3,0)</f>
        <v>8P</v>
      </c>
      <c r="G663" s="584" t="str">
        <f>+VLOOKUP(Tabla3[[#This Row],[PATENTE]],'BASE DATOS'!F:I,4,0)</f>
        <v>NO</v>
      </c>
      <c r="H663" s="584" t="str">
        <f>+VLOOKUP(Tabla3[[#This Row],[PATENTE]],'BASE DATOS'!F:J,5,0)</f>
        <v xml:space="preserve">NO </v>
      </c>
      <c r="I663" s="584" t="str">
        <f>+VLOOKUP(Tabla3[[#This Row],[PATENTE]],'BASE DATOS'!F:K,6,0)</f>
        <v>NO</v>
      </c>
      <c r="J663" s="584">
        <f>+VLOOKUP(Tabla3[[#This Row],[PATENTE]],'BASE DATOS'!F:L,7,0)</f>
        <v>2011</v>
      </c>
      <c r="K663" s="619">
        <f>+VLOOKUP(Tabla3[[#This Row],[PATENTE]],'BASE DATOS'!F:M,8,0)</f>
        <v>14</v>
      </c>
      <c r="N663" s="826"/>
      <c r="O663" s="1015"/>
      <c r="P663" s="1015"/>
      <c r="Q663" s="1015"/>
      <c r="R663" s="826"/>
    </row>
    <row r="664" spans="1:18" hidden="1">
      <c r="A664" s="578" t="s">
        <v>896</v>
      </c>
      <c r="B664" s="584">
        <v>3</v>
      </c>
      <c r="C664" s="590">
        <v>45922</v>
      </c>
      <c r="D664" s="582">
        <f t="shared" si="26"/>
        <v>39</v>
      </c>
      <c r="E664" s="618" t="str">
        <f>+VLOOKUP(Tabla3[[#This Row],[PATENTE]],'BASE DATOS'!F:G,2,0)</f>
        <v xml:space="preserve">TRANSP MAVIR - RHQ609 </v>
      </c>
      <c r="F664" s="584" t="str">
        <f>+VLOOKUP(Tabla3[[#This Row],[PATENTE]],'BASE DATOS'!F:H,3,0)</f>
        <v>10P</v>
      </c>
      <c r="G664" s="584" t="str">
        <f>+VLOOKUP(Tabla3[[#This Row],[PATENTE]],'BASE DATOS'!F:I,4,0)</f>
        <v>NO</v>
      </c>
      <c r="H664" s="584" t="str">
        <f>+VLOOKUP(Tabla3[[#This Row],[PATENTE]],'BASE DATOS'!F:J,5,0)</f>
        <v xml:space="preserve">NO </v>
      </c>
      <c r="I664" s="584" t="str">
        <f>+VLOOKUP(Tabla3[[#This Row],[PATENTE]],'BASE DATOS'!F:K,6,0)</f>
        <v>NO</v>
      </c>
      <c r="J664" s="584">
        <f>+VLOOKUP(Tabla3[[#This Row],[PATENTE]],'BASE DATOS'!F:L,7,0)</f>
        <v>1995</v>
      </c>
      <c r="K664" s="593">
        <v>0</v>
      </c>
      <c r="N664" s="826"/>
      <c r="O664" s="1015"/>
      <c r="P664" s="1015"/>
      <c r="Q664" s="1015"/>
      <c r="R664" s="826"/>
    </row>
    <row r="665" spans="1:18" hidden="1">
      <c r="A665" s="578" t="s">
        <v>880</v>
      </c>
      <c r="B665" s="584">
        <v>2</v>
      </c>
      <c r="C665" s="590">
        <v>45922</v>
      </c>
      <c r="D665" s="582">
        <f t="shared" si="26"/>
        <v>39</v>
      </c>
      <c r="E665" s="618" t="str">
        <f>+VLOOKUP(Tabla3[[#This Row],[PATENTE]],'BASE DATOS'!F:G,2,0)</f>
        <v xml:space="preserve">LAURIA (SERVAL) - AD575XK </v>
      </c>
      <c r="F665" s="584" t="str">
        <f>+VLOOKUP(Tabla3[[#This Row],[PATENTE]],'BASE DATOS'!F:H,3,0)</f>
        <v>8P</v>
      </c>
      <c r="G665" s="584" t="str">
        <f>+VLOOKUP(Tabla3[[#This Row],[PATENTE]],'BASE DATOS'!F:I,4,0)</f>
        <v>SI</v>
      </c>
      <c r="H665" s="584" t="str">
        <f>+VLOOKUP(Tabla3[[#This Row],[PATENTE]],'BASE DATOS'!F:J,5,0)</f>
        <v>SI</v>
      </c>
      <c r="I665" s="584" t="str">
        <f>+VLOOKUP(Tabla3[[#This Row],[PATENTE]],'BASE DATOS'!F:K,6,0)</f>
        <v>NO</v>
      </c>
      <c r="J665" s="584">
        <f>+VLOOKUP(Tabla3[[#This Row],[PATENTE]],'BASE DATOS'!F:L,7,0)</f>
        <v>2019</v>
      </c>
      <c r="K665" s="619">
        <f>+VLOOKUP(Tabla3[[#This Row],[PATENTE]],'BASE DATOS'!F:M,8,0)</f>
        <v>6</v>
      </c>
      <c r="N665" s="826"/>
      <c r="O665" s="1015"/>
      <c r="P665" s="1015"/>
      <c r="Q665" s="1015"/>
      <c r="R665" s="826"/>
    </row>
    <row r="666" spans="1:18" hidden="1">
      <c r="A666" s="578" t="s">
        <v>918</v>
      </c>
      <c r="B666" s="584">
        <v>2</v>
      </c>
      <c r="C666" s="590">
        <v>45922</v>
      </c>
      <c r="D666" s="582">
        <f t="shared" si="26"/>
        <v>39</v>
      </c>
      <c r="E666" s="618" t="str">
        <f>+VLOOKUP(Tabla3[[#This Row],[PATENTE]],'BASE DATOS'!F:G,2,0)</f>
        <v>TRANSPORTE GENA GAIA - DGO507</v>
      </c>
      <c r="F666" s="584" t="str">
        <f>+VLOOKUP(Tabla3[[#This Row],[PATENTE]],'BASE DATOS'!F:H,3,0)</f>
        <v>24P</v>
      </c>
      <c r="G666" s="584" t="str">
        <f>+VLOOKUP(Tabla3[[#This Row],[PATENTE]],'BASE DATOS'!F:I,4,0)</f>
        <v>Gestya</v>
      </c>
      <c r="H666" s="584" t="str">
        <f>+VLOOKUP(Tabla3[[#This Row],[PATENTE]],'BASE DATOS'!F:J,5,0)</f>
        <v xml:space="preserve">NO </v>
      </c>
      <c r="I666" s="584" t="str">
        <f>+VLOOKUP(Tabla3[[#This Row],[PATENTE]],'BASE DATOS'!F:K,6,0)</f>
        <v>NO</v>
      </c>
      <c r="J666" s="584">
        <f>+VLOOKUP(Tabla3[[#This Row],[PATENTE]],'BASE DATOS'!F:L,7,0)</f>
        <v>2001</v>
      </c>
      <c r="K666" s="619">
        <f>+VLOOKUP(Tabla3[[#This Row],[PATENTE]],'BASE DATOS'!F:M,8,0)</f>
        <v>24</v>
      </c>
      <c r="N666" s="826"/>
      <c r="O666" s="1015"/>
      <c r="P666" s="1015"/>
      <c r="Q666" s="1015"/>
      <c r="R666" s="826"/>
    </row>
    <row r="667" spans="1:18" hidden="1">
      <c r="A667" s="578" t="s">
        <v>933</v>
      </c>
      <c r="B667" s="584">
        <v>2</v>
      </c>
      <c r="C667" s="590">
        <v>45922</v>
      </c>
      <c r="D667" s="582">
        <f t="shared" si="26"/>
        <v>39</v>
      </c>
      <c r="E667" s="618" t="str">
        <f>+VLOOKUP(Tabla3[[#This Row],[PATENTE]],'BASE DATOS'!F:G,2,0)</f>
        <v xml:space="preserve">TRANSPORTE GENA GAIA - IKE806 </v>
      </c>
      <c r="F667" s="584" t="str">
        <f>+VLOOKUP(Tabla3[[#This Row],[PATENTE]],'BASE DATOS'!F:H,3,0)</f>
        <v>24P</v>
      </c>
      <c r="G667" s="584" t="str">
        <f>+VLOOKUP(Tabla3[[#This Row],[PATENTE]],'BASE DATOS'!F:I,4,0)</f>
        <v>Gestya</v>
      </c>
      <c r="H667" s="584" t="str">
        <f>+VLOOKUP(Tabla3[[#This Row],[PATENTE]],'BASE DATOS'!F:J,5,0)</f>
        <v xml:space="preserve">NO </v>
      </c>
      <c r="I667" s="584" t="str">
        <f>+VLOOKUP(Tabla3[[#This Row],[PATENTE]],'BASE DATOS'!F:K,6,0)</f>
        <v>NO</v>
      </c>
      <c r="J667" s="584">
        <f>+VLOOKUP(Tabla3[[#This Row],[PATENTE]],'BASE DATOS'!F:L,7,0)</f>
        <v>2010</v>
      </c>
      <c r="K667" s="619">
        <f>+VLOOKUP(Tabla3[[#This Row],[PATENTE]],'BASE DATOS'!F:M,8,0)</f>
        <v>15</v>
      </c>
      <c r="N667" s="826"/>
      <c r="O667" s="1015"/>
      <c r="P667" s="1015"/>
      <c r="Q667" s="1015"/>
      <c r="R667" s="826"/>
    </row>
    <row r="668" spans="1:18" hidden="1">
      <c r="A668" s="577" t="s">
        <v>941</v>
      </c>
      <c r="B668" s="584">
        <v>1</v>
      </c>
      <c r="C668" s="590">
        <v>45922</v>
      </c>
      <c r="D668" s="582">
        <f t="shared" si="26"/>
        <v>39</v>
      </c>
      <c r="E668" s="618" t="str">
        <f>+VLOOKUP(Tabla3[[#This Row],[PATENTE]],'BASE DATOS'!F:G,2,0)</f>
        <v xml:space="preserve">TRANSP TRANSFRIO - AB288WX </v>
      </c>
      <c r="F668" s="584" t="str">
        <f>+VLOOKUP(Tabla3[[#This Row],[PATENTE]],'BASE DATOS'!F:H,3,0)</f>
        <v>28P</v>
      </c>
      <c r="G668" s="584" t="str">
        <f>+VLOOKUP(Tabla3[[#This Row],[PATENTE]],'BASE DATOS'!F:I,4,0)</f>
        <v>NO</v>
      </c>
      <c r="H668" s="584" t="str">
        <f>+VLOOKUP(Tabla3[[#This Row],[PATENTE]],'BASE DATOS'!F:J,5,0)</f>
        <v xml:space="preserve">NO </v>
      </c>
      <c r="I668" s="584" t="str">
        <f>+VLOOKUP(Tabla3[[#This Row],[PATENTE]],'BASE DATOS'!F:K,6,0)</f>
        <v>NO</v>
      </c>
      <c r="J668" s="584">
        <f>+VLOOKUP(Tabla3[[#This Row],[PATENTE]],'BASE DATOS'!F:L,7,0)</f>
        <v>0</v>
      </c>
      <c r="K668" s="619">
        <f>+VLOOKUP(Tabla3[[#This Row],[PATENTE]],'BASE DATOS'!F:M,8,0)</f>
        <v>0</v>
      </c>
      <c r="N668" s="826"/>
      <c r="O668" s="1015"/>
      <c r="P668" s="1015"/>
      <c r="Q668" s="1015"/>
      <c r="R668" s="826"/>
    </row>
    <row r="669" spans="1:18" hidden="1">
      <c r="A669" s="578" t="s">
        <v>1133</v>
      </c>
      <c r="B669" s="584">
        <v>1</v>
      </c>
      <c r="C669" s="590">
        <v>45922</v>
      </c>
      <c r="D669" s="582">
        <f t="shared" si="26"/>
        <v>39</v>
      </c>
      <c r="E669" s="618" t="str">
        <f>+VLOOKUP(Tabla3[[#This Row],[PATENTE]],'BASE DATOS'!F:G,2,0)</f>
        <v xml:space="preserve">BELLIMAR SRL - AB787MT </v>
      </c>
      <c r="F669" s="584" t="str">
        <f>+VLOOKUP(Tabla3[[#This Row],[PATENTE]],'BASE DATOS'!F:H,3,0)</f>
        <v>28P</v>
      </c>
      <c r="G669" s="584" t="str">
        <f>+VLOOKUP(Tabla3[[#This Row],[PATENTE]],'BASE DATOS'!F:I,4,0)</f>
        <v>NO</v>
      </c>
      <c r="H669" s="584" t="str">
        <f>+VLOOKUP(Tabla3[[#This Row],[PATENTE]],'BASE DATOS'!F:J,5,0)</f>
        <v xml:space="preserve">NO </v>
      </c>
      <c r="I669" s="584" t="str">
        <f>+VLOOKUP(Tabla3[[#This Row],[PATENTE]],'BASE DATOS'!F:K,6,0)</f>
        <v>NO</v>
      </c>
      <c r="J669" s="584">
        <f>+VLOOKUP(Tabla3[[#This Row],[PATENTE]],'BASE DATOS'!F:L,7,0)</f>
        <v>2017</v>
      </c>
      <c r="K669" s="619">
        <f>+VLOOKUP(Tabla3[[#This Row],[PATENTE]],'BASE DATOS'!F:M,8,0)</f>
        <v>8</v>
      </c>
      <c r="N669" s="826"/>
      <c r="O669" s="1015"/>
      <c r="P669" s="1015"/>
      <c r="Q669" s="1015"/>
      <c r="R669" s="826"/>
    </row>
    <row r="670" spans="1:18" hidden="1">
      <c r="A670" s="578" t="s">
        <v>931</v>
      </c>
      <c r="B670" s="584">
        <v>1</v>
      </c>
      <c r="C670" s="590">
        <v>45922</v>
      </c>
      <c r="D670" s="582">
        <f t="shared" si="26"/>
        <v>39</v>
      </c>
      <c r="E670" s="618" t="str">
        <f>+VLOOKUP(Tabla3[[#This Row],[PATENTE]],'BASE DATOS'!F:G,2,0)</f>
        <v xml:space="preserve">BELLIMAR SRL - AG314VN </v>
      </c>
      <c r="F670" s="584" t="str">
        <f>+VLOOKUP(Tabla3[[#This Row],[PATENTE]],'BASE DATOS'!F:H,3,0)</f>
        <v>8P</v>
      </c>
      <c r="G670" s="584" t="str">
        <f>+VLOOKUP(Tabla3[[#This Row],[PATENTE]],'BASE DATOS'!F:I,4,0)</f>
        <v>NO</v>
      </c>
      <c r="H670" s="584" t="str">
        <f>+VLOOKUP(Tabla3[[#This Row],[PATENTE]],'BASE DATOS'!F:J,5,0)</f>
        <v xml:space="preserve">NO </v>
      </c>
      <c r="I670" s="584" t="str">
        <f>+VLOOKUP(Tabla3[[#This Row],[PATENTE]],'BASE DATOS'!F:K,6,0)</f>
        <v>NO</v>
      </c>
      <c r="J670" s="584">
        <f>+VLOOKUP(Tabla3[[#This Row],[PATENTE]],'BASE DATOS'!F:L,7,0)</f>
        <v>2024</v>
      </c>
      <c r="K670" s="619">
        <f>+VLOOKUP(Tabla3[[#This Row],[PATENTE]],'BASE DATOS'!F:M,8,0)</f>
        <v>1</v>
      </c>
      <c r="N670" s="826"/>
      <c r="O670" s="1015"/>
      <c r="P670" s="1015"/>
      <c r="Q670" s="1015"/>
      <c r="R670" s="826"/>
    </row>
    <row r="671" spans="1:18" hidden="1">
      <c r="A671" s="578" t="s">
        <v>1165</v>
      </c>
      <c r="B671" s="584">
        <v>1</v>
      </c>
      <c r="C671" s="590">
        <v>45922</v>
      </c>
      <c r="D671" s="582">
        <f t="shared" si="26"/>
        <v>39</v>
      </c>
      <c r="E671" s="618" t="str">
        <f>+VLOOKUP(Tabla3[[#This Row],[PATENTE]],'BASE DATOS'!F:G,2,0)</f>
        <v>PRONTOMAR - DUF023 - 24p</v>
      </c>
      <c r="F671" s="584" t="str">
        <f>+VLOOKUP(Tabla3[[#This Row],[PATENTE]],'BASE DATOS'!F:H,3,0)</f>
        <v>24P</v>
      </c>
      <c r="G671" s="584" t="str">
        <f>+VLOOKUP(Tabla3[[#This Row],[PATENTE]],'BASE DATOS'!F:I,4,0)</f>
        <v>NO</v>
      </c>
      <c r="H671" s="584" t="str">
        <f>+VLOOKUP(Tabla3[[#This Row],[PATENTE]],'BASE DATOS'!F:J,5,0)</f>
        <v xml:space="preserve">NO </v>
      </c>
      <c r="I671" s="584" t="str">
        <f>+VLOOKUP(Tabla3[[#This Row],[PATENTE]],'BASE DATOS'!F:K,6,0)</f>
        <v>NO</v>
      </c>
      <c r="J671" s="584">
        <f>+VLOOKUP(Tabla3[[#This Row],[PATENTE]],'BASE DATOS'!F:L,7,0)</f>
        <v>2001</v>
      </c>
      <c r="K671" s="619">
        <f>+VLOOKUP(Tabla3[[#This Row],[PATENTE]],'BASE DATOS'!F:M,8,0)</f>
        <v>24</v>
      </c>
      <c r="N671" s="826"/>
      <c r="O671" s="1015"/>
      <c r="P671" s="1015"/>
      <c r="Q671" s="1015"/>
      <c r="R671" s="826"/>
    </row>
    <row r="672" spans="1:18" hidden="1">
      <c r="A672" s="578" t="s">
        <v>1160</v>
      </c>
      <c r="B672" s="584">
        <v>1</v>
      </c>
      <c r="C672" s="590">
        <v>45922</v>
      </c>
      <c r="D672" s="582">
        <f t="shared" si="26"/>
        <v>39</v>
      </c>
      <c r="E672" s="618" t="str">
        <f>+VLOOKUP(Tabla3[[#This Row],[PATENTE]],'BASE DATOS'!F:G,2,0)</f>
        <v xml:space="preserve">TRANSP MAVIR - EFL158 </v>
      </c>
      <c r="F672" s="584" t="str">
        <f>+VLOOKUP(Tabla3[[#This Row],[PATENTE]],'BASE DATOS'!F:H,3,0)</f>
        <v>11P</v>
      </c>
      <c r="G672" s="584" t="str">
        <f>+VLOOKUP(Tabla3[[#This Row],[PATENTE]],'BASE DATOS'!F:I,4,0)</f>
        <v>NO</v>
      </c>
      <c r="H672" s="584" t="str">
        <f>+VLOOKUP(Tabla3[[#This Row],[PATENTE]],'BASE DATOS'!F:J,5,0)</f>
        <v xml:space="preserve">NO </v>
      </c>
      <c r="I672" s="584" t="str">
        <f>+VLOOKUP(Tabla3[[#This Row],[PATENTE]],'BASE DATOS'!F:K,6,0)</f>
        <v>SI</v>
      </c>
      <c r="J672" s="584">
        <f>+VLOOKUP(Tabla3[[#This Row],[PATENTE]],'BASE DATOS'!F:L,7,0)</f>
        <v>2003</v>
      </c>
      <c r="K672" s="593">
        <v>0</v>
      </c>
      <c r="N672" s="826"/>
      <c r="O672" s="1015"/>
      <c r="P672" s="1015"/>
      <c r="Q672" s="1015"/>
      <c r="R672" s="826"/>
    </row>
    <row r="673" spans="1:18" hidden="1">
      <c r="A673" s="578" t="s">
        <v>930</v>
      </c>
      <c r="B673" s="584">
        <v>1</v>
      </c>
      <c r="C673" s="590">
        <v>45922</v>
      </c>
      <c r="D673" s="582">
        <f t="shared" si="26"/>
        <v>39</v>
      </c>
      <c r="E673" s="618" t="str">
        <f>+VLOOKUP(Tabla3[[#This Row],[PATENTE]],'BASE DATOS'!F:G,2,0)</f>
        <v xml:space="preserve">GANZINI HUGO - JJF375 </v>
      </c>
      <c r="F673" s="584" t="str">
        <f>+VLOOKUP(Tabla3[[#This Row],[PATENTE]],'BASE DATOS'!F:H,3,0)</f>
        <v>14P</v>
      </c>
      <c r="G673" s="584" t="str">
        <f>+VLOOKUP(Tabla3[[#This Row],[PATENTE]],'BASE DATOS'!F:I,4,0)</f>
        <v>SI</v>
      </c>
      <c r="H673" s="584" t="str">
        <f>+VLOOKUP(Tabla3[[#This Row],[PATENTE]],'BASE DATOS'!F:J,5,0)</f>
        <v xml:space="preserve">NO </v>
      </c>
      <c r="I673" s="584" t="str">
        <f>+VLOOKUP(Tabla3[[#This Row],[PATENTE]],'BASE DATOS'!F:K,6,0)</f>
        <v>NO</v>
      </c>
      <c r="J673" s="584">
        <f>+VLOOKUP(Tabla3[[#This Row],[PATENTE]],'BASE DATOS'!F:L,7,0)</f>
        <v>2011</v>
      </c>
      <c r="K673" s="619">
        <f>+VLOOKUP(Tabla3[[#This Row],[PATENTE]],'BASE DATOS'!F:M,8,0)</f>
        <v>14</v>
      </c>
      <c r="N673" s="826"/>
      <c r="O673" s="1015"/>
      <c r="P673" s="1015"/>
      <c r="Q673" s="1015"/>
      <c r="R673" s="826"/>
    </row>
    <row r="674" spans="1:18" hidden="1">
      <c r="A674" s="578" t="s">
        <v>905</v>
      </c>
      <c r="B674" s="584">
        <v>6</v>
      </c>
      <c r="C674" s="589">
        <v>45929</v>
      </c>
      <c r="D674" s="582">
        <f t="shared" si="26"/>
        <v>40</v>
      </c>
      <c r="E674" s="618" t="str">
        <f>+VLOOKUP(Tabla3[[#This Row],[PATENTE]],'BASE DATOS'!F:G,2,0)</f>
        <v xml:space="preserve">J RIMOLDI - AB312SE </v>
      </c>
      <c r="F674" s="584" t="str">
        <f>+VLOOKUP(Tabla3[[#This Row],[PATENTE]],'BASE DATOS'!F:H,3,0)</f>
        <v>8P</v>
      </c>
      <c r="G674" s="584" t="str">
        <f>+VLOOKUP(Tabla3[[#This Row],[PATENTE]],'BASE DATOS'!F:I,4,0)</f>
        <v>SI</v>
      </c>
      <c r="H674" s="584" t="str">
        <f>+VLOOKUP(Tabla3[[#This Row],[PATENTE]],'BASE DATOS'!F:J,5,0)</f>
        <v>SI</v>
      </c>
      <c r="I674" s="584" t="str">
        <f>+VLOOKUP(Tabla3[[#This Row],[PATENTE]],'BASE DATOS'!F:K,6,0)</f>
        <v>NO</v>
      </c>
      <c r="J674" s="584">
        <f>+VLOOKUP(Tabla3[[#This Row],[PATENTE]],'BASE DATOS'!F:L,7,0)</f>
        <v>2017</v>
      </c>
      <c r="K674" s="619">
        <f>+VLOOKUP(Tabla3[[#This Row],[PATENTE]],'BASE DATOS'!F:M,8,0)</f>
        <v>8</v>
      </c>
      <c r="N674" s="826"/>
      <c r="O674" s="1015"/>
      <c r="P674" s="1015"/>
      <c r="Q674" s="1015"/>
      <c r="R674" s="826"/>
    </row>
    <row r="675" spans="1:18" hidden="1">
      <c r="A675" s="578" t="s">
        <v>887</v>
      </c>
      <c r="B675" s="584">
        <v>6</v>
      </c>
      <c r="C675" s="589">
        <v>45929</v>
      </c>
      <c r="D675" s="582">
        <f t="shared" si="26"/>
        <v>40</v>
      </c>
      <c r="E675" s="618" t="str">
        <f>+VLOOKUP(Tabla3[[#This Row],[PATENTE]],'BASE DATOS'!F:G,2,0)</f>
        <v>ENRIQUE ROLLINO - BXB394</v>
      </c>
      <c r="F675" s="584" t="str">
        <f>+VLOOKUP(Tabla3[[#This Row],[PATENTE]],'BASE DATOS'!F:H,3,0)</f>
        <v>2P</v>
      </c>
      <c r="G675" s="584" t="str">
        <f>+VLOOKUP(Tabla3[[#This Row],[PATENTE]],'BASE DATOS'!F:I,4,0)</f>
        <v>SI</v>
      </c>
      <c r="H675" s="584" t="str">
        <f>+VLOOKUP(Tabla3[[#This Row],[PATENTE]],'BASE DATOS'!F:J,5,0)</f>
        <v>SI</v>
      </c>
      <c r="I675" s="584" t="str">
        <f>+VLOOKUP(Tabla3[[#This Row],[PATENTE]],'BASE DATOS'!F:K,6,0)</f>
        <v>NO</v>
      </c>
      <c r="J675" s="584">
        <f>+VLOOKUP(Tabla3[[#This Row],[PATENTE]],'BASE DATOS'!F:L,7,0)</f>
        <v>1998</v>
      </c>
      <c r="K675" s="619">
        <f>+VLOOKUP(Tabla3[[#This Row],[PATENTE]],'BASE DATOS'!F:M,8,0)</f>
        <v>27</v>
      </c>
      <c r="N675" s="826"/>
      <c r="O675" s="1015"/>
      <c r="P675" s="1015"/>
      <c r="Q675" s="1015"/>
      <c r="R675" s="826"/>
    </row>
    <row r="676" spans="1:18" hidden="1">
      <c r="A676" s="578" t="s">
        <v>889</v>
      </c>
      <c r="B676" s="584">
        <v>6</v>
      </c>
      <c r="C676" s="589">
        <v>45929</v>
      </c>
      <c r="D676" s="582">
        <f t="shared" si="26"/>
        <v>40</v>
      </c>
      <c r="E676" s="618" t="str">
        <f>+VLOOKUP(Tabla3[[#This Row],[PATENTE]],'BASE DATOS'!F:G,2,0)</f>
        <v xml:space="preserve">COLO - HAW164 </v>
      </c>
      <c r="F676" s="584" t="str">
        <f>+VLOOKUP(Tabla3[[#This Row],[PATENTE]],'BASE DATOS'!F:H,3,0)</f>
        <v>6P</v>
      </c>
      <c r="G676" s="584" t="str">
        <f>+VLOOKUP(Tabla3[[#This Row],[PATENTE]],'BASE DATOS'!F:I,4,0)</f>
        <v>NO</v>
      </c>
      <c r="H676" s="584" t="str">
        <f>+VLOOKUP(Tabla3[[#This Row],[PATENTE]],'BASE DATOS'!F:J,5,0)</f>
        <v>SI</v>
      </c>
      <c r="I676" s="584" t="str">
        <f>+VLOOKUP(Tabla3[[#This Row],[PATENTE]],'BASE DATOS'!F:K,6,0)</f>
        <v>NO</v>
      </c>
      <c r="J676" s="584">
        <f>+VLOOKUP(Tabla3[[#This Row],[PATENTE]],'BASE DATOS'!F:L,7,0)</f>
        <v>2009</v>
      </c>
      <c r="K676" s="619">
        <f>+VLOOKUP(Tabla3[[#This Row],[PATENTE]],'BASE DATOS'!F:M,8,0)</f>
        <v>16</v>
      </c>
      <c r="N676" s="826"/>
      <c r="O676" s="1015"/>
      <c r="P676" s="1015"/>
      <c r="Q676" s="1015"/>
      <c r="R676" s="826"/>
    </row>
    <row r="677" spans="1:18" hidden="1">
      <c r="A677" s="578" t="s">
        <v>898</v>
      </c>
      <c r="B677" s="584">
        <v>6</v>
      </c>
      <c r="C677" s="589">
        <v>45929</v>
      </c>
      <c r="D677" s="582">
        <f t="shared" si="26"/>
        <v>40</v>
      </c>
      <c r="E677" s="618" t="str">
        <f>+VLOOKUP(Tabla3[[#This Row],[PATENTE]],'BASE DATOS'!F:G,2,0)</f>
        <v xml:space="preserve">TRANSP BERMEJO - NXP980 </v>
      </c>
      <c r="F677" s="584" t="str">
        <f>+VLOOKUP(Tabla3[[#This Row],[PATENTE]],'BASE DATOS'!F:H,3,0)</f>
        <v>12P</v>
      </c>
      <c r="G677" s="584" t="str">
        <f>+VLOOKUP(Tabla3[[#This Row],[PATENTE]],'BASE DATOS'!F:I,4,0)</f>
        <v>SI</v>
      </c>
      <c r="H677" s="584" t="str">
        <f>+VLOOKUP(Tabla3[[#This Row],[PATENTE]],'BASE DATOS'!F:J,5,0)</f>
        <v>SI</v>
      </c>
      <c r="I677" s="584" t="str">
        <f>+VLOOKUP(Tabla3[[#This Row],[PATENTE]],'BASE DATOS'!F:K,6,0)</f>
        <v>SI</v>
      </c>
      <c r="J677" s="584">
        <f>+VLOOKUP(Tabla3[[#This Row],[PATENTE]],'BASE DATOS'!F:L,7,0)</f>
        <v>2015</v>
      </c>
      <c r="K677" s="619">
        <f>+VLOOKUP(Tabla3[[#This Row],[PATENTE]],'BASE DATOS'!F:M,8,0)</f>
        <v>10</v>
      </c>
      <c r="N677" s="826"/>
      <c r="O677" s="1015"/>
      <c r="P677" s="1015"/>
      <c r="Q677" s="1015"/>
      <c r="R677" s="826"/>
    </row>
    <row r="678" spans="1:18" hidden="1">
      <c r="A678" s="578" t="s">
        <v>912</v>
      </c>
      <c r="B678" s="584">
        <v>5</v>
      </c>
      <c r="C678" s="589">
        <v>45929</v>
      </c>
      <c r="D678" s="582">
        <f t="shared" si="26"/>
        <v>40</v>
      </c>
      <c r="E678" s="618" t="str">
        <f>+VLOOKUP(Tabla3[[#This Row],[PATENTE]],'BASE DATOS'!F:G,2,0)</f>
        <v xml:space="preserve">PACHECO JULIO - AC028WN </v>
      </c>
      <c r="F678" s="584" t="str">
        <f>+VLOOKUP(Tabla3[[#This Row],[PATENTE]],'BASE DATOS'!F:H,3,0)</f>
        <v>8P</v>
      </c>
      <c r="G678" s="584" t="str">
        <f>+VLOOKUP(Tabla3[[#This Row],[PATENTE]],'BASE DATOS'!F:I,4,0)</f>
        <v>SI</v>
      </c>
      <c r="H678" s="584" t="str">
        <f>+VLOOKUP(Tabla3[[#This Row],[PATENTE]],'BASE DATOS'!F:J,5,0)</f>
        <v>SI</v>
      </c>
      <c r="I678" s="584" t="str">
        <f>+VLOOKUP(Tabla3[[#This Row],[PATENTE]],'BASE DATOS'!F:K,6,0)</f>
        <v>SI</v>
      </c>
      <c r="J678" s="584">
        <f>+VLOOKUP(Tabla3[[#This Row],[PATENTE]],'BASE DATOS'!F:L,7,0)</f>
        <v>2017</v>
      </c>
      <c r="K678" s="619">
        <f>+VLOOKUP(Tabla3[[#This Row],[PATENTE]],'BASE DATOS'!F:M,8,0)</f>
        <v>8</v>
      </c>
      <c r="N678" s="826"/>
      <c r="O678" s="1015"/>
      <c r="P678" s="1015"/>
      <c r="Q678" s="1015"/>
      <c r="R678" s="826"/>
    </row>
    <row r="679" spans="1:18" hidden="1">
      <c r="A679" s="578" t="s">
        <v>895</v>
      </c>
      <c r="B679" s="584">
        <v>5</v>
      </c>
      <c r="C679" s="589">
        <v>45929</v>
      </c>
      <c r="D679" s="582">
        <f t="shared" si="26"/>
        <v>40</v>
      </c>
      <c r="E679" s="618" t="str">
        <f>+VLOOKUP(Tabla3[[#This Row],[PATENTE]],'BASE DATOS'!F:G,2,0)</f>
        <v xml:space="preserve">TRANSPORTE MICAELA </v>
      </c>
      <c r="F679" s="584" t="str">
        <f>+VLOOKUP(Tabla3[[#This Row],[PATENTE]],'BASE DATOS'!F:H,3,0)</f>
        <v>2P</v>
      </c>
      <c r="G679" s="584" t="str">
        <f>+VLOOKUP(Tabla3[[#This Row],[PATENTE]],'BASE DATOS'!F:I,4,0)</f>
        <v>NO</v>
      </c>
      <c r="H679" s="584" t="str">
        <f>+VLOOKUP(Tabla3[[#This Row],[PATENTE]],'BASE DATOS'!F:J,5,0)</f>
        <v>SI</v>
      </c>
      <c r="I679" s="584" t="str">
        <f>+VLOOKUP(Tabla3[[#This Row],[PATENTE]],'BASE DATOS'!F:K,6,0)</f>
        <v>NO</v>
      </c>
      <c r="J679" s="584">
        <f>+VLOOKUP(Tabla3[[#This Row],[PATENTE]],'BASE DATOS'!F:L,7,0)</f>
        <v>2024</v>
      </c>
      <c r="K679" s="619">
        <f>+VLOOKUP(Tabla3[[#This Row],[PATENTE]],'BASE DATOS'!F:M,8,0)</f>
        <v>1</v>
      </c>
      <c r="N679" s="826"/>
      <c r="O679" s="1015"/>
      <c r="P679" s="1015"/>
      <c r="Q679" s="1015"/>
      <c r="R679" s="826"/>
    </row>
    <row r="680" spans="1:18" hidden="1">
      <c r="A680" s="578" t="s">
        <v>881</v>
      </c>
      <c r="B680" s="584">
        <v>5</v>
      </c>
      <c r="C680" s="589">
        <v>45929</v>
      </c>
      <c r="D680" s="582">
        <f t="shared" ref="D680:D711" si="27">+WEEKNUM(C680)</f>
        <v>40</v>
      </c>
      <c r="E680" s="618" t="str">
        <f>+VLOOKUP(Tabla3[[#This Row],[PATENTE]],'BASE DATOS'!F:G,2,0)</f>
        <v xml:space="preserve">MAÑAS NORBERTO - DUQ686 </v>
      </c>
      <c r="F680" s="584" t="str">
        <f>+VLOOKUP(Tabla3[[#This Row],[PATENTE]],'BASE DATOS'!F:H,3,0)</f>
        <v>8P</v>
      </c>
      <c r="G680" s="584" t="str">
        <f>+VLOOKUP(Tabla3[[#This Row],[PATENTE]],'BASE DATOS'!F:I,4,0)</f>
        <v>SI</v>
      </c>
      <c r="H680" s="584" t="str">
        <f>+VLOOKUP(Tabla3[[#This Row],[PATENTE]],'BASE DATOS'!F:J,5,0)</f>
        <v>SI</v>
      </c>
      <c r="I680" s="584" t="str">
        <f>+VLOOKUP(Tabla3[[#This Row],[PATENTE]],'BASE DATOS'!F:K,6,0)</f>
        <v>NO</v>
      </c>
      <c r="J680" s="584">
        <f>+VLOOKUP(Tabla3[[#This Row],[PATENTE]],'BASE DATOS'!F:L,7,0)</f>
        <v>2001</v>
      </c>
      <c r="K680" s="619">
        <f>+VLOOKUP(Tabla3[[#This Row],[PATENTE]],'BASE DATOS'!F:M,8,0)</f>
        <v>24</v>
      </c>
      <c r="N680" s="826"/>
      <c r="O680" s="1015"/>
      <c r="P680" s="1015"/>
      <c r="Q680" s="1015"/>
      <c r="R680" s="826"/>
    </row>
    <row r="681" spans="1:18" hidden="1">
      <c r="A681" s="578" t="s">
        <v>932</v>
      </c>
      <c r="B681" s="584">
        <v>5</v>
      </c>
      <c r="C681" s="589">
        <v>45929</v>
      </c>
      <c r="D681" s="582">
        <f t="shared" si="27"/>
        <v>40</v>
      </c>
      <c r="E681" s="618" t="str">
        <f>+VLOOKUP(Tabla3[[#This Row],[PATENTE]],'BASE DATOS'!F:G,2,0)</f>
        <v xml:space="preserve">TRANSP MAVIR - EFL176 </v>
      </c>
      <c r="F681" s="584" t="str">
        <f>+VLOOKUP(Tabla3[[#This Row],[PATENTE]],'BASE DATOS'!F:H,3,0)</f>
        <v>12P</v>
      </c>
      <c r="G681" s="584" t="str">
        <f>+VLOOKUP(Tabla3[[#This Row],[PATENTE]],'BASE DATOS'!F:I,4,0)</f>
        <v>SI</v>
      </c>
      <c r="H681" s="584" t="str">
        <f>+VLOOKUP(Tabla3[[#This Row],[PATENTE]],'BASE DATOS'!F:J,5,0)</f>
        <v>SI</v>
      </c>
      <c r="I681" s="584" t="str">
        <f>+VLOOKUP(Tabla3[[#This Row],[PATENTE]],'BASE DATOS'!F:K,6,0)</f>
        <v>NO</v>
      </c>
      <c r="J681" s="584">
        <f>+VLOOKUP(Tabla3[[#This Row],[PATENTE]],'BASE DATOS'!F:L,7,0)</f>
        <v>1998</v>
      </c>
      <c r="K681" s="619">
        <f>+VLOOKUP(Tabla3[[#This Row],[PATENTE]],'BASE DATOS'!F:M,8,0)</f>
        <v>27</v>
      </c>
      <c r="N681" s="826"/>
      <c r="O681" s="1015"/>
      <c r="P681" s="1015"/>
      <c r="Q681" s="1015"/>
      <c r="R681" s="826"/>
    </row>
    <row r="682" spans="1:18" hidden="1">
      <c r="A682" s="578" t="s">
        <v>909</v>
      </c>
      <c r="B682" s="584">
        <v>5</v>
      </c>
      <c r="C682" s="589">
        <v>45929</v>
      </c>
      <c r="D682" s="582">
        <f t="shared" si="27"/>
        <v>40</v>
      </c>
      <c r="E682" s="618" t="str">
        <f>+VLOOKUP(Tabla3[[#This Row],[PATENTE]],'BASE DATOS'!F:G,2,0)</f>
        <v xml:space="preserve">CRISTIAN MOYA - NHR055 </v>
      </c>
      <c r="F682" s="584" t="str">
        <f>+VLOOKUP(Tabla3[[#This Row],[PATENTE]],'BASE DATOS'!F:H,3,0)</f>
        <v>6P</v>
      </c>
      <c r="G682" s="584" t="str">
        <f>+VLOOKUP(Tabla3[[#This Row],[PATENTE]],'BASE DATOS'!F:I,4,0)</f>
        <v>SI</v>
      </c>
      <c r="H682" s="584" t="str">
        <f>+VLOOKUP(Tabla3[[#This Row],[PATENTE]],'BASE DATOS'!F:J,5,0)</f>
        <v>SI</v>
      </c>
      <c r="I682" s="584" t="str">
        <f>+VLOOKUP(Tabla3[[#This Row],[PATENTE]],'BASE DATOS'!F:K,6,0)</f>
        <v>NO</v>
      </c>
      <c r="J682" s="584">
        <f>+VLOOKUP(Tabla3[[#This Row],[PATENTE]],'BASE DATOS'!F:L,7,0)</f>
        <v>2013</v>
      </c>
      <c r="K682" s="619">
        <f>+VLOOKUP(Tabla3[[#This Row],[PATENTE]],'BASE DATOS'!F:M,8,0)</f>
        <v>12</v>
      </c>
      <c r="N682" s="826"/>
      <c r="O682" s="1015"/>
      <c r="P682" s="1015"/>
      <c r="Q682" s="1015"/>
      <c r="R682" s="826"/>
    </row>
    <row r="683" spans="1:18" hidden="1">
      <c r="A683" s="578" t="s">
        <v>936</v>
      </c>
      <c r="B683" s="584">
        <v>4</v>
      </c>
      <c r="C683" s="589">
        <v>45929</v>
      </c>
      <c r="D683" s="582">
        <f t="shared" si="27"/>
        <v>40</v>
      </c>
      <c r="E683" s="618" t="str">
        <f>+VLOOKUP(Tabla3[[#This Row],[PATENTE]],'BASE DATOS'!F:G,2,0)</f>
        <v>TRANSP YANINA  LUONGO - AA050HC</v>
      </c>
      <c r="F683" s="584" t="str">
        <f>+VLOOKUP(Tabla3[[#This Row],[PATENTE]],'BASE DATOS'!F:H,3,0)</f>
        <v>1.5P</v>
      </c>
      <c r="G683" s="584" t="str">
        <f>+VLOOKUP(Tabla3[[#This Row],[PATENTE]],'BASE DATOS'!F:I,4,0)</f>
        <v>NO</v>
      </c>
      <c r="H683" s="584" t="str">
        <f>+VLOOKUP(Tabla3[[#This Row],[PATENTE]],'BASE DATOS'!F:J,5,0)</f>
        <v>SI</v>
      </c>
      <c r="I683" s="584" t="str">
        <f>+VLOOKUP(Tabla3[[#This Row],[PATENTE]],'BASE DATOS'!F:K,6,0)</f>
        <v>NO</v>
      </c>
      <c r="J683" s="584">
        <f>+VLOOKUP(Tabla3[[#This Row],[PATENTE]],'BASE DATOS'!F:L,7,0)</f>
        <v>2016</v>
      </c>
      <c r="K683" s="619">
        <f>+VLOOKUP(Tabla3[[#This Row],[PATENTE]],'BASE DATOS'!F:M,8,0)</f>
        <v>9</v>
      </c>
      <c r="N683" s="826"/>
      <c r="O683" s="1015"/>
      <c r="P683" s="1015"/>
      <c r="Q683" s="1015"/>
      <c r="R683" s="826"/>
    </row>
    <row r="684" spans="1:18" hidden="1">
      <c r="A684" s="578" t="s">
        <v>919</v>
      </c>
      <c r="B684" s="584">
        <v>4</v>
      </c>
      <c r="C684" s="589">
        <v>45929</v>
      </c>
      <c r="D684" s="582">
        <f t="shared" si="27"/>
        <v>40</v>
      </c>
      <c r="E684" s="618" t="str">
        <f>+VLOOKUP(Tabla3[[#This Row],[PATENTE]],'BASE DATOS'!F:G,2,0)</f>
        <v xml:space="preserve">GUSTAVO CERQUETTA - AA427LT </v>
      </c>
      <c r="F684" s="584" t="str">
        <f>+VLOOKUP(Tabla3[[#This Row],[PATENTE]],'BASE DATOS'!F:H,3,0)</f>
        <v>1P</v>
      </c>
      <c r="G684" s="584" t="str">
        <f>+VLOOKUP(Tabla3[[#This Row],[PATENTE]],'BASE DATOS'!F:I,4,0)</f>
        <v>NO</v>
      </c>
      <c r="H684" s="584" t="str">
        <f>+VLOOKUP(Tabla3[[#This Row],[PATENTE]],'BASE DATOS'!F:J,5,0)</f>
        <v>SI</v>
      </c>
      <c r="I684" s="584" t="str">
        <f>+VLOOKUP(Tabla3[[#This Row],[PATENTE]],'BASE DATOS'!F:K,6,0)</f>
        <v>NO</v>
      </c>
      <c r="J684" s="584">
        <f>+VLOOKUP(Tabla3[[#This Row],[PATENTE]],'BASE DATOS'!F:L,7,0)</f>
        <v>2016</v>
      </c>
      <c r="K684" s="619">
        <f>+VLOOKUP(Tabla3[[#This Row],[PATENTE]],'BASE DATOS'!F:M,8,0)</f>
        <v>9</v>
      </c>
      <c r="N684" s="826"/>
      <c r="O684" s="1015"/>
      <c r="P684" s="1015"/>
      <c r="Q684" s="1015"/>
      <c r="R684" s="826"/>
    </row>
    <row r="685" spans="1:18" hidden="1">
      <c r="A685" s="578" t="s">
        <v>884</v>
      </c>
      <c r="B685" s="584">
        <v>4</v>
      </c>
      <c r="C685" s="589">
        <v>45929</v>
      </c>
      <c r="D685" s="582">
        <f t="shared" si="27"/>
        <v>40</v>
      </c>
      <c r="E685" s="618" t="str">
        <f>+VLOOKUP(Tabla3[[#This Row],[PATENTE]],'BASE DATOS'!F:G,2,0)</f>
        <v xml:space="preserve">LAURIA (SERVAL) - AB233IT </v>
      </c>
      <c r="F685" s="584" t="str">
        <f>+VLOOKUP(Tabla3[[#This Row],[PATENTE]],'BASE DATOS'!F:H,3,0)</f>
        <v>6P</v>
      </c>
      <c r="G685" s="584" t="str">
        <f>+VLOOKUP(Tabla3[[#This Row],[PATENTE]],'BASE DATOS'!F:I,4,0)</f>
        <v>SI</v>
      </c>
      <c r="H685" s="584" t="str">
        <f>+VLOOKUP(Tabla3[[#This Row],[PATENTE]],'BASE DATOS'!F:J,5,0)</f>
        <v>SI</v>
      </c>
      <c r="I685" s="584" t="str">
        <f>+VLOOKUP(Tabla3[[#This Row],[PATENTE]],'BASE DATOS'!F:K,6,0)</f>
        <v>NO</v>
      </c>
      <c r="J685" s="584">
        <f>+VLOOKUP(Tabla3[[#This Row],[PATENTE]],'BASE DATOS'!F:L,7,0)</f>
        <v>2017</v>
      </c>
      <c r="K685" s="619">
        <f>+VLOOKUP(Tabla3[[#This Row],[PATENTE]],'BASE DATOS'!F:M,8,0)</f>
        <v>8</v>
      </c>
      <c r="N685" s="826"/>
      <c r="O685" s="1015"/>
      <c r="P685" s="1015"/>
      <c r="Q685" s="1015"/>
      <c r="R685" s="826"/>
    </row>
    <row r="686" spans="1:18" hidden="1">
      <c r="A686" s="578" t="s">
        <v>906</v>
      </c>
      <c r="B686" s="584">
        <v>4</v>
      </c>
      <c r="C686" s="589">
        <v>45929</v>
      </c>
      <c r="D686" s="582">
        <f t="shared" si="27"/>
        <v>40</v>
      </c>
      <c r="E686" s="618" t="str">
        <f>+VLOOKUP(Tabla3[[#This Row],[PATENTE]],'BASE DATOS'!F:G,2,0)</f>
        <v xml:space="preserve">VAZQUEZ (TRV SRL) - AD472GK </v>
      </c>
      <c r="F686" s="584" t="str">
        <f>+VLOOKUP(Tabla3[[#This Row],[PATENTE]],'BASE DATOS'!F:H,3,0)</f>
        <v>8P</v>
      </c>
      <c r="G686" s="584" t="str">
        <f>+VLOOKUP(Tabla3[[#This Row],[PATENTE]],'BASE DATOS'!F:I,4,0)</f>
        <v>NO</v>
      </c>
      <c r="H686" s="584" t="str">
        <f>+VLOOKUP(Tabla3[[#This Row],[PATENTE]],'BASE DATOS'!F:J,5,0)</f>
        <v>NO</v>
      </c>
      <c r="I686" s="584" t="str">
        <f>+VLOOKUP(Tabla3[[#This Row],[PATENTE]],'BASE DATOS'!F:K,6,0)</f>
        <v>SI</v>
      </c>
      <c r="J686" s="584">
        <f>+VLOOKUP(Tabla3[[#This Row],[PATENTE]],'BASE DATOS'!F:L,7,0)</f>
        <v>2019</v>
      </c>
      <c r="K686" s="619">
        <f>+VLOOKUP(Tabla3[[#This Row],[PATENTE]],'BASE DATOS'!F:M,8,0)</f>
        <v>6</v>
      </c>
      <c r="N686" s="826"/>
      <c r="O686" s="1015"/>
      <c r="P686" s="1015"/>
      <c r="Q686" s="1015"/>
      <c r="R686" s="826"/>
    </row>
    <row r="687" spans="1:18" hidden="1">
      <c r="A687" s="578" t="s">
        <v>888</v>
      </c>
      <c r="B687" s="584">
        <v>4</v>
      </c>
      <c r="C687" s="589">
        <v>45929</v>
      </c>
      <c r="D687" s="582">
        <f t="shared" si="27"/>
        <v>40</v>
      </c>
      <c r="E687" s="618" t="str">
        <f>+VLOOKUP(Tabla3[[#This Row],[PATENTE]],'BASE DATOS'!F:G,2,0)</f>
        <v xml:space="preserve">TRANSP FIRST CLASS - AD535UI </v>
      </c>
      <c r="F687" s="584" t="str">
        <f>+VLOOKUP(Tabla3[[#This Row],[PATENTE]],'BASE DATOS'!F:H,3,0)</f>
        <v>6P</v>
      </c>
      <c r="G687" s="584" t="str">
        <f>+VLOOKUP(Tabla3[[#This Row],[PATENTE]],'BASE DATOS'!F:I,4,0)</f>
        <v>SI</v>
      </c>
      <c r="H687" s="584" t="str">
        <f>+VLOOKUP(Tabla3[[#This Row],[PATENTE]],'BASE DATOS'!F:J,5,0)</f>
        <v>SI</v>
      </c>
      <c r="I687" s="584" t="str">
        <f>+VLOOKUP(Tabla3[[#This Row],[PATENTE]],'BASE DATOS'!F:K,6,0)</f>
        <v>NO</v>
      </c>
      <c r="J687" s="584">
        <f>+VLOOKUP(Tabla3[[#This Row],[PATENTE]],'BASE DATOS'!F:L,7,0)</f>
        <v>2019</v>
      </c>
      <c r="K687" s="619">
        <f>+VLOOKUP(Tabla3[[#This Row],[PATENTE]],'BASE DATOS'!F:M,8,0)</f>
        <v>6</v>
      </c>
      <c r="N687" s="826"/>
      <c r="O687" s="1015"/>
      <c r="P687" s="1015"/>
      <c r="Q687" s="1015"/>
      <c r="R687" s="826"/>
    </row>
    <row r="688" spans="1:18" hidden="1">
      <c r="A688" s="578" t="s">
        <v>907</v>
      </c>
      <c r="B688" s="584">
        <v>4</v>
      </c>
      <c r="C688" s="589">
        <v>45929</v>
      </c>
      <c r="D688" s="582">
        <f t="shared" si="27"/>
        <v>40</v>
      </c>
      <c r="E688" s="618" t="str">
        <f>+VLOOKUP(Tabla3[[#This Row],[PATENTE]],'BASE DATOS'!F:G,2,0)</f>
        <v xml:space="preserve">LAURIA (SERVAL) - AH583GW </v>
      </c>
      <c r="F688" s="584" t="str">
        <f>+VLOOKUP(Tabla3[[#This Row],[PATENTE]],'BASE DATOS'!F:H,3,0)</f>
        <v>8P</v>
      </c>
      <c r="G688" s="584" t="str">
        <f>+VLOOKUP(Tabla3[[#This Row],[PATENTE]],'BASE DATOS'!F:I,4,0)</f>
        <v>SI</v>
      </c>
      <c r="H688" s="584" t="str">
        <f>+VLOOKUP(Tabla3[[#This Row],[PATENTE]],'BASE DATOS'!F:J,5,0)</f>
        <v>SI</v>
      </c>
      <c r="I688" s="584" t="str">
        <f>+VLOOKUP(Tabla3[[#This Row],[PATENTE]],'BASE DATOS'!F:K,6,0)</f>
        <v>NO</v>
      </c>
      <c r="J688" s="584">
        <f>+VLOOKUP(Tabla3[[#This Row],[PATENTE]],'BASE DATOS'!F:L,7,0)</f>
        <v>2025</v>
      </c>
      <c r="K688" s="619">
        <f>+VLOOKUP(Tabla3[[#This Row],[PATENTE]],'BASE DATOS'!F:M,8,0)</f>
        <v>0</v>
      </c>
      <c r="N688" s="826"/>
      <c r="O688" s="1015"/>
      <c r="P688" s="1015"/>
      <c r="Q688" s="1015"/>
      <c r="R688" s="826"/>
    </row>
    <row r="689" spans="1:18" hidden="1">
      <c r="A689" s="578" t="s">
        <v>921</v>
      </c>
      <c r="B689" s="584">
        <v>4</v>
      </c>
      <c r="C689" s="589">
        <v>45929</v>
      </c>
      <c r="D689" s="582">
        <f t="shared" si="27"/>
        <v>40</v>
      </c>
      <c r="E689" s="618" t="str">
        <f>+VLOOKUP(Tabla3[[#This Row],[PATENTE]],'BASE DATOS'!F:G,2,0)</f>
        <v xml:space="preserve">MAÑAS NORBERTO - CQQ304 </v>
      </c>
      <c r="F689" s="584" t="str">
        <f>+VLOOKUP(Tabla3[[#This Row],[PATENTE]],'BASE DATOS'!F:H,3,0)</f>
        <v>11P</v>
      </c>
      <c r="G689" s="584" t="str">
        <f>+VLOOKUP(Tabla3[[#This Row],[PATENTE]],'BASE DATOS'!F:I,4,0)</f>
        <v>SI</v>
      </c>
      <c r="H689" s="584" t="str">
        <f>+VLOOKUP(Tabla3[[#This Row],[PATENTE]],'BASE DATOS'!F:J,5,0)</f>
        <v>SI</v>
      </c>
      <c r="I689" s="584" t="str">
        <f>+VLOOKUP(Tabla3[[#This Row],[PATENTE]],'BASE DATOS'!F:K,6,0)</f>
        <v>NO</v>
      </c>
      <c r="J689" s="584">
        <f>+VLOOKUP(Tabla3[[#This Row],[PATENTE]],'BASE DATOS'!F:L,7,0)</f>
        <v>2000</v>
      </c>
      <c r="K689" s="619">
        <f>+VLOOKUP(Tabla3[[#This Row],[PATENTE]],'BASE DATOS'!F:M,8,0)</f>
        <v>25</v>
      </c>
      <c r="N689" s="826"/>
      <c r="O689" s="1015"/>
      <c r="P689" s="1015"/>
      <c r="Q689" s="1015"/>
      <c r="R689" s="826"/>
    </row>
    <row r="690" spans="1:18" hidden="1">
      <c r="A690" s="578" t="s">
        <v>891</v>
      </c>
      <c r="B690" s="584">
        <v>4</v>
      </c>
      <c r="C690" s="589">
        <v>45929</v>
      </c>
      <c r="D690" s="582">
        <f t="shared" si="27"/>
        <v>40</v>
      </c>
      <c r="E690" s="618" t="str">
        <f>+VLOOKUP(Tabla3[[#This Row],[PATENTE]],'BASE DATOS'!F:G,2,0)</f>
        <v xml:space="preserve">GANZINI HUGO - HHA085 </v>
      </c>
      <c r="F690" s="584" t="str">
        <f>+VLOOKUP(Tabla3[[#This Row],[PATENTE]],'BASE DATOS'!F:H,3,0)</f>
        <v>2P</v>
      </c>
      <c r="G690" s="584" t="str">
        <f>+VLOOKUP(Tabla3[[#This Row],[PATENTE]],'BASE DATOS'!F:I,4,0)</f>
        <v>SI</v>
      </c>
      <c r="H690" s="584" t="str">
        <f>+VLOOKUP(Tabla3[[#This Row],[PATENTE]],'BASE DATOS'!F:J,5,0)</f>
        <v>SI</v>
      </c>
      <c r="I690" s="584" t="str">
        <f>+VLOOKUP(Tabla3[[#This Row],[PATENTE]],'BASE DATOS'!F:K,6,0)</f>
        <v>NO</v>
      </c>
      <c r="J690" s="584">
        <f>+VLOOKUP(Tabla3[[#This Row],[PATENTE]],'BASE DATOS'!F:L,7,0)</f>
        <v>2008</v>
      </c>
      <c r="K690" s="619">
        <f>+VLOOKUP(Tabla3[[#This Row],[PATENTE]],'BASE DATOS'!F:M,8,0)</f>
        <v>17</v>
      </c>
      <c r="N690" s="826"/>
      <c r="O690" s="1015"/>
      <c r="P690" s="1015"/>
      <c r="Q690" s="1015"/>
      <c r="R690" s="826"/>
    </row>
    <row r="691" spans="1:18" hidden="1">
      <c r="A691" s="578" t="s">
        <v>885</v>
      </c>
      <c r="B691" s="584">
        <v>4</v>
      </c>
      <c r="C691" s="589">
        <v>45929</v>
      </c>
      <c r="D691" s="582">
        <f t="shared" si="27"/>
        <v>40</v>
      </c>
      <c r="E691" s="618" t="str">
        <f>+VLOOKUP(Tabla3[[#This Row],[PATENTE]],'BASE DATOS'!F:G,2,0)</f>
        <v xml:space="preserve">TRANSP DON NENO - IES288 </v>
      </c>
      <c r="F691" s="584" t="str">
        <f>+VLOOKUP(Tabla3[[#This Row],[PATENTE]],'BASE DATOS'!F:H,3,0)</f>
        <v>2P</v>
      </c>
      <c r="G691" s="584" t="str">
        <f>+VLOOKUP(Tabla3[[#This Row],[PATENTE]],'BASE DATOS'!F:I,4,0)</f>
        <v>SI</v>
      </c>
      <c r="H691" s="584" t="str">
        <f>+VLOOKUP(Tabla3[[#This Row],[PATENTE]],'BASE DATOS'!F:J,5,0)</f>
        <v>SI</v>
      </c>
      <c r="I691" s="584" t="str">
        <f>+VLOOKUP(Tabla3[[#This Row],[PATENTE]],'BASE DATOS'!F:K,6,0)</f>
        <v>NO</v>
      </c>
      <c r="J691" s="584">
        <f>+VLOOKUP(Tabla3[[#This Row],[PATENTE]],'BASE DATOS'!F:L,7,0)</f>
        <v>2009</v>
      </c>
      <c r="K691" s="619">
        <f>+VLOOKUP(Tabla3[[#This Row],[PATENTE]],'BASE DATOS'!F:M,8,0)</f>
        <v>16</v>
      </c>
      <c r="N691" s="826"/>
      <c r="O691" s="1015"/>
      <c r="P691" s="1015"/>
      <c r="Q691" s="1015"/>
      <c r="R691" s="826"/>
    </row>
    <row r="692" spans="1:18" hidden="1">
      <c r="A692" s="578" t="s">
        <v>901</v>
      </c>
      <c r="B692" s="584">
        <v>4</v>
      </c>
      <c r="C692" s="589">
        <v>45929</v>
      </c>
      <c r="D692" s="582">
        <f t="shared" si="27"/>
        <v>40</v>
      </c>
      <c r="E692" s="618" t="str">
        <f>+VLOOKUP(Tabla3[[#This Row],[PATENTE]],'BASE DATOS'!F:G,2,0)</f>
        <v xml:space="preserve">TRANSPORTE  GRACIELA - IYE750 </v>
      </c>
      <c r="F692" s="584" t="str">
        <f>+VLOOKUP(Tabla3[[#This Row],[PATENTE]],'BASE DATOS'!F:H,3,0)</f>
        <v>1P</v>
      </c>
      <c r="G692" s="584" t="str">
        <f>+VLOOKUP(Tabla3[[#This Row],[PATENTE]],'BASE DATOS'!F:I,4,0)</f>
        <v>NO</v>
      </c>
      <c r="H692" s="584" t="str">
        <f>+VLOOKUP(Tabla3[[#This Row],[PATENTE]],'BASE DATOS'!F:J,5,0)</f>
        <v>SI</v>
      </c>
      <c r="I692" s="584" t="str">
        <f>+VLOOKUP(Tabla3[[#This Row],[PATENTE]],'BASE DATOS'!F:K,6,0)</f>
        <v>NO</v>
      </c>
      <c r="J692" s="584">
        <f>+VLOOKUP(Tabla3[[#This Row],[PATENTE]],'BASE DATOS'!F:L,7,0)</f>
        <v>2009</v>
      </c>
      <c r="K692" s="619">
        <f>+VLOOKUP(Tabla3[[#This Row],[PATENTE]],'BASE DATOS'!F:M,8,0)</f>
        <v>16</v>
      </c>
      <c r="N692" s="826"/>
      <c r="O692" s="1015"/>
      <c r="P692" s="1015"/>
      <c r="Q692" s="1015"/>
      <c r="R692" s="826"/>
    </row>
    <row r="693" spans="1:18" hidden="1">
      <c r="A693" s="578" t="s">
        <v>939</v>
      </c>
      <c r="B693" s="584">
        <v>4</v>
      </c>
      <c r="C693" s="589">
        <v>45929</v>
      </c>
      <c r="D693" s="582">
        <f t="shared" si="27"/>
        <v>40</v>
      </c>
      <c r="E693" s="618" t="str">
        <f>+VLOOKUP(Tabla3[[#This Row],[PATENTE]],'BASE DATOS'!F:G,2,0)</f>
        <v>TRANSP CLAUDIO BUSTOS - JOQ178</v>
      </c>
      <c r="F693" s="584" t="str">
        <f>+VLOOKUP(Tabla3[[#This Row],[PATENTE]],'BASE DATOS'!F:H,3,0)</f>
        <v>1P</v>
      </c>
      <c r="G693" s="584" t="str">
        <f>+VLOOKUP(Tabla3[[#This Row],[PATENTE]],'BASE DATOS'!F:I,4,0)</f>
        <v>NO</v>
      </c>
      <c r="H693" s="584" t="str">
        <f>+VLOOKUP(Tabla3[[#This Row],[PATENTE]],'BASE DATOS'!F:J,5,0)</f>
        <v>SI</v>
      </c>
      <c r="I693" s="584" t="str">
        <f>+VLOOKUP(Tabla3[[#This Row],[PATENTE]],'BASE DATOS'!F:K,6,0)</f>
        <v>NO</v>
      </c>
      <c r="J693" s="584">
        <f>+VLOOKUP(Tabla3[[#This Row],[PATENTE]],'BASE DATOS'!F:L,7,0)</f>
        <v>2010</v>
      </c>
      <c r="K693" s="619">
        <f>+VLOOKUP(Tabla3[[#This Row],[PATENTE]],'BASE DATOS'!F:M,8,0)</f>
        <v>15</v>
      </c>
      <c r="N693" s="826"/>
      <c r="O693" s="1015"/>
      <c r="P693" s="1015"/>
      <c r="Q693" s="1015"/>
      <c r="R693" s="826"/>
    </row>
    <row r="694" spans="1:18" hidden="1">
      <c r="A694" s="578" t="s">
        <v>925</v>
      </c>
      <c r="B694" s="584">
        <v>4</v>
      </c>
      <c r="C694" s="589">
        <v>45929</v>
      </c>
      <c r="D694" s="582">
        <f t="shared" si="27"/>
        <v>40</v>
      </c>
      <c r="E694" s="618" t="str">
        <f>+VLOOKUP(Tabla3[[#This Row],[PATENTE]],'BASE DATOS'!F:G,2,0)</f>
        <v xml:space="preserve">TRANSP MAIDANA FACUNDO - KOW745 </v>
      </c>
      <c r="F694" s="584" t="str">
        <f>+VLOOKUP(Tabla3[[#This Row],[PATENTE]],'BASE DATOS'!F:H,3,0)</f>
        <v>8P</v>
      </c>
      <c r="G694" s="584" t="str">
        <f>+VLOOKUP(Tabla3[[#This Row],[PATENTE]],'BASE DATOS'!F:I,4,0)</f>
        <v>SI</v>
      </c>
      <c r="H694" s="584" t="str">
        <f>+VLOOKUP(Tabla3[[#This Row],[PATENTE]],'BASE DATOS'!F:J,5,0)</f>
        <v>SI</v>
      </c>
      <c r="I694" s="584" t="str">
        <f>+VLOOKUP(Tabla3[[#This Row],[PATENTE]],'BASE DATOS'!F:K,6,0)</f>
        <v>NO</v>
      </c>
      <c r="J694" s="584">
        <f>+VLOOKUP(Tabla3[[#This Row],[PATENTE]],'BASE DATOS'!F:L,7,0)</f>
        <v>2012</v>
      </c>
      <c r="K694" s="619">
        <f>+VLOOKUP(Tabla3[[#This Row],[PATENTE]],'BASE DATOS'!F:M,8,0)</f>
        <v>13</v>
      </c>
      <c r="N694" s="826"/>
      <c r="O694" s="1015"/>
      <c r="P694" s="1015"/>
      <c r="Q694" s="1015"/>
      <c r="R694" s="826"/>
    </row>
    <row r="695" spans="1:18" hidden="1">
      <c r="A695" s="578" t="s">
        <v>913</v>
      </c>
      <c r="B695" s="584">
        <v>4</v>
      </c>
      <c r="C695" s="589">
        <v>45929</v>
      </c>
      <c r="D695" s="582">
        <f t="shared" si="27"/>
        <v>40</v>
      </c>
      <c r="E695" s="618" t="str">
        <f>+VLOOKUP(Tabla3[[#This Row],[PATENTE]],'BASE DATOS'!F:G,2,0)</f>
        <v xml:space="preserve">TRANSP DON NENO - KSI803 </v>
      </c>
      <c r="F695" s="584" t="str">
        <f>+VLOOKUP(Tabla3[[#This Row],[PATENTE]],'BASE DATOS'!F:H,3,0)</f>
        <v>2P</v>
      </c>
      <c r="G695" s="584" t="str">
        <f>+VLOOKUP(Tabla3[[#This Row],[PATENTE]],'BASE DATOS'!F:I,4,0)</f>
        <v>SI</v>
      </c>
      <c r="H695" s="584" t="str">
        <f>+VLOOKUP(Tabla3[[#This Row],[PATENTE]],'BASE DATOS'!F:J,5,0)</f>
        <v>SI</v>
      </c>
      <c r="I695" s="584" t="str">
        <f>+VLOOKUP(Tabla3[[#This Row],[PATENTE]],'BASE DATOS'!F:K,6,0)</f>
        <v>NO</v>
      </c>
      <c r="J695" s="584">
        <f>+VLOOKUP(Tabla3[[#This Row],[PATENTE]],'BASE DATOS'!F:L,7,0)</f>
        <v>2012</v>
      </c>
      <c r="K695" s="619">
        <f>+VLOOKUP(Tabla3[[#This Row],[PATENTE]],'BASE DATOS'!F:M,8,0)</f>
        <v>13</v>
      </c>
      <c r="N695" s="826"/>
      <c r="O695" s="1015"/>
      <c r="P695" s="1015"/>
      <c r="Q695" s="1015"/>
      <c r="R695" s="826"/>
    </row>
    <row r="696" spans="1:18" hidden="1">
      <c r="A696" s="578" t="s">
        <v>920</v>
      </c>
      <c r="B696" s="584">
        <v>4</v>
      </c>
      <c r="C696" s="589">
        <v>45929</v>
      </c>
      <c r="D696" s="582">
        <f t="shared" si="27"/>
        <v>40</v>
      </c>
      <c r="E696" s="618" t="str">
        <f>+VLOOKUP(Tabla3[[#This Row],[PATENTE]],'BASE DATOS'!F:G,2,0)</f>
        <v xml:space="preserve">TRANSP LAGOS - MRV682 </v>
      </c>
      <c r="F696" s="584" t="str">
        <f>+VLOOKUP(Tabla3[[#This Row],[PATENTE]],'BASE DATOS'!F:H,3,0)</f>
        <v>8P</v>
      </c>
      <c r="G696" s="584" t="str">
        <f>+VLOOKUP(Tabla3[[#This Row],[PATENTE]],'BASE DATOS'!F:I,4,0)</f>
        <v>SI</v>
      </c>
      <c r="H696" s="584" t="str">
        <f>+VLOOKUP(Tabla3[[#This Row],[PATENTE]],'BASE DATOS'!F:J,5,0)</f>
        <v>SI</v>
      </c>
      <c r="I696" s="584" t="str">
        <f>+VLOOKUP(Tabla3[[#This Row],[PATENTE]],'BASE DATOS'!F:K,6,0)</f>
        <v>NO</v>
      </c>
      <c r="J696" s="584">
        <f>+VLOOKUP(Tabla3[[#This Row],[PATENTE]],'BASE DATOS'!F:L,7,0)</f>
        <v>2013</v>
      </c>
      <c r="K696" s="619">
        <f>+VLOOKUP(Tabla3[[#This Row],[PATENTE]],'BASE DATOS'!F:M,8,0)</f>
        <v>12</v>
      </c>
      <c r="N696" s="826"/>
      <c r="O696" s="1015"/>
      <c r="P696" s="1015"/>
      <c r="Q696" s="1015"/>
      <c r="R696" s="826"/>
    </row>
    <row r="697" spans="1:18" hidden="1">
      <c r="A697" s="578" t="s">
        <v>886</v>
      </c>
      <c r="B697" s="584">
        <v>4</v>
      </c>
      <c r="C697" s="589">
        <v>45929</v>
      </c>
      <c r="D697" s="582">
        <f t="shared" si="27"/>
        <v>40</v>
      </c>
      <c r="E697" s="618" t="str">
        <f>+VLOOKUP(Tabla3[[#This Row],[PATENTE]],'BASE DATOS'!F:G,2,0)</f>
        <v xml:space="preserve">TRANSP LAGOS - NOO925 </v>
      </c>
      <c r="F697" s="584" t="str">
        <f>+VLOOKUP(Tabla3[[#This Row],[PATENTE]],'BASE DATOS'!F:H,3,0)</f>
        <v>8P</v>
      </c>
      <c r="G697" s="584" t="str">
        <f>+VLOOKUP(Tabla3[[#This Row],[PATENTE]],'BASE DATOS'!F:I,4,0)</f>
        <v>SI</v>
      </c>
      <c r="H697" s="584" t="str">
        <f>+VLOOKUP(Tabla3[[#This Row],[PATENTE]],'BASE DATOS'!F:J,5,0)</f>
        <v>SI</v>
      </c>
      <c r="I697" s="584" t="str">
        <f>+VLOOKUP(Tabla3[[#This Row],[PATENTE]],'BASE DATOS'!F:K,6,0)</f>
        <v>NO</v>
      </c>
      <c r="J697" s="584">
        <f>+VLOOKUP(Tabla3[[#This Row],[PATENTE]],'BASE DATOS'!F:L,7,0)</f>
        <v>2014</v>
      </c>
      <c r="K697" s="619">
        <f>+VLOOKUP(Tabla3[[#This Row],[PATENTE]],'BASE DATOS'!F:M,8,0)</f>
        <v>11</v>
      </c>
      <c r="N697" s="826"/>
      <c r="O697" s="1015"/>
      <c r="P697" s="1015"/>
      <c r="Q697" s="1015"/>
      <c r="R697" s="826"/>
    </row>
    <row r="698" spans="1:18" hidden="1">
      <c r="A698" s="578" t="s">
        <v>877</v>
      </c>
      <c r="B698" s="584">
        <v>4</v>
      </c>
      <c r="C698" s="589">
        <v>45929</v>
      </c>
      <c r="D698" s="582">
        <f t="shared" si="27"/>
        <v>40</v>
      </c>
      <c r="E698" s="618" t="str">
        <f>+VLOOKUP(Tabla3[[#This Row],[PATENTE]],'BASE DATOS'!F:G,2,0)</f>
        <v>TRANSP MAIDANA CARLOS - OWA126</v>
      </c>
      <c r="F698" s="584" t="str">
        <f>+VLOOKUP(Tabla3[[#This Row],[PATENTE]],'BASE DATOS'!F:H,3,0)</f>
        <v>4P</v>
      </c>
      <c r="G698" s="584" t="str">
        <f>+VLOOKUP(Tabla3[[#This Row],[PATENTE]],'BASE DATOS'!F:I,4,0)</f>
        <v>SI</v>
      </c>
      <c r="H698" s="584" t="str">
        <f>+VLOOKUP(Tabla3[[#This Row],[PATENTE]],'BASE DATOS'!F:J,5,0)</f>
        <v>SI</v>
      </c>
      <c r="I698" s="584" t="str">
        <f>+VLOOKUP(Tabla3[[#This Row],[PATENTE]],'BASE DATOS'!F:K,6,0)</f>
        <v>NO</v>
      </c>
      <c r="J698" s="584">
        <f>+VLOOKUP(Tabla3[[#This Row],[PATENTE]],'BASE DATOS'!F:L,7,0)</f>
        <v>2015</v>
      </c>
      <c r="K698" s="619">
        <f>+VLOOKUP(Tabla3[[#This Row],[PATENTE]],'BASE DATOS'!F:M,8,0)</f>
        <v>10</v>
      </c>
      <c r="N698" s="826"/>
      <c r="O698" s="1015"/>
      <c r="P698" s="1015"/>
      <c r="Q698" s="1015"/>
      <c r="R698" s="826"/>
    </row>
    <row r="699" spans="1:18" hidden="1">
      <c r="A699" s="578" t="s">
        <v>899</v>
      </c>
      <c r="B699" s="584">
        <v>3</v>
      </c>
      <c r="C699" s="589">
        <v>45929</v>
      </c>
      <c r="D699" s="582">
        <f t="shared" si="27"/>
        <v>40</v>
      </c>
      <c r="E699" s="618" t="str">
        <f>+VLOOKUP(Tabla3[[#This Row],[PATENTE]],'BASE DATOS'!F:G,2,0)</f>
        <v xml:space="preserve">VAZQUEZ (TRV SRL) - AB176KN </v>
      </c>
      <c r="F699" s="584" t="str">
        <f>+VLOOKUP(Tabla3[[#This Row],[PATENTE]],'BASE DATOS'!F:H,3,0)</f>
        <v>8P</v>
      </c>
      <c r="G699" s="584" t="str">
        <f>+VLOOKUP(Tabla3[[#This Row],[PATENTE]],'BASE DATOS'!F:I,4,0)</f>
        <v>SI</v>
      </c>
      <c r="H699" s="584" t="str">
        <f>+VLOOKUP(Tabla3[[#This Row],[PATENTE]],'BASE DATOS'!F:J,5,0)</f>
        <v>SI</v>
      </c>
      <c r="I699" s="584" t="str">
        <f>+VLOOKUP(Tabla3[[#This Row],[PATENTE]],'BASE DATOS'!F:K,6,0)</f>
        <v>SI</v>
      </c>
      <c r="J699" s="584">
        <f>+VLOOKUP(Tabla3[[#This Row],[PATENTE]],'BASE DATOS'!F:L,7,0)</f>
        <v>2017</v>
      </c>
      <c r="K699" s="619">
        <f>+VLOOKUP(Tabla3[[#This Row],[PATENTE]],'BASE DATOS'!F:M,8,0)</f>
        <v>8</v>
      </c>
      <c r="N699" s="826"/>
      <c r="O699" s="1015"/>
      <c r="P699" s="1015"/>
      <c r="Q699" s="1015"/>
      <c r="R699" s="826"/>
    </row>
    <row r="700" spans="1:18" hidden="1">
      <c r="A700" s="578" t="s">
        <v>883</v>
      </c>
      <c r="B700" s="584">
        <v>3</v>
      </c>
      <c r="C700" s="589">
        <v>45929</v>
      </c>
      <c r="D700" s="582">
        <f t="shared" si="27"/>
        <v>40</v>
      </c>
      <c r="E700" s="618" t="str">
        <f>+VLOOKUP(Tabla3[[#This Row],[PATENTE]],'BASE DATOS'!F:G,2,0)</f>
        <v xml:space="preserve">PACHECO JULIO - ACI503 </v>
      </c>
      <c r="F700" s="584" t="str">
        <f>+VLOOKUP(Tabla3[[#This Row],[PATENTE]],'BASE DATOS'!F:H,3,0)</f>
        <v>12P</v>
      </c>
      <c r="G700" s="584" t="str">
        <f>+VLOOKUP(Tabla3[[#This Row],[PATENTE]],'BASE DATOS'!F:I,4,0)</f>
        <v>NO</v>
      </c>
      <c r="H700" s="584" t="str">
        <f>+VLOOKUP(Tabla3[[#This Row],[PATENTE]],'BASE DATOS'!F:J,5,0)</f>
        <v>SI</v>
      </c>
      <c r="I700" s="584" t="str">
        <f>+VLOOKUP(Tabla3[[#This Row],[PATENTE]],'BASE DATOS'!F:K,6,0)</f>
        <v>SI</v>
      </c>
      <c r="J700" s="584">
        <f>+VLOOKUP(Tabla3[[#This Row],[PATENTE]],'BASE DATOS'!F:L,7,0)</f>
        <v>2000</v>
      </c>
      <c r="K700" s="619">
        <f>+VLOOKUP(Tabla3[[#This Row],[PATENTE]],'BASE DATOS'!F:M,8,0)</f>
        <v>25</v>
      </c>
      <c r="N700" s="826"/>
      <c r="O700" s="1015"/>
      <c r="P700" s="1015"/>
      <c r="Q700" s="1015"/>
      <c r="R700" s="826"/>
    </row>
    <row r="701" spans="1:18" hidden="1">
      <c r="A701" s="578" t="s">
        <v>880</v>
      </c>
      <c r="B701" s="584">
        <v>3</v>
      </c>
      <c r="C701" s="589">
        <v>45929</v>
      </c>
      <c r="D701" s="582">
        <f t="shared" si="27"/>
        <v>40</v>
      </c>
      <c r="E701" s="618" t="str">
        <f>+VLOOKUP(Tabla3[[#This Row],[PATENTE]],'BASE DATOS'!F:G,2,0)</f>
        <v xml:space="preserve">LAURIA (SERVAL) - AD575XK </v>
      </c>
      <c r="F701" s="584" t="str">
        <f>+VLOOKUP(Tabla3[[#This Row],[PATENTE]],'BASE DATOS'!F:H,3,0)</f>
        <v>8P</v>
      </c>
      <c r="G701" s="584" t="str">
        <f>+VLOOKUP(Tabla3[[#This Row],[PATENTE]],'BASE DATOS'!F:I,4,0)</f>
        <v>SI</v>
      </c>
      <c r="H701" s="584" t="str">
        <f>+VLOOKUP(Tabla3[[#This Row],[PATENTE]],'BASE DATOS'!F:J,5,0)</f>
        <v>SI</v>
      </c>
      <c r="I701" s="584" t="str">
        <f>+VLOOKUP(Tabla3[[#This Row],[PATENTE]],'BASE DATOS'!F:K,6,0)</f>
        <v>NO</v>
      </c>
      <c r="J701" s="584">
        <f>+VLOOKUP(Tabla3[[#This Row],[PATENTE]],'BASE DATOS'!F:L,7,0)</f>
        <v>2019</v>
      </c>
      <c r="K701" s="619">
        <f>+VLOOKUP(Tabla3[[#This Row],[PATENTE]],'BASE DATOS'!F:M,8,0)</f>
        <v>6</v>
      </c>
      <c r="N701" s="826"/>
      <c r="O701" s="1015"/>
      <c r="P701" s="1015"/>
      <c r="Q701" s="1015"/>
      <c r="R701" s="826"/>
    </row>
    <row r="702" spans="1:18" hidden="1">
      <c r="A702" s="578" t="s">
        <v>922</v>
      </c>
      <c r="B702" s="584">
        <v>3</v>
      </c>
      <c r="C702" s="589">
        <v>45929</v>
      </c>
      <c r="D702" s="582">
        <f t="shared" si="27"/>
        <v>40</v>
      </c>
      <c r="E702" s="618" t="str">
        <f>+VLOOKUP(Tabla3[[#This Row],[PATENTE]],'BASE DATOS'!F:G,2,0)</f>
        <v>LAURIA (SERVAL) - AF342ZY</v>
      </c>
      <c r="F702" s="584" t="str">
        <f>+VLOOKUP(Tabla3[[#This Row],[PATENTE]],'BASE DATOS'!F:H,3,0)</f>
        <v>8P</v>
      </c>
      <c r="G702" s="584" t="str">
        <f>+VLOOKUP(Tabla3[[#This Row],[PATENTE]],'BASE DATOS'!F:I,4,0)</f>
        <v>SI</v>
      </c>
      <c r="H702" s="584" t="str">
        <f>+VLOOKUP(Tabla3[[#This Row],[PATENTE]],'BASE DATOS'!F:J,5,0)</f>
        <v>SI</v>
      </c>
      <c r="I702" s="584" t="str">
        <f>+VLOOKUP(Tabla3[[#This Row],[PATENTE]],'BASE DATOS'!F:K,6,0)</f>
        <v>NO</v>
      </c>
      <c r="J702" s="584">
        <f>+VLOOKUP(Tabla3[[#This Row],[PATENTE]],'BASE DATOS'!F:L,7,0)</f>
        <v>2022</v>
      </c>
      <c r="K702" s="619">
        <f>+VLOOKUP(Tabla3[[#This Row],[PATENTE]],'BASE DATOS'!F:M,8,0)</f>
        <v>3</v>
      </c>
      <c r="N702" s="826"/>
      <c r="O702" s="1015"/>
      <c r="P702" s="1015"/>
      <c r="Q702" s="1015"/>
      <c r="R702" s="826"/>
    </row>
    <row r="703" spans="1:18" hidden="1">
      <c r="A703" s="578" t="s">
        <v>903</v>
      </c>
      <c r="B703" s="584">
        <v>3</v>
      </c>
      <c r="C703" s="589">
        <v>45929</v>
      </c>
      <c r="D703" s="582">
        <f t="shared" si="27"/>
        <v>40</v>
      </c>
      <c r="E703" s="618" t="str">
        <f>+VLOOKUP(Tabla3[[#This Row],[PATENTE]],'BASE DATOS'!F:G,2,0)</f>
        <v xml:space="preserve">TRANSP CLAUDIO BUSTOS - AG243PE </v>
      </c>
      <c r="F703" s="584" t="str">
        <f>+VLOOKUP(Tabla3[[#This Row],[PATENTE]],'BASE DATOS'!F:H,3,0)</f>
        <v>1P</v>
      </c>
      <c r="G703" s="584" t="str">
        <f>+VLOOKUP(Tabla3[[#This Row],[PATENTE]],'BASE DATOS'!F:I,4,0)</f>
        <v>SI</v>
      </c>
      <c r="H703" s="584" t="str">
        <f>+VLOOKUP(Tabla3[[#This Row],[PATENTE]],'BASE DATOS'!F:J,5,0)</f>
        <v>SI</v>
      </c>
      <c r="I703" s="584" t="str">
        <f>+VLOOKUP(Tabla3[[#This Row],[PATENTE]],'BASE DATOS'!F:K,6,0)</f>
        <v>NO</v>
      </c>
      <c r="J703" s="584">
        <f>+VLOOKUP(Tabla3[[#This Row],[PATENTE]],'BASE DATOS'!F:L,7,0)</f>
        <v>2024</v>
      </c>
      <c r="K703" s="619">
        <f>+VLOOKUP(Tabla3[[#This Row],[PATENTE]],'BASE DATOS'!F:M,8,0)</f>
        <v>1</v>
      </c>
      <c r="N703" s="826"/>
      <c r="O703" s="1015"/>
      <c r="P703" s="1015"/>
      <c r="Q703" s="1015"/>
      <c r="R703" s="826"/>
    </row>
    <row r="704" spans="1:18" hidden="1">
      <c r="A704" s="578" t="s">
        <v>916</v>
      </c>
      <c r="B704" s="584">
        <v>3</v>
      </c>
      <c r="C704" s="589">
        <v>45929</v>
      </c>
      <c r="D704" s="582">
        <f t="shared" si="27"/>
        <v>40</v>
      </c>
      <c r="E704" s="618" t="str">
        <f>+VLOOKUP(Tabla3[[#This Row],[PATENTE]],'BASE DATOS'!F:G,2,0)</f>
        <v xml:space="preserve">TRANSP MAIDANA CARLOS - EYP088 </v>
      </c>
      <c r="F704" s="584" t="str">
        <f>+VLOOKUP(Tabla3[[#This Row],[PATENTE]],'BASE DATOS'!F:H,3,0)</f>
        <v>6P</v>
      </c>
      <c r="G704" s="584" t="str">
        <f>+VLOOKUP(Tabla3[[#This Row],[PATENTE]],'BASE DATOS'!F:I,4,0)</f>
        <v>SI</v>
      </c>
      <c r="H704" s="584" t="str">
        <f>+VLOOKUP(Tabla3[[#This Row],[PATENTE]],'BASE DATOS'!F:J,5,0)</f>
        <v>SI</v>
      </c>
      <c r="I704" s="584" t="str">
        <f>+VLOOKUP(Tabla3[[#This Row],[PATENTE]],'BASE DATOS'!F:K,6,0)</f>
        <v>NO</v>
      </c>
      <c r="J704" s="584">
        <f>+VLOOKUP(Tabla3[[#This Row],[PATENTE]],'BASE DATOS'!F:L,7,0)</f>
        <v>2006</v>
      </c>
      <c r="K704" s="619">
        <f>+VLOOKUP(Tabla3[[#This Row],[PATENTE]],'BASE DATOS'!F:M,8,0)</f>
        <v>19</v>
      </c>
      <c r="N704" s="826"/>
      <c r="O704" s="1015"/>
      <c r="P704" s="1015"/>
      <c r="Q704" s="1015"/>
      <c r="R704" s="826"/>
    </row>
    <row r="705" spans="1:18" hidden="1">
      <c r="A705" s="578" t="s">
        <v>915</v>
      </c>
      <c r="B705" s="584">
        <v>3</v>
      </c>
      <c r="C705" s="589">
        <v>45929</v>
      </c>
      <c r="D705" s="582">
        <f t="shared" si="27"/>
        <v>40</v>
      </c>
      <c r="E705" s="618" t="str">
        <f>+VLOOKUP(Tabla3[[#This Row],[PATENTE]],'BASE DATOS'!F:G,2,0)</f>
        <v>TRANSPORTE GRACIELA - FPL254</v>
      </c>
      <c r="F705" s="584" t="str">
        <f>+VLOOKUP(Tabla3[[#This Row],[PATENTE]],'BASE DATOS'!F:H,3,0)</f>
        <v>2P</v>
      </c>
      <c r="G705" s="584" t="str">
        <f>+VLOOKUP(Tabla3[[#This Row],[PATENTE]],'BASE DATOS'!F:I,4,0)</f>
        <v>SI</v>
      </c>
      <c r="H705" s="584" t="str">
        <f>+VLOOKUP(Tabla3[[#This Row],[PATENTE]],'BASE DATOS'!F:J,5,0)</f>
        <v>NO (CAMI)</v>
      </c>
      <c r="I705" s="584" t="str">
        <f>+VLOOKUP(Tabla3[[#This Row],[PATENTE]],'BASE DATOS'!F:K,6,0)</f>
        <v>NO</v>
      </c>
      <c r="J705" s="584">
        <f>+VLOOKUP(Tabla3[[#This Row],[PATENTE]],'BASE DATOS'!F:L,7,0)</f>
        <v>2012</v>
      </c>
      <c r="K705" s="619">
        <f>+VLOOKUP(Tabla3[[#This Row],[PATENTE]],'BASE DATOS'!F:M,8,0)</f>
        <v>13</v>
      </c>
      <c r="N705" s="826"/>
      <c r="O705" s="1015"/>
      <c r="P705" s="1015"/>
      <c r="Q705" s="1015"/>
      <c r="R705" s="826"/>
    </row>
    <row r="706" spans="1:18" hidden="1">
      <c r="A706" s="578" t="s">
        <v>892</v>
      </c>
      <c r="B706" s="584">
        <v>3</v>
      </c>
      <c r="C706" s="589">
        <v>45929</v>
      </c>
      <c r="D706" s="582">
        <f t="shared" si="27"/>
        <v>40</v>
      </c>
      <c r="E706" s="618" t="str">
        <f>+VLOOKUP(Tabla3[[#This Row],[PATENTE]],'BASE DATOS'!F:G,2,0)</f>
        <v xml:space="preserve">COLO - FTL525 </v>
      </c>
      <c r="F706" s="584" t="str">
        <f>+VLOOKUP(Tabla3[[#This Row],[PATENTE]],'BASE DATOS'!F:H,3,0)</f>
        <v>1P</v>
      </c>
      <c r="G706" s="584" t="str">
        <f>+VLOOKUP(Tabla3[[#This Row],[PATENTE]],'BASE DATOS'!F:I,4,0)</f>
        <v>NO</v>
      </c>
      <c r="H706" s="584" t="str">
        <f>+VLOOKUP(Tabla3[[#This Row],[PATENTE]],'BASE DATOS'!F:J,5,0)</f>
        <v>SI</v>
      </c>
      <c r="I706" s="584" t="str">
        <f>+VLOOKUP(Tabla3[[#This Row],[PATENTE]],'BASE DATOS'!F:K,6,0)</f>
        <v>NO</v>
      </c>
      <c r="J706" s="584">
        <f>+VLOOKUP(Tabla3[[#This Row],[PATENTE]],'BASE DATOS'!F:L,7,0)</f>
        <v>2008</v>
      </c>
      <c r="K706" s="619">
        <f>+VLOOKUP(Tabla3[[#This Row],[PATENTE]],'BASE DATOS'!F:M,8,0)</f>
        <v>17</v>
      </c>
      <c r="N706" s="826"/>
      <c r="O706" s="1015"/>
      <c r="P706" s="1015"/>
      <c r="Q706" s="1015"/>
      <c r="R706" s="826"/>
    </row>
    <row r="707" spans="1:18" hidden="1">
      <c r="A707" s="578" t="s">
        <v>933</v>
      </c>
      <c r="B707" s="584">
        <v>3</v>
      </c>
      <c r="C707" s="589">
        <v>45929</v>
      </c>
      <c r="D707" s="582">
        <f t="shared" si="27"/>
        <v>40</v>
      </c>
      <c r="E707" s="618" t="str">
        <f>+VLOOKUP(Tabla3[[#This Row],[PATENTE]],'BASE DATOS'!F:G,2,0)</f>
        <v xml:space="preserve">TRANSPORTE GENA GAIA - IKE806 </v>
      </c>
      <c r="F707" s="584" t="str">
        <f>+VLOOKUP(Tabla3[[#This Row],[PATENTE]],'BASE DATOS'!F:H,3,0)</f>
        <v>24P</v>
      </c>
      <c r="G707" s="584" t="str">
        <f>+VLOOKUP(Tabla3[[#This Row],[PATENTE]],'BASE DATOS'!F:I,4,0)</f>
        <v>Gestya</v>
      </c>
      <c r="H707" s="584" t="str">
        <f>+VLOOKUP(Tabla3[[#This Row],[PATENTE]],'BASE DATOS'!F:J,5,0)</f>
        <v xml:space="preserve">NO </v>
      </c>
      <c r="I707" s="584" t="str">
        <f>+VLOOKUP(Tabla3[[#This Row],[PATENTE]],'BASE DATOS'!F:K,6,0)</f>
        <v>NO</v>
      </c>
      <c r="J707" s="584">
        <f>+VLOOKUP(Tabla3[[#This Row],[PATENTE]],'BASE DATOS'!F:L,7,0)</f>
        <v>2010</v>
      </c>
      <c r="K707" s="619">
        <f>+VLOOKUP(Tabla3[[#This Row],[PATENTE]],'BASE DATOS'!F:M,8,0)</f>
        <v>15</v>
      </c>
      <c r="N707" s="826"/>
      <c r="O707" s="1015"/>
      <c r="P707" s="1015"/>
      <c r="Q707" s="1015"/>
      <c r="R707" s="826"/>
    </row>
    <row r="708" spans="1:18" hidden="1">
      <c r="A708" s="578" t="s">
        <v>900</v>
      </c>
      <c r="B708" s="584">
        <v>3</v>
      </c>
      <c r="C708" s="589">
        <v>45929</v>
      </c>
      <c r="D708" s="582">
        <f t="shared" si="27"/>
        <v>40</v>
      </c>
      <c r="E708" s="618" t="str">
        <f>+VLOOKUP(Tabla3[[#This Row],[PATENTE]],'BASE DATOS'!F:G,2,0)</f>
        <v>TRANSPORTE GENA GAIA - IMO939</v>
      </c>
      <c r="F708" s="584" t="str">
        <f>+VLOOKUP(Tabla3[[#This Row],[PATENTE]],'BASE DATOS'!F:H,3,0)</f>
        <v>24P</v>
      </c>
      <c r="G708" s="584" t="str">
        <f>+VLOOKUP(Tabla3[[#This Row],[PATENTE]],'BASE DATOS'!F:I,4,0)</f>
        <v>Gestya</v>
      </c>
      <c r="H708" s="584" t="str">
        <f>+VLOOKUP(Tabla3[[#This Row],[PATENTE]],'BASE DATOS'!F:J,5,0)</f>
        <v xml:space="preserve">NO </v>
      </c>
      <c r="I708" s="584" t="str">
        <f>+VLOOKUP(Tabla3[[#This Row],[PATENTE]],'BASE DATOS'!F:K,6,0)</f>
        <v>NO</v>
      </c>
      <c r="J708" s="584">
        <f>+VLOOKUP(Tabla3[[#This Row],[PATENTE]],'BASE DATOS'!F:L,7,0)</f>
        <v>2010</v>
      </c>
      <c r="K708" s="619">
        <f>+VLOOKUP(Tabla3[[#This Row],[PATENTE]],'BASE DATOS'!F:M,8,0)</f>
        <v>15</v>
      </c>
      <c r="N708" s="826"/>
      <c r="O708" s="1015"/>
      <c r="P708" s="1015"/>
      <c r="Q708" s="1015"/>
      <c r="R708" s="826"/>
    </row>
    <row r="709" spans="1:18" hidden="1">
      <c r="A709" s="578" t="s">
        <v>902</v>
      </c>
      <c r="B709" s="584">
        <v>3</v>
      </c>
      <c r="C709" s="589">
        <v>45929</v>
      </c>
      <c r="D709" s="582">
        <f t="shared" si="27"/>
        <v>40</v>
      </c>
      <c r="E709" s="618" t="str">
        <f>+VLOOKUP(Tabla3[[#This Row],[PATENTE]],'BASE DATOS'!F:G,2,0)</f>
        <v xml:space="preserve">GUSTAVO CERQUETTA - KZA644 </v>
      </c>
      <c r="F709" s="584" t="str">
        <f>+VLOOKUP(Tabla3[[#This Row],[PATENTE]],'BASE DATOS'!F:H,3,0)</f>
        <v>2P</v>
      </c>
      <c r="G709" s="584" t="str">
        <f>+VLOOKUP(Tabla3[[#This Row],[PATENTE]],'BASE DATOS'!F:I,4,0)</f>
        <v>NO</v>
      </c>
      <c r="H709" s="584" t="str">
        <f>+VLOOKUP(Tabla3[[#This Row],[PATENTE]],'BASE DATOS'!F:J,5,0)</f>
        <v>SI</v>
      </c>
      <c r="I709" s="584" t="str">
        <f>+VLOOKUP(Tabla3[[#This Row],[PATENTE]],'BASE DATOS'!F:K,6,0)</f>
        <v>NO</v>
      </c>
      <c r="J709" s="584">
        <f>+VLOOKUP(Tabla3[[#This Row],[PATENTE]],'BASE DATOS'!F:L,7,0)</f>
        <v>2012</v>
      </c>
      <c r="K709" s="619">
        <f>+VLOOKUP(Tabla3[[#This Row],[PATENTE]],'BASE DATOS'!F:M,8,0)</f>
        <v>13</v>
      </c>
      <c r="N709" s="826"/>
      <c r="O709" s="1015"/>
      <c r="P709" s="1015"/>
      <c r="Q709" s="1015"/>
      <c r="R709" s="826"/>
    </row>
    <row r="710" spans="1:18" hidden="1">
      <c r="A710" s="578" t="s">
        <v>897</v>
      </c>
      <c r="B710" s="584">
        <v>3</v>
      </c>
      <c r="C710" s="589">
        <v>45929</v>
      </c>
      <c r="D710" s="582">
        <f t="shared" si="27"/>
        <v>40</v>
      </c>
      <c r="E710" s="618" t="str">
        <f>+VLOOKUP(Tabla3[[#This Row],[PATENTE]],'BASE DATOS'!F:G,2,0)</f>
        <v xml:space="preserve">TRANSP CLAUDIO BUSTOS - LSG801 </v>
      </c>
      <c r="F710" s="584" t="str">
        <f>+VLOOKUP(Tabla3[[#This Row],[PATENTE]],'BASE DATOS'!F:H,3,0)</f>
        <v>2P</v>
      </c>
      <c r="G710" s="584" t="str">
        <f>+VLOOKUP(Tabla3[[#This Row],[PATENTE]],'BASE DATOS'!F:I,4,0)</f>
        <v>SI</v>
      </c>
      <c r="H710" s="584" t="str">
        <f>+VLOOKUP(Tabla3[[#This Row],[PATENTE]],'BASE DATOS'!F:J,5,0)</f>
        <v>SI</v>
      </c>
      <c r="I710" s="584" t="str">
        <f>+VLOOKUP(Tabla3[[#This Row],[PATENTE]],'BASE DATOS'!F:K,6,0)</f>
        <v>NO</v>
      </c>
      <c r="J710" s="584">
        <f>+VLOOKUP(Tabla3[[#This Row],[PATENTE]],'BASE DATOS'!F:L,7,0)</f>
        <v>2013</v>
      </c>
      <c r="K710" s="619">
        <f>+VLOOKUP(Tabla3[[#This Row],[PATENTE]],'BASE DATOS'!F:M,8,0)</f>
        <v>12</v>
      </c>
      <c r="N710" s="826"/>
      <c r="O710" s="1015"/>
      <c r="P710" s="1015"/>
      <c r="Q710" s="1015"/>
      <c r="R710" s="826"/>
    </row>
    <row r="711" spans="1:18" hidden="1">
      <c r="A711" s="578" t="s">
        <v>879</v>
      </c>
      <c r="B711" s="584">
        <v>3</v>
      </c>
      <c r="C711" s="589">
        <v>45929</v>
      </c>
      <c r="D711" s="582">
        <f t="shared" si="27"/>
        <v>40</v>
      </c>
      <c r="E711" s="618" t="str">
        <f>+VLOOKUP(Tabla3[[#This Row],[PATENTE]],'BASE DATOS'!F:G,2,0)</f>
        <v xml:space="preserve">TRANSP JP - OYP470 </v>
      </c>
      <c r="F711" s="584" t="str">
        <f>+VLOOKUP(Tabla3[[#This Row],[PATENTE]],'BASE DATOS'!F:H,3,0)</f>
        <v>8P</v>
      </c>
      <c r="G711" s="584" t="str">
        <f>+VLOOKUP(Tabla3[[#This Row],[PATENTE]],'BASE DATOS'!F:I,4,0)</f>
        <v>SI</v>
      </c>
      <c r="H711" s="584" t="str">
        <f>+VLOOKUP(Tabla3[[#This Row],[PATENTE]],'BASE DATOS'!F:J,5,0)</f>
        <v>SI</v>
      </c>
      <c r="I711" s="584" t="str">
        <f>+VLOOKUP(Tabla3[[#This Row],[PATENTE]],'BASE DATOS'!F:K,6,0)</f>
        <v>NO</v>
      </c>
      <c r="J711" s="584">
        <f>+VLOOKUP(Tabla3[[#This Row],[PATENTE]],'BASE DATOS'!F:L,7,0)</f>
        <v>2011</v>
      </c>
      <c r="K711" s="619">
        <f>+VLOOKUP(Tabla3[[#This Row],[PATENTE]],'BASE DATOS'!F:M,8,0)</f>
        <v>14</v>
      </c>
      <c r="N711" s="826"/>
      <c r="O711" s="1015"/>
      <c r="P711" s="1015"/>
      <c r="Q711" s="1015"/>
      <c r="R711" s="826"/>
    </row>
    <row r="712" spans="1:18" hidden="1">
      <c r="A712" s="578" t="s">
        <v>896</v>
      </c>
      <c r="B712" s="584">
        <v>3</v>
      </c>
      <c r="C712" s="589">
        <v>45929</v>
      </c>
      <c r="D712" s="582">
        <f t="shared" ref="D712:D719" si="28">+WEEKNUM(C712)</f>
        <v>40</v>
      </c>
      <c r="E712" s="618" t="str">
        <f>+VLOOKUP(Tabla3[[#This Row],[PATENTE]],'BASE DATOS'!F:G,2,0)</f>
        <v xml:space="preserve">TRANSP MAVIR - RHQ609 </v>
      </c>
      <c r="F712" s="584" t="str">
        <f>+VLOOKUP(Tabla3[[#This Row],[PATENTE]],'BASE DATOS'!F:H,3,0)</f>
        <v>10P</v>
      </c>
      <c r="G712" s="584" t="str">
        <f>+VLOOKUP(Tabla3[[#This Row],[PATENTE]],'BASE DATOS'!F:I,4,0)</f>
        <v>NO</v>
      </c>
      <c r="H712" s="584" t="str">
        <f>+VLOOKUP(Tabla3[[#This Row],[PATENTE]],'BASE DATOS'!F:J,5,0)</f>
        <v xml:space="preserve">NO </v>
      </c>
      <c r="I712" s="584" t="str">
        <f>+VLOOKUP(Tabla3[[#This Row],[PATENTE]],'BASE DATOS'!F:K,6,0)</f>
        <v>NO</v>
      </c>
      <c r="J712" s="584">
        <f>+VLOOKUP(Tabla3[[#This Row],[PATENTE]],'BASE DATOS'!F:L,7,0)</f>
        <v>1995</v>
      </c>
      <c r="K712" s="593">
        <v>0</v>
      </c>
      <c r="N712" s="826"/>
      <c r="O712" s="1015"/>
      <c r="P712" s="1015"/>
      <c r="Q712" s="1015"/>
      <c r="R712" s="826"/>
    </row>
    <row r="713" spans="1:18" hidden="1">
      <c r="A713" s="578" t="s">
        <v>878</v>
      </c>
      <c r="B713" s="584">
        <v>2</v>
      </c>
      <c r="C713" s="589">
        <v>45929</v>
      </c>
      <c r="D713" s="582">
        <f t="shared" si="28"/>
        <v>40</v>
      </c>
      <c r="E713" s="618" t="str">
        <f>+VLOOKUP(Tabla3[[#This Row],[PATENTE]],'BASE DATOS'!F:G,2,0)</f>
        <v xml:space="preserve">PACHECO JULIO - AA854LY </v>
      </c>
      <c r="F713" s="584" t="str">
        <f>+VLOOKUP(Tabla3[[#This Row],[PATENTE]],'BASE DATOS'!F:H,3,0)</f>
        <v>7P</v>
      </c>
      <c r="G713" s="584" t="str">
        <f>+VLOOKUP(Tabla3[[#This Row],[PATENTE]],'BASE DATOS'!F:I,4,0)</f>
        <v>SI</v>
      </c>
      <c r="H713" s="584" t="str">
        <f>+VLOOKUP(Tabla3[[#This Row],[PATENTE]],'BASE DATOS'!F:J,5,0)</f>
        <v>SI</v>
      </c>
      <c r="I713" s="584" t="str">
        <f>+VLOOKUP(Tabla3[[#This Row],[PATENTE]],'BASE DATOS'!F:K,6,0)</f>
        <v>NO</v>
      </c>
      <c r="J713" s="584">
        <f>+VLOOKUP(Tabla3[[#This Row],[PATENTE]],'BASE DATOS'!F:L,7,0)</f>
        <v>2016</v>
      </c>
      <c r="K713" s="619">
        <f>+VLOOKUP(Tabla3[[#This Row],[PATENTE]],'BASE DATOS'!F:M,8,0)</f>
        <v>9</v>
      </c>
      <c r="N713" s="826"/>
      <c r="O713" s="1015"/>
      <c r="P713" s="1015"/>
      <c r="Q713" s="1015"/>
      <c r="R713" s="826"/>
    </row>
    <row r="714" spans="1:18" hidden="1">
      <c r="A714" s="578" t="s">
        <v>1133</v>
      </c>
      <c r="B714" s="584">
        <v>2</v>
      </c>
      <c r="C714" s="589">
        <v>45929</v>
      </c>
      <c r="D714" s="582">
        <f t="shared" si="28"/>
        <v>40</v>
      </c>
      <c r="E714" s="618" t="str">
        <f>+VLOOKUP(Tabla3[[#This Row],[PATENTE]],'BASE DATOS'!F:G,2,0)</f>
        <v xml:space="preserve">BELLIMAR SRL - AB787MT </v>
      </c>
      <c r="F714" s="584" t="str">
        <f>+VLOOKUP(Tabla3[[#This Row],[PATENTE]],'BASE DATOS'!F:H,3,0)</f>
        <v>28P</v>
      </c>
      <c r="G714" s="584" t="str">
        <f>+VLOOKUP(Tabla3[[#This Row],[PATENTE]],'BASE DATOS'!F:I,4,0)</f>
        <v>NO</v>
      </c>
      <c r="H714" s="584" t="str">
        <f>+VLOOKUP(Tabla3[[#This Row],[PATENTE]],'BASE DATOS'!F:J,5,0)</f>
        <v xml:space="preserve">NO </v>
      </c>
      <c r="I714" s="584" t="str">
        <f>+VLOOKUP(Tabla3[[#This Row],[PATENTE]],'BASE DATOS'!F:K,6,0)</f>
        <v>NO</v>
      </c>
      <c r="J714" s="584">
        <f>+VLOOKUP(Tabla3[[#This Row],[PATENTE]],'BASE DATOS'!F:L,7,0)</f>
        <v>2017</v>
      </c>
      <c r="K714" s="619">
        <f>+VLOOKUP(Tabla3[[#This Row],[PATENTE]],'BASE DATOS'!F:M,8,0)</f>
        <v>8</v>
      </c>
      <c r="N714" s="826"/>
      <c r="O714" s="1015"/>
      <c r="P714" s="1015"/>
      <c r="Q714" s="1015"/>
      <c r="R714" s="826"/>
    </row>
    <row r="715" spans="1:18" hidden="1">
      <c r="A715" s="578" t="s">
        <v>890</v>
      </c>
      <c r="B715" s="584">
        <v>2</v>
      </c>
      <c r="C715" s="589">
        <v>45929</v>
      </c>
      <c r="D715" s="582">
        <f t="shared" si="28"/>
        <v>40</v>
      </c>
      <c r="E715" s="618" t="str">
        <f>+VLOOKUP(Tabla3[[#This Row],[PATENTE]],'BASE DATOS'!F:G,2,0)</f>
        <v xml:space="preserve">TRANSPORTE GRACIELA - AC040RO </v>
      </c>
      <c r="F715" s="584" t="str">
        <f>+VLOOKUP(Tabla3[[#This Row],[PATENTE]],'BASE DATOS'!F:H,3,0)</f>
        <v>1P</v>
      </c>
      <c r="G715" s="584" t="str">
        <f>+VLOOKUP(Tabla3[[#This Row],[PATENTE]],'BASE DATOS'!F:I,4,0)</f>
        <v>SI</v>
      </c>
      <c r="H715" s="584" t="str">
        <f>+VLOOKUP(Tabla3[[#This Row],[PATENTE]],'BASE DATOS'!F:J,5,0)</f>
        <v>ACEPTA( VER CAMI)</v>
      </c>
      <c r="I715" s="584" t="str">
        <f>+VLOOKUP(Tabla3[[#This Row],[PATENTE]],'BASE DATOS'!F:K,6,0)</f>
        <v>NO</v>
      </c>
      <c r="J715" s="584">
        <f>+VLOOKUP(Tabla3[[#This Row],[PATENTE]],'BASE DATOS'!F:L,7,0)</f>
        <v>2017</v>
      </c>
      <c r="K715" s="619">
        <f>+VLOOKUP(Tabla3[[#This Row],[PATENTE]],'BASE DATOS'!F:M,8,0)</f>
        <v>8</v>
      </c>
      <c r="N715" s="826"/>
      <c r="O715" s="1015"/>
      <c r="P715" s="1015"/>
      <c r="Q715" s="1015"/>
      <c r="R715" s="826"/>
    </row>
    <row r="716" spans="1:18" hidden="1">
      <c r="A716" s="581" t="s">
        <v>944</v>
      </c>
      <c r="B716" s="587">
        <v>2</v>
      </c>
      <c r="C716" s="589">
        <v>45929</v>
      </c>
      <c r="D716" s="583">
        <f t="shared" si="28"/>
        <v>40</v>
      </c>
      <c r="E716" s="620" t="str">
        <f>+VLOOKUP(Tabla3[[#This Row],[PATENTE]],'BASE DATOS'!F:G,2,0)</f>
        <v xml:space="preserve">TRANSPORTE GENA GAIA - BHG261 </v>
      </c>
      <c r="F716" s="587" t="str">
        <f>+VLOOKUP(Tabla3[[#This Row],[PATENTE]],'BASE DATOS'!F:H,3,0)</f>
        <v>26P</v>
      </c>
      <c r="G716" s="587" t="str">
        <f>+VLOOKUP(Tabla3[[#This Row],[PATENTE]],'BASE DATOS'!F:I,4,0)</f>
        <v>Gestya</v>
      </c>
      <c r="H716" s="584" t="str">
        <f>+VLOOKUP(Tabla3[[#This Row],[PATENTE]],'BASE DATOS'!F:J,5,0)</f>
        <v xml:space="preserve">NO </v>
      </c>
      <c r="I716" s="587" t="str">
        <f>+VLOOKUP(Tabla3[[#This Row],[PATENTE]],'BASE DATOS'!F:K,6,0)</f>
        <v>NO</v>
      </c>
      <c r="J716" s="587">
        <f>+VLOOKUP(Tabla3[[#This Row],[PATENTE]],'BASE DATOS'!F:L,7,0)</f>
        <v>1997</v>
      </c>
      <c r="K716" s="621">
        <f>+VLOOKUP(Tabla3[[#This Row],[PATENTE]],'BASE DATOS'!F:M,8,0)</f>
        <v>28</v>
      </c>
      <c r="N716" s="826"/>
      <c r="O716" s="1015"/>
      <c r="P716" s="1015"/>
      <c r="Q716" s="1015"/>
      <c r="R716" s="826"/>
    </row>
    <row r="717" spans="1:18" hidden="1">
      <c r="A717" s="578" t="s">
        <v>904</v>
      </c>
      <c r="B717" s="584">
        <v>2</v>
      </c>
      <c r="C717" s="589">
        <v>45929</v>
      </c>
      <c r="D717" s="582">
        <f t="shared" si="28"/>
        <v>40</v>
      </c>
      <c r="E717" s="618" t="str">
        <f>+VLOOKUP(Tabla3[[#This Row],[PATENTE]],'BASE DATOS'!F:G,2,0)</f>
        <v xml:space="preserve">ENRIQUE ROLLINO - DFO656 </v>
      </c>
      <c r="F717" s="584" t="str">
        <f>+VLOOKUP(Tabla3[[#This Row],[PATENTE]],'BASE DATOS'!F:H,3,0)</f>
        <v>6P</v>
      </c>
      <c r="G717" s="584" t="str">
        <f>+VLOOKUP(Tabla3[[#This Row],[PATENTE]],'BASE DATOS'!F:I,4,0)</f>
        <v>SI</v>
      </c>
      <c r="H717" s="584" t="str">
        <f>+VLOOKUP(Tabla3[[#This Row],[PATENTE]],'BASE DATOS'!F:J,5,0)</f>
        <v>SI</v>
      </c>
      <c r="I717" s="584" t="str">
        <f>+VLOOKUP(Tabla3[[#This Row],[PATENTE]],'BASE DATOS'!F:K,6,0)</f>
        <v>NO</v>
      </c>
      <c r="J717" s="584">
        <f>+VLOOKUP(Tabla3[[#This Row],[PATENTE]],'BASE DATOS'!F:L,7,0)</f>
        <v>2000</v>
      </c>
      <c r="K717" s="619">
        <f>+VLOOKUP(Tabla3[[#This Row],[PATENTE]],'BASE DATOS'!F:M,8,0)</f>
        <v>25</v>
      </c>
      <c r="N717" s="826"/>
      <c r="O717" s="1015"/>
      <c r="P717" s="1015"/>
      <c r="Q717" s="1015"/>
      <c r="R717" s="826"/>
    </row>
    <row r="718" spans="1:18" hidden="1">
      <c r="A718" s="578" t="s">
        <v>926</v>
      </c>
      <c r="B718" s="584">
        <v>2</v>
      </c>
      <c r="C718" s="589">
        <v>45929</v>
      </c>
      <c r="D718" s="582">
        <f t="shared" si="28"/>
        <v>40</v>
      </c>
      <c r="E718" s="618" t="str">
        <f>+VLOOKUP(Tabla3[[#This Row],[PATENTE]],'BASE DATOS'!F:G,2,0)</f>
        <v xml:space="preserve">TRANSPORTE GENA GAIA - DUF042 </v>
      </c>
      <c r="F718" s="584" t="str">
        <f>+VLOOKUP(Tabla3[[#This Row],[PATENTE]],'BASE DATOS'!F:H,3,0)</f>
        <v>24P</v>
      </c>
      <c r="G718" s="584" t="str">
        <f>+VLOOKUP(Tabla3[[#This Row],[PATENTE]],'BASE DATOS'!F:I,4,0)</f>
        <v>Gestya</v>
      </c>
      <c r="H718" s="584" t="str">
        <f>+VLOOKUP(Tabla3[[#This Row],[PATENTE]],'BASE DATOS'!F:J,5,0)</f>
        <v xml:space="preserve">NO </v>
      </c>
      <c r="I718" s="584" t="str">
        <f>+VLOOKUP(Tabla3[[#This Row],[PATENTE]],'BASE DATOS'!F:K,6,0)</f>
        <v>NO</v>
      </c>
      <c r="J718" s="584">
        <f>+VLOOKUP(Tabla3[[#This Row],[PATENTE]],'BASE DATOS'!F:L,7,0)</f>
        <v>2001</v>
      </c>
      <c r="K718" s="619">
        <f>+VLOOKUP(Tabla3[[#This Row],[PATENTE]],'BASE DATOS'!F:M,8,0)</f>
        <v>24</v>
      </c>
      <c r="N718" s="826"/>
      <c r="O718" s="1015"/>
      <c r="P718" s="1015"/>
      <c r="Q718" s="1015"/>
      <c r="R718" s="826"/>
    </row>
    <row r="719" spans="1:18" hidden="1">
      <c r="A719" s="578" t="s">
        <v>943</v>
      </c>
      <c r="B719" s="584">
        <v>2</v>
      </c>
      <c r="C719" s="589">
        <v>45929</v>
      </c>
      <c r="D719" s="582">
        <f t="shared" si="28"/>
        <v>40</v>
      </c>
      <c r="E719" s="618" t="str">
        <f>+VLOOKUP(Tabla3[[#This Row],[PATENTE]],'BASE DATOS'!F:G,2,0)</f>
        <v>GANZINI HUGO - KTJ626</v>
      </c>
      <c r="F719" s="584" t="str">
        <f>+VLOOKUP(Tabla3[[#This Row],[PATENTE]],'BASE DATOS'!F:H,3,0)</f>
        <v>8P</v>
      </c>
      <c r="G719" s="584" t="str">
        <f>+VLOOKUP(Tabla3[[#This Row],[PATENTE]],'BASE DATOS'!F:I,4,0)</f>
        <v>NO</v>
      </c>
      <c r="H719" s="584" t="str">
        <f>+VLOOKUP(Tabla3[[#This Row],[PATENTE]],'BASE DATOS'!F:J,5,0)</f>
        <v xml:space="preserve">NO </v>
      </c>
      <c r="I719" s="584" t="str">
        <f>+VLOOKUP(Tabla3[[#This Row],[PATENTE]],'BASE DATOS'!F:K,6,0)</f>
        <v>NO</v>
      </c>
      <c r="J719" s="584">
        <f>+VLOOKUP(Tabla3[[#This Row],[PATENTE]],'BASE DATOS'!F:L,7,0)</f>
        <v>2011</v>
      </c>
      <c r="K719" s="619">
        <f>+VLOOKUP(Tabla3[[#This Row],[PATENTE]],'BASE DATOS'!F:M,8,0)</f>
        <v>14</v>
      </c>
      <c r="N719" s="826"/>
      <c r="O719" s="1015"/>
      <c r="P719" s="1015"/>
      <c r="Q719" s="1015"/>
      <c r="R719" s="826"/>
    </row>
    <row r="720" spans="1:18" hidden="1">
      <c r="A720" s="578" t="s">
        <v>942</v>
      </c>
      <c r="B720" s="584">
        <v>1</v>
      </c>
      <c r="C720" s="589">
        <v>45929</v>
      </c>
      <c r="D720" s="582">
        <f t="shared" ref="D720:D748" si="29">+WEEKNUM(C720)</f>
        <v>40</v>
      </c>
      <c r="E720" s="618" t="str">
        <f>+VLOOKUP(Tabla3[[#This Row],[PATENTE]],'BASE DATOS'!F:G,2,0)</f>
        <v>GANZINI HUGO - AH599 - 1P</v>
      </c>
      <c r="F720" s="584" t="str">
        <f>+VLOOKUP(Tabla3[[#This Row],[PATENTE]],'BASE DATOS'!F:H,3,0)</f>
        <v>1P</v>
      </c>
      <c r="G720" s="584" t="str">
        <f>+VLOOKUP(Tabla3[[#This Row],[PATENTE]],'BASE DATOS'!F:I,4,0)</f>
        <v>NO</v>
      </c>
      <c r="H720" s="584" t="str">
        <f>+VLOOKUP(Tabla3[[#This Row],[PATENTE]],'BASE DATOS'!F:J,5,0)</f>
        <v>NO</v>
      </c>
      <c r="I720" s="584" t="str">
        <f>+VLOOKUP(Tabla3[[#This Row],[PATENTE]],'BASE DATOS'!F:K,6,0)</f>
        <v>NO</v>
      </c>
      <c r="J720" s="584">
        <f>+VLOOKUP(Tabla3[[#This Row],[PATENTE]],'BASE DATOS'!F:L,7,0)</f>
        <v>2025</v>
      </c>
      <c r="K720" s="619">
        <f>+VLOOKUP(Tabla3[[#This Row],[PATENTE]],'BASE DATOS'!F:M,8,0)</f>
        <v>0</v>
      </c>
      <c r="N720" s="826"/>
      <c r="O720" s="1015"/>
      <c r="P720" s="1015"/>
      <c r="Q720" s="1015"/>
      <c r="R720" s="826"/>
    </row>
    <row r="721" spans="1:18" hidden="1">
      <c r="A721" s="578" t="s">
        <v>929</v>
      </c>
      <c r="B721" s="584">
        <v>1</v>
      </c>
      <c r="C721" s="589">
        <v>45929</v>
      </c>
      <c r="D721" s="582">
        <f t="shared" si="29"/>
        <v>40</v>
      </c>
      <c r="E721" s="618" t="str">
        <f>+VLOOKUP(Tabla3[[#This Row],[PATENTE]],'BASE DATOS'!F:G,2,0)</f>
        <v xml:space="preserve">PRONTOMAR - BAI674 </v>
      </c>
      <c r="F721" s="584" t="str">
        <f>+VLOOKUP(Tabla3[[#This Row],[PATENTE]],'BASE DATOS'!F:H,3,0)</f>
        <v>14P</v>
      </c>
      <c r="G721" s="584" t="str">
        <f>+VLOOKUP(Tabla3[[#This Row],[PATENTE]],'BASE DATOS'!F:I,4,0)</f>
        <v>NO</v>
      </c>
      <c r="H721" s="584" t="str">
        <f>+VLOOKUP(Tabla3[[#This Row],[PATENTE]],'BASE DATOS'!F:J,5,0)</f>
        <v xml:space="preserve">NO </v>
      </c>
      <c r="I721" s="584" t="str">
        <f>+VLOOKUP(Tabla3[[#This Row],[PATENTE]],'BASE DATOS'!F:K,6,0)</f>
        <v>NO</v>
      </c>
      <c r="J721" s="584">
        <f>+VLOOKUP(Tabla3[[#This Row],[PATENTE]],'BASE DATOS'!F:L,7,0)</f>
        <v>1996</v>
      </c>
      <c r="K721" s="619">
        <f>+VLOOKUP(Tabla3[[#This Row],[PATENTE]],'BASE DATOS'!F:M,8,0)</f>
        <v>29</v>
      </c>
      <c r="N721" s="826"/>
      <c r="O721" s="1015"/>
      <c r="P721" s="1015"/>
      <c r="Q721" s="1015"/>
      <c r="R721" s="826"/>
    </row>
    <row r="722" spans="1:18" hidden="1">
      <c r="A722" s="578" t="s">
        <v>917</v>
      </c>
      <c r="B722" s="584">
        <v>1</v>
      </c>
      <c r="C722" s="589">
        <v>45929</v>
      </c>
      <c r="D722" s="582">
        <f t="shared" si="29"/>
        <v>40</v>
      </c>
      <c r="E722" s="618" t="str">
        <f>+VLOOKUP(Tabla3[[#This Row],[PATENTE]],'BASE DATOS'!F:G,2,0)</f>
        <v xml:space="preserve">PRONTOMAR - BUZ242 </v>
      </c>
      <c r="F722" s="584" t="str">
        <f>+VLOOKUP(Tabla3[[#This Row],[PATENTE]],'BASE DATOS'!F:H,3,0)</f>
        <v>16P</v>
      </c>
      <c r="G722" s="584" t="str">
        <f>+VLOOKUP(Tabla3[[#This Row],[PATENTE]],'BASE DATOS'!F:I,4,0)</f>
        <v>NO</v>
      </c>
      <c r="H722" s="584" t="str">
        <f>+VLOOKUP(Tabla3[[#This Row],[PATENTE]],'BASE DATOS'!F:J,5,0)</f>
        <v xml:space="preserve">NO </v>
      </c>
      <c r="I722" s="584" t="str">
        <f>+VLOOKUP(Tabla3[[#This Row],[PATENTE]],'BASE DATOS'!F:K,6,0)</f>
        <v>NO</v>
      </c>
      <c r="J722" s="584">
        <f>+VLOOKUP(Tabla3[[#This Row],[PATENTE]],'BASE DATOS'!F:L,7,0)</f>
        <v>1998</v>
      </c>
      <c r="K722" s="619">
        <f>+VLOOKUP(Tabla3[[#This Row],[PATENTE]],'BASE DATOS'!F:M,8,0)</f>
        <v>27</v>
      </c>
      <c r="N722" s="826"/>
      <c r="O722" s="1015"/>
      <c r="P722" s="1015"/>
      <c r="Q722" s="1015"/>
      <c r="R722" s="826"/>
    </row>
    <row r="723" spans="1:18" hidden="1">
      <c r="A723" s="578" t="s">
        <v>893</v>
      </c>
      <c r="B723" s="584">
        <v>1</v>
      </c>
      <c r="C723" s="589">
        <v>45929</v>
      </c>
      <c r="D723" s="582">
        <f t="shared" si="29"/>
        <v>40</v>
      </c>
      <c r="E723" s="618" t="str">
        <f>+VLOOKUP(Tabla3[[#This Row],[PATENTE]],'BASE DATOS'!F:G,2,0)</f>
        <v xml:space="preserve">GANZINI HUGO - CFF038 </v>
      </c>
      <c r="F723" s="584" t="str">
        <f>+VLOOKUP(Tabla3[[#This Row],[PATENTE]],'BASE DATOS'!F:H,3,0)</f>
        <v>2P</v>
      </c>
      <c r="G723" s="584" t="str">
        <f>+VLOOKUP(Tabla3[[#This Row],[PATENTE]],'BASE DATOS'!F:I,4,0)</f>
        <v>SI</v>
      </c>
      <c r="H723" s="584" t="str">
        <f>+VLOOKUP(Tabla3[[#This Row],[PATENTE]],'BASE DATOS'!F:J,5,0)</f>
        <v>SI</v>
      </c>
      <c r="I723" s="584" t="str">
        <f>+VLOOKUP(Tabla3[[#This Row],[PATENTE]],'BASE DATOS'!F:K,6,0)</f>
        <v>NO</v>
      </c>
      <c r="J723" s="584">
        <f>+VLOOKUP(Tabla3[[#This Row],[PATENTE]],'BASE DATOS'!F:L,7,0)</f>
        <v>1999</v>
      </c>
      <c r="K723" s="619">
        <f>+VLOOKUP(Tabla3[[#This Row],[PATENTE]],'BASE DATOS'!F:M,8,0)</f>
        <v>26</v>
      </c>
      <c r="N723" s="826"/>
      <c r="O723" s="1015"/>
      <c r="P723" s="1015"/>
      <c r="Q723" s="1015"/>
      <c r="R723" s="826"/>
    </row>
    <row r="724" spans="1:18" hidden="1">
      <c r="A724" s="578" t="s">
        <v>918</v>
      </c>
      <c r="B724" s="584">
        <v>1</v>
      </c>
      <c r="C724" s="589">
        <v>45929</v>
      </c>
      <c r="D724" s="582">
        <f t="shared" si="29"/>
        <v>40</v>
      </c>
      <c r="E724" s="618" t="str">
        <f>+VLOOKUP(Tabla3[[#This Row],[PATENTE]],'BASE DATOS'!F:G,2,0)</f>
        <v>TRANSPORTE GENA GAIA - DGO507</v>
      </c>
      <c r="F724" s="584" t="str">
        <f>+VLOOKUP(Tabla3[[#This Row],[PATENTE]],'BASE DATOS'!F:H,3,0)</f>
        <v>24P</v>
      </c>
      <c r="G724" s="584" t="str">
        <f>+VLOOKUP(Tabla3[[#This Row],[PATENTE]],'BASE DATOS'!F:I,4,0)</f>
        <v>Gestya</v>
      </c>
      <c r="H724" s="584" t="str">
        <f>+VLOOKUP(Tabla3[[#This Row],[PATENTE]],'BASE DATOS'!F:J,5,0)</f>
        <v xml:space="preserve">NO </v>
      </c>
      <c r="I724" s="584" t="str">
        <f>+VLOOKUP(Tabla3[[#This Row],[PATENTE]],'BASE DATOS'!F:K,6,0)</f>
        <v>NO</v>
      </c>
      <c r="J724" s="584">
        <f>+VLOOKUP(Tabla3[[#This Row],[PATENTE]],'BASE DATOS'!F:L,7,0)</f>
        <v>2001</v>
      </c>
      <c r="K724" s="619">
        <f>+VLOOKUP(Tabla3[[#This Row],[PATENTE]],'BASE DATOS'!F:M,8,0)</f>
        <v>24</v>
      </c>
      <c r="N724" s="826"/>
      <c r="O724" s="1015"/>
      <c r="P724" s="1015"/>
      <c r="Q724" s="1015"/>
      <c r="R724" s="826"/>
    </row>
    <row r="725" spans="1:18" hidden="1">
      <c r="A725" s="578" t="s">
        <v>930</v>
      </c>
      <c r="B725" s="584">
        <v>1</v>
      </c>
      <c r="C725" s="589">
        <v>45929</v>
      </c>
      <c r="D725" s="582">
        <f t="shared" si="29"/>
        <v>40</v>
      </c>
      <c r="E725" s="618" t="str">
        <f>+VLOOKUP(Tabla3[[#This Row],[PATENTE]],'BASE DATOS'!F:G,2,0)</f>
        <v xml:space="preserve">GANZINI HUGO - JJF375 </v>
      </c>
      <c r="F725" s="584" t="str">
        <f>+VLOOKUP(Tabla3[[#This Row],[PATENTE]],'BASE DATOS'!F:H,3,0)</f>
        <v>14P</v>
      </c>
      <c r="G725" s="584" t="str">
        <f>+VLOOKUP(Tabla3[[#This Row],[PATENTE]],'BASE DATOS'!F:I,4,0)</f>
        <v>SI</v>
      </c>
      <c r="H725" s="584" t="str">
        <f>+VLOOKUP(Tabla3[[#This Row],[PATENTE]],'BASE DATOS'!F:J,5,0)</f>
        <v xml:space="preserve">NO </v>
      </c>
      <c r="I725" s="584" t="str">
        <f>+VLOOKUP(Tabla3[[#This Row],[PATENTE]],'BASE DATOS'!F:K,6,0)</f>
        <v>NO</v>
      </c>
      <c r="J725" s="584">
        <f>+VLOOKUP(Tabla3[[#This Row],[PATENTE]],'BASE DATOS'!F:L,7,0)</f>
        <v>2011</v>
      </c>
      <c r="K725" s="619">
        <f>+VLOOKUP(Tabla3[[#This Row],[PATENTE]],'BASE DATOS'!F:M,8,0)</f>
        <v>14</v>
      </c>
      <c r="N725" s="826"/>
      <c r="O725" s="1015"/>
      <c r="P725" s="1015"/>
      <c r="Q725" s="1015"/>
      <c r="R725" s="826"/>
    </row>
    <row r="726" spans="1:18" hidden="1">
      <c r="A726" s="578" t="s">
        <v>898</v>
      </c>
      <c r="B726" s="584">
        <v>6</v>
      </c>
      <c r="C726" s="589">
        <v>45936</v>
      </c>
      <c r="D726" s="582">
        <f t="shared" si="29"/>
        <v>41</v>
      </c>
      <c r="E726" s="618" t="str">
        <f>+VLOOKUP(Tabla3[[#This Row],[PATENTE]],'BASE DATOS'!F:G,2,0)</f>
        <v xml:space="preserve">TRANSP BERMEJO - NXP980 </v>
      </c>
      <c r="F726" s="584" t="str">
        <f>+VLOOKUP(Tabla3[[#This Row],[PATENTE]],'BASE DATOS'!F:H,3,0)</f>
        <v>12P</v>
      </c>
      <c r="G726" s="584" t="str">
        <f>+VLOOKUP(Tabla3[[#This Row],[PATENTE]],'BASE DATOS'!F:I,4,0)</f>
        <v>SI</v>
      </c>
      <c r="H726" s="584" t="str">
        <f>+VLOOKUP(Tabla3[[#This Row],[PATENTE]],'BASE DATOS'!F:J,5,0)</f>
        <v>SI</v>
      </c>
      <c r="I726" s="584" t="str">
        <f>+VLOOKUP(Tabla3[[#This Row],[PATENTE]],'BASE DATOS'!F:K,6,0)</f>
        <v>SI</v>
      </c>
      <c r="J726" s="584">
        <f>+VLOOKUP(Tabla3[[#This Row],[PATENTE]],'BASE DATOS'!F:L,7,0)</f>
        <v>2015</v>
      </c>
      <c r="K726" s="619">
        <f>+VLOOKUP(Tabla3[[#This Row],[PATENTE]],'BASE DATOS'!F:M,8,0)</f>
        <v>10</v>
      </c>
      <c r="N726" s="826"/>
      <c r="O726" s="1015"/>
      <c r="P726" s="1015"/>
      <c r="Q726" s="1015"/>
      <c r="R726" s="826"/>
    </row>
    <row r="727" spans="1:18" hidden="1">
      <c r="A727" s="578" t="s">
        <v>936</v>
      </c>
      <c r="B727" s="584">
        <v>5</v>
      </c>
      <c r="C727" s="589">
        <v>45936</v>
      </c>
      <c r="D727" s="582">
        <f t="shared" si="29"/>
        <v>41</v>
      </c>
      <c r="E727" s="618" t="str">
        <f>+VLOOKUP(Tabla3[[#This Row],[PATENTE]],'BASE DATOS'!F:G,2,0)</f>
        <v>TRANSP YANINA  LUONGO - AA050HC</v>
      </c>
      <c r="F727" s="584" t="str">
        <f>+VLOOKUP(Tabla3[[#This Row],[PATENTE]],'BASE DATOS'!F:H,3,0)</f>
        <v>1.5P</v>
      </c>
      <c r="G727" s="584" t="str">
        <f>+VLOOKUP(Tabla3[[#This Row],[PATENTE]],'BASE DATOS'!F:I,4,0)</f>
        <v>NO</v>
      </c>
      <c r="H727" s="584" t="str">
        <f>+VLOOKUP(Tabla3[[#This Row],[PATENTE]],'BASE DATOS'!F:J,5,0)</f>
        <v>SI</v>
      </c>
      <c r="I727" s="584" t="str">
        <f>+VLOOKUP(Tabla3[[#This Row],[PATENTE]],'BASE DATOS'!F:K,6,0)</f>
        <v>NO</v>
      </c>
      <c r="J727" s="584">
        <f>+VLOOKUP(Tabla3[[#This Row],[PATENTE]],'BASE DATOS'!F:L,7,0)</f>
        <v>2016</v>
      </c>
      <c r="K727" s="619">
        <f>+VLOOKUP(Tabla3[[#This Row],[PATENTE]],'BASE DATOS'!F:M,8,0)</f>
        <v>9</v>
      </c>
      <c r="N727" s="826"/>
      <c r="O727" s="1015"/>
      <c r="P727" s="1015"/>
      <c r="Q727" s="1015"/>
      <c r="R727" s="826"/>
    </row>
    <row r="728" spans="1:18" hidden="1">
      <c r="A728" s="578" t="s">
        <v>905</v>
      </c>
      <c r="B728" s="584">
        <v>5</v>
      </c>
      <c r="C728" s="589">
        <v>45936</v>
      </c>
      <c r="D728" s="582">
        <f t="shared" si="29"/>
        <v>41</v>
      </c>
      <c r="E728" s="618" t="str">
        <f>+VLOOKUP(Tabla3[[#This Row],[PATENTE]],'BASE DATOS'!F:G,2,0)</f>
        <v xml:space="preserve">J RIMOLDI - AB312SE </v>
      </c>
      <c r="F728" s="584" t="str">
        <f>+VLOOKUP(Tabla3[[#This Row],[PATENTE]],'BASE DATOS'!F:H,3,0)</f>
        <v>8P</v>
      </c>
      <c r="G728" s="584" t="str">
        <f>+VLOOKUP(Tabla3[[#This Row],[PATENTE]],'BASE DATOS'!F:I,4,0)</f>
        <v>SI</v>
      </c>
      <c r="H728" s="584" t="str">
        <f>+VLOOKUP(Tabla3[[#This Row],[PATENTE]],'BASE DATOS'!F:J,5,0)</f>
        <v>SI</v>
      </c>
      <c r="I728" s="584" t="str">
        <f>+VLOOKUP(Tabla3[[#This Row],[PATENTE]],'BASE DATOS'!F:K,6,0)</f>
        <v>NO</v>
      </c>
      <c r="J728" s="584">
        <f>+VLOOKUP(Tabla3[[#This Row],[PATENTE]],'BASE DATOS'!F:L,7,0)</f>
        <v>2017</v>
      </c>
      <c r="K728" s="619">
        <f>+VLOOKUP(Tabla3[[#This Row],[PATENTE]],'BASE DATOS'!F:M,8,0)</f>
        <v>8</v>
      </c>
      <c r="N728" s="826"/>
      <c r="O728" s="1015"/>
      <c r="P728" s="1015"/>
      <c r="Q728" s="1015"/>
      <c r="R728" s="826"/>
    </row>
    <row r="729" spans="1:18" hidden="1">
      <c r="A729" s="578" t="s">
        <v>883</v>
      </c>
      <c r="B729" s="584">
        <v>5</v>
      </c>
      <c r="C729" s="589">
        <v>45936</v>
      </c>
      <c r="D729" s="582">
        <f t="shared" si="29"/>
        <v>41</v>
      </c>
      <c r="E729" s="618" t="str">
        <f>+VLOOKUP(Tabla3[[#This Row],[PATENTE]],'BASE DATOS'!F:G,2,0)</f>
        <v xml:space="preserve">PACHECO JULIO - ACI503 </v>
      </c>
      <c r="F729" s="584" t="str">
        <f>+VLOOKUP(Tabla3[[#This Row],[PATENTE]],'BASE DATOS'!F:H,3,0)</f>
        <v>12P</v>
      </c>
      <c r="G729" s="584" t="str">
        <f>+VLOOKUP(Tabla3[[#This Row],[PATENTE]],'BASE DATOS'!F:I,4,0)</f>
        <v>NO</v>
      </c>
      <c r="H729" s="584" t="str">
        <f>+VLOOKUP(Tabla3[[#This Row],[PATENTE]],'BASE DATOS'!F:J,5,0)</f>
        <v>SI</v>
      </c>
      <c r="I729" s="584" t="str">
        <f>+VLOOKUP(Tabla3[[#This Row],[PATENTE]],'BASE DATOS'!F:K,6,0)</f>
        <v>SI</v>
      </c>
      <c r="J729" s="584">
        <f>+VLOOKUP(Tabla3[[#This Row],[PATENTE]],'BASE DATOS'!F:L,7,0)</f>
        <v>2000</v>
      </c>
      <c r="K729" s="619">
        <f>+VLOOKUP(Tabla3[[#This Row],[PATENTE]],'BASE DATOS'!F:M,8,0)</f>
        <v>25</v>
      </c>
      <c r="N729" s="826"/>
      <c r="O729" s="1015"/>
      <c r="P729" s="1015"/>
      <c r="Q729" s="1015"/>
      <c r="R729" s="826"/>
    </row>
    <row r="730" spans="1:18" hidden="1">
      <c r="A730" s="578" t="s">
        <v>888</v>
      </c>
      <c r="B730" s="584">
        <v>5</v>
      </c>
      <c r="C730" s="589">
        <v>45936</v>
      </c>
      <c r="D730" s="582">
        <f t="shared" si="29"/>
        <v>41</v>
      </c>
      <c r="E730" s="618" t="str">
        <f>+VLOOKUP(Tabla3[[#This Row],[PATENTE]],'BASE DATOS'!F:G,2,0)</f>
        <v xml:space="preserve">TRANSP FIRST CLASS - AD535UI </v>
      </c>
      <c r="F730" s="584" t="str">
        <f>+VLOOKUP(Tabla3[[#This Row],[PATENTE]],'BASE DATOS'!F:H,3,0)</f>
        <v>6P</v>
      </c>
      <c r="G730" s="584" t="str">
        <f>+VLOOKUP(Tabla3[[#This Row],[PATENTE]],'BASE DATOS'!F:I,4,0)</f>
        <v>SI</v>
      </c>
      <c r="H730" s="584" t="str">
        <f>+VLOOKUP(Tabla3[[#This Row],[PATENTE]],'BASE DATOS'!F:J,5,0)</f>
        <v>SI</v>
      </c>
      <c r="I730" s="584" t="str">
        <f>+VLOOKUP(Tabla3[[#This Row],[PATENTE]],'BASE DATOS'!F:K,6,0)</f>
        <v>NO</v>
      </c>
      <c r="J730" s="584">
        <f>+VLOOKUP(Tabla3[[#This Row],[PATENTE]],'BASE DATOS'!F:L,7,0)</f>
        <v>2019</v>
      </c>
      <c r="K730" s="619">
        <f>+VLOOKUP(Tabla3[[#This Row],[PATENTE]],'BASE DATOS'!F:M,8,0)</f>
        <v>6</v>
      </c>
      <c r="N730" s="826"/>
      <c r="O730" s="1015"/>
      <c r="P730" s="1015"/>
      <c r="Q730" s="1015"/>
      <c r="R730" s="826"/>
    </row>
    <row r="731" spans="1:18" hidden="1">
      <c r="A731" s="578" t="s">
        <v>921</v>
      </c>
      <c r="B731" s="584">
        <v>5</v>
      </c>
      <c r="C731" s="589">
        <v>45936</v>
      </c>
      <c r="D731" s="582">
        <f t="shared" si="29"/>
        <v>41</v>
      </c>
      <c r="E731" s="618" t="str">
        <f>+VLOOKUP(Tabla3[[#This Row],[PATENTE]],'BASE DATOS'!F:G,2,0)</f>
        <v xml:space="preserve">MAÑAS NORBERTO - CQQ304 </v>
      </c>
      <c r="F731" s="584" t="str">
        <f>+VLOOKUP(Tabla3[[#This Row],[PATENTE]],'BASE DATOS'!F:H,3,0)</f>
        <v>11P</v>
      </c>
      <c r="G731" s="584" t="str">
        <f>+VLOOKUP(Tabla3[[#This Row],[PATENTE]],'BASE DATOS'!F:I,4,0)</f>
        <v>SI</v>
      </c>
      <c r="H731" s="584" t="str">
        <f>+VLOOKUP(Tabla3[[#This Row],[PATENTE]],'BASE DATOS'!F:J,5,0)</f>
        <v>SI</v>
      </c>
      <c r="I731" s="584" t="str">
        <f>+VLOOKUP(Tabla3[[#This Row],[PATENTE]],'BASE DATOS'!F:K,6,0)</f>
        <v>NO</v>
      </c>
      <c r="J731" s="584">
        <f>+VLOOKUP(Tabla3[[#This Row],[PATENTE]],'BASE DATOS'!F:L,7,0)</f>
        <v>2000</v>
      </c>
      <c r="K731" s="619">
        <f>+VLOOKUP(Tabla3[[#This Row],[PATENTE]],'BASE DATOS'!F:M,8,0)</f>
        <v>25</v>
      </c>
      <c r="N731" s="826"/>
      <c r="O731" s="1015"/>
      <c r="P731" s="1015"/>
      <c r="Q731" s="1015"/>
      <c r="R731" s="826"/>
    </row>
    <row r="732" spans="1:18" hidden="1">
      <c r="A732" s="578" t="s">
        <v>904</v>
      </c>
      <c r="B732" s="584">
        <v>5</v>
      </c>
      <c r="C732" s="589">
        <v>45936</v>
      </c>
      <c r="D732" s="582">
        <f t="shared" si="29"/>
        <v>41</v>
      </c>
      <c r="E732" s="618" t="str">
        <f>+VLOOKUP(Tabla3[[#This Row],[PATENTE]],'BASE DATOS'!F:G,2,0)</f>
        <v xml:space="preserve">ENRIQUE ROLLINO - DFO656 </v>
      </c>
      <c r="F732" s="584" t="str">
        <f>+VLOOKUP(Tabla3[[#This Row],[PATENTE]],'BASE DATOS'!F:H,3,0)</f>
        <v>6P</v>
      </c>
      <c r="G732" s="584" t="str">
        <f>+VLOOKUP(Tabla3[[#This Row],[PATENTE]],'BASE DATOS'!F:I,4,0)</f>
        <v>SI</v>
      </c>
      <c r="H732" s="584" t="str">
        <f>+VLOOKUP(Tabla3[[#This Row],[PATENTE]],'BASE DATOS'!F:J,5,0)</f>
        <v>SI</v>
      </c>
      <c r="I732" s="584" t="str">
        <f>+VLOOKUP(Tabla3[[#This Row],[PATENTE]],'BASE DATOS'!F:K,6,0)</f>
        <v>NO</v>
      </c>
      <c r="J732" s="584">
        <f>+VLOOKUP(Tabla3[[#This Row],[PATENTE]],'BASE DATOS'!F:L,7,0)</f>
        <v>2000</v>
      </c>
      <c r="K732" s="619">
        <f>+VLOOKUP(Tabla3[[#This Row],[PATENTE]],'BASE DATOS'!F:M,8,0)</f>
        <v>25</v>
      </c>
      <c r="N732" s="826"/>
      <c r="O732" s="1015"/>
      <c r="P732" s="1015"/>
      <c r="Q732" s="1015"/>
      <c r="R732" s="826"/>
    </row>
    <row r="733" spans="1:18" hidden="1">
      <c r="A733" s="578" t="s">
        <v>926</v>
      </c>
      <c r="B733" s="584">
        <v>5</v>
      </c>
      <c r="C733" s="589">
        <v>45936</v>
      </c>
      <c r="D733" s="582">
        <f t="shared" si="29"/>
        <v>41</v>
      </c>
      <c r="E733" s="618" t="str">
        <f>+VLOOKUP(Tabla3[[#This Row],[PATENTE]],'BASE DATOS'!F:G,2,0)</f>
        <v xml:space="preserve">TRANSPORTE GENA GAIA - DUF042 </v>
      </c>
      <c r="F733" s="584" t="str">
        <f>+VLOOKUP(Tabla3[[#This Row],[PATENTE]],'BASE DATOS'!F:H,3,0)</f>
        <v>24P</v>
      </c>
      <c r="G733" s="584" t="str">
        <f>+VLOOKUP(Tabla3[[#This Row],[PATENTE]],'BASE DATOS'!F:I,4,0)</f>
        <v>Gestya</v>
      </c>
      <c r="H733" s="584" t="str">
        <f>+VLOOKUP(Tabla3[[#This Row],[PATENTE]],'BASE DATOS'!F:J,5,0)</f>
        <v xml:space="preserve">NO </v>
      </c>
      <c r="I733" s="584" t="str">
        <f>+VLOOKUP(Tabla3[[#This Row],[PATENTE]],'BASE DATOS'!F:K,6,0)</f>
        <v>NO</v>
      </c>
      <c r="J733" s="584">
        <f>+VLOOKUP(Tabla3[[#This Row],[PATENTE]],'BASE DATOS'!F:L,7,0)</f>
        <v>2001</v>
      </c>
      <c r="K733" s="619">
        <f>+VLOOKUP(Tabla3[[#This Row],[PATENTE]],'BASE DATOS'!F:M,8,0)</f>
        <v>24</v>
      </c>
      <c r="N733" s="826"/>
      <c r="O733" s="1015"/>
      <c r="P733" s="1015"/>
      <c r="Q733" s="1015"/>
      <c r="R733" s="826"/>
    </row>
    <row r="734" spans="1:18" hidden="1">
      <c r="A734" s="578" t="s">
        <v>881</v>
      </c>
      <c r="B734" s="584">
        <v>5</v>
      </c>
      <c r="C734" s="589">
        <v>45936</v>
      </c>
      <c r="D734" s="582">
        <f t="shared" si="29"/>
        <v>41</v>
      </c>
      <c r="E734" s="618" t="str">
        <f>+VLOOKUP(Tabla3[[#This Row],[PATENTE]],'BASE DATOS'!F:G,2,0)</f>
        <v xml:space="preserve">MAÑAS NORBERTO - DUQ686 </v>
      </c>
      <c r="F734" s="584" t="str">
        <f>+VLOOKUP(Tabla3[[#This Row],[PATENTE]],'BASE DATOS'!F:H,3,0)</f>
        <v>8P</v>
      </c>
      <c r="G734" s="584" t="str">
        <f>+VLOOKUP(Tabla3[[#This Row],[PATENTE]],'BASE DATOS'!F:I,4,0)</f>
        <v>SI</v>
      </c>
      <c r="H734" s="584" t="str">
        <f>+VLOOKUP(Tabla3[[#This Row],[PATENTE]],'BASE DATOS'!F:J,5,0)</f>
        <v>SI</v>
      </c>
      <c r="I734" s="584" t="str">
        <f>+VLOOKUP(Tabla3[[#This Row],[PATENTE]],'BASE DATOS'!F:K,6,0)</f>
        <v>NO</v>
      </c>
      <c r="J734" s="584">
        <f>+VLOOKUP(Tabla3[[#This Row],[PATENTE]],'BASE DATOS'!F:L,7,0)</f>
        <v>2001</v>
      </c>
      <c r="K734" s="619">
        <f>+VLOOKUP(Tabla3[[#This Row],[PATENTE]],'BASE DATOS'!F:M,8,0)</f>
        <v>24</v>
      </c>
      <c r="N734" s="826"/>
      <c r="O734" s="1015"/>
      <c r="P734" s="1015"/>
      <c r="Q734" s="1015"/>
      <c r="R734" s="826"/>
    </row>
    <row r="735" spans="1:18" hidden="1">
      <c r="A735" s="578" t="s">
        <v>932</v>
      </c>
      <c r="B735" s="584">
        <v>5</v>
      </c>
      <c r="C735" s="589">
        <v>45936</v>
      </c>
      <c r="D735" s="582">
        <f t="shared" si="29"/>
        <v>41</v>
      </c>
      <c r="E735" s="618" t="str">
        <f>+VLOOKUP(Tabla3[[#This Row],[PATENTE]],'BASE DATOS'!F:G,2,0)</f>
        <v xml:space="preserve">TRANSP MAVIR - EFL176 </v>
      </c>
      <c r="F735" s="584" t="str">
        <f>+VLOOKUP(Tabla3[[#This Row],[PATENTE]],'BASE DATOS'!F:H,3,0)</f>
        <v>12P</v>
      </c>
      <c r="G735" s="584" t="str">
        <f>+VLOOKUP(Tabla3[[#This Row],[PATENTE]],'BASE DATOS'!F:I,4,0)</f>
        <v>SI</v>
      </c>
      <c r="H735" s="584" t="str">
        <f>+VLOOKUP(Tabla3[[#This Row],[PATENTE]],'BASE DATOS'!F:J,5,0)</f>
        <v>SI</v>
      </c>
      <c r="I735" s="584" t="str">
        <f>+VLOOKUP(Tabla3[[#This Row],[PATENTE]],'BASE DATOS'!F:K,6,0)</f>
        <v>NO</v>
      </c>
      <c r="J735" s="584">
        <f>+VLOOKUP(Tabla3[[#This Row],[PATENTE]],'BASE DATOS'!F:L,7,0)</f>
        <v>1998</v>
      </c>
      <c r="K735" s="619">
        <f>+VLOOKUP(Tabla3[[#This Row],[PATENTE]],'BASE DATOS'!F:M,8,0)</f>
        <v>27</v>
      </c>
      <c r="N735" s="826"/>
      <c r="O735" s="1015"/>
      <c r="P735" s="1015"/>
      <c r="Q735" s="1015"/>
      <c r="R735" s="826"/>
    </row>
    <row r="736" spans="1:18" hidden="1">
      <c r="A736" s="578" t="s">
        <v>889</v>
      </c>
      <c r="B736" s="584">
        <v>5</v>
      </c>
      <c r="C736" s="589">
        <v>45936</v>
      </c>
      <c r="D736" s="582">
        <f t="shared" si="29"/>
        <v>41</v>
      </c>
      <c r="E736" s="618" t="str">
        <f>+VLOOKUP(Tabla3[[#This Row],[PATENTE]],'BASE DATOS'!F:G,2,0)</f>
        <v xml:space="preserve">COLO - HAW164 </v>
      </c>
      <c r="F736" s="584" t="str">
        <f>+VLOOKUP(Tabla3[[#This Row],[PATENTE]],'BASE DATOS'!F:H,3,0)</f>
        <v>6P</v>
      </c>
      <c r="G736" s="584" t="str">
        <f>+VLOOKUP(Tabla3[[#This Row],[PATENTE]],'BASE DATOS'!F:I,4,0)</f>
        <v>NO</v>
      </c>
      <c r="H736" s="584" t="str">
        <f>+VLOOKUP(Tabla3[[#This Row],[PATENTE]],'BASE DATOS'!F:J,5,0)</f>
        <v>SI</v>
      </c>
      <c r="I736" s="584" t="str">
        <f>+VLOOKUP(Tabla3[[#This Row],[PATENTE]],'BASE DATOS'!F:K,6,0)</f>
        <v>NO</v>
      </c>
      <c r="J736" s="584">
        <f>+VLOOKUP(Tabla3[[#This Row],[PATENTE]],'BASE DATOS'!F:L,7,0)</f>
        <v>2009</v>
      </c>
      <c r="K736" s="619">
        <f>+VLOOKUP(Tabla3[[#This Row],[PATENTE]],'BASE DATOS'!F:M,8,0)</f>
        <v>16</v>
      </c>
      <c r="N736" s="826"/>
      <c r="O736" s="1015"/>
      <c r="P736" s="1015"/>
      <c r="Q736" s="1015"/>
      <c r="R736" s="826"/>
    </row>
    <row r="737" spans="1:18" hidden="1">
      <c r="A737" s="578" t="s">
        <v>891</v>
      </c>
      <c r="B737" s="584">
        <v>5</v>
      </c>
      <c r="C737" s="589">
        <v>45936</v>
      </c>
      <c r="D737" s="582">
        <f t="shared" si="29"/>
        <v>41</v>
      </c>
      <c r="E737" s="618" t="str">
        <f>+VLOOKUP(Tabla3[[#This Row],[PATENTE]],'BASE DATOS'!F:G,2,0)</f>
        <v xml:space="preserve">GANZINI HUGO - HHA085 </v>
      </c>
      <c r="F737" s="584" t="str">
        <f>+VLOOKUP(Tabla3[[#This Row],[PATENTE]],'BASE DATOS'!F:H,3,0)</f>
        <v>2P</v>
      </c>
      <c r="G737" s="584" t="str">
        <f>+VLOOKUP(Tabla3[[#This Row],[PATENTE]],'BASE DATOS'!F:I,4,0)</f>
        <v>SI</v>
      </c>
      <c r="H737" s="584" t="str">
        <f>+VLOOKUP(Tabla3[[#This Row],[PATENTE]],'BASE DATOS'!F:J,5,0)</f>
        <v>SI</v>
      </c>
      <c r="I737" s="584" t="str">
        <f>+VLOOKUP(Tabla3[[#This Row],[PATENTE]],'BASE DATOS'!F:K,6,0)</f>
        <v>NO</v>
      </c>
      <c r="J737" s="584">
        <f>+VLOOKUP(Tabla3[[#This Row],[PATENTE]],'BASE DATOS'!F:L,7,0)</f>
        <v>2008</v>
      </c>
      <c r="K737" s="619">
        <f>+VLOOKUP(Tabla3[[#This Row],[PATENTE]],'BASE DATOS'!F:M,8,0)</f>
        <v>17</v>
      </c>
      <c r="N737" s="826"/>
      <c r="O737" s="1015"/>
      <c r="P737" s="1015"/>
      <c r="Q737" s="1015"/>
      <c r="R737" s="826"/>
    </row>
    <row r="738" spans="1:18" hidden="1">
      <c r="A738" s="578" t="s">
        <v>885</v>
      </c>
      <c r="B738" s="584">
        <v>5</v>
      </c>
      <c r="C738" s="589">
        <v>45936</v>
      </c>
      <c r="D738" s="582">
        <f t="shared" si="29"/>
        <v>41</v>
      </c>
      <c r="E738" s="618" t="str">
        <f>+VLOOKUP(Tabla3[[#This Row],[PATENTE]],'BASE DATOS'!F:G,2,0)</f>
        <v xml:space="preserve">TRANSP DON NENO - IES288 </v>
      </c>
      <c r="F738" s="584" t="str">
        <f>+VLOOKUP(Tabla3[[#This Row],[PATENTE]],'BASE DATOS'!F:H,3,0)</f>
        <v>2P</v>
      </c>
      <c r="G738" s="584" t="str">
        <f>+VLOOKUP(Tabla3[[#This Row],[PATENTE]],'BASE DATOS'!F:I,4,0)</f>
        <v>SI</v>
      </c>
      <c r="H738" s="584" t="str">
        <f>+VLOOKUP(Tabla3[[#This Row],[PATENTE]],'BASE DATOS'!F:J,5,0)</f>
        <v>SI</v>
      </c>
      <c r="I738" s="584" t="str">
        <f>+VLOOKUP(Tabla3[[#This Row],[PATENTE]],'BASE DATOS'!F:K,6,0)</f>
        <v>NO</v>
      </c>
      <c r="J738" s="584">
        <f>+VLOOKUP(Tabla3[[#This Row],[PATENTE]],'BASE DATOS'!F:L,7,0)</f>
        <v>2009</v>
      </c>
      <c r="K738" s="619">
        <f>+VLOOKUP(Tabla3[[#This Row],[PATENTE]],'BASE DATOS'!F:M,8,0)</f>
        <v>16</v>
      </c>
      <c r="N738" s="826"/>
      <c r="O738" s="1015"/>
      <c r="P738" s="1015"/>
      <c r="Q738" s="1015"/>
      <c r="R738" s="826"/>
    </row>
    <row r="739" spans="1:18" hidden="1">
      <c r="A739" s="578" t="s">
        <v>925</v>
      </c>
      <c r="B739" s="584">
        <v>5</v>
      </c>
      <c r="C739" s="589">
        <v>45936</v>
      </c>
      <c r="D739" s="582">
        <f t="shared" si="29"/>
        <v>41</v>
      </c>
      <c r="E739" s="618" t="str">
        <f>+VLOOKUP(Tabla3[[#This Row],[PATENTE]],'BASE DATOS'!F:G,2,0)</f>
        <v xml:space="preserve">TRANSP MAIDANA FACUNDO - KOW745 </v>
      </c>
      <c r="F739" s="584" t="str">
        <f>+VLOOKUP(Tabla3[[#This Row],[PATENTE]],'BASE DATOS'!F:H,3,0)</f>
        <v>8P</v>
      </c>
      <c r="G739" s="584" t="str">
        <f>+VLOOKUP(Tabla3[[#This Row],[PATENTE]],'BASE DATOS'!F:I,4,0)</f>
        <v>SI</v>
      </c>
      <c r="H739" s="584" t="str">
        <f>+VLOOKUP(Tabla3[[#This Row],[PATENTE]],'BASE DATOS'!F:J,5,0)</f>
        <v>SI</v>
      </c>
      <c r="I739" s="584" t="str">
        <f>+VLOOKUP(Tabla3[[#This Row],[PATENTE]],'BASE DATOS'!F:K,6,0)</f>
        <v>NO</v>
      </c>
      <c r="J739" s="584">
        <f>+VLOOKUP(Tabla3[[#This Row],[PATENTE]],'BASE DATOS'!F:L,7,0)</f>
        <v>2012</v>
      </c>
      <c r="K739" s="619">
        <f>+VLOOKUP(Tabla3[[#This Row],[PATENTE]],'BASE DATOS'!F:M,8,0)</f>
        <v>13</v>
      </c>
      <c r="N739" s="826"/>
      <c r="O739" s="1015"/>
      <c r="P739" s="1015"/>
      <c r="Q739" s="1015"/>
      <c r="R739" s="826"/>
    </row>
    <row r="740" spans="1:18" hidden="1">
      <c r="A740" s="578" t="s">
        <v>897</v>
      </c>
      <c r="B740" s="584">
        <v>5</v>
      </c>
      <c r="C740" s="589">
        <v>45936</v>
      </c>
      <c r="D740" s="582">
        <f t="shared" si="29"/>
        <v>41</v>
      </c>
      <c r="E740" s="618" t="str">
        <f>+VLOOKUP(Tabla3[[#This Row],[PATENTE]],'BASE DATOS'!F:G,2,0)</f>
        <v xml:space="preserve">TRANSP CLAUDIO BUSTOS - LSG801 </v>
      </c>
      <c r="F740" s="584" t="str">
        <f>+VLOOKUP(Tabla3[[#This Row],[PATENTE]],'BASE DATOS'!F:H,3,0)</f>
        <v>2P</v>
      </c>
      <c r="G740" s="584" t="str">
        <f>+VLOOKUP(Tabla3[[#This Row],[PATENTE]],'BASE DATOS'!F:I,4,0)</f>
        <v>SI</v>
      </c>
      <c r="H740" s="584" t="str">
        <f>+VLOOKUP(Tabla3[[#This Row],[PATENTE]],'BASE DATOS'!F:J,5,0)</f>
        <v>SI</v>
      </c>
      <c r="I740" s="584" t="str">
        <f>+VLOOKUP(Tabla3[[#This Row],[PATENTE]],'BASE DATOS'!F:K,6,0)</f>
        <v>NO</v>
      </c>
      <c r="J740" s="584">
        <f>+VLOOKUP(Tabla3[[#This Row],[PATENTE]],'BASE DATOS'!F:L,7,0)</f>
        <v>2013</v>
      </c>
      <c r="K740" s="619">
        <f>+VLOOKUP(Tabla3[[#This Row],[PATENTE]],'BASE DATOS'!F:M,8,0)</f>
        <v>12</v>
      </c>
      <c r="N740" s="826"/>
      <c r="O740" s="1015"/>
      <c r="P740" s="1015"/>
      <c r="Q740" s="1015"/>
      <c r="R740" s="826"/>
    </row>
    <row r="741" spans="1:18" hidden="1">
      <c r="A741" s="578" t="s">
        <v>920</v>
      </c>
      <c r="B741" s="584">
        <v>5</v>
      </c>
      <c r="C741" s="589">
        <v>45936</v>
      </c>
      <c r="D741" s="582">
        <f t="shared" si="29"/>
        <v>41</v>
      </c>
      <c r="E741" s="618" t="str">
        <f>+VLOOKUP(Tabla3[[#This Row],[PATENTE]],'BASE DATOS'!F:G,2,0)</f>
        <v xml:space="preserve">TRANSP LAGOS - MRV682 </v>
      </c>
      <c r="F741" s="584" t="str">
        <f>+VLOOKUP(Tabla3[[#This Row],[PATENTE]],'BASE DATOS'!F:H,3,0)</f>
        <v>8P</v>
      </c>
      <c r="G741" s="584" t="str">
        <f>+VLOOKUP(Tabla3[[#This Row],[PATENTE]],'BASE DATOS'!F:I,4,0)</f>
        <v>SI</v>
      </c>
      <c r="H741" s="584" t="str">
        <f>+VLOOKUP(Tabla3[[#This Row],[PATENTE]],'BASE DATOS'!F:J,5,0)</f>
        <v>SI</v>
      </c>
      <c r="I741" s="584" t="str">
        <f>+VLOOKUP(Tabla3[[#This Row],[PATENTE]],'BASE DATOS'!F:K,6,0)</f>
        <v>NO</v>
      </c>
      <c r="J741" s="584">
        <f>+VLOOKUP(Tabla3[[#This Row],[PATENTE]],'BASE DATOS'!F:L,7,0)</f>
        <v>2013</v>
      </c>
      <c r="K741" s="619">
        <f>+VLOOKUP(Tabla3[[#This Row],[PATENTE]],'BASE DATOS'!F:M,8,0)</f>
        <v>12</v>
      </c>
      <c r="N741" s="826"/>
      <c r="O741" s="1015"/>
      <c r="P741" s="1015"/>
      <c r="Q741" s="1015"/>
      <c r="R741" s="826"/>
    </row>
    <row r="742" spans="1:18" hidden="1">
      <c r="A742" s="578" t="s">
        <v>886</v>
      </c>
      <c r="B742" s="584">
        <v>5</v>
      </c>
      <c r="C742" s="589">
        <v>45936</v>
      </c>
      <c r="D742" s="582">
        <f t="shared" si="29"/>
        <v>41</v>
      </c>
      <c r="E742" s="618" t="str">
        <f>+VLOOKUP(Tabla3[[#This Row],[PATENTE]],'BASE DATOS'!F:G,2,0)</f>
        <v xml:space="preserve">TRANSP LAGOS - NOO925 </v>
      </c>
      <c r="F742" s="584" t="str">
        <f>+VLOOKUP(Tabla3[[#This Row],[PATENTE]],'BASE DATOS'!F:H,3,0)</f>
        <v>8P</v>
      </c>
      <c r="G742" s="584" t="str">
        <f>+VLOOKUP(Tabla3[[#This Row],[PATENTE]],'BASE DATOS'!F:I,4,0)</f>
        <v>SI</v>
      </c>
      <c r="H742" s="584" t="str">
        <f>+VLOOKUP(Tabla3[[#This Row],[PATENTE]],'BASE DATOS'!F:J,5,0)</f>
        <v>SI</v>
      </c>
      <c r="I742" s="584" t="str">
        <f>+VLOOKUP(Tabla3[[#This Row],[PATENTE]],'BASE DATOS'!F:K,6,0)</f>
        <v>NO</v>
      </c>
      <c r="J742" s="584">
        <f>+VLOOKUP(Tabla3[[#This Row],[PATENTE]],'BASE DATOS'!F:L,7,0)</f>
        <v>2014</v>
      </c>
      <c r="K742" s="619">
        <f>+VLOOKUP(Tabla3[[#This Row],[PATENTE]],'BASE DATOS'!F:M,8,0)</f>
        <v>11</v>
      </c>
      <c r="N742" s="826"/>
      <c r="O742" s="1015"/>
      <c r="P742" s="1015"/>
      <c r="Q742" s="1015"/>
      <c r="R742" s="826"/>
    </row>
    <row r="743" spans="1:18" hidden="1">
      <c r="A743" s="578" t="s">
        <v>877</v>
      </c>
      <c r="B743" s="584">
        <v>5</v>
      </c>
      <c r="C743" s="589">
        <v>45936</v>
      </c>
      <c r="D743" s="582">
        <f t="shared" si="29"/>
        <v>41</v>
      </c>
      <c r="E743" s="618" t="str">
        <f>+VLOOKUP(Tabla3[[#This Row],[PATENTE]],'BASE DATOS'!F:G,2,0)</f>
        <v>TRANSP MAIDANA CARLOS - OWA126</v>
      </c>
      <c r="F743" s="584" t="str">
        <f>+VLOOKUP(Tabla3[[#This Row],[PATENTE]],'BASE DATOS'!F:H,3,0)</f>
        <v>4P</v>
      </c>
      <c r="G743" s="584" t="str">
        <f>+VLOOKUP(Tabla3[[#This Row],[PATENTE]],'BASE DATOS'!F:I,4,0)</f>
        <v>SI</v>
      </c>
      <c r="H743" s="584" t="str">
        <f>+VLOOKUP(Tabla3[[#This Row],[PATENTE]],'BASE DATOS'!F:J,5,0)</f>
        <v>SI</v>
      </c>
      <c r="I743" s="584" t="str">
        <f>+VLOOKUP(Tabla3[[#This Row],[PATENTE]],'BASE DATOS'!F:K,6,0)</f>
        <v>NO</v>
      </c>
      <c r="J743" s="584">
        <f>+VLOOKUP(Tabla3[[#This Row],[PATENTE]],'BASE DATOS'!F:L,7,0)</f>
        <v>2015</v>
      </c>
      <c r="K743" s="619">
        <f>+VLOOKUP(Tabla3[[#This Row],[PATENTE]],'BASE DATOS'!F:M,8,0)</f>
        <v>10</v>
      </c>
      <c r="N743" s="826"/>
      <c r="O743" s="1015"/>
      <c r="P743" s="1015"/>
      <c r="Q743" s="1015"/>
      <c r="R743" s="826"/>
    </row>
    <row r="744" spans="1:18" hidden="1">
      <c r="A744" s="578" t="s">
        <v>879</v>
      </c>
      <c r="B744" s="584">
        <v>5</v>
      </c>
      <c r="C744" s="589">
        <v>45936</v>
      </c>
      <c r="D744" s="582">
        <f t="shared" si="29"/>
        <v>41</v>
      </c>
      <c r="E744" s="618" t="str">
        <f>+VLOOKUP(Tabla3[[#This Row],[PATENTE]],'BASE DATOS'!F:G,2,0)</f>
        <v xml:space="preserve">TRANSP JP - OYP470 </v>
      </c>
      <c r="F744" s="584" t="str">
        <f>+VLOOKUP(Tabla3[[#This Row],[PATENTE]],'BASE DATOS'!F:H,3,0)</f>
        <v>8P</v>
      </c>
      <c r="G744" s="584" t="str">
        <f>+VLOOKUP(Tabla3[[#This Row],[PATENTE]],'BASE DATOS'!F:I,4,0)</f>
        <v>SI</v>
      </c>
      <c r="H744" s="584" t="str">
        <f>+VLOOKUP(Tabla3[[#This Row],[PATENTE]],'BASE DATOS'!F:J,5,0)</f>
        <v>SI</v>
      </c>
      <c r="I744" s="584" t="str">
        <f>+VLOOKUP(Tabla3[[#This Row],[PATENTE]],'BASE DATOS'!F:K,6,0)</f>
        <v>NO</v>
      </c>
      <c r="J744" s="584">
        <f>+VLOOKUP(Tabla3[[#This Row],[PATENTE]],'BASE DATOS'!F:L,7,0)</f>
        <v>2011</v>
      </c>
      <c r="K744" s="619">
        <f>+VLOOKUP(Tabla3[[#This Row],[PATENTE]],'BASE DATOS'!F:M,8,0)</f>
        <v>14</v>
      </c>
      <c r="N744" s="826"/>
      <c r="O744" s="1015"/>
      <c r="P744" s="1015"/>
      <c r="Q744" s="1015"/>
      <c r="R744" s="826"/>
    </row>
    <row r="745" spans="1:18" hidden="1">
      <c r="A745" s="578" t="s">
        <v>896</v>
      </c>
      <c r="B745" s="584">
        <v>5</v>
      </c>
      <c r="C745" s="589">
        <v>45936</v>
      </c>
      <c r="D745" s="582">
        <f t="shared" si="29"/>
        <v>41</v>
      </c>
      <c r="E745" s="618" t="str">
        <f>+VLOOKUP(Tabla3[[#This Row],[PATENTE]],'BASE DATOS'!F:G,2,0)</f>
        <v xml:space="preserve">TRANSP MAVIR - RHQ609 </v>
      </c>
      <c r="F745" s="584" t="str">
        <f>+VLOOKUP(Tabla3[[#This Row],[PATENTE]],'BASE DATOS'!F:H,3,0)</f>
        <v>10P</v>
      </c>
      <c r="G745" s="584" t="str">
        <f>+VLOOKUP(Tabla3[[#This Row],[PATENTE]],'BASE DATOS'!F:I,4,0)</f>
        <v>NO</v>
      </c>
      <c r="H745" s="584" t="str">
        <f>+VLOOKUP(Tabla3[[#This Row],[PATENTE]],'BASE DATOS'!F:J,5,0)</f>
        <v xml:space="preserve">NO </v>
      </c>
      <c r="I745" s="584" t="str">
        <f>+VLOOKUP(Tabla3[[#This Row],[PATENTE]],'BASE DATOS'!F:K,6,0)</f>
        <v>NO</v>
      </c>
      <c r="J745" s="584">
        <f>+VLOOKUP(Tabla3[[#This Row],[PATENTE]],'BASE DATOS'!F:L,7,0)</f>
        <v>1995</v>
      </c>
      <c r="K745" s="593">
        <v>0</v>
      </c>
      <c r="N745" s="826"/>
      <c r="O745" s="1015"/>
      <c r="P745" s="1015"/>
      <c r="Q745" s="1015"/>
      <c r="R745" s="826"/>
    </row>
    <row r="746" spans="1:18" hidden="1">
      <c r="A746" s="578" t="s">
        <v>919</v>
      </c>
      <c r="B746" s="584">
        <v>4</v>
      </c>
      <c r="C746" s="589">
        <v>45936</v>
      </c>
      <c r="D746" s="582">
        <f t="shared" si="29"/>
        <v>41</v>
      </c>
      <c r="E746" s="618" t="str">
        <f>+VLOOKUP(Tabla3[[#This Row],[PATENTE]],'BASE DATOS'!F:G,2,0)</f>
        <v xml:space="preserve">GUSTAVO CERQUETTA - AA427LT </v>
      </c>
      <c r="F746" s="584" t="str">
        <f>+VLOOKUP(Tabla3[[#This Row],[PATENTE]],'BASE DATOS'!F:H,3,0)</f>
        <v>1P</v>
      </c>
      <c r="G746" s="584" t="str">
        <f>+VLOOKUP(Tabla3[[#This Row],[PATENTE]],'BASE DATOS'!F:I,4,0)</f>
        <v>NO</v>
      </c>
      <c r="H746" s="584" t="str">
        <f>+VLOOKUP(Tabla3[[#This Row],[PATENTE]],'BASE DATOS'!F:J,5,0)</f>
        <v>SI</v>
      </c>
      <c r="I746" s="584" t="str">
        <f>+VLOOKUP(Tabla3[[#This Row],[PATENTE]],'BASE DATOS'!F:K,6,0)</f>
        <v>NO</v>
      </c>
      <c r="J746" s="584">
        <f>+VLOOKUP(Tabla3[[#This Row],[PATENTE]],'BASE DATOS'!F:L,7,0)</f>
        <v>2016</v>
      </c>
      <c r="K746" s="619">
        <f>+VLOOKUP(Tabla3[[#This Row],[PATENTE]],'BASE DATOS'!F:M,8,0)</f>
        <v>9</v>
      </c>
      <c r="N746" s="826"/>
      <c r="O746" s="1015"/>
      <c r="P746" s="1015"/>
      <c r="Q746" s="1015"/>
      <c r="R746" s="826"/>
    </row>
    <row r="747" spans="1:18" hidden="1">
      <c r="A747" s="578" t="s">
        <v>878</v>
      </c>
      <c r="B747" s="584">
        <v>4</v>
      </c>
      <c r="C747" s="589">
        <v>45936</v>
      </c>
      <c r="D747" s="582">
        <f t="shared" si="29"/>
        <v>41</v>
      </c>
      <c r="E747" s="618" t="str">
        <f>+VLOOKUP(Tabla3[[#This Row],[PATENTE]],'BASE DATOS'!F:G,2,0)</f>
        <v xml:space="preserve">PACHECO JULIO - AA854LY </v>
      </c>
      <c r="F747" s="584" t="str">
        <f>+VLOOKUP(Tabla3[[#This Row],[PATENTE]],'BASE DATOS'!F:H,3,0)</f>
        <v>7P</v>
      </c>
      <c r="G747" s="584" t="str">
        <f>+VLOOKUP(Tabla3[[#This Row],[PATENTE]],'BASE DATOS'!F:I,4,0)</f>
        <v>SI</v>
      </c>
      <c r="H747" s="584" t="str">
        <f>+VLOOKUP(Tabla3[[#This Row],[PATENTE]],'BASE DATOS'!F:J,5,0)</f>
        <v>SI</v>
      </c>
      <c r="I747" s="584" t="str">
        <f>+VLOOKUP(Tabla3[[#This Row],[PATENTE]],'BASE DATOS'!F:K,6,0)</f>
        <v>NO</v>
      </c>
      <c r="J747" s="584">
        <f>+VLOOKUP(Tabla3[[#This Row],[PATENTE]],'BASE DATOS'!F:L,7,0)</f>
        <v>2016</v>
      </c>
      <c r="K747" s="619">
        <f>+VLOOKUP(Tabla3[[#This Row],[PATENTE]],'BASE DATOS'!F:M,8,0)</f>
        <v>9</v>
      </c>
      <c r="N747" s="826"/>
      <c r="O747" s="1015"/>
      <c r="P747" s="1015"/>
      <c r="Q747" s="1015"/>
      <c r="R747" s="826"/>
    </row>
    <row r="748" spans="1:18" hidden="1">
      <c r="A748" s="578" t="s">
        <v>884</v>
      </c>
      <c r="B748" s="584">
        <v>4</v>
      </c>
      <c r="C748" s="589">
        <v>45936</v>
      </c>
      <c r="D748" s="582">
        <f t="shared" si="29"/>
        <v>41</v>
      </c>
      <c r="E748" s="618" t="str">
        <f>+VLOOKUP(Tabla3[[#This Row],[PATENTE]],'BASE DATOS'!F:G,2,0)</f>
        <v xml:space="preserve">LAURIA (SERVAL) - AB233IT </v>
      </c>
      <c r="F748" s="584" t="str">
        <f>+VLOOKUP(Tabla3[[#This Row],[PATENTE]],'BASE DATOS'!F:H,3,0)</f>
        <v>6P</v>
      </c>
      <c r="G748" s="584" t="str">
        <f>+VLOOKUP(Tabla3[[#This Row],[PATENTE]],'BASE DATOS'!F:I,4,0)</f>
        <v>SI</v>
      </c>
      <c r="H748" s="584" t="str">
        <f>+VLOOKUP(Tabla3[[#This Row],[PATENTE]],'BASE DATOS'!F:J,5,0)</f>
        <v>SI</v>
      </c>
      <c r="I748" s="584" t="str">
        <f>+VLOOKUP(Tabla3[[#This Row],[PATENTE]],'BASE DATOS'!F:K,6,0)</f>
        <v>NO</v>
      </c>
      <c r="J748" s="584">
        <f>+VLOOKUP(Tabla3[[#This Row],[PATENTE]],'BASE DATOS'!F:L,7,0)</f>
        <v>2017</v>
      </c>
      <c r="K748" s="619">
        <f>+VLOOKUP(Tabla3[[#This Row],[PATENTE]],'BASE DATOS'!F:M,8,0)</f>
        <v>8</v>
      </c>
      <c r="N748" s="826"/>
      <c r="O748" s="1015"/>
      <c r="P748" s="1015"/>
      <c r="Q748" s="1015"/>
      <c r="R748" s="826"/>
    </row>
    <row r="749" spans="1:18" hidden="1">
      <c r="A749" s="578" t="s">
        <v>922</v>
      </c>
      <c r="B749" s="584">
        <v>4</v>
      </c>
      <c r="C749" s="589">
        <v>45936</v>
      </c>
      <c r="D749" s="582">
        <f t="shared" ref="D749:D768" si="30">+WEEKNUM(C749)</f>
        <v>41</v>
      </c>
      <c r="E749" s="618" t="str">
        <f>+VLOOKUP(Tabla3[[#This Row],[PATENTE]],'BASE DATOS'!F:G,2,0)</f>
        <v>LAURIA (SERVAL) - AF342ZY</v>
      </c>
      <c r="F749" s="584" t="str">
        <f>+VLOOKUP(Tabla3[[#This Row],[PATENTE]],'BASE DATOS'!F:H,3,0)</f>
        <v>8P</v>
      </c>
      <c r="G749" s="584" t="str">
        <f>+VLOOKUP(Tabla3[[#This Row],[PATENTE]],'BASE DATOS'!F:I,4,0)</f>
        <v>SI</v>
      </c>
      <c r="H749" s="584" t="str">
        <f>+VLOOKUP(Tabla3[[#This Row],[PATENTE]],'BASE DATOS'!F:J,5,0)</f>
        <v>SI</v>
      </c>
      <c r="I749" s="584" t="str">
        <f>+VLOOKUP(Tabla3[[#This Row],[PATENTE]],'BASE DATOS'!F:K,6,0)</f>
        <v>NO</v>
      </c>
      <c r="J749" s="584">
        <f>+VLOOKUP(Tabla3[[#This Row],[PATENTE]],'BASE DATOS'!F:L,7,0)</f>
        <v>2022</v>
      </c>
      <c r="K749" s="619">
        <f>+VLOOKUP(Tabla3[[#This Row],[PATENTE]],'BASE DATOS'!F:M,8,0)</f>
        <v>3</v>
      </c>
      <c r="N749" s="826"/>
      <c r="O749" s="1015"/>
      <c r="P749" s="1015"/>
      <c r="Q749" s="1015"/>
      <c r="R749" s="826"/>
    </row>
    <row r="750" spans="1:18" hidden="1">
      <c r="A750" s="578" t="s">
        <v>895</v>
      </c>
      <c r="B750" s="584">
        <v>4</v>
      </c>
      <c r="C750" s="589">
        <v>45936</v>
      </c>
      <c r="D750" s="582">
        <f t="shared" si="30"/>
        <v>41</v>
      </c>
      <c r="E750" s="618" t="str">
        <f>+VLOOKUP(Tabla3[[#This Row],[PATENTE]],'BASE DATOS'!F:G,2,0)</f>
        <v xml:space="preserve">TRANSPORTE MICAELA </v>
      </c>
      <c r="F750" s="584" t="str">
        <f>+VLOOKUP(Tabla3[[#This Row],[PATENTE]],'BASE DATOS'!F:H,3,0)</f>
        <v>2P</v>
      </c>
      <c r="G750" s="584" t="str">
        <f>+VLOOKUP(Tabla3[[#This Row],[PATENTE]],'BASE DATOS'!F:I,4,0)</f>
        <v>NO</v>
      </c>
      <c r="H750" s="584" t="str">
        <f>+VLOOKUP(Tabla3[[#This Row],[PATENTE]],'BASE DATOS'!F:J,5,0)</f>
        <v>SI</v>
      </c>
      <c r="I750" s="584" t="str">
        <f>+VLOOKUP(Tabla3[[#This Row],[PATENTE]],'BASE DATOS'!F:K,6,0)</f>
        <v>NO</v>
      </c>
      <c r="J750" s="584">
        <f>+VLOOKUP(Tabla3[[#This Row],[PATENTE]],'BASE DATOS'!F:L,7,0)</f>
        <v>2024</v>
      </c>
      <c r="K750" s="619">
        <f>+VLOOKUP(Tabla3[[#This Row],[PATENTE]],'BASE DATOS'!F:M,8,0)</f>
        <v>1</v>
      </c>
      <c r="N750" s="826"/>
      <c r="O750" s="1015"/>
      <c r="P750" s="1015"/>
      <c r="Q750" s="1015"/>
      <c r="R750" s="826"/>
    </row>
    <row r="751" spans="1:18" hidden="1">
      <c r="A751" s="578" t="s">
        <v>907</v>
      </c>
      <c r="B751" s="584">
        <v>4</v>
      </c>
      <c r="C751" s="589">
        <v>45936</v>
      </c>
      <c r="D751" s="582">
        <f t="shared" si="30"/>
        <v>41</v>
      </c>
      <c r="E751" s="618" t="str">
        <f>+VLOOKUP(Tabla3[[#This Row],[PATENTE]],'BASE DATOS'!F:G,2,0)</f>
        <v xml:space="preserve">LAURIA (SERVAL) - AH583GW </v>
      </c>
      <c r="F751" s="584" t="str">
        <f>+VLOOKUP(Tabla3[[#This Row],[PATENTE]],'BASE DATOS'!F:H,3,0)</f>
        <v>8P</v>
      </c>
      <c r="G751" s="584" t="str">
        <f>+VLOOKUP(Tabla3[[#This Row],[PATENTE]],'BASE DATOS'!F:I,4,0)</f>
        <v>SI</v>
      </c>
      <c r="H751" s="584" t="str">
        <f>+VLOOKUP(Tabla3[[#This Row],[PATENTE]],'BASE DATOS'!F:J,5,0)</f>
        <v>SI</v>
      </c>
      <c r="I751" s="584" t="str">
        <f>+VLOOKUP(Tabla3[[#This Row],[PATENTE]],'BASE DATOS'!F:K,6,0)</f>
        <v>NO</v>
      </c>
      <c r="J751" s="584">
        <f>+VLOOKUP(Tabla3[[#This Row],[PATENTE]],'BASE DATOS'!F:L,7,0)</f>
        <v>2025</v>
      </c>
      <c r="K751" s="619">
        <f>+VLOOKUP(Tabla3[[#This Row],[PATENTE]],'BASE DATOS'!F:M,8,0)</f>
        <v>0</v>
      </c>
      <c r="N751" s="826"/>
      <c r="O751" s="1015"/>
      <c r="P751" s="1015"/>
      <c r="Q751" s="1015"/>
      <c r="R751" s="826"/>
    </row>
    <row r="752" spans="1:18" hidden="1">
      <c r="A752" s="578" t="s">
        <v>887</v>
      </c>
      <c r="B752" s="584">
        <v>4</v>
      </c>
      <c r="C752" s="589">
        <v>45936</v>
      </c>
      <c r="D752" s="582">
        <f t="shared" si="30"/>
        <v>41</v>
      </c>
      <c r="E752" s="618" t="str">
        <f>+VLOOKUP(Tabla3[[#This Row],[PATENTE]],'BASE DATOS'!F:G,2,0)</f>
        <v>ENRIQUE ROLLINO - BXB394</v>
      </c>
      <c r="F752" s="584" t="str">
        <f>+VLOOKUP(Tabla3[[#This Row],[PATENTE]],'BASE DATOS'!F:H,3,0)</f>
        <v>2P</v>
      </c>
      <c r="G752" s="584" t="str">
        <f>+VLOOKUP(Tabla3[[#This Row],[PATENTE]],'BASE DATOS'!F:I,4,0)</f>
        <v>SI</v>
      </c>
      <c r="H752" s="584" t="str">
        <f>+VLOOKUP(Tabla3[[#This Row],[PATENTE]],'BASE DATOS'!F:J,5,0)</f>
        <v>SI</v>
      </c>
      <c r="I752" s="584" t="str">
        <f>+VLOOKUP(Tabla3[[#This Row],[PATENTE]],'BASE DATOS'!F:K,6,0)</f>
        <v>NO</v>
      </c>
      <c r="J752" s="584">
        <f>+VLOOKUP(Tabla3[[#This Row],[PATENTE]],'BASE DATOS'!F:L,7,0)</f>
        <v>1998</v>
      </c>
      <c r="K752" s="619">
        <f>+VLOOKUP(Tabla3[[#This Row],[PATENTE]],'BASE DATOS'!F:M,8,0)</f>
        <v>27</v>
      </c>
      <c r="N752" s="826"/>
      <c r="O752" s="1015"/>
      <c r="P752" s="1015"/>
      <c r="Q752" s="1015"/>
      <c r="R752" s="826"/>
    </row>
    <row r="753" spans="1:18" hidden="1">
      <c r="A753" s="578" t="s">
        <v>918</v>
      </c>
      <c r="B753" s="584">
        <v>4</v>
      </c>
      <c r="C753" s="589">
        <v>45936</v>
      </c>
      <c r="D753" s="582">
        <f t="shared" si="30"/>
        <v>41</v>
      </c>
      <c r="E753" s="618" t="str">
        <f>+VLOOKUP(Tabla3[[#This Row],[PATENTE]],'BASE DATOS'!F:G,2,0)</f>
        <v>TRANSPORTE GENA GAIA - DGO507</v>
      </c>
      <c r="F753" s="584" t="str">
        <f>+VLOOKUP(Tabla3[[#This Row],[PATENTE]],'BASE DATOS'!F:H,3,0)</f>
        <v>24P</v>
      </c>
      <c r="G753" s="584" t="str">
        <f>+VLOOKUP(Tabla3[[#This Row],[PATENTE]],'BASE DATOS'!F:I,4,0)</f>
        <v>Gestya</v>
      </c>
      <c r="H753" s="584" t="str">
        <f>+VLOOKUP(Tabla3[[#This Row],[PATENTE]],'BASE DATOS'!F:J,5,0)</f>
        <v xml:space="preserve">NO </v>
      </c>
      <c r="I753" s="584" t="str">
        <f>+VLOOKUP(Tabla3[[#This Row],[PATENTE]],'BASE DATOS'!F:K,6,0)</f>
        <v>NO</v>
      </c>
      <c r="J753" s="584">
        <f>+VLOOKUP(Tabla3[[#This Row],[PATENTE]],'BASE DATOS'!F:L,7,0)</f>
        <v>2001</v>
      </c>
      <c r="K753" s="619">
        <f>+VLOOKUP(Tabla3[[#This Row],[PATENTE]],'BASE DATOS'!F:M,8,0)</f>
        <v>24</v>
      </c>
      <c r="N753" s="826"/>
      <c r="O753" s="1015"/>
      <c r="P753" s="1015"/>
      <c r="Q753" s="1015"/>
      <c r="R753" s="826"/>
    </row>
    <row r="754" spans="1:18" hidden="1">
      <c r="A754" s="578" t="s">
        <v>916</v>
      </c>
      <c r="B754" s="584">
        <v>4</v>
      </c>
      <c r="C754" s="589">
        <v>45936</v>
      </c>
      <c r="D754" s="582">
        <f t="shared" si="30"/>
        <v>41</v>
      </c>
      <c r="E754" s="618" t="str">
        <f>+VLOOKUP(Tabla3[[#This Row],[PATENTE]],'BASE DATOS'!F:G,2,0)</f>
        <v xml:space="preserve">TRANSP MAIDANA CARLOS - EYP088 </v>
      </c>
      <c r="F754" s="584" t="str">
        <f>+VLOOKUP(Tabla3[[#This Row],[PATENTE]],'BASE DATOS'!F:H,3,0)</f>
        <v>6P</v>
      </c>
      <c r="G754" s="584" t="str">
        <f>+VLOOKUP(Tabla3[[#This Row],[PATENTE]],'BASE DATOS'!F:I,4,0)</f>
        <v>SI</v>
      </c>
      <c r="H754" s="584" t="str">
        <f>+VLOOKUP(Tabla3[[#This Row],[PATENTE]],'BASE DATOS'!F:J,5,0)</f>
        <v>SI</v>
      </c>
      <c r="I754" s="584" t="str">
        <f>+VLOOKUP(Tabla3[[#This Row],[PATENTE]],'BASE DATOS'!F:K,6,0)</f>
        <v>NO</v>
      </c>
      <c r="J754" s="584">
        <f>+VLOOKUP(Tabla3[[#This Row],[PATENTE]],'BASE DATOS'!F:L,7,0)</f>
        <v>2006</v>
      </c>
      <c r="K754" s="619">
        <f>+VLOOKUP(Tabla3[[#This Row],[PATENTE]],'BASE DATOS'!F:M,8,0)</f>
        <v>19</v>
      </c>
      <c r="N754" s="826"/>
      <c r="O754" s="1015"/>
      <c r="P754" s="1015"/>
      <c r="Q754" s="1015"/>
      <c r="R754" s="826"/>
    </row>
    <row r="755" spans="1:18" hidden="1">
      <c r="A755" s="578" t="s">
        <v>901</v>
      </c>
      <c r="B755" s="584">
        <v>4</v>
      </c>
      <c r="C755" s="589">
        <v>45936</v>
      </c>
      <c r="D755" s="582">
        <f t="shared" si="30"/>
        <v>41</v>
      </c>
      <c r="E755" s="618" t="str">
        <f>+VLOOKUP(Tabla3[[#This Row],[PATENTE]],'BASE DATOS'!F:G,2,0)</f>
        <v xml:space="preserve">TRANSPORTE  GRACIELA - IYE750 </v>
      </c>
      <c r="F755" s="584" t="str">
        <f>+VLOOKUP(Tabla3[[#This Row],[PATENTE]],'BASE DATOS'!F:H,3,0)</f>
        <v>1P</v>
      </c>
      <c r="G755" s="584" t="str">
        <f>+VLOOKUP(Tabla3[[#This Row],[PATENTE]],'BASE DATOS'!F:I,4,0)</f>
        <v>NO</v>
      </c>
      <c r="H755" s="584" t="str">
        <f>+VLOOKUP(Tabla3[[#This Row],[PATENTE]],'BASE DATOS'!F:J,5,0)</f>
        <v>SI</v>
      </c>
      <c r="I755" s="584" t="str">
        <f>+VLOOKUP(Tabla3[[#This Row],[PATENTE]],'BASE DATOS'!F:K,6,0)</f>
        <v>NO</v>
      </c>
      <c r="J755" s="584">
        <f>+VLOOKUP(Tabla3[[#This Row],[PATENTE]],'BASE DATOS'!F:L,7,0)</f>
        <v>2009</v>
      </c>
      <c r="K755" s="619">
        <f>+VLOOKUP(Tabla3[[#This Row],[PATENTE]],'BASE DATOS'!F:M,8,0)</f>
        <v>16</v>
      </c>
      <c r="N755" s="826"/>
      <c r="O755" s="1015"/>
      <c r="P755" s="1015"/>
      <c r="Q755" s="1015"/>
      <c r="R755" s="826"/>
    </row>
    <row r="756" spans="1:18" hidden="1">
      <c r="A756" s="578" t="s">
        <v>902</v>
      </c>
      <c r="B756" s="584">
        <v>4</v>
      </c>
      <c r="C756" s="589">
        <v>45936</v>
      </c>
      <c r="D756" s="582">
        <f t="shared" si="30"/>
        <v>41</v>
      </c>
      <c r="E756" s="618" t="str">
        <f>+VLOOKUP(Tabla3[[#This Row],[PATENTE]],'BASE DATOS'!F:G,2,0)</f>
        <v xml:space="preserve">GUSTAVO CERQUETTA - KZA644 </v>
      </c>
      <c r="F756" s="584" t="str">
        <f>+VLOOKUP(Tabla3[[#This Row],[PATENTE]],'BASE DATOS'!F:H,3,0)</f>
        <v>2P</v>
      </c>
      <c r="G756" s="584" t="str">
        <f>+VLOOKUP(Tabla3[[#This Row],[PATENTE]],'BASE DATOS'!F:I,4,0)</f>
        <v>NO</v>
      </c>
      <c r="H756" s="584" t="str">
        <f>+VLOOKUP(Tabla3[[#This Row],[PATENTE]],'BASE DATOS'!F:J,5,0)</f>
        <v>SI</v>
      </c>
      <c r="I756" s="584" t="str">
        <f>+VLOOKUP(Tabla3[[#This Row],[PATENTE]],'BASE DATOS'!F:K,6,0)</f>
        <v>NO</v>
      </c>
      <c r="J756" s="584">
        <f>+VLOOKUP(Tabla3[[#This Row],[PATENTE]],'BASE DATOS'!F:L,7,0)</f>
        <v>2012</v>
      </c>
      <c r="K756" s="619">
        <f>+VLOOKUP(Tabla3[[#This Row],[PATENTE]],'BASE DATOS'!F:M,8,0)</f>
        <v>13</v>
      </c>
      <c r="N756" s="826"/>
      <c r="O756" s="1015"/>
      <c r="P756" s="1015"/>
      <c r="Q756" s="1015"/>
      <c r="R756" s="826"/>
    </row>
    <row r="757" spans="1:18" hidden="1">
      <c r="A757" s="578" t="s">
        <v>909</v>
      </c>
      <c r="B757" s="584">
        <v>4</v>
      </c>
      <c r="C757" s="589">
        <v>45936</v>
      </c>
      <c r="D757" s="582">
        <f t="shared" si="30"/>
        <v>41</v>
      </c>
      <c r="E757" s="618" t="str">
        <f>+VLOOKUP(Tabla3[[#This Row],[PATENTE]],'BASE DATOS'!F:G,2,0)</f>
        <v xml:space="preserve">CRISTIAN MOYA - NHR055 </v>
      </c>
      <c r="F757" s="584" t="str">
        <f>+VLOOKUP(Tabla3[[#This Row],[PATENTE]],'BASE DATOS'!F:H,3,0)</f>
        <v>6P</v>
      </c>
      <c r="G757" s="584" t="str">
        <f>+VLOOKUP(Tabla3[[#This Row],[PATENTE]],'BASE DATOS'!F:I,4,0)</f>
        <v>SI</v>
      </c>
      <c r="H757" s="584" t="str">
        <f>+VLOOKUP(Tabla3[[#This Row],[PATENTE]],'BASE DATOS'!F:J,5,0)</f>
        <v>SI</v>
      </c>
      <c r="I757" s="584" t="str">
        <f>+VLOOKUP(Tabla3[[#This Row],[PATENTE]],'BASE DATOS'!F:K,6,0)</f>
        <v>NO</v>
      </c>
      <c r="J757" s="584">
        <f>+VLOOKUP(Tabla3[[#This Row],[PATENTE]],'BASE DATOS'!F:L,7,0)</f>
        <v>2013</v>
      </c>
      <c r="K757" s="619">
        <f>+VLOOKUP(Tabla3[[#This Row],[PATENTE]],'BASE DATOS'!F:M,8,0)</f>
        <v>12</v>
      </c>
      <c r="N757" s="826"/>
      <c r="O757" s="1015"/>
      <c r="P757" s="1015"/>
      <c r="Q757" s="1015"/>
      <c r="R757" s="826"/>
    </row>
    <row r="758" spans="1:18" hidden="1">
      <c r="A758" s="578" t="s">
        <v>899</v>
      </c>
      <c r="B758" s="584">
        <v>3</v>
      </c>
      <c r="C758" s="589">
        <v>45936</v>
      </c>
      <c r="D758" s="582">
        <f t="shared" si="30"/>
        <v>41</v>
      </c>
      <c r="E758" s="618" t="str">
        <f>+VLOOKUP(Tabla3[[#This Row],[PATENTE]],'BASE DATOS'!F:G,2,0)</f>
        <v xml:space="preserve">VAZQUEZ (TRV SRL) - AB176KN </v>
      </c>
      <c r="F758" s="584" t="str">
        <f>+VLOOKUP(Tabla3[[#This Row],[PATENTE]],'BASE DATOS'!F:H,3,0)</f>
        <v>8P</v>
      </c>
      <c r="G758" s="584" t="str">
        <f>+VLOOKUP(Tabla3[[#This Row],[PATENTE]],'BASE DATOS'!F:I,4,0)</f>
        <v>SI</v>
      </c>
      <c r="H758" s="584" t="str">
        <f>+VLOOKUP(Tabla3[[#This Row],[PATENTE]],'BASE DATOS'!F:J,5,0)</f>
        <v>SI</v>
      </c>
      <c r="I758" s="584" t="str">
        <f>+VLOOKUP(Tabla3[[#This Row],[PATENTE]],'BASE DATOS'!F:K,6,0)</f>
        <v>SI</v>
      </c>
      <c r="J758" s="584">
        <f>+VLOOKUP(Tabla3[[#This Row],[PATENTE]],'BASE DATOS'!F:L,7,0)</f>
        <v>2017</v>
      </c>
      <c r="K758" s="619">
        <f>+VLOOKUP(Tabla3[[#This Row],[PATENTE]],'BASE DATOS'!F:M,8,0)</f>
        <v>8</v>
      </c>
      <c r="N758" s="826"/>
      <c r="O758" s="1015"/>
      <c r="P758" s="1015"/>
      <c r="Q758" s="1015"/>
      <c r="R758" s="826"/>
    </row>
    <row r="759" spans="1:18" hidden="1">
      <c r="A759" s="578" t="s">
        <v>912</v>
      </c>
      <c r="B759" s="584">
        <v>3</v>
      </c>
      <c r="C759" s="589">
        <v>45936</v>
      </c>
      <c r="D759" s="582">
        <f t="shared" si="30"/>
        <v>41</v>
      </c>
      <c r="E759" s="618" t="str">
        <f>+VLOOKUP(Tabla3[[#This Row],[PATENTE]],'BASE DATOS'!F:G,2,0)</f>
        <v xml:space="preserve">PACHECO JULIO - AC028WN </v>
      </c>
      <c r="F759" s="584" t="str">
        <f>+VLOOKUP(Tabla3[[#This Row],[PATENTE]],'BASE DATOS'!F:H,3,0)</f>
        <v>8P</v>
      </c>
      <c r="G759" s="584" t="str">
        <f>+VLOOKUP(Tabla3[[#This Row],[PATENTE]],'BASE DATOS'!F:I,4,0)</f>
        <v>SI</v>
      </c>
      <c r="H759" s="584" t="str">
        <f>+VLOOKUP(Tabla3[[#This Row],[PATENTE]],'BASE DATOS'!F:J,5,0)</f>
        <v>SI</v>
      </c>
      <c r="I759" s="584" t="str">
        <f>+VLOOKUP(Tabla3[[#This Row],[PATENTE]],'BASE DATOS'!F:K,6,0)</f>
        <v>SI</v>
      </c>
      <c r="J759" s="584">
        <f>+VLOOKUP(Tabla3[[#This Row],[PATENTE]],'BASE DATOS'!F:L,7,0)</f>
        <v>2017</v>
      </c>
      <c r="K759" s="619">
        <f>+VLOOKUP(Tabla3[[#This Row],[PATENTE]],'BASE DATOS'!F:M,8,0)</f>
        <v>8</v>
      </c>
      <c r="N759" s="826"/>
      <c r="O759" s="1015"/>
      <c r="P759" s="1015"/>
      <c r="Q759" s="1015"/>
      <c r="R759" s="826"/>
    </row>
    <row r="760" spans="1:18" hidden="1">
      <c r="A760" s="578" t="s">
        <v>890</v>
      </c>
      <c r="B760" s="584">
        <v>3</v>
      </c>
      <c r="C760" s="589">
        <v>45936</v>
      </c>
      <c r="D760" s="582">
        <f t="shared" si="30"/>
        <v>41</v>
      </c>
      <c r="E760" s="618" t="str">
        <f>+VLOOKUP(Tabla3[[#This Row],[PATENTE]],'BASE DATOS'!F:G,2,0)</f>
        <v xml:space="preserve">TRANSPORTE GRACIELA - AC040RO </v>
      </c>
      <c r="F760" s="584" t="str">
        <f>+VLOOKUP(Tabla3[[#This Row],[PATENTE]],'BASE DATOS'!F:H,3,0)</f>
        <v>1P</v>
      </c>
      <c r="G760" s="584" t="str">
        <f>+VLOOKUP(Tabla3[[#This Row],[PATENTE]],'BASE DATOS'!F:I,4,0)</f>
        <v>SI</v>
      </c>
      <c r="H760" s="584" t="str">
        <f>+VLOOKUP(Tabla3[[#This Row],[PATENTE]],'BASE DATOS'!F:J,5,0)</f>
        <v>ACEPTA( VER CAMI)</v>
      </c>
      <c r="I760" s="584" t="str">
        <f>+VLOOKUP(Tabla3[[#This Row],[PATENTE]],'BASE DATOS'!F:K,6,0)</f>
        <v>NO</v>
      </c>
      <c r="J760" s="584">
        <f>+VLOOKUP(Tabla3[[#This Row],[PATENTE]],'BASE DATOS'!F:L,7,0)</f>
        <v>2017</v>
      </c>
      <c r="K760" s="619">
        <f>+VLOOKUP(Tabla3[[#This Row],[PATENTE]],'BASE DATOS'!F:M,8,0)</f>
        <v>8</v>
      </c>
      <c r="N760" s="826"/>
      <c r="O760" s="1015"/>
      <c r="P760" s="1015"/>
      <c r="Q760" s="1015"/>
      <c r="R760" s="826"/>
    </row>
    <row r="761" spans="1:18" hidden="1">
      <c r="A761" s="578" t="s">
        <v>903</v>
      </c>
      <c r="B761" s="584">
        <v>3</v>
      </c>
      <c r="C761" s="589">
        <v>45936</v>
      </c>
      <c r="D761" s="582">
        <f t="shared" si="30"/>
        <v>41</v>
      </c>
      <c r="E761" s="618" t="str">
        <f>+VLOOKUP(Tabla3[[#This Row],[PATENTE]],'BASE DATOS'!F:G,2,0)</f>
        <v xml:space="preserve">TRANSP CLAUDIO BUSTOS - AG243PE </v>
      </c>
      <c r="F761" s="584" t="str">
        <f>+VLOOKUP(Tabla3[[#This Row],[PATENTE]],'BASE DATOS'!F:H,3,0)</f>
        <v>1P</v>
      </c>
      <c r="G761" s="584" t="str">
        <f>+VLOOKUP(Tabla3[[#This Row],[PATENTE]],'BASE DATOS'!F:I,4,0)</f>
        <v>SI</v>
      </c>
      <c r="H761" s="584" t="str">
        <f>+VLOOKUP(Tabla3[[#This Row],[PATENTE]],'BASE DATOS'!F:J,5,0)</f>
        <v>SI</v>
      </c>
      <c r="I761" s="584" t="str">
        <f>+VLOOKUP(Tabla3[[#This Row],[PATENTE]],'BASE DATOS'!F:K,6,0)</f>
        <v>NO</v>
      </c>
      <c r="J761" s="584">
        <f>+VLOOKUP(Tabla3[[#This Row],[PATENTE]],'BASE DATOS'!F:L,7,0)</f>
        <v>2024</v>
      </c>
      <c r="K761" s="619">
        <f>+VLOOKUP(Tabla3[[#This Row],[PATENTE]],'BASE DATOS'!F:M,8,0)</f>
        <v>1</v>
      </c>
      <c r="N761" s="826"/>
      <c r="O761" s="1015"/>
      <c r="P761" s="1015"/>
      <c r="Q761" s="1015"/>
      <c r="R761" s="826"/>
    </row>
    <row r="762" spans="1:18" hidden="1">
      <c r="A762" s="578" t="s">
        <v>915</v>
      </c>
      <c r="B762" s="584">
        <v>3</v>
      </c>
      <c r="C762" s="589">
        <v>45936</v>
      </c>
      <c r="D762" s="582">
        <f t="shared" si="30"/>
        <v>41</v>
      </c>
      <c r="E762" s="618" t="str">
        <f>+VLOOKUP(Tabla3[[#This Row],[PATENTE]],'BASE DATOS'!F:G,2,0)</f>
        <v>TRANSPORTE GRACIELA - FPL254</v>
      </c>
      <c r="F762" s="584" t="str">
        <f>+VLOOKUP(Tabla3[[#This Row],[PATENTE]],'BASE DATOS'!F:H,3,0)</f>
        <v>2P</v>
      </c>
      <c r="G762" s="584">
        <v>5</v>
      </c>
      <c r="H762" s="584" t="str">
        <f>+VLOOKUP(Tabla3[[#This Row],[PATENTE]],'BASE DATOS'!F:J,5,0)</f>
        <v>NO (CAMI)</v>
      </c>
      <c r="I762" s="584" t="str">
        <f>+VLOOKUP(Tabla3[[#This Row],[PATENTE]],'BASE DATOS'!F:K,6,0)</f>
        <v>NO</v>
      </c>
      <c r="J762" s="584">
        <f>+VLOOKUP(Tabla3[[#This Row],[PATENTE]],'BASE DATOS'!F:L,7,0)</f>
        <v>2012</v>
      </c>
      <c r="K762" s="619">
        <f>+VLOOKUP(Tabla3[[#This Row],[PATENTE]],'BASE DATOS'!F:M,8,0)</f>
        <v>13</v>
      </c>
      <c r="N762" s="826"/>
      <c r="O762" s="1015"/>
      <c r="P762" s="1015"/>
      <c r="Q762" s="1015"/>
      <c r="R762" s="826"/>
    </row>
    <row r="763" spans="1:18" hidden="1">
      <c r="A763" s="578" t="s">
        <v>892</v>
      </c>
      <c r="B763" s="584">
        <v>3</v>
      </c>
      <c r="C763" s="589">
        <v>45936</v>
      </c>
      <c r="D763" s="582">
        <f t="shared" si="30"/>
        <v>41</v>
      </c>
      <c r="E763" s="618" t="str">
        <f>+VLOOKUP(Tabla3[[#This Row],[PATENTE]],'BASE DATOS'!F:G,2,0)</f>
        <v xml:space="preserve">COLO - FTL525 </v>
      </c>
      <c r="F763" s="584" t="str">
        <f>+VLOOKUP(Tabla3[[#This Row],[PATENTE]],'BASE DATOS'!F:H,3,0)</f>
        <v>1P</v>
      </c>
      <c r="G763" s="584" t="str">
        <f>+VLOOKUP(Tabla3[[#This Row],[PATENTE]],'BASE DATOS'!F:I,4,0)</f>
        <v>NO</v>
      </c>
      <c r="H763" s="584" t="str">
        <f>+VLOOKUP(Tabla3[[#This Row],[PATENTE]],'BASE DATOS'!F:J,5,0)</f>
        <v>SI</v>
      </c>
      <c r="I763" s="584" t="str">
        <f>+VLOOKUP(Tabla3[[#This Row],[PATENTE]],'BASE DATOS'!F:K,6,0)</f>
        <v>NO</v>
      </c>
      <c r="J763" s="584">
        <f>+VLOOKUP(Tabla3[[#This Row],[PATENTE]],'BASE DATOS'!F:L,7,0)</f>
        <v>2008</v>
      </c>
      <c r="K763" s="619">
        <f>+VLOOKUP(Tabla3[[#This Row],[PATENTE]],'BASE DATOS'!F:M,8,0)</f>
        <v>17</v>
      </c>
      <c r="N763" s="826"/>
      <c r="O763" s="1015"/>
      <c r="P763" s="1015"/>
      <c r="Q763" s="1015"/>
      <c r="R763" s="826"/>
    </row>
    <row r="764" spans="1:18" hidden="1">
      <c r="A764" s="578" t="s">
        <v>939</v>
      </c>
      <c r="B764" s="584">
        <v>3</v>
      </c>
      <c r="C764" s="589">
        <v>45936</v>
      </c>
      <c r="D764" s="582">
        <f t="shared" si="30"/>
        <v>41</v>
      </c>
      <c r="E764" s="618" t="str">
        <f>+VLOOKUP(Tabla3[[#This Row],[PATENTE]],'BASE DATOS'!F:G,2,0)</f>
        <v>TRANSP CLAUDIO BUSTOS - JOQ178</v>
      </c>
      <c r="F764" s="584" t="str">
        <f>+VLOOKUP(Tabla3[[#This Row],[PATENTE]],'BASE DATOS'!F:H,3,0)</f>
        <v>1P</v>
      </c>
      <c r="G764" s="584" t="str">
        <f>+VLOOKUP(Tabla3[[#This Row],[PATENTE]],'BASE DATOS'!F:I,4,0)</f>
        <v>NO</v>
      </c>
      <c r="H764" s="584" t="str">
        <f>+VLOOKUP(Tabla3[[#This Row],[PATENTE]],'BASE DATOS'!F:J,5,0)</f>
        <v>SI</v>
      </c>
      <c r="I764" s="584" t="str">
        <f>+VLOOKUP(Tabla3[[#This Row],[PATENTE]],'BASE DATOS'!F:K,6,0)</f>
        <v>NO</v>
      </c>
      <c r="J764" s="584">
        <f>+VLOOKUP(Tabla3[[#This Row],[PATENTE]],'BASE DATOS'!F:L,7,0)</f>
        <v>2010</v>
      </c>
      <c r="K764" s="619">
        <f>+VLOOKUP(Tabla3[[#This Row],[PATENTE]],'BASE DATOS'!F:M,8,0)</f>
        <v>15</v>
      </c>
      <c r="N764" s="826"/>
      <c r="O764" s="1015"/>
      <c r="P764" s="1015"/>
      <c r="Q764" s="1015"/>
      <c r="R764" s="826"/>
    </row>
    <row r="765" spans="1:18" hidden="1">
      <c r="A765" s="578" t="s">
        <v>882</v>
      </c>
      <c r="B765" s="584">
        <v>3</v>
      </c>
      <c r="C765" s="589">
        <v>45936</v>
      </c>
      <c r="D765" s="582">
        <f t="shared" si="30"/>
        <v>41</v>
      </c>
      <c r="E765" s="618" t="str">
        <f>+VLOOKUP(Tabla3[[#This Row],[PATENTE]],'BASE DATOS'!F:G,2,0)</f>
        <v xml:space="preserve">MAÑAS - JWN279 </v>
      </c>
      <c r="F765" s="584" t="str">
        <f>+VLOOKUP(Tabla3[[#This Row],[PATENTE]],'BASE DATOS'!F:H,3,0)</f>
        <v>7P</v>
      </c>
      <c r="G765" s="584" t="str">
        <f>+VLOOKUP(Tabla3[[#This Row],[PATENTE]],'BASE DATOS'!F:I,4,0)</f>
        <v>SI</v>
      </c>
      <c r="H765" s="584" t="str">
        <f>+VLOOKUP(Tabla3[[#This Row],[PATENTE]],'BASE DATOS'!F:J,5,0)</f>
        <v>SI</v>
      </c>
      <c r="I765" s="584" t="str">
        <f>+VLOOKUP(Tabla3[[#This Row],[PATENTE]],'BASE DATOS'!F:K,6,0)</f>
        <v>NO</v>
      </c>
      <c r="J765" s="584">
        <f>+VLOOKUP(Tabla3[[#This Row],[PATENTE]],'BASE DATOS'!F:L,7,0)</f>
        <v>2011</v>
      </c>
      <c r="K765" s="619">
        <f>+VLOOKUP(Tabla3[[#This Row],[PATENTE]],'BASE DATOS'!F:M,8,0)</f>
        <v>14</v>
      </c>
      <c r="N765" s="826"/>
      <c r="O765" s="1015"/>
      <c r="P765" s="1015"/>
      <c r="Q765" s="1015"/>
      <c r="R765" s="826"/>
    </row>
    <row r="766" spans="1:18" hidden="1">
      <c r="A766" s="578" t="s">
        <v>906</v>
      </c>
      <c r="B766" s="584">
        <v>2</v>
      </c>
      <c r="C766" s="589">
        <v>45936</v>
      </c>
      <c r="D766" s="582">
        <f t="shared" si="30"/>
        <v>41</v>
      </c>
      <c r="E766" s="618" t="str">
        <f>+VLOOKUP(Tabla3[[#This Row],[PATENTE]],'BASE DATOS'!F:G,2,0)</f>
        <v xml:space="preserve">VAZQUEZ (TRV SRL) - AD472GK </v>
      </c>
      <c r="F766" s="584" t="str">
        <f>+VLOOKUP(Tabla3[[#This Row],[PATENTE]],'BASE DATOS'!F:H,3,0)</f>
        <v>8P</v>
      </c>
      <c r="G766" s="584" t="str">
        <f>+VLOOKUP(Tabla3[[#This Row],[PATENTE]],'BASE DATOS'!F:I,4,0)</f>
        <v>NO</v>
      </c>
      <c r="H766" s="584" t="str">
        <f>+VLOOKUP(Tabla3[[#This Row],[PATENTE]],'BASE DATOS'!F:J,5,0)</f>
        <v>NO</v>
      </c>
      <c r="I766" s="584" t="str">
        <f>+VLOOKUP(Tabla3[[#This Row],[PATENTE]],'BASE DATOS'!F:K,6,0)</f>
        <v>SI</v>
      </c>
      <c r="J766" s="584">
        <f>+VLOOKUP(Tabla3[[#This Row],[PATENTE]],'BASE DATOS'!F:L,7,0)</f>
        <v>2019</v>
      </c>
      <c r="K766" s="619">
        <f>+VLOOKUP(Tabla3[[#This Row],[PATENTE]],'BASE DATOS'!F:M,8,0)</f>
        <v>6</v>
      </c>
      <c r="N766" s="826"/>
      <c r="O766" s="1015"/>
      <c r="P766" s="1015"/>
      <c r="Q766" s="1015"/>
      <c r="R766" s="826"/>
    </row>
    <row r="767" spans="1:18" hidden="1">
      <c r="A767" s="578" t="s">
        <v>880</v>
      </c>
      <c r="B767" s="584">
        <v>2</v>
      </c>
      <c r="C767" s="589">
        <v>45936</v>
      </c>
      <c r="D767" s="582">
        <f t="shared" si="30"/>
        <v>41</v>
      </c>
      <c r="E767" s="618" t="str">
        <f>+VLOOKUP(Tabla3[[#This Row],[PATENTE]],'BASE DATOS'!F:G,2,0)</f>
        <v xml:space="preserve">LAURIA (SERVAL) - AD575XK </v>
      </c>
      <c r="F767" s="584" t="str">
        <f>+VLOOKUP(Tabla3[[#This Row],[PATENTE]],'BASE DATOS'!F:H,3,0)</f>
        <v>8P</v>
      </c>
      <c r="G767" s="584" t="str">
        <f>+VLOOKUP(Tabla3[[#This Row],[PATENTE]],'BASE DATOS'!F:I,4,0)</f>
        <v>SI</v>
      </c>
      <c r="H767" s="584" t="str">
        <f>+VLOOKUP(Tabla3[[#This Row],[PATENTE]],'BASE DATOS'!F:J,5,0)</f>
        <v>SI</v>
      </c>
      <c r="I767" s="584" t="str">
        <f>+VLOOKUP(Tabla3[[#This Row],[PATENTE]],'BASE DATOS'!F:K,6,0)</f>
        <v>NO</v>
      </c>
      <c r="J767" s="584">
        <f>+VLOOKUP(Tabla3[[#This Row],[PATENTE]],'BASE DATOS'!F:L,7,0)</f>
        <v>2019</v>
      </c>
      <c r="K767" s="619">
        <f>+VLOOKUP(Tabla3[[#This Row],[PATENTE]],'BASE DATOS'!F:M,8,0)</f>
        <v>6</v>
      </c>
      <c r="N767" s="826"/>
      <c r="O767" s="1015"/>
      <c r="P767" s="1015"/>
      <c r="Q767" s="1015"/>
      <c r="R767" s="826"/>
    </row>
    <row r="768" spans="1:18" hidden="1">
      <c r="A768" s="581" t="s">
        <v>944</v>
      </c>
      <c r="B768" s="587">
        <v>2</v>
      </c>
      <c r="C768" s="589">
        <v>45936</v>
      </c>
      <c r="D768" s="583">
        <f t="shared" si="30"/>
        <v>41</v>
      </c>
      <c r="E768" s="620" t="str">
        <f>+VLOOKUP(Tabla3[[#This Row],[PATENTE]],'BASE DATOS'!F:G,2,0)</f>
        <v xml:space="preserve">TRANSPORTE GENA GAIA - BHG261 </v>
      </c>
      <c r="F768" s="587" t="str">
        <f>+VLOOKUP(Tabla3[[#This Row],[PATENTE]],'BASE DATOS'!F:H,3,0)</f>
        <v>26P</v>
      </c>
      <c r="G768" s="587" t="str">
        <f>+VLOOKUP(Tabla3[[#This Row],[PATENTE]],'BASE DATOS'!F:I,4,0)</f>
        <v>Gestya</v>
      </c>
      <c r="H768" s="584" t="str">
        <f>+VLOOKUP(Tabla3[[#This Row],[PATENTE]],'BASE DATOS'!F:J,5,0)</f>
        <v xml:space="preserve">NO </v>
      </c>
      <c r="I768" s="587" t="str">
        <f>+VLOOKUP(Tabla3[[#This Row],[PATENTE]],'BASE DATOS'!F:K,6,0)</f>
        <v>NO</v>
      </c>
      <c r="J768" s="587">
        <f>+VLOOKUP(Tabla3[[#This Row],[PATENTE]],'BASE DATOS'!F:L,7,0)</f>
        <v>1997</v>
      </c>
      <c r="K768" s="621">
        <f>+VLOOKUP(Tabla3[[#This Row],[PATENTE]],'BASE DATOS'!F:M,8,0)</f>
        <v>28</v>
      </c>
      <c r="N768" s="826"/>
      <c r="O768" s="1015"/>
      <c r="P768" s="1015"/>
      <c r="Q768" s="1015"/>
      <c r="R768" s="826"/>
    </row>
    <row r="769" spans="1:18" hidden="1">
      <c r="A769" s="578" t="s">
        <v>900</v>
      </c>
      <c r="B769" s="584">
        <v>2</v>
      </c>
      <c r="C769" s="589">
        <v>45936</v>
      </c>
      <c r="D769" s="582">
        <f t="shared" ref="D769:D800" si="31">+WEEKNUM(C769)</f>
        <v>41</v>
      </c>
      <c r="E769" s="618" t="str">
        <f>+VLOOKUP(Tabla3[[#This Row],[PATENTE]],'BASE DATOS'!F:G,2,0)</f>
        <v>TRANSPORTE GENA GAIA - IMO939</v>
      </c>
      <c r="F769" s="584" t="str">
        <f>+VLOOKUP(Tabla3[[#This Row],[PATENTE]],'BASE DATOS'!F:H,3,0)</f>
        <v>24P</v>
      </c>
      <c r="G769" s="584" t="str">
        <f>+VLOOKUP(Tabla3[[#This Row],[PATENTE]],'BASE DATOS'!F:I,4,0)</f>
        <v>Gestya</v>
      </c>
      <c r="H769" s="584" t="str">
        <f>+VLOOKUP(Tabla3[[#This Row],[PATENTE]],'BASE DATOS'!F:J,5,0)</f>
        <v xml:space="preserve">NO </v>
      </c>
      <c r="I769" s="584" t="str">
        <f>+VLOOKUP(Tabla3[[#This Row],[PATENTE]],'BASE DATOS'!F:K,6,0)</f>
        <v>NO</v>
      </c>
      <c r="J769" s="584">
        <f>+VLOOKUP(Tabla3[[#This Row],[PATENTE]],'BASE DATOS'!F:L,7,0)</f>
        <v>2010</v>
      </c>
      <c r="K769" s="619">
        <f>+VLOOKUP(Tabla3[[#This Row],[PATENTE]],'BASE DATOS'!F:M,8,0)</f>
        <v>15</v>
      </c>
      <c r="N769" s="826"/>
      <c r="O769" s="1015"/>
      <c r="P769" s="1015"/>
      <c r="Q769" s="1015"/>
      <c r="R769" s="826"/>
    </row>
    <row r="770" spans="1:18" hidden="1">
      <c r="A770" s="578" t="s">
        <v>913</v>
      </c>
      <c r="B770" s="584">
        <v>2</v>
      </c>
      <c r="C770" s="589">
        <v>45936</v>
      </c>
      <c r="D770" s="582">
        <f t="shared" si="31"/>
        <v>41</v>
      </c>
      <c r="E770" s="618" t="str">
        <f>+VLOOKUP(Tabla3[[#This Row],[PATENTE]],'BASE DATOS'!F:G,2,0)</f>
        <v xml:space="preserve">TRANSP DON NENO - KSI803 </v>
      </c>
      <c r="F770" s="584" t="str">
        <f>+VLOOKUP(Tabla3[[#This Row],[PATENTE]],'BASE DATOS'!F:H,3,0)</f>
        <v>2P</v>
      </c>
      <c r="G770" s="584" t="str">
        <f>+VLOOKUP(Tabla3[[#This Row],[PATENTE]],'BASE DATOS'!F:I,4,0)</f>
        <v>SI</v>
      </c>
      <c r="H770" s="584" t="str">
        <f>+VLOOKUP(Tabla3[[#This Row],[PATENTE]],'BASE DATOS'!F:J,5,0)</f>
        <v>SI</v>
      </c>
      <c r="I770" s="584" t="str">
        <f>+VLOOKUP(Tabla3[[#This Row],[PATENTE]],'BASE DATOS'!F:K,6,0)</f>
        <v>NO</v>
      </c>
      <c r="J770" s="584">
        <f>+VLOOKUP(Tabla3[[#This Row],[PATENTE]],'BASE DATOS'!F:L,7,0)</f>
        <v>2012</v>
      </c>
      <c r="K770" s="619">
        <f>+VLOOKUP(Tabla3[[#This Row],[PATENTE]],'BASE DATOS'!F:M,8,0)</f>
        <v>13</v>
      </c>
      <c r="N770" s="826"/>
      <c r="O770" s="1015"/>
      <c r="P770" s="1015"/>
      <c r="Q770" s="1015"/>
      <c r="R770" s="826"/>
    </row>
    <row r="771" spans="1:18" hidden="1">
      <c r="A771" s="578" t="s">
        <v>1133</v>
      </c>
      <c r="B771" s="584">
        <v>1</v>
      </c>
      <c r="C771" s="589">
        <v>45936</v>
      </c>
      <c r="D771" s="582">
        <f t="shared" si="31"/>
        <v>41</v>
      </c>
      <c r="E771" s="618" t="str">
        <f>+VLOOKUP(Tabla3[[#This Row],[PATENTE]],'BASE DATOS'!F:G,2,0)</f>
        <v xml:space="preserve">BELLIMAR SRL - AB787MT </v>
      </c>
      <c r="F771" s="584" t="str">
        <f>+VLOOKUP(Tabla3[[#This Row],[PATENTE]],'BASE DATOS'!F:H,3,0)</f>
        <v>28P</v>
      </c>
      <c r="G771" s="584" t="str">
        <f>+VLOOKUP(Tabla3[[#This Row],[PATENTE]],'BASE DATOS'!F:I,4,0)</f>
        <v>NO</v>
      </c>
      <c r="H771" s="584" t="str">
        <f>+VLOOKUP(Tabla3[[#This Row],[PATENTE]],'BASE DATOS'!F:J,5,0)</f>
        <v xml:space="preserve">NO </v>
      </c>
      <c r="I771" s="584" t="str">
        <f>+VLOOKUP(Tabla3[[#This Row],[PATENTE]],'BASE DATOS'!F:K,6,0)</f>
        <v>NO</v>
      </c>
      <c r="J771" s="584">
        <f>+VLOOKUP(Tabla3[[#This Row],[PATENTE]],'BASE DATOS'!F:L,7,0)</f>
        <v>2017</v>
      </c>
      <c r="K771" s="619">
        <f>+VLOOKUP(Tabla3[[#This Row],[PATENTE]],'BASE DATOS'!F:M,8,0)</f>
        <v>8</v>
      </c>
      <c r="N771" s="826"/>
      <c r="O771" s="1015"/>
      <c r="P771" s="1015"/>
      <c r="Q771" s="1015"/>
      <c r="R771" s="826"/>
    </row>
    <row r="772" spans="1:18" hidden="1">
      <c r="A772" s="578" t="s">
        <v>893</v>
      </c>
      <c r="B772" s="584">
        <v>1</v>
      </c>
      <c r="C772" s="589">
        <v>45936</v>
      </c>
      <c r="D772" s="582">
        <f t="shared" si="31"/>
        <v>41</v>
      </c>
      <c r="E772" s="618" t="str">
        <f>+VLOOKUP(Tabla3[[#This Row],[PATENTE]],'BASE DATOS'!F:G,2,0)</f>
        <v xml:space="preserve">GANZINI HUGO - CFF038 </v>
      </c>
      <c r="F772" s="584" t="str">
        <f>+VLOOKUP(Tabla3[[#This Row],[PATENTE]],'BASE DATOS'!F:H,3,0)</f>
        <v>2P</v>
      </c>
      <c r="G772" s="584" t="str">
        <f>+VLOOKUP(Tabla3[[#This Row],[PATENTE]],'BASE DATOS'!F:I,4,0)</f>
        <v>SI</v>
      </c>
      <c r="H772" s="584" t="str">
        <f>+VLOOKUP(Tabla3[[#This Row],[PATENTE]],'BASE DATOS'!F:J,5,0)</f>
        <v>SI</v>
      </c>
      <c r="I772" s="584" t="str">
        <f>+VLOOKUP(Tabla3[[#This Row],[PATENTE]],'BASE DATOS'!F:K,6,0)</f>
        <v>NO</v>
      </c>
      <c r="J772" s="584">
        <f>+VLOOKUP(Tabla3[[#This Row],[PATENTE]],'BASE DATOS'!F:L,7,0)</f>
        <v>1999</v>
      </c>
      <c r="K772" s="619">
        <f>+VLOOKUP(Tabla3[[#This Row],[PATENTE]],'BASE DATOS'!F:M,8,0)</f>
        <v>26</v>
      </c>
      <c r="N772" s="826"/>
      <c r="O772" s="1015"/>
      <c r="P772" s="1015"/>
      <c r="Q772" s="1015"/>
      <c r="R772" s="826"/>
    </row>
    <row r="773" spans="1:18" hidden="1">
      <c r="A773" s="578" t="s">
        <v>933</v>
      </c>
      <c r="B773" s="584">
        <v>1</v>
      </c>
      <c r="C773" s="589">
        <v>45936</v>
      </c>
      <c r="D773" s="582">
        <f t="shared" si="31"/>
        <v>41</v>
      </c>
      <c r="E773" s="618" t="str">
        <f>+VLOOKUP(Tabla3[[#This Row],[PATENTE]],'BASE DATOS'!F:G,2,0)</f>
        <v xml:space="preserve">TRANSPORTE GENA GAIA - IKE806 </v>
      </c>
      <c r="F773" s="584" t="str">
        <f>+VLOOKUP(Tabla3[[#This Row],[PATENTE]],'BASE DATOS'!F:H,3,0)</f>
        <v>24P</v>
      </c>
      <c r="G773" s="584" t="str">
        <f>+VLOOKUP(Tabla3[[#This Row],[PATENTE]],'BASE DATOS'!F:I,4,0)</f>
        <v>Gestya</v>
      </c>
      <c r="H773" s="584" t="str">
        <f>+VLOOKUP(Tabla3[[#This Row],[PATENTE]],'BASE DATOS'!F:J,5,0)</f>
        <v xml:space="preserve">NO </v>
      </c>
      <c r="I773" s="584" t="str">
        <f>+VLOOKUP(Tabla3[[#This Row],[PATENTE]],'BASE DATOS'!F:K,6,0)</f>
        <v>NO</v>
      </c>
      <c r="J773" s="584">
        <f>+VLOOKUP(Tabla3[[#This Row],[PATENTE]],'BASE DATOS'!F:L,7,0)</f>
        <v>2010</v>
      </c>
      <c r="K773" s="619">
        <f>+VLOOKUP(Tabla3[[#This Row],[PATENTE]],'BASE DATOS'!F:M,8,0)</f>
        <v>15</v>
      </c>
      <c r="N773" s="826"/>
      <c r="O773" s="1015"/>
      <c r="P773" s="1015"/>
      <c r="Q773" s="1015"/>
      <c r="R773" s="826"/>
    </row>
    <row r="774" spans="1:18" hidden="1">
      <c r="A774" s="578" t="s">
        <v>930</v>
      </c>
      <c r="B774" s="584">
        <v>1</v>
      </c>
      <c r="C774" s="589">
        <v>45936</v>
      </c>
      <c r="D774" s="582">
        <f t="shared" si="31"/>
        <v>41</v>
      </c>
      <c r="E774" s="618" t="str">
        <f>+VLOOKUP(Tabla3[[#This Row],[PATENTE]],'BASE DATOS'!F:G,2,0)</f>
        <v xml:space="preserve">GANZINI HUGO - JJF375 </v>
      </c>
      <c r="F774" s="584" t="str">
        <f>+VLOOKUP(Tabla3[[#This Row],[PATENTE]],'BASE DATOS'!F:H,3,0)</f>
        <v>14P</v>
      </c>
      <c r="G774" s="584" t="str">
        <f>+VLOOKUP(Tabla3[[#This Row],[PATENTE]],'BASE DATOS'!F:I,4,0)</f>
        <v>SI</v>
      </c>
      <c r="H774" s="584" t="str">
        <f>+VLOOKUP(Tabla3[[#This Row],[PATENTE]],'BASE DATOS'!F:J,5,0)</f>
        <v xml:space="preserve">NO </v>
      </c>
      <c r="I774" s="584" t="str">
        <f>+VLOOKUP(Tabla3[[#This Row],[PATENTE]],'BASE DATOS'!F:K,6,0)</f>
        <v>NO</v>
      </c>
      <c r="J774" s="584">
        <f>+VLOOKUP(Tabla3[[#This Row],[PATENTE]],'BASE DATOS'!F:L,7,0)</f>
        <v>2011</v>
      </c>
      <c r="K774" s="619">
        <f>+VLOOKUP(Tabla3[[#This Row],[PATENTE]],'BASE DATOS'!F:M,8,0)</f>
        <v>14</v>
      </c>
      <c r="N774" s="826"/>
      <c r="O774" s="1015"/>
      <c r="P774" s="1015"/>
      <c r="Q774" s="1015"/>
      <c r="R774" s="826"/>
    </row>
    <row r="775" spans="1:18" hidden="1">
      <c r="A775" s="578" t="s">
        <v>884</v>
      </c>
      <c r="B775" s="584">
        <v>6</v>
      </c>
      <c r="C775" s="589">
        <v>45943</v>
      </c>
      <c r="D775" s="582">
        <f t="shared" si="31"/>
        <v>42</v>
      </c>
      <c r="E775" s="618" t="str">
        <f>+VLOOKUP(Tabla3[[#This Row],[PATENTE]],'BASE DATOS'!F:G,2,0)</f>
        <v xml:space="preserve">LAURIA (SERVAL) - AB233IT </v>
      </c>
      <c r="F775" s="584" t="str">
        <f>+VLOOKUP(Tabla3[[#This Row],[PATENTE]],'BASE DATOS'!F:H,3,0)</f>
        <v>6P</v>
      </c>
      <c r="G775" s="584" t="str">
        <f>+VLOOKUP(Tabla3[[#This Row],[PATENTE]],'BASE DATOS'!F:I,4,0)</f>
        <v>SI</v>
      </c>
      <c r="H775" s="584" t="str">
        <f>+VLOOKUP(Tabla3[[#This Row],[PATENTE]],'BASE DATOS'!F:J,5,0)</f>
        <v>SI</v>
      </c>
      <c r="I775" s="584" t="str">
        <f>+VLOOKUP(Tabla3[[#This Row],[PATENTE]],'BASE DATOS'!F:K,6,0)</f>
        <v>NO</v>
      </c>
      <c r="J775" s="584">
        <f>+VLOOKUP(Tabla3[[#This Row],[PATENTE]],'BASE DATOS'!F:L,7,0)</f>
        <v>2017</v>
      </c>
      <c r="K775" s="619">
        <f>+VLOOKUP(Tabla3[[#This Row],[PATENTE]],'BASE DATOS'!F:M,8,0)</f>
        <v>8</v>
      </c>
      <c r="N775" s="826"/>
      <c r="O775" s="1015"/>
      <c r="P775" s="1015"/>
      <c r="Q775" s="1015"/>
      <c r="R775" s="826"/>
    </row>
    <row r="776" spans="1:18" hidden="1">
      <c r="A776" s="578" t="s">
        <v>905</v>
      </c>
      <c r="B776" s="584">
        <v>6</v>
      </c>
      <c r="C776" s="589">
        <v>45943</v>
      </c>
      <c r="D776" s="582">
        <f t="shared" si="31"/>
        <v>42</v>
      </c>
      <c r="E776" s="618" t="str">
        <f>+VLOOKUP(Tabla3[[#This Row],[PATENTE]],'BASE DATOS'!F:G,2,0)</f>
        <v xml:space="preserve">J RIMOLDI - AB312SE </v>
      </c>
      <c r="F776" s="584" t="str">
        <f>+VLOOKUP(Tabla3[[#This Row],[PATENTE]],'BASE DATOS'!F:H,3,0)</f>
        <v>8P</v>
      </c>
      <c r="G776" s="584" t="str">
        <f>+VLOOKUP(Tabla3[[#This Row],[PATENTE]],'BASE DATOS'!F:I,4,0)</f>
        <v>SI</v>
      </c>
      <c r="H776" s="584" t="str">
        <f>+VLOOKUP(Tabla3[[#This Row],[PATENTE]],'BASE DATOS'!F:J,5,0)</f>
        <v>SI</v>
      </c>
      <c r="I776" s="584" t="str">
        <f>+VLOOKUP(Tabla3[[#This Row],[PATENTE]],'BASE DATOS'!F:K,6,0)</f>
        <v>NO</v>
      </c>
      <c r="J776" s="584">
        <f>+VLOOKUP(Tabla3[[#This Row],[PATENTE]],'BASE DATOS'!F:L,7,0)</f>
        <v>2017</v>
      </c>
      <c r="K776" s="619">
        <f>+VLOOKUP(Tabla3[[#This Row],[PATENTE]],'BASE DATOS'!F:M,8,0)</f>
        <v>8</v>
      </c>
      <c r="N776" s="826"/>
      <c r="O776" s="1015"/>
      <c r="P776" s="1015"/>
      <c r="Q776" s="1015"/>
      <c r="R776" s="826"/>
    </row>
    <row r="777" spans="1:18" hidden="1">
      <c r="A777" s="578" t="s">
        <v>907</v>
      </c>
      <c r="B777" s="584">
        <v>6</v>
      </c>
      <c r="C777" s="589">
        <v>45943</v>
      </c>
      <c r="D777" s="582">
        <f t="shared" si="31"/>
        <v>42</v>
      </c>
      <c r="E777" s="618" t="str">
        <f>+VLOOKUP(Tabla3[[#This Row],[PATENTE]],'BASE DATOS'!F:G,2,0)</f>
        <v xml:space="preserve">LAURIA (SERVAL) - AH583GW </v>
      </c>
      <c r="F777" s="584" t="str">
        <f>+VLOOKUP(Tabla3[[#This Row],[PATENTE]],'BASE DATOS'!F:H,3,0)</f>
        <v>8P</v>
      </c>
      <c r="G777" s="584" t="str">
        <f>+VLOOKUP(Tabla3[[#This Row],[PATENTE]],'BASE DATOS'!F:I,4,0)</f>
        <v>SI</v>
      </c>
      <c r="H777" s="584" t="str">
        <f>+VLOOKUP(Tabla3[[#This Row],[PATENTE]],'BASE DATOS'!F:J,5,0)</f>
        <v>SI</v>
      </c>
      <c r="I777" s="584" t="str">
        <f>+VLOOKUP(Tabla3[[#This Row],[PATENTE]],'BASE DATOS'!F:K,6,0)</f>
        <v>NO</v>
      </c>
      <c r="J777" s="584">
        <f>+VLOOKUP(Tabla3[[#This Row],[PATENTE]],'BASE DATOS'!F:L,7,0)</f>
        <v>2025</v>
      </c>
      <c r="K777" s="619">
        <f>+VLOOKUP(Tabla3[[#This Row],[PATENTE]],'BASE DATOS'!F:M,8,0)</f>
        <v>0</v>
      </c>
      <c r="N777" s="826"/>
      <c r="O777" s="1015"/>
      <c r="P777" s="1015"/>
      <c r="Q777" s="1015"/>
      <c r="R777" s="826"/>
    </row>
    <row r="778" spans="1:18" hidden="1">
      <c r="A778" s="578" t="s">
        <v>904</v>
      </c>
      <c r="B778" s="584">
        <v>6</v>
      </c>
      <c r="C778" s="589">
        <v>45943</v>
      </c>
      <c r="D778" s="582">
        <f t="shared" si="31"/>
        <v>42</v>
      </c>
      <c r="E778" s="618" t="str">
        <f>+VLOOKUP(Tabla3[[#This Row],[PATENTE]],'BASE DATOS'!F:G,2,0)</f>
        <v xml:space="preserve">ENRIQUE ROLLINO - DFO656 </v>
      </c>
      <c r="F778" s="584" t="str">
        <f>+VLOOKUP(Tabla3[[#This Row],[PATENTE]],'BASE DATOS'!F:H,3,0)</f>
        <v>6P</v>
      </c>
      <c r="G778" s="584" t="str">
        <f>+VLOOKUP(Tabla3[[#This Row],[PATENTE]],'BASE DATOS'!F:I,4,0)</f>
        <v>SI</v>
      </c>
      <c r="H778" s="584" t="str">
        <f>+VLOOKUP(Tabla3[[#This Row],[PATENTE]],'BASE DATOS'!F:J,5,0)</f>
        <v>SI</v>
      </c>
      <c r="I778" s="584" t="str">
        <f>+VLOOKUP(Tabla3[[#This Row],[PATENTE]],'BASE DATOS'!F:K,6,0)</f>
        <v>NO</v>
      </c>
      <c r="J778" s="584">
        <f>+VLOOKUP(Tabla3[[#This Row],[PATENTE]],'BASE DATOS'!F:L,7,0)</f>
        <v>2000</v>
      </c>
      <c r="K778" s="619">
        <f>+VLOOKUP(Tabla3[[#This Row],[PATENTE]],'BASE DATOS'!F:M,8,0)</f>
        <v>25</v>
      </c>
      <c r="N778" s="826"/>
      <c r="O778" s="1015"/>
      <c r="P778" s="1015"/>
      <c r="Q778" s="1015"/>
      <c r="R778" s="826"/>
    </row>
    <row r="779" spans="1:18" hidden="1">
      <c r="A779" s="578" t="s">
        <v>889</v>
      </c>
      <c r="B779" s="584">
        <v>6</v>
      </c>
      <c r="C779" s="589">
        <v>45943</v>
      </c>
      <c r="D779" s="582">
        <f t="shared" si="31"/>
        <v>42</v>
      </c>
      <c r="E779" s="618" t="str">
        <f>+VLOOKUP(Tabla3[[#This Row],[PATENTE]],'BASE DATOS'!F:G,2,0)</f>
        <v xml:space="preserve">COLO - HAW164 </v>
      </c>
      <c r="F779" s="584" t="str">
        <f>+VLOOKUP(Tabla3[[#This Row],[PATENTE]],'BASE DATOS'!F:H,3,0)</f>
        <v>6P</v>
      </c>
      <c r="G779" s="584" t="str">
        <f>+VLOOKUP(Tabla3[[#This Row],[PATENTE]],'BASE DATOS'!F:I,4,0)</f>
        <v>NO</v>
      </c>
      <c r="H779" s="584" t="str">
        <f>+VLOOKUP(Tabla3[[#This Row],[PATENTE]],'BASE DATOS'!F:J,5,0)</f>
        <v>SI</v>
      </c>
      <c r="I779" s="584" t="str">
        <f>+VLOOKUP(Tabla3[[#This Row],[PATENTE]],'BASE DATOS'!F:K,6,0)</f>
        <v>NO</v>
      </c>
      <c r="J779" s="584">
        <f>+VLOOKUP(Tabla3[[#This Row],[PATENTE]],'BASE DATOS'!F:L,7,0)</f>
        <v>2009</v>
      </c>
      <c r="K779" s="619">
        <f>+VLOOKUP(Tabla3[[#This Row],[PATENTE]],'BASE DATOS'!F:M,8,0)</f>
        <v>16</v>
      </c>
      <c r="N779" s="826"/>
      <c r="O779" s="1015"/>
      <c r="P779" s="1015"/>
      <c r="Q779" s="1015"/>
      <c r="R779" s="826"/>
    </row>
    <row r="780" spans="1:18" hidden="1">
      <c r="A780" s="578" t="s">
        <v>891</v>
      </c>
      <c r="B780" s="584">
        <v>6</v>
      </c>
      <c r="C780" s="589">
        <v>45943</v>
      </c>
      <c r="D780" s="582">
        <f t="shared" si="31"/>
        <v>42</v>
      </c>
      <c r="E780" s="618" t="str">
        <f>+VLOOKUP(Tabla3[[#This Row],[PATENTE]],'BASE DATOS'!F:G,2,0)</f>
        <v xml:space="preserve">GANZINI HUGO - HHA085 </v>
      </c>
      <c r="F780" s="584" t="str">
        <f>+VLOOKUP(Tabla3[[#This Row],[PATENTE]],'BASE DATOS'!F:H,3,0)</f>
        <v>2P</v>
      </c>
      <c r="G780" s="584" t="str">
        <f>+VLOOKUP(Tabla3[[#This Row],[PATENTE]],'BASE DATOS'!F:I,4,0)</f>
        <v>SI</v>
      </c>
      <c r="H780" s="584" t="str">
        <f>+VLOOKUP(Tabla3[[#This Row],[PATENTE]],'BASE DATOS'!F:J,5,0)</f>
        <v>SI</v>
      </c>
      <c r="I780" s="584" t="str">
        <f>+VLOOKUP(Tabla3[[#This Row],[PATENTE]],'BASE DATOS'!F:K,6,0)</f>
        <v>NO</v>
      </c>
      <c r="J780" s="584">
        <f>+VLOOKUP(Tabla3[[#This Row],[PATENTE]],'BASE DATOS'!F:L,7,0)</f>
        <v>2008</v>
      </c>
      <c r="K780" s="619">
        <f>+VLOOKUP(Tabla3[[#This Row],[PATENTE]],'BASE DATOS'!F:M,8,0)</f>
        <v>17</v>
      </c>
      <c r="N780" s="826"/>
      <c r="O780" s="1015"/>
      <c r="P780" s="1015"/>
      <c r="Q780" s="1015"/>
      <c r="R780" s="826"/>
    </row>
    <row r="781" spans="1:18" hidden="1">
      <c r="A781" s="578" t="s">
        <v>885</v>
      </c>
      <c r="B781" s="584">
        <v>6</v>
      </c>
      <c r="C781" s="589">
        <v>45943</v>
      </c>
      <c r="D781" s="582">
        <f t="shared" si="31"/>
        <v>42</v>
      </c>
      <c r="E781" s="618" t="str">
        <f>+VLOOKUP(Tabla3[[#This Row],[PATENTE]],'BASE DATOS'!F:G,2,0)</f>
        <v xml:space="preserve">TRANSP DON NENO - IES288 </v>
      </c>
      <c r="F781" s="584" t="str">
        <f>+VLOOKUP(Tabla3[[#This Row],[PATENTE]],'BASE DATOS'!F:H,3,0)</f>
        <v>2P</v>
      </c>
      <c r="G781" s="584" t="str">
        <f>+VLOOKUP(Tabla3[[#This Row],[PATENTE]],'BASE DATOS'!F:I,4,0)</f>
        <v>SI</v>
      </c>
      <c r="H781" s="584" t="str">
        <f>+VLOOKUP(Tabla3[[#This Row],[PATENTE]],'BASE DATOS'!F:J,5,0)</f>
        <v>SI</v>
      </c>
      <c r="I781" s="584" t="str">
        <f>+VLOOKUP(Tabla3[[#This Row],[PATENTE]],'BASE DATOS'!F:K,6,0)</f>
        <v>NO</v>
      </c>
      <c r="J781" s="584">
        <f>+VLOOKUP(Tabla3[[#This Row],[PATENTE]],'BASE DATOS'!F:L,7,0)</f>
        <v>2009</v>
      </c>
      <c r="K781" s="619">
        <f>+VLOOKUP(Tabla3[[#This Row],[PATENTE]],'BASE DATOS'!F:M,8,0)</f>
        <v>16</v>
      </c>
      <c r="N781" s="826"/>
      <c r="O781" s="1015"/>
      <c r="P781" s="1015"/>
      <c r="Q781" s="1015"/>
      <c r="R781" s="826"/>
    </row>
    <row r="782" spans="1:18" hidden="1">
      <c r="A782" s="578" t="s">
        <v>897</v>
      </c>
      <c r="B782" s="584">
        <v>6</v>
      </c>
      <c r="C782" s="589">
        <v>45943</v>
      </c>
      <c r="D782" s="582">
        <f t="shared" si="31"/>
        <v>42</v>
      </c>
      <c r="E782" s="618" t="str">
        <f>+VLOOKUP(Tabla3[[#This Row],[PATENTE]],'BASE DATOS'!F:G,2,0)</f>
        <v xml:space="preserve">TRANSP CLAUDIO BUSTOS - LSG801 </v>
      </c>
      <c r="F782" s="584" t="str">
        <f>+VLOOKUP(Tabla3[[#This Row],[PATENTE]],'BASE DATOS'!F:H,3,0)</f>
        <v>2P</v>
      </c>
      <c r="G782" s="584" t="str">
        <f>+VLOOKUP(Tabla3[[#This Row],[PATENTE]],'BASE DATOS'!F:I,4,0)</f>
        <v>SI</v>
      </c>
      <c r="H782" s="584" t="str">
        <f>+VLOOKUP(Tabla3[[#This Row],[PATENTE]],'BASE DATOS'!F:J,5,0)</f>
        <v>SI</v>
      </c>
      <c r="I782" s="584" t="str">
        <f>+VLOOKUP(Tabla3[[#This Row],[PATENTE]],'BASE DATOS'!F:K,6,0)</f>
        <v>NO</v>
      </c>
      <c r="J782" s="584">
        <f>+VLOOKUP(Tabla3[[#This Row],[PATENTE]],'BASE DATOS'!F:L,7,0)</f>
        <v>2013</v>
      </c>
      <c r="K782" s="619">
        <f>+VLOOKUP(Tabla3[[#This Row],[PATENTE]],'BASE DATOS'!F:M,8,0)</f>
        <v>12</v>
      </c>
      <c r="N782" s="826"/>
      <c r="O782" s="1015"/>
      <c r="P782" s="1015"/>
      <c r="Q782" s="1015"/>
      <c r="R782" s="826"/>
    </row>
    <row r="783" spans="1:18" hidden="1">
      <c r="A783" s="578" t="s">
        <v>886</v>
      </c>
      <c r="B783" s="584">
        <v>6</v>
      </c>
      <c r="C783" s="589">
        <v>45943</v>
      </c>
      <c r="D783" s="582">
        <f t="shared" si="31"/>
        <v>42</v>
      </c>
      <c r="E783" s="618" t="str">
        <f>+VLOOKUP(Tabla3[[#This Row],[PATENTE]],'BASE DATOS'!F:G,2,0)</f>
        <v xml:space="preserve">TRANSP LAGOS - NOO925 </v>
      </c>
      <c r="F783" s="584" t="str">
        <f>+VLOOKUP(Tabla3[[#This Row],[PATENTE]],'BASE DATOS'!F:H,3,0)</f>
        <v>8P</v>
      </c>
      <c r="G783" s="584" t="str">
        <f>+VLOOKUP(Tabla3[[#This Row],[PATENTE]],'BASE DATOS'!F:I,4,0)</f>
        <v>SI</v>
      </c>
      <c r="H783" s="584" t="str">
        <f>+VLOOKUP(Tabla3[[#This Row],[PATENTE]],'BASE DATOS'!F:J,5,0)</f>
        <v>SI</v>
      </c>
      <c r="I783" s="584" t="str">
        <f>+VLOOKUP(Tabla3[[#This Row],[PATENTE]],'BASE DATOS'!F:K,6,0)</f>
        <v>NO</v>
      </c>
      <c r="J783" s="584">
        <f>+VLOOKUP(Tabla3[[#This Row],[PATENTE]],'BASE DATOS'!F:L,7,0)</f>
        <v>2014</v>
      </c>
      <c r="K783" s="619">
        <f>+VLOOKUP(Tabla3[[#This Row],[PATENTE]],'BASE DATOS'!F:M,8,0)</f>
        <v>11</v>
      </c>
      <c r="N783" s="826"/>
      <c r="O783" s="1015"/>
      <c r="P783" s="1015"/>
      <c r="Q783" s="1015"/>
      <c r="R783" s="826"/>
    </row>
    <row r="784" spans="1:18" hidden="1">
      <c r="A784" s="578" t="s">
        <v>898</v>
      </c>
      <c r="B784" s="584">
        <v>6</v>
      </c>
      <c r="C784" s="589">
        <v>45943</v>
      </c>
      <c r="D784" s="582">
        <f t="shared" si="31"/>
        <v>42</v>
      </c>
      <c r="E784" s="618" t="str">
        <f>+VLOOKUP(Tabla3[[#This Row],[PATENTE]],'BASE DATOS'!F:G,2,0)</f>
        <v xml:space="preserve">TRANSP BERMEJO - NXP980 </v>
      </c>
      <c r="F784" s="584" t="str">
        <f>+VLOOKUP(Tabla3[[#This Row],[PATENTE]],'BASE DATOS'!F:H,3,0)</f>
        <v>12P</v>
      </c>
      <c r="G784" s="584" t="str">
        <f>+VLOOKUP(Tabla3[[#This Row],[PATENTE]],'BASE DATOS'!F:I,4,0)</f>
        <v>SI</v>
      </c>
      <c r="H784" s="584" t="str">
        <f>+VLOOKUP(Tabla3[[#This Row],[PATENTE]],'BASE DATOS'!F:J,5,0)</f>
        <v>SI</v>
      </c>
      <c r="I784" s="584" t="str">
        <f>+VLOOKUP(Tabla3[[#This Row],[PATENTE]],'BASE DATOS'!F:K,6,0)</f>
        <v>SI</v>
      </c>
      <c r="J784" s="584">
        <f>+VLOOKUP(Tabla3[[#This Row],[PATENTE]],'BASE DATOS'!F:L,7,0)</f>
        <v>2015</v>
      </c>
      <c r="K784" s="619">
        <f>+VLOOKUP(Tabla3[[#This Row],[PATENTE]],'BASE DATOS'!F:M,8,0)</f>
        <v>10</v>
      </c>
      <c r="N784" s="826"/>
      <c r="O784" s="1015"/>
      <c r="P784" s="1015"/>
      <c r="Q784" s="1015"/>
      <c r="R784" s="826"/>
    </row>
    <row r="785" spans="1:18" hidden="1">
      <c r="A785" s="578" t="s">
        <v>936</v>
      </c>
      <c r="B785" s="584">
        <v>5</v>
      </c>
      <c r="C785" s="589">
        <v>45943</v>
      </c>
      <c r="D785" s="582">
        <f t="shared" si="31"/>
        <v>42</v>
      </c>
      <c r="E785" s="618" t="str">
        <f>+VLOOKUP(Tabla3[[#This Row],[PATENTE]],'BASE DATOS'!F:G,2,0)</f>
        <v>TRANSP YANINA  LUONGO - AA050HC</v>
      </c>
      <c r="F785" s="584" t="str">
        <f>+VLOOKUP(Tabla3[[#This Row],[PATENTE]],'BASE DATOS'!F:H,3,0)</f>
        <v>1.5P</v>
      </c>
      <c r="G785" s="584" t="str">
        <f>+VLOOKUP(Tabla3[[#This Row],[PATENTE]],'BASE DATOS'!F:I,4,0)</f>
        <v>NO</v>
      </c>
      <c r="H785" s="584" t="str">
        <f>+VLOOKUP(Tabla3[[#This Row],[PATENTE]],'BASE DATOS'!F:J,5,0)</f>
        <v>SI</v>
      </c>
      <c r="I785" s="584" t="str">
        <f>+VLOOKUP(Tabla3[[#This Row],[PATENTE]],'BASE DATOS'!F:K,6,0)</f>
        <v>NO</v>
      </c>
      <c r="J785" s="584">
        <f>+VLOOKUP(Tabla3[[#This Row],[PATENTE]],'BASE DATOS'!F:L,7,0)</f>
        <v>2016</v>
      </c>
      <c r="K785" s="619">
        <f>+VLOOKUP(Tabla3[[#This Row],[PATENTE]],'BASE DATOS'!F:M,8,0)</f>
        <v>9</v>
      </c>
      <c r="N785" s="826"/>
      <c r="O785" s="1015"/>
      <c r="P785" s="1015"/>
      <c r="Q785" s="1015"/>
      <c r="R785" s="826"/>
    </row>
    <row r="786" spans="1:18" hidden="1">
      <c r="A786" s="578" t="s">
        <v>919</v>
      </c>
      <c r="B786" s="584">
        <v>5</v>
      </c>
      <c r="C786" s="589">
        <v>45943</v>
      </c>
      <c r="D786" s="582">
        <f t="shared" si="31"/>
        <v>42</v>
      </c>
      <c r="E786" s="618" t="str">
        <f>+VLOOKUP(Tabla3[[#This Row],[PATENTE]],'BASE DATOS'!F:G,2,0)</f>
        <v xml:space="preserve">GUSTAVO CERQUETTA - AA427LT </v>
      </c>
      <c r="F786" s="584" t="str">
        <f>+VLOOKUP(Tabla3[[#This Row],[PATENTE]],'BASE DATOS'!F:H,3,0)</f>
        <v>1P</v>
      </c>
      <c r="G786" s="584" t="str">
        <f>+VLOOKUP(Tabla3[[#This Row],[PATENTE]],'BASE DATOS'!F:I,4,0)</f>
        <v>NO</v>
      </c>
      <c r="H786" s="584" t="str">
        <f>+VLOOKUP(Tabla3[[#This Row],[PATENTE]],'BASE DATOS'!F:J,5,0)</f>
        <v>SI</v>
      </c>
      <c r="I786" s="584" t="str">
        <f>+VLOOKUP(Tabla3[[#This Row],[PATENTE]],'BASE DATOS'!F:K,6,0)</f>
        <v>NO</v>
      </c>
      <c r="J786" s="584">
        <f>+VLOOKUP(Tabla3[[#This Row],[PATENTE]],'BASE DATOS'!F:L,7,0)</f>
        <v>2016</v>
      </c>
      <c r="K786" s="619">
        <f>+VLOOKUP(Tabla3[[#This Row],[PATENTE]],'BASE DATOS'!F:M,8,0)</f>
        <v>9</v>
      </c>
      <c r="N786" s="826"/>
      <c r="O786" s="1015"/>
      <c r="P786" s="1015"/>
      <c r="Q786" s="1015"/>
      <c r="R786" s="826"/>
    </row>
    <row r="787" spans="1:18" hidden="1">
      <c r="A787" s="578" t="s">
        <v>899</v>
      </c>
      <c r="B787" s="584">
        <v>5</v>
      </c>
      <c r="C787" s="589">
        <v>45943</v>
      </c>
      <c r="D787" s="582">
        <f t="shared" si="31"/>
        <v>42</v>
      </c>
      <c r="E787" s="618" t="str">
        <f>+VLOOKUP(Tabla3[[#This Row],[PATENTE]],'BASE DATOS'!F:G,2,0)</f>
        <v xml:space="preserve">VAZQUEZ (TRV SRL) - AB176KN </v>
      </c>
      <c r="F787" s="584" t="str">
        <f>+VLOOKUP(Tabla3[[#This Row],[PATENTE]],'BASE DATOS'!F:H,3,0)</f>
        <v>8P</v>
      </c>
      <c r="G787" s="584" t="str">
        <f>+VLOOKUP(Tabla3[[#This Row],[PATENTE]],'BASE DATOS'!F:I,4,0)</f>
        <v>SI</v>
      </c>
      <c r="H787" s="584" t="str">
        <f>+VLOOKUP(Tabla3[[#This Row],[PATENTE]],'BASE DATOS'!F:J,5,0)</f>
        <v>SI</v>
      </c>
      <c r="I787" s="584" t="str">
        <f>+VLOOKUP(Tabla3[[#This Row],[PATENTE]],'BASE DATOS'!F:K,6,0)</f>
        <v>SI</v>
      </c>
      <c r="J787" s="584">
        <f>+VLOOKUP(Tabla3[[#This Row],[PATENTE]],'BASE DATOS'!F:L,7,0)</f>
        <v>2017</v>
      </c>
      <c r="K787" s="619">
        <f>+VLOOKUP(Tabla3[[#This Row],[PATENTE]],'BASE DATOS'!F:M,8,0)</f>
        <v>8</v>
      </c>
      <c r="N787" s="826"/>
      <c r="O787" s="1015"/>
      <c r="P787" s="1015"/>
      <c r="Q787" s="1015"/>
      <c r="R787" s="826"/>
    </row>
    <row r="788" spans="1:18" hidden="1">
      <c r="A788" s="578" t="s">
        <v>890</v>
      </c>
      <c r="B788" s="584">
        <v>5</v>
      </c>
      <c r="C788" s="589">
        <v>45943</v>
      </c>
      <c r="D788" s="582">
        <f t="shared" si="31"/>
        <v>42</v>
      </c>
      <c r="E788" s="618" t="str">
        <f>+VLOOKUP(Tabla3[[#This Row],[PATENTE]],'BASE DATOS'!F:G,2,0)</f>
        <v xml:space="preserve">TRANSPORTE GRACIELA - AC040RO </v>
      </c>
      <c r="F788" s="584" t="str">
        <f>+VLOOKUP(Tabla3[[#This Row],[PATENTE]],'BASE DATOS'!F:H,3,0)</f>
        <v>1P</v>
      </c>
      <c r="G788" s="584" t="str">
        <f>+VLOOKUP(Tabla3[[#This Row],[PATENTE]],'BASE DATOS'!F:I,4,0)</f>
        <v>SI</v>
      </c>
      <c r="H788" s="584" t="str">
        <f>+VLOOKUP(Tabla3[[#This Row],[PATENTE]],'BASE DATOS'!F:J,5,0)</f>
        <v>ACEPTA( VER CAMI)</v>
      </c>
      <c r="I788" s="584" t="str">
        <f>+VLOOKUP(Tabla3[[#This Row],[PATENTE]],'BASE DATOS'!F:K,6,0)</f>
        <v>NO</v>
      </c>
      <c r="J788" s="584">
        <f>+VLOOKUP(Tabla3[[#This Row],[PATENTE]],'BASE DATOS'!F:L,7,0)</f>
        <v>2017</v>
      </c>
      <c r="K788" s="619">
        <f>+VLOOKUP(Tabla3[[#This Row],[PATENTE]],'BASE DATOS'!F:M,8,0)</f>
        <v>8</v>
      </c>
      <c r="N788" s="826"/>
      <c r="O788" s="1015"/>
      <c r="P788" s="1015"/>
      <c r="Q788" s="1015"/>
      <c r="R788" s="826"/>
    </row>
    <row r="789" spans="1:18" hidden="1">
      <c r="A789" s="578" t="s">
        <v>883</v>
      </c>
      <c r="B789" s="584">
        <v>5</v>
      </c>
      <c r="C789" s="589">
        <v>45943</v>
      </c>
      <c r="D789" s="582">
        <f t="shared" si="31"/>
        <v>42</v>
      </c>
      <c r="E789" s="618" t="str">
        <f>+VLOOKUP(Tabla3[[#This Row],[PATENTE]],'BASE DATOS'!F:G,2,0)</f>
        <v xml:space="preserve">PACHECO JULIO - ACI503 </v>
      </c>
      <c r="F789" s="584" t="str">
        <f>+VLOOKUP(Tabla3[[#This Row],[PATENTE]],'BASE DATOS'!F:H,3,0)</f>
        <v>12P</v>
      </c>
      <c r="G789" s="584" t="str">
        <f>+VLOOKUP(Tabla3[[#This Row],[PATENTE]],'BASE DATOS'!F:I,4,0)</f>
        <v>NO</v>
      </c>
      <c r="H789" s="584" t="str">
        <f>+VLOOKUP(Tabla3[[#This Row],[PATENTE]],'BASE DATOS'!F:J,5,0)</f>
        <v>SI</v>
      </c>
      <c r="I789" s="584" t="str">
        <f>+VLOOKUP(Tabla3[[#This Row],[PATENTE]],'BASE DATOS'!F:K,6,0)</f>
        <v>SI</v>
      </c>
      <c r="J789" s="584">
        <f>+VLOOKUP(Tabla3[[#This Row],[PATENTE]],'BASE DATOS'!F:L,7,0)</f>
        <v>2000</v>
      </c>
      <c r="K789" s="619">
        <f>+VLOOKUP(Tabla3[[#This Row],[PATENTE]],'BASE DATOS'!F:M,8,0)</f>
        <v>25</v>
      </c>
      <c r="N789" s="826"/>
      <c r="O789" s="1015"/>
      <c r="P789" s="1015"/>
      <c r="Q789" s="1015"/>
      <c r="R789" s="826"/>
    </row>
    <row r="790" spans="1:18" hidden="1">
      <c r="A790" s="578" t="s">
        <v>888</v>
      </c>
      <c r="B790" s="584">
        <v>5</v>
      </c>
      <c r="C790" s="589">
        <v>45943</v>
      </c>
      <c r="D790" s="582">
        <f t="shared" si="31"/>
        <v>42</v>
      </c>
      <c r="E790" s="618" t="str">
        <f>+VLOOKUP(Tabla3[[#This Row],[PATENTE]],'BASE DATOS'!F:G,2,0)</f>
        <v xml:space="preserve">TRANSP FIRST CLASS - AD535UI </v>
      </c>
      <c r="F790" s="584" t="str">
        <f>+VLOOKUP(Tabla3[[#This Row],[PATENTE]],'BASE DATOS'!F:H,3,0)</f>
        <v>6P</v>
      </c>
      <c r="G790" s="584" t="str">
        <f>+VLOOKUP(Tabla3[[#This Row],[PATENTE]],'BASE DATOS'!F:I,4,0)</f>
        <v>SI</v>
      </c>
      <c r="H790" s="584" t="str">
        <f>+VLOOKUP(Tabla3[[#This Row],[PATENTE]],'BASE DATOS'!F:J,5,0)</f>
        <v>SI</v>
      </c>
      <c r="I790" s="584" t="str">
        <f>+VLOOKUP(Tabla3[[#This Row],[PATENTE]],'BASE DATOS'!F:K,6,0)</f>
        <v>NO</v>
      </c>
      <c r="J790" s="584">
        <f>+VLOOKUP(Tabla3[[#This Row],[PATENTE]],'BASE DATOS'!F:L,7,0)</f>
        <v>2019</v>
      </c>
      <c r="K790" s="619">
        <f>+VLOOKUP(Tabla3[[#This Row],[PATENTE]],'BASE DATOS'!F:M,8,0)</f>
        <v>6</v>
      </c>
      <c r="N790" s="826"/>
      <c r="O790" s="1015"/>
      <c r="P790" s="1015"/>
      <c r="Q790" s="1015"/>
      <c r="R790" s="826"/>
    </row>
    <row r="791" spans="1:18" hidden="1">
      <c r="A791" s="578" t="s">
        <v>895</v>
      </c>
      <c r="B791" s="584">
        <v>5</v>
      </c>
      <c r="C791" s="589">
        <v>45943</v>
      </c>
      <c r="D791" s="582">
        <f t="shared" si="31"/>
        <v>42</v>
      </c>
      <c r="E791" s="618" t="str">
        <f>+VLOOKUP(Tabla3[[#This Row],[PATENTE]],'BASE DATOS'!F:G,2,0)</f>
        <v xml:space="preserve">TRANSPORTE MICAELA </v>
      </c>
      <c r="F791" s="584" t="str">
        <f>+VLOOKUP(Tabla3[[#This Row],[PATENTE]],'BASE DATOS'!F:H,3,0)</f>
        <v>2P</v>
      </c>
      <c r="G791" s="584" t="str">
        <f>+VLOOKUP(Tabla3[[#This Row],[PATENTE]],'BASE DATOS'!F:I,4,0)</f>
        <v>NO</v>
      </c>
      <c r="H791" s="584" t="str">
        <f>+VLOOKUP(Tabla3[[#This Row],[PATENTE]],'BASE DATOS'!F:J,5,0)</f>
        <v>SI</v>
      </c>
      <c r="I791" s="584" t="str">
        <f>+VLOOKUP(Tabla3[[#This Row],[PATENTE]],'BASE DATOS'!F:K,6,0)</f>
        <v>NO</v>
      </c>
      <c r="J791" s="584">
        <f>+VLOOKUP(Tabla3[[#This Row],[PATENTE]],'BASE DATOS'!F:L,7,0)</f>
        <v>2024</v>
      </c>
      <c r="K791" s="619">
        <f>+VLOOKUP(Tabla3[[#This Row],[PATENTE]],'BASE DATOS'!F:M,8,0)</f>
        <v>1</v>
      </c>
      <c r="N791" s="826"/>
      <c r="O791" s="1015"/>
      <c r="P791" s="1015"/>
      <c r="Q791" s="1015"/>
      <c r="R791" s="826"/>
    </row>
    <row r="792" spans="1:18" hidden="1">
      <c r="A792" s="578" t="s">
        <v>921</v>
      </c>
      <c r="B792" s="584">
        <v>5</v>
      </c>
      <c r="C792" s="589">
        <v>45943</v>
      </c>
      <c r="D792" s="582">
        <f t="shared" si="31"/>
        <v>42</v>
      </c>
      <c r="E792" s="618" t="str">
        <f>+VLOOKUP(Tabla3[[#This Row],[PATENTE]],'BASE DATOS'!F:G,2,0)</f>
        <v xml:space="preserve">MAÑAS NORBERTO - CQQ304 </v>
      </c>
      <c r="F792" s="584" t="str">
        <f>+VLOOKUP(Tabla3[[#This Row],[PATENTE]],'BASE DATOS'!F:H,3,0)</f>
        <v>11P</v>
      </c>
      <c r="G792" s="584" t="str">
        <f>+VLOOKUP(Tabla3[[#This Row],[PATENTE]],'BASE DATOS'!F:I,4,0)</f>
        <v>SI</v>
      </c>
      <c r="H792" s="584" t="str">
        <f>+VLOOKUP(Tabla3[[#This Row],[PATENTE]],'BASE DATOS'!F:J,5,0)</f>
        <v>SI</v>
      </c>
      <c r="I792" s="584" t="str">
        <f>+VLOOKUP(Tabla3[[#This Row],[PATENTE]],'BASE DATOS'!F:K,6,0)</f>
        <v>NO</v>
      </c>
      <c r="J792" s="584">
        <f>+VLOOKUP(Tabla3[[#This Row],[PATENTE]],'BASE DATOS'!F:L,7,0)</f>
        <v>2000</v>
      </c>
      <c r="K792" s="619">
        <f>+VLOOKUP(Tabla3[[#This Row],[PATENTE]],'BASE DATOS'!F:M,8,0)</f>
        <v>25</v>
      </c>
      <c r="N792" s="826"/>
      <c r="O792" s="1015"/>
      <c r="P792" s="1015"/>
      <c r="Q792" s="1015"/>
      <c r="R792" s="826"/>
    </row>
    <row r="793" spans="1:18" hidden="1">
      <c r="A793" s="578" t="s">
        <v>892</v>
      </c>
      <c r="B793" s="584">
        <v>5</v>
      </c>
      <c r="C793" s="589">
        <v>45943</v>
      </c>
      <c r="D793" s="582">
        <f t="shared" si="31"/>
        <v>42</v>
      </c>
      <c r="E793" s="618" t="str">
        <f>+VLOOKUP(Tabla3[[#This Row],[PATENTE]],'BASE DATOS'!F:G,2,0)</f>
        <v xml:space="preserve">COLO - FTL525 </v>
      </c>
      <c r="F793" s="584" t="str">
        <f>+VLOOKUP(Tabla3[[#This Row],[PATENTE]],'BASE DATOS'!F:H,3,0)</f>
        <v>1P</v>
      </c>
      <c r="G793" s="584" t="str">
        <f>+VLOOKUP(Tabla3[[#This Row],[PATENTE]],'BASE DATOS'!F:I,4,0)</f>
        <v>NO</v>
      </c>
      <c r="H793" s="584" t="str">
        <f>+VLOOKUP(Tabla3[[#This Row],[PATENTE]],'BASE DATOS'!F:J,5,0)</f>
        <v>SI</v>
      </c>
      <c r="I793" s="584" t="str">
        <f>+VLOOKUP(Tabla3[[#This Row],[PATENTE]],'BASE DATOS'!F:K,6,0)</f>
        <v>NO</v>
      </c>
      <c r="J793" s="584">
        <f>+VLOOKUP(Tabla3[[#This Row],[PATENTE]],'BASE DATOS'!F:L,7,0)</f>
        <v>2008</v>
      </c>
      <c r="K793" s="619">
        <f>+VLOOKUP(Tabla3[[#This Row],[PATENTE]],'BASE DATOS'!F:M,8,0)</f>
        <v>17</v>
      </c>
      <c r="N793" s="826"/>
      <c r="O793" s="1015"/>
      <c r="P793" s="1015"/>
      <c r="Q793" s="1015"/>
      <c r="R793" s="826"/>
    </row>
    <row r="794" spans="1:18" hidden="1">
      <c r="A794" s="578" t="s">
        <v>901</v>
      </c>
      <c r="B794" s="584">
        <v>5</v>
      </c>
      <c r="C794" s="589">
        <v>45943</v>
      </c>
      <c r="D794" s="582">
        <f t="shared" si="31"/>
        <v>42</v>
      </c>
      <c r="E794" s="618" t="str">
        <f>+VLOOKUP(Tabla3[[#This Row],[PATENTE]],'BASE DATOS'!F:G,2,0)</f>
        <v xml:space="preserve">TRANSPORTE  GRACIELA - IYE750 </v>
      </c>
      <c r="F794" s="584" t="str">
        <f>+VLOOKUP(Tabla3[[#This Row],[PATENTE]],'BASE DATOS'!F:H,3,0)</f>
        <v>1P</v>
      </c>
      <c r="G794" s="584" t="str">
        <f>+VLOOKUP(Tabla3[[#This Row],[PATENTE]],'BASE DATOS'!F:I,4,0)</f>
        <v>NO</v>
      </c>
      <c r="H794" s="584" t="str">
        <f>+VLOOKUP(Tabla3[[#This Row],[PATENTE]],'BASE DATOS'!F:J,5,0)</f>
        <v>SI</v>
      </c>
      <c r="I794" s="584" t="str">
        <f>+VLOOKUP(Tabla3[[#This Row],[PATENTE]],'BASE DATOS'!F:K,6,0)</f>
        <v>NO</v>
      </c>
      <c r="J794" s="584">
        <f>+VLOOKUP(Tabla3[[#This Row],[PATENTE]],'BASE DATOS'!F:L,7,0)</f>
        <v>2009</v>
      </c>
      <c r="K794" s="619">
        <f>+VLOOKUP(Tabla3[[#This Row],[PATENTE]],'BASE DATOS'!F:M,8,0)</f>
        <v>16</v>
      </c>
      <c r="N794" s="826"/>
      <c r="O794" s="1015"/>
      <c r="P794" s="1015"/>
      <c r="Q794" s="1015"/>
      <c r="R794" s="826"/>
    </row>
    <row r="795" spans="1:18" hidden="1">
      <c r="A795" s="578" t="s">
        <v>882</v>
      </c>
      <c r="B795" s="584">
        <v>5</v>
      </c>
      <c r="C795" s="589">
        <v>45943</v>
      </c>
      <c r="D795" s="582">
        <f t="shared" si="31"/>
        <v>42</v>
      </c>
      <c r="E795" s="618" t="str">
        <f>+VLOOKUP(Tabla3[[#This Row],[PATENTE]],'BASE DATOS'!F:G,2,0)</f>
        <v xml:space="preserve">MAÑAS - JWN279 </v>
      </c>
      <c r="F795" s="584" t="str">
        <f>+VLOOKUP(Tabla3[[#This Row],[PATENTE]],'BASE DATOS'!F:H,3,0)</f>
        <v>7P</v>
      </c>
      <c r="G795" s="584" t="str">
        <f>+VLOOKUP(Tabla3[[#This Row],[PATENTE]],'BASE DATOS'!F:I,4,0)</f>
        <v>SI</v>
      </c>
      <c r="H795" s="584" t="str">
        <f>+VLOOKUP(Tabla3[[#This Row],[PATENTE]],'BASE DATOS'!F:J,5,0)</f>
        <v>SI</v>
      </c>
      <c r="I795" s="584" t="str">
        <f>+VLOOKUP(Tabla3[[#This Row],[PATENTE]],'BASE DATOS'!F:K,6,0)</f>
        <v>NO</v>
      </c>
      <c r="J795" s="584">
        <f>+VLOOKUP(Tabla3[[#This Row],[PATENTE]],'BASE DATOS'!F:L,7,0)</f>
        <v>2011</v>
      </c>
      <c r="K795" s="619">
        <f>+VLOOKUP(Tabla3[[#This Row],[PATENTE]],'BASE DATOS'!F:M,8,0)</f>
        <v>14</v>
      </c>
      <c r="N795" s="826"/>
      <c r="O795" s="1015"/>
      <c r="P795" s="1015"/>
      <c r="Q795" s="1015"/>
      <c r="R795" s="826"/>
    </row>
    <row r="796" spans="1:18" hidden="1">
      <c r="A796" s="578" t="s">
        <v>925</v>
      </c>
      <c r="B796" s="584">
        <v>5</v>
      </c>
      <c r="C796" s="589">
        <v>45943</v>
      </c>
      <c r="D796" s="582">
        <f t="shared" si="31"/>
        <v>42</v>
      </c>
      <c r="E796" s="618" t="str">
        <f>+VLOOKUP(Tabla3[[#This Row],[PATENTE]],'BASE DATOS'!F:G,2,0)</f>
        <v xml:space="preserve">TRANSP MAIDANA FACUNDO - KOW745 </v>
      </c>
      <c r="F796" s="584" t="str">
        <f>+VLOOKUP(Tabla3[[#This Row],[PATENTE]],'BASE DATOS'!F:H,3,0)</f>
        <v>8P</v>
      </c>
      <c r="G796" s="584" t="str">
        <f>+VLOOKUP(Tabla3[[#This Row],[PATENTE]],'BASE DATOS'!F:I,4,0)</f>
        <v>SI</v>
      </c>
      <c r="H796" s="584" t="str">
        <f>+VLOOKUP(Tabla3[[#This Row],[PATENTE]],'BASE DATOS'!F:J,5,0)</f>
        <v>SI</v>
      </c>
      <c r="I796" s="584" t="str">
        <f>+VLOOKUP(Tabla3[[#This Row],[PATENTE]],'BASE DATOS'!F:K,6,0)</f>
        <v>NO</v>
      </c>
      <c r="J796" s="584">
        <f>+VLOOKUP(Tabla3[[#This Row],[PATENTE]],'BASE DATOS'!F:L,7,0)</f>
        <v>2012</v>
      </c>
      <c r="K796" s="619">
        <f>+VLOOKUP(Tabla3[[#This Row],[PATENTE]],'BASE DATOS'!F:M,8,0)</f>
        <v>13</v>
      </c>
      <c r="N796" s="826"/>
      <c r="O796" s="1015"/>
      <c r="P796" s="1015"/>
      <c r="Q796" s="1015"/>
      <c r="R796" s="826"/>
    </row>
    <row r="797" spans="1:18" hidden="1">
      <c r="A797" s="578" t="s">
        <v>913</v>
      </c>
      <c r="B797" s="584">
        <v>5</v>
      </c>
      <c r="C797" s="589">
        <v>45943</v>
      </c>
      <c r="D797" s="582">
        <f t="shared" si="31"/>
        <v>42</v>
      </c>
      <c r="E797" s="618" t="str">
        <f>+VLOOKUP(Tabla3[[#This Row],[PATENTE]],'BASE DATOS'!F:G,2,0)</f>
        <v xml:space="preserve">TRANSP DON NENO - KSI803 </v>
      </c>
      <c r="F797" s="584" t="str">
        <f>+VLOOKUP(Tabla3[[#This Row],[PATENTE]],'BASE DATOS'!F:H,3,0)</f>
        <v>2P</v>
      </c>
      <c r="G797" s="584" t="str">
        <f>+VLOOKUP(Tabla3[[#This Row],[PATENTE]],'BASE DATOS'!F:I,4,0)</f>
        <v>SI</v>
      </c>
      <c r="H797" s="584" t="str">
        <f>+VLOOKUP(Tabla3[[#This Row],[PATENTE]],'BASE DATOS'!F:J,5,0)</f>
        <v>SI</v>
      </c>
      <c r="I797" s="584" t="str">
        <f>+VLOOKUP(Tabla3[[#This Row],[PATENTE]],'BASE DATOS'!F:K,6,0)</f>
        <v>NO</v>
      </c>
      <c r="J797" s="584">
        <f>+VLOOKUP(Tabla3[[#This Row],[PATENTE]],'BASE DATOS'!F:L,7,0)</f>
        <v>2012</v>
      </c>
      <c r="K797" s="619">
        <f>+VLOOKUP(Tabla3[[#This Row],[PATENTE]],'BASE DATOS'!F:M,8,0)</f>
        <v>13</v>
      </c>
      <c r="N797" s="826"/>
      <c r="O797" s="1015"/>
      <c r="P797" s="1015"/>
      <c r="Q797" s="1015"/>
      <c r="R797" s="826"/>
    </row>
    <row r="798" spans="1:18" hidden="1">
      <c r="A798" s="578" t="s">
        <v>902</v>
      </c>
      <c r="B798" s="584">
        <v>5</v>
      </c>
      <c r="C798" s="589">
        <v>45943</v>
      </c>
      <c r="D798" s="582">
        <f t="shared" si="31"/>
        <v>42</v>
      </c>
      <c r="E798" s="618" t="str">
        <f>+VLOOKUP(Tabla3[[#This Row],[PATENTE]],'BASE DATOS'!F:G,2,0)</f>
        <v xml:space="preserve">GUSTAVO CERQUETTA - KZA644 </v>
      </c>
      <c r="F798" s="584" t="str">
        <f>+VLOOKUP(Tabla3[[#This Row],[PATENTE]],'BASE DATOS'!F:H,3,0)</f>
        <v>2P</v>
      </c>
      <c r="G798" s="584" t="str">
        <f>+VLOOKUP(Tabla3[[#This Row],[PATENTE]],'BASE DATOS'!F:I,4,0)</f>
        <v>NO</v>
      </c>
      <c r="H798" s="584" t="str">
        <f>+VLOOKUP(Tabla3[[#This Row],[PATENTE]],'BASE DATOS'!F:J,5,0)</f>
        <v>SI</v>
      </c>
      <c r="I798" s="584" t="str">
        <f>+VLOOKUP(Tabla3[[#This Row],[PATENTE]],'BASE DATOS'!F:K,6,0)</f>
        <v>NO</v>
      </c>
      <c r="J798" s="584">
        <f>+VLOOKUP(Tabla3[[#This Row],[PATENTE]],'BASE DATOS'!F:L,7,0)</f>
        <v>2012</v>
      </c>
      <c r="K798" s="619">
        <f>+VLOOKUP(Tabla3[[#This Row],[PATENTE]],'BASE DATOS'!F:M,8,0)</f>
        <v>13</v>
      </c>
      <c r="N798" s="826"/>
      <c r="O798" s="1015"/>
      <c r="P798" s="1015"/>
      <c r="Q798" s="1015"/>
      <c r="R798" s="826"/>
    </row>
    <row r="799" spans="1:18" hidden="1">
      <c r="A799" s="578" t="s">
        <v>909</v>
      </c>
      <c r="B799" s="584">
        <v>5</v>
      </c>
      <c r="C799" s="589">
        <v>45943</v>
      </c>
      <c r="D799" s="582">
        <f t="shared" si="31"/>
        <v>42</v>
      </c>
      <c r="E799" s="618" t="str">
        <f>+VLOOKUP(Tabla3[[#This Row],[PATENTE]],'BASE DATOS'!F:G,2,0)</f>
        <v xml:space="preserve">CRISTIAN MOYA - NHR055 </v>
      </c>
      <c r="F799" s="584" t="str">
        <f>+VLOOKUP(Tabla3[[#This Row],[PATENTE]],'BASE DATOS'!F:H,3,0)</f>
        <v>6P</v>
      </c>
      <c r="G799" s="584" t="str">
        <f>+VLOOKUP(Tabla3[[#This Row],[PATENTE]],'BASE DATOS'!F:I,4,0)</f>
        <v>SI</v>
      </c>
      <c r="H799" s="584" t="str">
        <f>+VLOOKUP(Tabla3[[#This Row],[PATENTE]],'BASE DATOS'!F:J,5,0)</f>
        <v>SI</v>
      </c>
      <c r="I799" s="584" t="str">
        <f>+VLOOKUP(Tabla3[[#This Row],[PATENTE]],'BASE DATOS'!F:K,6,0)</f>
        <v>NO</v>
      </c>
      <c r="J799" s="584">
        <f>+VLOOKUP(Tabla3[[#This Row],[PATENTE]],'BASE DATOS'!F:L,7,0)</f>
        <v>2013</v>
      </c>
      <c r="K799" s="619">
        <f>+VLOOKUP(Tabla3[[#This Row],[PATENTE]],'BASE DATOS'!F:M,8,0)</f>
        <v>12</v>
      </c>
      <c r="N799" s="826"/>
      <c r="O799" s="1015"/>
      <c r="P799" s="1015"/>
      <c r="Q799" s="1015"/>
      <c r="R799" s="826"/>
    </row>
    <row r="800" spans="1:18" hidden="1">
      <c r="A800" s="578" t="s">
        <v>878</v>
      </c>
      <c r="B800" s="584">
        <v>4</v>
      </c>
      <c r="C800" s="589">
        <v>45943</v>
      </c>
      <c r="D800" s="582">
        <f t="shared" si="31"/>
        <v>42</v>
      </c>
      <c r="E800" s="618" t="str">
        <f>+VLOOKUP(Tabla3[[#This Row],[PATENTE]],'BASE DATOS'!F:G,2,0)</f>
        <v xml:space="preserve">PACHECO JULIO - AA854LY </v>
      </c>
      <c r="F800" s="584" t="str">
        <f>+VLOOKUP(Tabla3[[#This Row],[PATENTE]],'BASE DATOS'!F:H,3,0)</f>
        <v>7P</v>
      </c>
      <c r="G800" s="584" t="str">
        <f>+VLOOKUP(Tabla3[[#This Row],[PATENTE]],'BASE DATOS'!F:I,4,0)</f>
        <v>SI</v>
      </c>
      <c r="H800" s="584" t="str">
        <f>+VLOOKUP(Tabla3[[#This Row],[PATENTE]],'BASE DATOS'!F:J,5,0)</f>
        <v>SI</v>
      </c>
      <c r="I800" s="584" t="str">
        <f>+VLOOKUP(Tabla3[[#This Row],[PATENTE]],'BASE DATOS'!F:K,6,0)</f>
        <v>NO</v>
      </c>
      <c r="J800" s="584">
        <f>+VLOOKUP(Tabla3[[#This Row],[PATENTE]],'BASE DATOS'!F:L,7,0)</f>
        <v>2016</v>
      </c>
      <c r="K800" s="619">
        <f>+VLOOKUP(Tabla3[[#This Row],[PATENTE]],'BASE DATOS'!F:M,8,0)</f>
        <v>9</v>
      </c>
      <c r="N800" s="826"/>
      <c r="O800" s="1015"/>
      <c r="P800" s="1015"/>
      <c r="Q800" s="1015"/>
      <c r="R800" s="826"/>
    </row>
    <row r="801" spans="1:18" hidden="1">
      <c r="A801" s="578" t="s">
        <v>912</v>
      </c>
      <c r="B801" s="584">
        <v>4</v>
      </c>
      <c r="C801" s="589">
        <v>45943</v>
      </c>
      <c r="D801" s="582">
        <f t="shared" ref="D801:D818" si="32">+WEEKNUM(C801)</f>
        <v>42</v>
      </c>
      <c r="E801" s="618" t="str">
        <f>+VLOOKUP(Tabla3[[#This Row],[PATENTE]],'BASE DATOS'!F:G,2,0)</f>
        <v xml:space="preserve">PACHECO JULIO - AC028WN </v>
      </c>
      <c r="F801" s="584" t="str">
        <f>+VLOOKUP(Tabla3[[#This Row],[PATENTE]],'BASE DATOS'!F:H,3,0)</f>
        <v>8P</v>
      </c>
      <c r="G801" s="584" t="str">
        <f>+VLOOKUP(Tabla3[[#This Row],[PATENTE]],'BASE DATOS'!F:I,4,0)</f>
        <v>SI</v>
      </c>
      <c r="H801" s="584" t="str">
        <f>+VLOOKUP(Tabla3[[#This Row],[PATENTE]],'BASE DATOS'!F:J,5,0)</f>
        <v>SI</v>
      </c>
      <c r="I801" s="584" t="str">
        <f>+VLOOKUP(Tabla3[[#This Row],[PATENTE]],'BASE DATOS'!F:K,6,0)</f>
        <v>SI</v>
      </c>
      <c r="J801" s="584">
        <f>+VLOOKUP(Tabla3[[#This Row],[PATENTE]],'BASE DATOS'!F:L,7,0)</f>
        <v>2017</v>
      </c>
      <c r="K801" s="619">
        <f>+VLOOKUP(Tabla3[[#This Row],[PATENTE]],'BASE DATOS'!F:M,8,0)</f>
        <v>8</v>
      </c>
      <c r="N801" s="826"/>
      <c r="O801" s="1015"/>
      <c r="P801" s="1015"/>
      <c r="Q801" s="1015"/>
      <c r="R801" s="826"/>
    </row>
    <row r="802" spans="1:18" hidden="1">
      <c r="A802" s="578" t="s">
        <v>906</v>
      </c>
      <c r="B802" s="584">
        <v>4</v>
      </c>
      <c r="C802" s="589">
        <v>45943</v>
      </c>
      <c r="D802" s="582">
        <f t="shared" si="32"/>
        <v>42</v>
      </c>
      <c r="E802" s="618" t="str">
        <f>+VLOOKUP(Tabla3[[#This Row],[PATENTE]],'BASE DATOS'!F:G,2,0)</f>
        <v xml:space="preserve">VAZQUEZ (TRV SRL) - AD472GK </v>
      </c>
      <c r="F802" s="584" t="str">
        <f>+VLOOKUP(Tabla3[[#This Row],[PATENTE]],'BASE DATOS'!F:H,3,0)</f>
        <v>8P</v>
      </c>
      <c r="G802" s="584" t="str">
        <f>+VLOOKUP(Tabla3[[#This Row],[PATENTE]],'BASE DATOS'!F:I,4,0)</f>
        <v>NO</v>
      </c>
      <c r="H802" s="584" t="str">
        <f>+VLOOKUP(Tabla3[[#This Row],[PATENTE]],'BASE DATOS'!F:J,5,0)</f>
        <v>NO</v>
      </c>
      <c r="I802" s="584" t="str">
        <f>+VLOOKUP(Tabla3[[#This Row],[PATENTE]],'BASE DATOS'!F:K,6,0)</f>
        <v>SI</v>
      </c>
      <c r="J802" s="584">
        <f>+VLOOKUP(Tabla3[[#This Row],[PATENTE]],'BASE DATOS'!F:L,7,0)</f>
        <v>2019</v>
      </c>
      <c r="K802" s="619">
        <f>+VLOOKUP(Tabla3[[#This Row],[PATENTE]],'BASE DATOS'!F:M,8,0)</f>
        <v>6</v>
      </c>
      <c r="N802" s="826"/>
      <c r="O802" s="1015"/>
      <c r="P802" s="1015"/>
      <c r="Q802" s="1015"/>
      <c r="R802" s="826"/>
    </row>
    <row r="803" spans="1:18" hidden="1">
      <c r="A803" s="578" t="s">
        <v>922</v>
      </c>
      <c r="B803" s="584">
        <v>4</v>
      </c>
      <c r="C803" s="589">
        <v>45943</v>
      </c>
      <c r="D803" s="582">
        <f t="shared" si="32"/>
        <v>42</v>
      </c>
      <c r="E803" s="618" t="str">
        <f>+VLOOKUP(Tabla3[[#This Row],[PATENTE]],'BASE DATOS'!F:G,2,0)</f>
        <v>LAURIA (SERVAL) - AF342ZY</v>
      </c>
      <c r="F803" s="584" t="str">
        <f>+VLOOKUP(Tabla3[[#This Row],[PATENTE]],'BASE DATOS'!F:H,3,0)</f>
        <v>8P</v>
      </c>
      <c r="G803" s="584" t="str">
        <f>+VLOOKUP(Tabla3[[#This Row],[PATENTE]],'BASE DATOS'!F:I,4,0)</f>
        <v>SI</v>
      </c>
      <c r="H803" s="584" t="str">
        <f>+VLOOKUP(Tabla3[[#This Row],[PATENTE]],'BASE DATOS'!F:J,5,0)</f>
        <v>SI</v>
      </c>
      <c r="I803" s="584" t="str">
        <f>+VLOOKUP(Tabla3[[#This Row],[PATENTE]],'BASE DATOS'!F:K,6,0)</f>
        <v>NO</v>
      </c>
      <c r="J803" s="584">
        <f>+VLOOKUP(Tabla3[[#This Row],[PATENTE]],'BASE DATOS'!F:L,7,0)</f>
        <v>2022</v>
      </c>
      <c r="K803" s="619">
        <f>+VLOOKUP(Tabla3[[#This Row],[PATENTE]],'BASE DATOS'!F:M,8,0)</f>
        <v>3</v>
      </c>
      <c r="N803" s="826"/>
      <c r="O803" s="1015"/>
      <c r="P803" s="1015"/>
      <c r="Q803" s="1015"/>
      <c r="R803" s="826"/>
    </row>
    <row r="804" spans="1:18" hidden="1">
      <c r="A804" s="578" t="s">
        <v>903</v>
      </c>
      <c r="B804" s="584">
        <v>4</v>
      </c>
      <c r="C804" s="589">
        <v>45943</v>
      </c>
      <c r="D804" s="582">
        <f t="shared" si="32"/>
        <v>42</v>
      </c>
      <c r="E804" s="618" t="str">
        <f>+VLOOKUP(Tabla3[[#This Row],[PATENTE]],'BASE DATOS'!F:G,2,0)</f>
        <v xml:space="preserve">TRANSP CLAUDIO BUSTOS - AG243PE </v>
      </c>
      <c r="F804" s="584" t="str">
        <f>+VLOOKUP(Tabla3[[#This Row],[PATENTE]],'BASE DATOS'!F:H,3,0)</f>
        <v>1P</v>
      </c>
      <c r="G804" s="584" t="str">
        <f>+VLOOKUP(Tabla3[[#This Row],[PATENTE]],'BASE DATOS'!F:I,4,0)</f>
        <v>SI</v>
      </c>
      <c r="H804" s="584" t="str">
        <f>+VLOOKUP(Tabla3[[#This Row],[PATENTE]],'BASE DATOS'!F:J,5,0)</f>
        <v>SI</v>
      </c>
      <c r="I804" s="584" t="str">
        <f>+VLOOKUP(Tabla3[[#This Row],[PATENTE]],'BASE DATOS'!F:K,6,0)</f>
        <v>NO</v>
      </c>
      <c r="J804" s="584">
        <f>+VLOOKUP(Tabla3[[#This Row],[PATENTE]],'BASE DATOS'!F:L,7,0)</f>
        <v>2024</v>
      </c>
      <c r="K804" s="619">
        <f>+VLOOKUP(Tabla3[[#This Row],[PATENTE]],'BASE DATOS'!F:M,8,0)</f>
        <v>1</v>
      </c>
    </row>
    <row r="805" spans="1:18" hidden="1">
      <c r="A805" s="578" t="s">
        <v>887</v>
      </c>
      <c r="B805" s="584">
        <v>4</v>
      </c>
      <c r="C805" s="589">
        <v>45943</v>
      </c>
      <c r="D805" s="582">
        <f t="shared" si="32"/>
        <v>42</v>
      </c>
      <c r="E805" s="618" t="str">
        <f>+VLOOKUP(Tabla3[[#This Row],[PATENTE]],'BASE DATOS'!F:G,2,0)</f>
        <v>ENRIQUE ROLLINO - BXB394</v>
      </c>
      <c r="F805" s="584" t="str">
        <f>+VLOOKUP(Tabla3[[#This Row],[PATENTE]],'BASE DATOS'!F:H,3,0)</f>
        <v>2P</v>
      </c>
      <c r="G805" s="584" t="str">
        <f>+VLOOKUP(Tabla3[[#This Row],[PATENTE]],'BASE DATOS'!F:I,4,0)</f>
        <v>SI</v>
      </c>
      <c r="H805" s="584" t="str">
        <f>+VLOOKUP(Tabla3[[#This Row],[PATENTE]],'BASE DATOS'!F:J,5,0)</f>
        <v>SI</v>
      </c>
      <c r="I805" s="584" t="str">
        <f>+VLOOKUP(Tabla3[[#This Row],[PATENTE]],'BASE DATOS'!F:K,6,0)</f>
        <v>NO</v>
      </c>
      <c r="J805" s="584">
        <f>+VLOOKUP(Tabla3[[#This Row],[PATENTE]],'BASE DATOS'!F:L,7,0)</f>
        <v>1998</v>
      </c>
      <c r="K805" s="619">
        <f>+VLOOKUP(Tabla3[[#This Row],[PATENTE]],'BASE DATOS'!F:M,8,0)</f>
        <v>27</v>
      </c>
    </row>
    <row r="806" spans="1:18" hidden="1">
      <c r="A806" s="578" t="s">
        <v>915</v>
      </c>
      <c r="B806" s="584">
        <v>4</v>
      </c>
      <c r="C806" s="589">
        <v>45943</v>
      </c>
      <c r="D806" s="582">
        <f t="shared" si="32"/>
        <v>42</v>
      </c>
      <c r="E806" s="618" t="str">
        <f>+VLOOKUP(Tabla3[[#This Row],[PATENTE]],'BASE DATOS'!F:G,2,0)</f>
        <v>TRANSPORTE GRACIELA - FPL254</v>
      </c>
      <c r="F806" s="584" t="str">
        <f>+VLOOKUP(Tabla3[[#This Row],[PATENTE]],'BASE DATOS'!F:H,3,0)</f>
        <v>2P</v>
      </c>
      <c r="G806" s="584" t="str">
        <f>+VLOOKUP(Tabla3[[#This Row],[PATENTE]],'BASE DATOS'!F:I,4,0)</f>
        <v>SI</v>
      </c>
      <c r="H806" s="584" t="str">
        <f>+VLOOKUP(Tabla3[[#This Row],[PATENTE]],'BASE DATOS'!F:J,5,0)</f>
        <v>NO (CAMI)</v>
      </c>
      <c r="I806" s="584" t="str">
        <f>+VLOOKUP(Tabla3[[#This Row],[PATENTE]],'BASE DATOS'!F:K,6,0)</f>
        <v>NO</v>
      </c>
      <c r="J806" s="584">
        <f>+VLOOKUP(Tabla3[[#This Row],[PATENTE]],'BASE DATOS'!F:L,7,0)</f>
        <v>2012</v>
      </c>
      <c r="K806" s="619">
        <f>+VLOOKUP(Tabla3[[#This Row],[PATENTE]],'BASE DATOS'!F:M,8,0)</f>
        <v>13</v>
      </c>
    </row>
    <row r="807" spans="1:18" hidden="1">
      <c r="A807" s="578" t="s">
        <v>880</v>
      </c>
      <c r="B807" s="584">
        <v>3</v>
      </c>
      <c r="C807" s="589">
        <v>45943</v>
      </c>
      <c r="D807" s="582">
        <f t="shared" si="32"/>
        <v>42</v>
      </c>
      <c r="E807" s="618" t="str">
        <f>+VLOOKUP(Tabla3[[#This Row],[PATENTE]],'BASE DATOS'!F:G,2,0)</f>
        <v xml:space="preserve">LAURIA (SERVAL) - AD575XK </v>
      </c>
      <c r="F807" s="584" t="str">
        <f>+VLOOKUP(Tabla3[[#This Row],[PATENTE]],'BASE DATOS'!F:H,3,0)</f>
        <v>8P</v>
      </c>
      <c r="G807" s="584" t="str">
        <f>+VLOOKUP(Tabla3[[#This Row],[PATENTE]],'BASE DATOS'!F:I,4,0)</f>
        <v>SI</v>
      </c>
      <c r="H807" s="584" t="str">
        <f>+VLOOKUP(Tabla3[[#This Row],[PATENTE]],'BASE DATOS'!F:J,5,0)</f>
        <v>SI</v>
      </c>
      <c r="I807" s="584" t="str">
        <f>+VLOOKUP(Tabla3[[#This Row],[PATENTE]],'BASE DATOS'!F:K,6,0)</f>
        <v>NO</v>
      </c>
      <c r="J807" s="584">
        <f>+VLOOKUP(Tabla3[[#This Row],[PATENTE]],'BASE DATOS'!F:L,7,0)</f>
        <v>2019</v>
      </c>
      <c r="K807" s="619">
        <f>+VLOOKUP(Tabla3[[#This Row],[PATENTE]],'BASE DATOS'!F:M,8,0)</f>
        <v>6</v>
      </c>
    </row>
    <row r="808" spans="1:18" hidden="1">
      <c r="A808" s="578" t="s">
        <v>918</v>
      </c>
      <c r="B808" s="584">
        <v>3</v>
      </c>
      <c r="C808" s="589">
        <v>45943</v>
      </c>
      <c r="D808" s="582">
        <f t="shared" si="32"/>
        <v>42</v>
      </c>
      <c r="E808" s="618" t="str">
        <f>+VLOOKUP(Tabla3[[#This Row],[PATENTE]],'BASE DATOS'!F:G,2,0)</f>
        <v>TRANSPORTE GENA GAIA - DGO507</v>
      </c>
      <c r="F808" s="584" t="str">
        <f>+VLOOKUP(Tabla3[[#This Row],[PATENTE]],'BASE DATOS'!F:H,3,0)</f>
        <v>24P</v>
      </c>
      <c r="G808" s="584" t="str">
        <f>+VLOOKUP(Tabla3[[#This Row],[PATENTE]],'BASE DATOS'!F:I,4,0)</f>
        <v>Gestya</v>
      </c>
      <c r="H808" s="584" t="str">
        <f>+VLOOKUP(Tabla3[[#This Row],[PATENTE]],'BASE DATOS'!F:J,5,0)</f>
        <v xml:space="preserve">NO </v>
      </c>
      <c r="I808" s="584" t="str">
        <f>+VLOOKUP(Tabla3[[#This Row],[PATENTE]],'BASE DATOS'!F:K,6,0)</f>
        <v>NO</v>
      </c>
      <c r="J808" s="584">
        <f>+VLOOKUP(Tabla3[[#This Row],[PATENTE]],'BASE DATOS'!F:L,7,0)</f>
        <v>2001</v>
      </c>
      <c r="K808" s="619">
        <f>+VLOOKUP(Tabla3[[#This Row],[PATENTE]],'BASE DATOS'!F:M,8,0)</f>
        <v>24</v>
      </c>
    </row>
    <row r="809" spans="1:18" hidden="1">
      <c r="A809" s="578" t="s">
        <v>926</v>
      </c>
      <c r="B809" s="584">
        <v>3</v>
      </c>
      <c r="C809" s="589">
        <v>45943</v>
      </c>
      <c r="D809" s="582">
        <f t="shared" si="32"/>
        <v>42</v>
      </c>
      <c r="E809" s="618" t="str">
        <f>+VLOOKUP(Tabla3[[#This Row],[PATENTE]],'BASE DATOS'!F:G,2,0)</f>
        <v xml:space="preserve">TRANSPORTE GENA GAIA - DUF042 </v>
      </c>
      <c r="F809" s="584" t="str">
        <f>+VLOOKUP(Tabla3[[#This Row],[PATENTE]],'BASE DATOS'!F:H,3,0)</f>
        <v>24P</v>
      </c>
      <c r="G809" s="584" t="str">
        <f>+VLOOKUP(Tabla3[[#This Row],[PATENTE]],'BASE DATOS'!F:I,4,0)</f>
        <v>Gestya</v>
      </c>
      <c r="H809" s="584" t="str">
        <f>+VLOOKUP(Tabla3[[#This Row],[PATENTE]],'BASE DATOS'!F:J,5,0)</f>
        <v xml:space="preserve">NO </v>
      </c>
      <c r="I809" s="584" t="str">
        <f>+VLOOKUP(Tabla3[[#This Row],[PATENTE]],'BASE DATOS'!F:K,6,0)</f>
        <v>NO</v>
      </c>
      <c r="J809" s="584">
        <f>+VLOOKUP(Tabla3[[#This Row],[PATENTE]],'BASE DATOS'!F:L,7,0)</f>
        <v>2001</v>
      </c>
      <c r="K809" s="619">
        <f>+VLOOKUP(Tabla3[[#This Row],[PATENTE]],'BASE DATOS'!F:M,8,0)</f>
        <v>24</v>
      </c>
    </row>
    <row r="810" spans="1:18" hidden="1">
      <c r="A810" s="578" t="s">
        <v>881</v>
      </c>
      <c r="B810" s="584">
        <v>3</v>
      </c>
      <c r="C810" s="589">
        <v>45943</v>
      </c>
      <c r="D810" s="582">
        <f t="shared" si="32"/>
        <v>42</v>
      </c>
      <c r="E810" s="618" t="str">
        <f>+VLOOKUP(Tabla3[[#This Row],[PATENTE]],'BASE DATOS'!F:G,2,0)</f>
        <v xml:space="preserve">MAÑAS NORBERTO - DUQ686 </v>
      </c>
      <c r="F810" s="584" t="str">
        <f>+VLOOKUP(Tabla3[[#This Row],[PATENTE]],'BASE DATOS'!F:H,3,0)</f>
        <v>8P</v>
      </c>
      <c r="G810" s="584" t="str">
        <f>+VLOOKUP(Tabla3[[#This Row],[PATENTE]],'BASE DATOS'!F:I,4,0)</f>
        <v>SI</v>
      </c>
      <c r="H810" s="584" t="str">
        <f>+VLOOKUP(Tabla3[[#This Row],[PATENTE]],'BASE DATOS'!F:J,5,0)</f>
        <v>SI</v>
      </c>
      <c r="I810" s="584" t="str">
        <f>+VLOOKUP(Tabla3[[#This Row],[PATENTE]],'BASE DATOS'!F:K,6,0)</f>
        <v>NO</v>
      </c>
      <c r="J810" s="584">
        <f>+VLOOKUP(Tabla3[[#This Row],[PATENTE]],'BASE DATOS'!F:L,7,0)</f>
        <v>2001</v>
      </c>
      <c r="K810" s="619">
        <f>+VLOOKUP(Tabla3[[#This Row],[PATENTE]],'BASE DATOS'!F:M,8,0)</f>
        <v>24</v>
      </c>
    </row>
    <row r="811" spans="1:18" hidden="1">
      <c r="A811" s="578" t="s">
        <v>932</v>
      </c>
      <c r="B811" s="584">
        <v>3</v>
      </c>
      <c r="C811" s="589">
        <v>45943</v>
      </c>
      <c r="D811" s="582">
        <f t="shared" si="32"/>
        <v>42</v>
      </c>
      <c r="E811" s="618" t="str">
        <f>+VLOOKUP(Tabla3[[#This Row],[PATENTE]],'BASE DATOS'!F:G,2,0)</f>
        <v xml:space="preserve">TRANSP MAVIR - EFL176 </v>
      </c>
      <c r="F811" s="584" t="str">
        <f>+VLOOKUP(Tabla3[[#This Row],[PATENTE]],'BASE DATOS'!F:H,3,0)</f>
        <v>12P</v>
      </c>
      <c r="G811" s="584" t="str">
        <f>+VLOOKUP(Tabla3[[#This Row],[PATENTE]],'BASE DATOS'!F:I,4,0)</f>
        <v>SI</v>
      </c>
      <c r="H811" s="584" t="str">
        <f>+VLOOKUP(Tabla3[[#This Row],[PATENTE]],'BASE DATOS'!F:J,5,0)</f>
        <v>SI</v>
      </c>
      <c r="I811" s="584" t="str">
        <f>+VLOOKUP(Tabla3[[#This Row],[PATENTE]],'BASE DATOS'!F:K,6,0)</f>
        <v>NO</v>
      </c>
      <c r="J811" s="584">
        <f>+VLOOKUP(Tabla3[[#This Row],[PATENTE]],'BASE DATOS'!F:L,7,0)</f>
        <v>1998</v>
      </c>
      <c r="K811" s="619">
        <f>+VLOOKUP(Tabla3[[#This Row],[PATENTE]],'BASE DATOS'!F:M,8,0)</f>
        <v>27</v>
      </c>
    </row>
    <row r="812" spans="1:18" hidden="1">
      <c r="A812" s="578" t="s">
        <v>916</v>
      </c>
      <c r="B812" s="584">
        <v>3</v>
      </c>
      <c r="C812" s="589">
        <v>45943</v>
      </c>
      <c r="D812" s="582">
        <f t="shared" si="32"/>
        <v>42</v>
      </c>
      <c r="E812" s="618" t="str">
        <f>+VLOOKUP(Tabla3[[#This Row],[PATENTE]],'BASE DATOS'!F:G,2,0)</f>
        <v xml:space="preserve">TRANSP MAIDANA CARLOS - EYP088 </v>
      </c>
      <c r="F812" s="584" t="str">
        <f>+VLOOKUP(Tabla3[[#This Row],[PATENTE]],'BASE DATOS'!F:H,3,0)</f>
        <v>6P</v>
      </c>
      <c r="G812" s="584" t="str">
        <f>+VLOOKUP(Tabla3[[#This Row],[PATENTE]],'BASE DATOS'!F:I,4,0)</f>
        <v>SI</v>
      </c>
      <c r="H812" s="584" t="str">
        <f>+VLOOKUP(Tabla3[[#This Row],[PATENTE]],'BASE DATOS'!F:J,5,0)</f>
        <v>SI</v>
      </c>
      <c r="I812" s="584" t="str">
        <f>+VLOOKUP(Tabla3[[#This Row],[PATENTE]],'BASE DATOS'!F:K,6,0)</f>
        <v>NO</v>
      </c>
      <c r="J812" s="584">
        <f>+VLOOKUP(Tabla3[[#This Row],[PATENTE]],'BASE DATOS'!F:L,7,0)</f>
        <v>2006</v>
      </c>
      <c r="K812" s="619">
        <f>+VLOOKUP(Tabla3[[#This Row],[PATENTE]],'BASE DATOS'!F:M,8,0)</f>
        <v>19</v>
      </c>
    </row>
    <row r="813" spans="1:18" hidden="1">
      <c r="A813" s="578" t="s">
        <v>920</v>
      </c>
      <c r="B813" s="584">
        <v>3</v>
      </c>
      <c r="C813" s="589">
        <v>45943</v>
      </c>
      <c r="D813" s="582">
        <f t="shared" si="32"/>
        <v>42</v>
      </c>
      <c r="E813" s="618" t="str">
        <f>+VLOOKUP(Tabla3[[#This Row],[PATENTE]],'BASE DATOS'!F:G,2,0)</f>
        <v xml:space="preserve">TRANSP LAGOS - MRV682 </v>
      </c>
      <c r="F813" s="584" t="str">
        <f>+VLOOKUP(Tabla3[[#This Row],[PATENTE]],'BASE DATOS'!F:H,3,0)</f>
        <v>8P</v>
      </c>
      <c r="G813" s="584" t="str">
        <f>+VLOOKUP(Tabla3[[#This Row],[PATENTE]],'BASE DATOS'!F:I,4,0)</f>
        <v>SI</v>
      </c>
      <c r="H813" s="584" t="str">
        <f>+VLOOKUP(Tabla3[[#This Row],[PATENTE]],'BASE DATOS'!F:J,5,0)</f>
        <v>SI</v>
      </c>
      <c r="I813" s="584" t="str">
        <f>+VLOOKUP(Tabla3[[#This Row],[PATENTE]],'BASE DATOS'!F:K,6,0)</f>
        <v>NO</v>
      </c>
      <c r="J813" s="584">
        <f>+VLOOKUP(Tabla3[[#This Row],[PATENTE]],'BASE DATOS'!F:L,7,0)</f>
        <v>2013</v>
      </c>
      <c r="K813" s="619">
        <f>+VLOOKUP(Tabla3[[#This Row],[PATENTE]],'BASE DATOS'!F:M,8,0)</f>
        <v>12</v>
      </c>
    </row>
    <row r="814" spans="1:18" hidden="1">
      <c r="A814" s="578" t="s">
        <v>877</v>
      </c>
      <c r="B814" s="584">
        <v>3</v>
      </c>
      <c r="C814" s="589">
        <v>45943</v>
      </c>
      <c r="D814" s="582">
        <f t="shared" si="32"/>
        <v>42</v>
      </c>
      <c r="E814" s="618" t="str">
        <f>+VLOOKUP(Tabla3[[#This Row],[PATENTE]],'BASE DATOS'!F:G,2,0)</f>
        <v>TRANSP MAIDANA CARLOS - OWA126</v>
      </c>
      <c r="F814" s="584" t="str">
        <f>+VLOOKUP(Tabla3[[#This Row],[PATENTE]],'BASE DATOS'!F:H,3,0)</f>
        <v>4P</v>
      </c>
      <c r="G814" s="584" t="str">
        <f>+VLOOKUP(Tabla3[[#This Row],[PATENTE]],'BASE DATOS'!F:I,4,0)</f>
        <v>SI</v>
      </c>
      <c r="H814" s="584" t="str">
        <f>+VLOOKUP(Tabla3[[#This Row],[PATENTE]],'BASE DATOS'!F:J,5,0)</f>
        <v>SI</v>
      </c>
      <c r="I814" s="584" t="str">
        <f>+VLOOKUP(Tabla3[[#This Row],[PATENTE]],'BASE DATOS'!F:K,6,0)</f>
        <v>NO</v>
      </c>
      <c r="J814" s="584">
        <f>+VLOOKUP(Tabla3[[#This Row],[PATENTE]],'BASE DATOS'!F:L,7,0)</f>
        <v>2015</v>
      </c>
      <c r="K814" s="619">
        <f>+VLOOKUP(Tabla3[[#This Row],[PATENTE]],'BASE DATOS'!F:M,8,0)</f>
        <v>10</v>
      </c>
    </row>
    <row r="815" spans="1:18" hidden="1">
      <c r="A815" s="578" t="s">
        <v>879</v>
      </c>
      <c r="B815" s="584">
        <v>3</v>
      </c>
      <c r="C815" s="589">
        <v>45943</v>
      </c>
      <c r="D815" s="582">
        <f t="shared" si="32"/>
        <v>42</v>
      </c>
      <c r="E815" s="618" t="str">
        <f>+VLOOKUP(Tabla3[[#This Row],[PATENTE]],'BASE DATOS'!F:G,2,0)</f>
        <v xml:space="preserve">TRANSP JP - OYP470 </v>
      </c>
      <c r="F815" s="584" t="str">
        <f>+VLOOKUP(Tabla3[[#This Row],[PATENTE]],'BASE DATOS'!F:H,3,0)</f>
        <v>8P</v>
      </c>
      <c r="G815" s="584" t="str">
        <f>+VLOOKUP(Tabla3[[#This Row],[PATENTE]],'BASE DATOS'!F:I,4,0)</f>
        <v>SI</v>
      </c>
      <c r="H815" s="584" t="str">
        <f>+VLOOKUP(Tabla3[[#This Row],[PATENTE]],'BASE DATOS'!F:J,5,0)</f>
        <v>SI</v>
      </c>
      <c r="I815" s="584" t="str">
        <f>+VLOOKUP(Tabla3[[#This Row],[PATENTE]],'BASE DATOS'!F:K,6,0)</f>
        <v>NO</v>
      </c>
      <c r="J815" s="584">
        <f>+VLOOKUP(Tabla3[[#This Row],[PATENTE]],'BASE DATOS'!F:L,7,0)</f>
        <v>2011</v>
      </c>
      <c r="K815" s="619">
        <f>+VLOOKUP(Tabla3[[#This Row],[PATENTE]],'BASE DATOS'!F:M,8,0)</f>
        <v>14</v>
      </c>
    </row>
    <row r="816" spans="1:18" hidden="1">
      <c r="A816" s="578" t="s">
        <v>942</v>
      </c>
      <c r="B816" s="584">
        <v>2</v>
      </c>
      <c r="C816" s="589">
        <v>45943</v>
      </c>
      <c r="D816" s="582">
        <f t="shared" si="32"/>
        <v>42</v>
      </c>
      <c r="E816" s="618" t="str">
        <f>+VLOOKUP(Tabla3[[#This Row],[PATENTE]],'BASE DATOS'!F:G,2,0)</f>
        <v>GANZINI HUGO - AH599 - 1P</v>
      </c>
      <c r="F816" s="584" t="str">
        <f>+VLOOKUP(Tabla3[[#This Row],[PATENTE]],'BASE DATOS'!F:H,3,0)</f>
        <v>1P</v>
      </c>
      <c r="G816" s="584" t="str">
        <f>+VLOOKUP(Tabla3[[#This Row],[PATENTE]],'BASE DATOS'!F:I,4,0)</f>
        <v>NO</v>
      </c>
      <c r="H816" s="584" t="str">
        <f>+VLOOKUP(Tabla3[[#This Row],[PATENTE]],'BASE DATOS'!F:J,5,0)</f>
        <v>NO</v>
      </c>
      <c r="I816" s="584" t="str">
        <f>+VLOOKUP(Tabla3[[#This Row],[PATENTE]],'BASE DATOS'!F:K,6,0)</f>
        <v>NO</v>
      </c>
      <c r="J816" s="584">
        <f>+VLOOKUP(Tabla3[[#This Row],[PATENTE]],'BASE DATOS'!F:L,7,0)</f>
        <v>2025</v>
      </c>
      <c r="K816" s="619">
        <f>+VLOOKUP(Tabla3[[#This Row],[PATENTE]],'BASE DATOS'!F:M,8,0)</f>
        <v>0</v>
      </c>
    </row>
    <row r="817" spans="1:11" hidden="1">
      <c r="A817" s="578" t="s">
        <v>923</v>
      </c>
      <c r="B817" s="584">
        <v>2</v>
      </c>
      <c r="C817" s="589">
        <v>45943</v>
      </c>
      <c r="D817" s="582">
        <f t="shared" si="32"/>
        <v>42</v>
      </c>
      <c r="E817" s="618" t="str">
        <f>+VLOOKUP(Tabla3[[#This Row],[PATENTE]],'BASE DATOS'!F:G,2,0)</f>
        <v xml:space="preserve">TRANSPORTE GENA GAIA - DLP830 </v>
      </c>
      <c r="F817" s="584" t="str">
        <f>+VLOOKUP(Tabla3[[#This Row],[PATENTE]],'BASE DATOS'!F:H,3,0)</f>
        <v>24P</v>
      </c>
      <c r="G817" s="584" t="str">
        <f>+VLOOKUP(Tabla3[[#This Row],[PATENTE]],'BASE DATOS'!F:I,4,0)</f>
        <v>Gestya</v>
      </c>
      <c r="H817" s="584" t="str">
        <f>+VLOOKUP(Tabla3[[#This Row],[PATENTE]],'BASE DATOS'!F:J,5,0)</f>
        <v xml:space="preserve">NO </v>
      </c>
      <c r="I817" s="584" t="str">
        <f>+VLOOKUP(Tabla3[[#This Row],[PATENTE]],'BASE DATOS'!F:K,6,0)</f>
        <v>NO</v>
      </c>
      <c r="J817" s="584">
        <f>+VLOOKUP(Tabla3[[#This Row],[PATENTE]],'BASE DATOS'!F:L,7,0)</f>
        <v>2001</v>
      </c>
      <c r="K817" s="619">
        <f>+VLOOKUP(Tabla3[[#This Row],[PATENTE]],'BASE DATOS'!F:M,8,0)</f>
        <v>24</v>
      </c>
    </row>
    <row r="818" spans="1:11" hidden="1">
      <c r="A818" s="581" t="s">
        <v>924</v>
      </c>
      <c r="B818" s="587">
        <v>2</v>
      </c>
      <c r="C818" s="589">
        <v>45943</v>
      </c>
      <c r="D818" s="583">
        <f t="shared" si="32"/>
        <v>42</v>
      </c>
      <c r="E818" s="620" t="str">
        <f>+VLOOKUP(Tabla3[[#This Row],[PATENTE]],'BASE DATOS'!F:G,2,0)</f>
        <v>TRANSP MAVIR - HRZ429 -16P</v>
      </c>
      <c r="F818" s="587" t="str">
        <f>+VLOOKUP(Tabla3[[#This Row],[PATENTE]],'BASE DATOS'!F:H,3,0)</f>
        <v>16P</v>
      </c>
      <c r="G818" s="587" t="str">
        <f>+VLOOKUP(Tabla3[[#This Row],[PATENTE]],'BASE DATOS'!F:I,4,0)</f>
        <v>SI</v>
      </c>
      <c r="H818" s="584" t="str">
        <f>+VLOOKUP(Tabla3[[#This Row],[PATENTE]],'BASE DATOS'!F:J,5,0)</f>
        <v xml:space="preserve">NO </v>
      </c>
      <c r="I818" s="587" t="str">
        <f>+VLOOKUP(Tabla3[[#This Row],[PATENTE]],'BASE DATOS'!F:K,6,0)</f>
        <v>NO</v>
      </c>
      <c r="J818" s="587">
        <f>+VLOOKUP(Tabla3[[#This Row],[PATENTE]],'BASE DATOS'!F:L,7,0)</f>
        <v>2008</v>
      </c>
      <c r="K818" s="621">
        <f>+VLOOKUP(Tabla3[[#This Row],[PATENTE]],'BASE DATOS'!F:M,8,0)</f>
        <v>17</v>
      </c>
    </row>
    <row r="819" spans="1:11" hidden="1">
      <c r="A819" s="578" t="s">
        <v>933</v>
      </c>
      <c r="B819" s="584">
        <v>2</v>
      </c>
      <c r="C819" s="589">
        <v>45943</v>
      </c>
      <c r="D819" s="582">
        <f t="shared" ref="D819:D865" si="33">+WEEKNUM(C819)</f>
        <v>42</v>
      </c>
      <c r="E819" s="618" t="str">
        <f>+VLOOKUP(Tabla3[[#This Row],[PATENTE]],'BASE DATOS'!F:G,2,0)</f>
        <v xml:space="preserve">TRANSPORTE GENA GAIA - IKE806 </v>
      </c>
      <c r="F819" s="584" t="str">
        <f>+VLOOKUP(Tabla3[[#This Row],[PATENTE]],'BASE DATOS'!F:H,3,0)</f>
        <v>24P</v>
      </c>
      <c r="G819" s="584" t="str">
        <f>+VLOOKUP(Tabla3[[#This Row],[PATENTE]],'BASE DATOS'!F:I,4,0)</f>
        <v>Gestya</v>
      </c>
      <c r="H819" s="584" t="str">
        <f>+VLOOKUP(Tabla3[[#This Row],[PATENTE]],'BASE DATOS'!F:J,5,0)</f>
        <v xml:space="preserve">NO </v>
      </c>
      <c r="I819" s="584" t="str">
        <f>+VLOOKUP(Tabla3[[#This Row],[PATENTE]],'BASE DATOS'!F:K,6,0)</f>
        <v>NO</v>
      </c>
      <c r="J819" s="584">
        <f>+VLOOKUP(Tabla3[[#This Row],[PATENTE]],'BASE DATOS'!F:L,7,0)</f>
        <v>2010</v>
      </c>
      <c r="K819" s="619">
        <f>+VLOOKUP(Tabla3[[#This Row],[PATENTE]],'BASE DATOS'!F:M,8,0)</f>
        <v>15</v>
      </c>
    </row>
    <row r="820" spans="1:11" hidden="1">
      <c r="A820" s="578" t="s">
        <v>896</v>
      </c>
      <c r="B820" s="584">
        <v>2</v>
      </c>
      <c r="C820" s="589">
        <v>45943</v>
      </c>
      <c r="D820" s="582">
        <f t="shared" si="33"/>
        <v>42</v>
      </c>
      <c r="E820" s="618" t="str">
        <f>+VLOOKUP(Tabla3[[#This Row],[PATENTE]],'BASE DATOS'!F:G,2,0)</f>
        <v xml:space="preserve">TRANSP MAVIR - RHQ609 </v>
      </c>
      <c r="F820" s="584" t="str">
        <f>+VLOOKUP(Tabla3[[#This Row],[PATENTE]],'BASE DATOS'!F:H,3,0)</f>
        <v>10P</v>
      </c>
      <c r="G820" s="584" t="str">
        <f>+VLOOKUP(Tabla3[[#This Row],[PATENTE]],'BASE DATOS'!F:I,4,0)</f>
        <v>NO</v>
      </c>
      <c r="H820" s="584" t="str">
        <f>+VLOOKUP(Tabla3[[#This Row],[PATENTE]],'BASE DATOS'!F:J,5,0)</f>
        <v xml:space="preserve">NO </v>
      </c>
      <c r="I820" s="584" t="str">
        <f>+VLOOKUP(Tabla3[[#This Row],[PATENTE]],'BASE DATOS'!F:K,6,0)</f>
        <v>NO</v>
      </c>
      <c r="J820" s="584">
        <f>+VLOOKUP(Tabla3[[#This Row],[PATENTE]],'BASE DATOS'!F:L,7,0)</f>
        <v>1995</v>
      </c>
      <c r="K820" s="593">
        <v>0</v>
      </c>
    </row>
    <row r="821" spans="1:11" hidden="1">
      <c r="A821" s="578" t="s">
        <v>1133</v>
      </c>
      <c r="B821" s="584">
        <v>1</v>
      </c>
      <c r="C821" s="589">
        <v>45943</v>
      </c>
      <c r="D821" s="582">
        <f t="shared" si="33"/>
        <v>42</v>
      </c>
      <c r="E821" s="618" t="str">
        <f>+VLOOKUP(Tabla3[[#This Row],[PATENTE]],'BASE DATOS'!F:G,2,0)</f>
        <v xml:space="preserve">BELLIMAR SRL - AB787MT </v>
      </c>
      <c r="F821" s="584" t="str">
        <f>+VLOOKUP(Tabla3[[#This Row],[PATENTE]],'BASE DATOS'!F:H,3,0)</f>
        <v>28P</v>
      </c>
      <c r="G821" s="584" t="str">
        <f>+VLOOKUP(Tabla3[[#This Row],[PATENTE]],'BASE DATOS'!F:I,4,0)</f>
        <v>NO</v>
      </c>
      <c r="H821" s="584" t="str">
        <f>+VLOOKUP(Tabla3[[#This Row],[PATENTE]],'BASE DATOS'!F:J,5,0)</f>
        <v xml:space="preserve">NO </v>
      </c>
      <c r="I821" s="584" t="str">
        <f>+VLOOKUP(Tabla3[[#This Row],[PATENTE]],'BASE DATOS'!F:K,6,0)</f>
        <v>NO</v>
      </c>
      <c r="J821" s="584">
        <f>+VLOOKUP(Tabla3[[#This Row],[PATENTE]],'BASE DATOS'!F:L,7,0)</f>
        <v>2017</v>
      </c>
      <c r="K821" s="619">
        <f>+VLOOKUP(Tabla3[[#This Row],[PATENTE]],'BASE DATOS'!F:M,8,0)</f>
        <v>8</v>
      </c>
    </row>
    <row r="822" spans="1:11" hidden="1">
      <c r="A822" s="578" t="s">
        <v>937</v>
      </c>
      <c r="B822" s="584">
        <v>1</v>
      </c>
      <c r="C822" s="589">
        <v>45943</v>
      </c>
      <c r="D822" s="582">
        <f t="shared" si="33"/>
        <v>42</v>
      </c>
      <c r="E822" s="618" t="str">
        <f>+VLOOKUP(Tabla3[[#This Row],[PATENTE]],'BASE DATOS'!F:G,2,0)</f>
        <v>TRANSP. CM TRANZ - AC049FP CALZIA RETIRA CLIENTE</v>
      </c>
      <c r="F822" s="584" t="str">
        <f>+VLOOKUP(Tabla3[[#This Row],[PATENTE]],'BASE DATOS'!F:H,3,0)</f>
        <v>24P</v>
      </c>
      <c r="G822" s="584" t="str">
        <f>+VLOOKUP(Tabla3[[#This Row],[PATENTE]],'BASE DATOS'!F:I,4,0)</f>
        <v>NO</v>
      </c>
      <c r="H822" s="584" t="str">
        <f>+VLOOKUP(Tabla3[[#This Row],[PATENTE]],'BASE DATOS'!F:J,5,0)</f>
        <v xml:space="preserve">NO </v>
      </c>
      <c r="I822" s="584" t="str">
        <f>+VLOOKUP(Tabla3[[#This Row],[PATENTE]],'BASE DATOS'!F:K,6,0)</f>
        <v>NO</v>
      </c>
      <c r="J822" s="584">
        <f>+VLOOKUP(Tabla3[[#This Row],[PATENTE]],'BASE DATOS'!F:L,7,0)</f>
        <v>0</v>
      </c>
      <c r="K822" s="619">
        <f>+VLOOKUP(Tabla3[[#This Row],[PATENTE]],'BASE DATOS'!F:M,8,0)</f>
        <v>0</v>
      </c>
    </row>
    <row r="823" spans="1:11" hidden="1">
      <c r="A823" s="578" t="s">
        <v>1166</v>
      </c>
      <c r="B823" s="584">
        <v>1</v>
      </c>
      <c r="C823" s="589">
        <v>45943</v>
      </c>
      <c r="D823" s="582">
        <f t="shared" si="33"/>
        <v>42</v>
      </c>
      <c r="E823" s="618" t="str">
        <f>+VLOOKUP(Tabla3[[#This Row],[PATENTE]],'BASE DATOS'!F:G,2,0)</f>
        <v>PALADINI - AC558NE - 12P RETIRA CLIENTE</v>
      </c>
      <c r="F823" s="584" t="str">
        <f>+VLOOKUP(Tabla3[[#This Row],[PATENTE]],'BASE DATOS'!F:H,3,0)</f>
        <v>12P</v>
      </c>
      <c r="G823" s="584" t="str">
        <f>+VLOOKUP(Tabla3[[#This Row],[PATENTE]],'BASE DATOS'!F:I,4,0)</f>
        <v>NO</v>
      </c>
      <c r="H823" s="584" t="str">
        <f>+VLOOKUP(Tabla3[[#This Row],[PATENTE]],'BASE DATOS'!F:J,5,0)</f>
        <v xml:space="preserve">NO </v>
      </c>
      <c r="I823" s="584" t="str">
        <f>+VLOOKUP(Tabla3[[#This Row],[PATENTE]],'BASE DATOS'!F:K,6,0)</f>
        <v>NO</v>
      </c>
      <c r="J823" s="584">
        <f>+VLOOKUP(Tabla3[[#This Row],[PATENTE]],'BASE DATOS'!F:L,7,0)</f>
        <v>0</v>
      </c>
      <c r="K823" s="619">
        <f>+VLOOKUP(Tabla3[[#This Row],[PATENTE]],'BASE DATOS'!F:M,8,0)</f>
        <v>2025</v>
      </c>
    </row>
    <row r="824" spans="1:11" hidden="1">
      <c r="A824" s="578" t="s">
        <v>944</v>
      </c>
      <c r="B824" s="584">
        <v>1</v>
      </c>
      <c r="C824" s="589">
        <v>45943</v>
      </c>
      <c r="D824" s="582">
        <f t="shared" si="33"/>
        <v>42</v>
      </c>
      <c r="E824" s="618" t="str">
        <f>+VLOOKUP(Tabla3[[#This Row],[PATENTE]],'BASE DATOS'!F:G,2,0)</f>
        <v xml:space="preserve">TRANSPORTE GENA GAIA - BHG261 </v>
      </c>
      <c r="F824" s="584" t="str">
        <f>+VLOOKUP(Tabla3[[#This Row],[PATENTE]],'BASE DATOS'!F:H,3,0)</f>
        <v>26P</v>
      </c>
      <c r="G824" s="584" t="str">
        <f>+VLOOKUP(Tabla3[[#This Row],[PATENTE]],'BASE DATOS'!F:I,4,0)</f>
        <v>Gestya</v>
      </c>
      <c r="H824" s="584" t="str">
        <f>+VLOOKUP(Tabla3[[#This Row],[PATENTE]],'BASE DATOS'!F:J,5,0)</f>
        <v xml:space="preserve">NO </v>
      </c>
      <c r="I824" s="584" t="str">
        <f>+VLOOKUP(Tabla3[[#This Row],[PATENTE]],'BASE DATOS'!F:K,6,0)</f>
        <v>NO</v>
      </c>
      <c r="J824" s="584">
        <f>+VLOOKUP(Tabla3[[#This Row],[PATENTE]],'BASE DATOS'!F:L,7,0)</f>
        <v>1997</v>
      </c>
      <c r="K824" s="619">
        <f>+VLOOKUP(Tabla3[[#This Row],[PATENTE]],'BASE DATOS'!F:M,8,0)</f>
        <v>28</v>
      </c>
    </row>
    <row r="825" spans="1:11" hidden="1">
      <c r="A825" s="578" t="s">
        <v>1128</v>
      </c>
      <c r="B825" s="584">
        <v>1</v>
      </c>
      <c r="C825" s="589">
        <v>45943</v>
      </c>
      <c r="D825" s="582">
        <f t="shared" si="33"/>
        <v>42</v>
      </c>
      <c r="E825" s="618" t="str">
        <f>+VLOOKUP(Tabla3[[#This Row],[PATENTE]],'BASE DATOS'!F:G,2,0)</f>
        <v xml:space="preserve">PRONTOMAR - EDW922 </v>
      </c>
      <c r="F825" s="584" t="str">
        <f>+VLOOKUP(Tabla3[[#This Row],[PATENTE]],'BASE DATOS'!F:H,3,0)</f>
        <v>14P</v>
      </c>
      <c r="G825" s="584" t="str">
        <f>+VLOOKUP(Tabla3[[#This Row],[PATENTE]],'BASE DATOS'!F:I,4,0)</f>
        <v>NO</v>
      </c>
      <c r="H825" s="584" t="str">
        <f>+VLOOKUP(Tabla3[[#This Row],[PATENTE]],'BASE DATOS'!F:J,5,0)</f>
        <v xml:space="preserve">NO </v>
      </c>
      <c r="I825" s="584" t="str">
        <f>+VLOOKUP(Tabla3[[#This Row],[PATENTE]],'BASE DATOS'!F:K,6,0)</f>
        <v>NO</v>
      </c>
      <c r="J825" s="584">
        <f>+VLOOKUP(Tabla3[[#This Row],[PATENTE]],'BASE DATOS'!F:L,7,0)</f>
        <v>2003</v>
      </c>
      <c r="K825" s="619">
        <f>+VLOOKUP(Tabla3[[#This Row],[PATENTE]],'BASE DATOS'!F:M,8,0)</f>
        <v>22</v>
      </c>
    </row>
    <row r="826" spans="1:11" hidden="1">
      <c r="A826" s="578" t="s">
        <v>930</v>
      </c>
      <c r="B826" s="584">
        <v>1</v>
      </c>
      <c r="C826" s="589">
        <v>45943</v>
      </c>
      <c r="D826" s="582">
        <f t="shared" si="33"/>
        <v>42</v>
      </c>
      <c r="E826" s="618" t="str">
        <f>+VLOOKUP(Tabla3[[#This Row],[PATENTE]],'BASE DATOS'!F:G,2,0)</f>
        <v xml:space="preserve">GANZINI HUGO - JJF375 </v>
      </c>
      <c r="F826" s="584" t="str">
        <f>+VLOOKUP(Tabla3[[#This Row],[PATENTE]],'BASE DATOS'!F:H,3,0)</f>
        <v>14P</v>
      </c>
      <c r="G826" s="584" t="str">
        <f>+VLOOKUP(Tabla3[[#This Row],[PATENTE]],'BASE DATOS'!F:I,4,0)</f>
        <v>SI</v>
      </c>
      <c r="H826" s="584" t="str">
        <f>+VLOOKUP(Tabla3[[#This Row],[PATENTE]],'BASE DATOS'!F:J,5,0)</f>
        <v xml:space="preserve">NO </v>
      </c>
      <c r="I826" s="584" t="str">
        <f>+VLOOKUP(Tabla3[[#This Row],[PATENTE]],'BASE DATOS'!F:K,6,0)</f>
        <v>NO</v>
      </c>
      <c r="J826" s="584">
        <f>+VLOOKUP(Tabla3[[#This Row],[PATENTE]],'BASE DATOS'!F:L,7,0)</f>
        <v>2011</v>
      </c>
      <c r="K826" s="619">
        <f>+VLOOKUP(Tabla3[[#This Row],[PATENTE]],'BASE DATOS'!F:M,8,0)</f>
        <v>14</v>
      </c>
    </row>
    <row r="827" spans="1:11" hidden="1">
      <c r="A827" s="578" t="s">
        <v>1124</v>
      </c>
      <c r="B827" s="584">
        <v>1</v>
      </c>
      <c r="C827" s="589">
        <v>45943</v>
      </c>
      <c r="D827" s="582">
        <f t="shared" si="33"/>
        <v>42</v>
      </c>
      <c r="E827" s="618" t="str">
        <f>+VLOOKUP(Tabla3[[#This Row],[PATENTE]],'BASE DATOS'!F:G,2,0)</f>
        <v>TRANSP DON NENO - JNO540</v>
      </c>
      <c r="F827" s="584" t="str">
        <f>+VLOOKUP(Tabla3[[#This Row],[PATENTE]],'BASE DATOS'!F:H,3,0)</f>
        <v>8P</v>
      </c>
      <c r="G827" s="584" t="str">
        <f>+VLOOKUP(Tabla3[[#This Row],[PATENTE]],'BASE DATOS'!F:I,4,0)</f>
        <v>NO</v>
      </c>
      <c r="H827" s="584" t="str">
        <f>+VLOOKUP(Tabla3[[#This Row],[PATENTE]],'BASE DATOS'!F:J,5,0)</f>
        <v xml:space="preserve">NO </v>
      </c>
      <c r="I827" s="584" t="str">
        <f>+VLOOKUP(Tabla3[[#This Row],[PATENTE]],'BASE DATOS'!F:K,6,0)</f>
        <v>NO</v>
      </c>
      <c r="J827" s="584">
        <f>+VLOOKUP(Tabla3[[#This Row],[PATENTE]],'BASE DATOS'!F:L,7,0)</f>
        <v>2011</v>
      </c>
      <c r="K827" s="619">
        <f>+VLOOKUP(Tabla3[[#This Row],[PATENTE]],'BASE DATOS'!F:M,8,0)</f>
        <v>14</v>
      </c>
    </row>
    <row r="828" spans="1:11" hidden="1">
      <c r="A828" s="578" t="s">
        <v>939</v>
      </c>
      <c r="B828" s="584">
        <v>1</v>
      </c>
      <c r="C828" s="589">
        <v>45943</v>
      </c>
      <c r="D828" s="582">
        <f t="shared" si="33"/>
        <v>42</v>
      </c>
      <c r="E828" s="618" t="str">
        <f>+VLOOKUP(Tabla3[[#This Row],[PATENTE]],'BASE DATOS'!F:G,2,0)</f>
        <v>TRANSP CLAUDIO BUSTOS - JOQ178</v>
      </c>
      <c r="F828" s="584" t="str">
        <f>+VLOOKUP(Tabla3[[#This Row],[PATENTE]],'BASE DATOS'!F:H,3,0)</f>
        <v>1P</v>
      </c>
      <c r="G828" s="584" t="str">
        <f>+VLOOKUP(Tabla3[[#This Row],[PATENTE]],'BASE DATOS'!F:I,4,0)</f>
        <v>NO</v>
      </c>
      <c r="H828" s="584" t="str">
        <f>+VLOOKUP(Tabla3[[#This Row],[PATENTE]],'BASE DATOS'!F:J,5,0)</f>
        <v>SI</v>
      </c>
      <c r="I828" s="584" t="str">
        <f>+VLOOKUP(Tabla3[[#This Row],[PATENTE]],'BASE DATOS'!F:K,6,0)</f>
        <v>NO</v>
      </c>
      <c r="J828" s="584">
        <f>+VLOOKUP(Tabla3[[#This Row],[PATENTE]],'BASE DATOS'!F:L,7,0)</f>
        <v>2010</v>
      </c>
      <c r="K828" s="619">
        <f>+VLOOKUP(Tabla3[[#This Row],[PATENTE]],'BASE DATOS'!F:M,8,0)</f>
        <v>15</v>
      </c>
    </row>
    <row r="829" spans="1:11" hidden="1">
      <c r="A829" s="578" t="s">
        <v>884</v>
      </c>
      <c r="B829" s="584">
        <v>6</v>
      </c>
      <c r="C829" s="589">
        <v>45950</v>
      </c>
      <c r="D829" s="582">
        <f t="shared" si="33"/>
        <v>43</v>
      </c>
      <c r="E829" s="618" t="str">
        <f>+VLOOKUP(Tabla3[[#This Row],[PATENTE]],'BASE DATOS'!F:G,2,0)</f>
        <v xml:space="preserve">LAURIA (SERVAL) - AB233IT </v>
      </c>
      <c r="F829" s="584" t="str">
        <f>+VLOOKUP(Tabla3[[#This Row],[PATENTE]],'BASE DATOS'!F:H,3,0)</f>
        <v>6P</v>
      </c>
      <c r="G829" s="584" t="str">
        <f>+VLOOKUP(Tabla3[[#This Row],[PATENTE]],'BASE DATOS'!F:I,4,0)</f>
        <v>SI</v>
      </c>
      <c r="H829" s="584" t="str">
        <f>+VLOOKUP(Tabla3[[#This Row],[PATENTE]],'BASE DATOS'!F:J,5,0)</f>
        <v>SI</v>
      </c>
      <c r="I829" s="584" t="str">
        <f>+VLOOKUP(Tabla3[[#This Row],[PATENTE]],'BASE DATOS'!F:K,6,0)</f>
        <v>NO</v>
      </c>
      <c r="J829" s="584">
        <f>+VLOOKUP(Tabla3[[#This Row],[PATENTE]],'BASE DATOS'!F:L,7,0)</f>
        <v>2017</v>
      </c>
      <c r="K829" s="619">
        <f>+VLOOKUP(Tabla3[[#This Row],[PATENTE]],'BASE DATOS'!F:M,8,0)</f>
        <v>8</v>
      </c>
    </row>
    <row r="830" spans="1:11" hidden="1">
      <c r="A830" s="578" t="s">
        <v>905</v>
      </c>
      <c r="B830" s="584">
        <v>6</v>
      </c>
      <c r="C830" s="589">
        <v>45950</v>
      </c>
      <c r="D830" s="582">
        <f t="shared" si="33"/>
        <v>43</v>
      </c>
      <c r="E830" s="618" t="str">
        <f>+VLOOKUP(Tabla3[[#This Row],[PATENTE]],'BASE DATOS'!F:G,2,0)</f>
        <v xml:space="preserve">J RIMOLDI - AB312SE </v>
      </c>
      <c r="F830" s="584" t="str">
        <f>+VLOOKUP(Tabla3[[#This Row],[PATENTE]],'BASE DATOS'!F:H,3,0)</f>
        <v>8P</v>
      </c>
      <c r="G830" s="584" t="str">
        <f>+VLOOKUP(Tabla3[[#This Row],[PATENTE]],'BASE DATOS'!F:I,4,0)</f>
        <v>SI</v>
      </c>
      <c r="H830" s="584" t="str">
        <f>+VLOOKUP(Tabla3[[#This Row],[PATENTE]],'BASE DATOS'!F:J,5,0)</f>
        <v>SI</v>
      </c>
      <c r="I830" s="584" t="str">
        <f>+VLOOKUP(Tabla3[[#This Row],[PATENTE]],'BASE DATOS'!F:K,6,0)</f>
        <v>NO</v>
      </c>
      <c r="J830" s="584">
        <f>+VLOOKUP(Tabla3[[#This Row],[PATENTE]],'BASE DATOS'!F:L,7,0)</f>
        <v>2017</v>
      </c>
      <c r="K830" s="619">
        <f>+VLOOKUP(Tabla3[[#This Row],[PATENTE]],'BASE DATOS'!F:M,8,0)</f>
        <v>8</v>
      </c>
    </row>
    <row r="831" spans="1:11" hidden="1">
      <c r="A831" s="578" t="s">
        <v>922</v>
      </c>
      <c r="B831" s="584">
        <v>6</v>
      </c>
      <c r="C831" s="589">
        <v>45950</v>
      </c>
      <c r="D831" s="582">
        <f t="shared" si="33"/>
        <v>43</v>
      </c>
      <c r="E831" s="618" t="str">
        <f>+VLOOKUP(Tabla3[[#This Row],[PATENTE]],'BASE DATOS'!F:G,2,0)</f>
        <v>LAURIA (SERVAL) - AF342ZY</v>
      </c>
      <c r="F831" s="584" t="str">
        <f>+VLOOKUP(Tabla3[[#This Row],[PATENTE]],'BASE DATOS'!F:H,3,0)</f>
        <v>8P</v>
      </c>
      <c r="G831" s="584" t="str">
        <f>+VLOOKUP(Tabla3[[#This Row],[PATENTE]],'BASE DATOS'!F:I,4,0)</f>
        <v>SI</v>
      </c>
      <c r="H831" s="584" t="str">
        <f>+VLOOKUP(Tabla3[[#This Row],[PATENTE]],'BASE DATOS'!F:J,5,0)</f>
        <v>SI</v>
      </c>
      <c r="I831" s="584" t="str">
        <f>+VLOOKUP(Tabla3[[#This Row],[PATENTE]],'BASE DATOS'!F:K,6,0)</f>
        <v>NO</v>
      </c>
      <c r="J831" s="584">
        <f>+VLOOKUP(Tabla3[[#This Row],[PATENTE]],'BASE DATOS'!F:L,7,0)</f>
        <v>2022</v>
      </c>
      <c r="K831" s="619">
        <f>+VLOOKUP(Tabla3[[#This Row],[PATENTE]],'BASE DATOS'!F:M,8,0)</f>
        <v>3</v>
      </c>
    </row>
    <row r="832" spans="1:11" hidden="1">
      <c r="A832" s="578" t="s">
        <v>895</v>
      </c>
      <c r="B832" s="584">
        <v>6</v>
      </c>
      <c r="C832" s="589">
        <v>45950</v>
      </c>
      <c r="D832" s="582">
        <f t="shared" si="33"/>
        <v>43</v>
      </c>
      <c r="E832" s="618" t="str">
        <f>+VLOOKUP(Tabla3[[#This Row],[PATENTE]],'BASE DATOS'!F:G,2,0)</f>
        <v xml:space="preserve">TRANSPORTE MICAELA </v>
      </c>
      <c r="F832" s="584" t="str">
        <f>+VLOOKUP(Tabla3[[#This Row],[PATENTE]],'BASE DATOS'!F:H,3,0)</f>
        <v>2P</v>
      </c>
      <c r="G832" s="584" t="str">
        <f>+VLOOKUP(Tabla3[[#This Row],[PATENTE]],'BASE DATOS'!F:I,4,0)</f>
        <v>NO</v>
      </c>
      <c r="H832" s="584" t="str">
        <f>+VLOOKUP(Tabla3[[#This Row],[PATENTE]],'BASE DATOS'!F:J,5,0)</f>
        <v>SI</v>
      </c>
      <c r="I832" s="584" t="str">
        <f>+VLOOKUP(Tabla3[[#This Row],[PATENTE]],'BASE DATOS'!F:K,6,0)</f>
        <v>NO</v>
      </c>
      <c r="J832" s="584">
        <f>+VLOOKUP(Tabla3[[#This Row],[PATENTE]],'BASE DATOS'!F:L,7,0)</f>
        <v>2024</v>
      </c>
      <c r="K832" s="619">
        <f>+VLOOKUP(Tabla3[[#This Row],[PATENTE]],'BASE DATOS'!F:M,8,0)</f>
        <v>1</v>
      </c>
    </row>
    <row r="833" spans="1:11" hidden="1">
      <c r="A833" s="578" t="s">
        <v>907</v>
      </c>
      <c r="B833" s="584">
        <v>6</v>
      </c>
      <c r="C833" s="589">
        <v>45950</v>
      </c>
      <c r="D833" s="582">
        <f t="shared" si="33"/>
        <v>43</v>
      </c>
      <c r="E833" s="618" t="str">
        <f>+VLOOKUP(Tabla3[[#This Row],[PATENTE]],'BASE DATOS'!F:G,2,0)</f>
        <v xml:space="preserve">LAURIA (SERVAL) - AH583GW </v>
      </c>
      <c r="F833" s="584" t="str">
        <f>+VLOOKUP(Tabla3[[#This Row],[PATENTE]],'BASE DATOS'!F:H,3,0)</f>
        <v>8P</v>
      </c>
      <c r="G833" s="584" t="str">
        <f>+VLOOKUP(Tabla3[[#This Row],[PATENTE]],'BASE DATOS'!F:I,4,0)</f>
        <v>SI</v>
      </c>
      <c r="H833" s="584" t="str">
        <f>+VLOOKUP(Tabla3[[#This Row],[PATENTE]],'BASE DATOS'!F:J,5,0)</f>
        <v>SI</v>
      </c>
      <c r="I833" s="584" t="str">
        <f>+VLOOKUP(Tabla3[[#This Row],[PATENTE]],'BASE DATOS'!F:K,6,0)</f>
        <v>NO</v>
      </c>
      <c r="J833" s="584">
        <f>+VLOOKUP(Tabla3[[#This Row],[PATENTE]],'BASE DATOS'!F:L,7,0)</f>
        <v>2025</v>
      </c>
      <c r="K833" s="619">
        <f>+VLOOKUP(Tabla3[[#This Row],[PATENTE]],'BASE DATOS'!F:M,8,0)</f>
        <v>0</v>
      </c>
    </row>
    <row r="834" spans="1:11" hidden="1">
      <c r="A834" s="578" t="s">
        <v>921</v>
      </c>
      <c r="B834" s="584">
        <v>6</v>
      </c>
      <c r="C834" s="589">
        <v>45950</v>
      </c>
      <c r="D834" s="582">
        <f t="shared" si="33"/>
        <v>43</v>
      </c>
      <c r="E834" s="618" t="str">
        <f>+VLOOKUP(Tabla3[[#This Row],[PATENTE]],'BASE DATOS'!F:G,2,0)</f>
        <v xml:space="preserve">MAÑAS NORBERTO - CQQ304 </v>
      </c>
      <c r="F834" s="584" t="str">
        <f>+VLOOKUP(Tabla3[[#This Row],[PATENTE]],'BASE DATOS'!F:H,3,0)</f>
        <v>11P</v>
      </c>
      <c r="G834" s="584" t="str">
        <f>+VLOOKUP(Tabla3[[#This Row],[PATENTE]],'BASE DATOS'!F:I,4,0)</f>
        <v>SI</v>
      </c>
      <c r="H834" s="584" t="str">
        <f>+VLOOKUP(Tabla3[[#This Row],[PATENTE]],'BASE DATOS'!F:J,5,0)</f>
        <v>SI</v>
      </c>
      <c r="I834" s="584" t="str">
        <f>+VLOOKUP(Tabla3[[#This Row],[PATENTE]],'BASE DATOS'!F:K,6,0)</f>
        <v>NO</v>
      </c>
      <c r="J834" s="584">
        <f>+VLOOKUP(Tabla3[[#This Row],[PATENTE]],'BASE DATOS'!F:L,7,0)</f>
        <v>2000</v>
      </c>
      <c r="K834" s="619">
        <f>+VLOOKUP(Tabla3[[#This Row],[PATENTE]],'BASE DATOS'!F:M,8,0)</f>
        <v>25</v>
      </c>
    </row>
    <row r="835" spans="1:11" hidden="1">
      <c r="A835" s="578" t="s">
        <v>889</v>
      </c>
      <c r="B835" s="584">
        <v>6</v>
      </c>
      <c r="C835" s="589">
        <v>45950</v>
      </c>
      <c r="D835" s="582">
        <f t="shared" si="33"/>
        <v>43</v>
      </c>
      <c r="E835" s="618" t="str">
        <f>+VLOOKUP(Tabla3[[#This Row],[PATENTE]],'BASE DATOS'!F:G,2,0)</f>
        <v xml:space="preserve">COLO - HAW164 </v>
      </c>
      <c r="F835" s="584" t="str">
        <f>+VLOOKUP(Tabla3[[#This Row],[PATENTE]],'BASE DATOS'!F:H,3,0)</f>
        <v>6P</v>
      </c>
      <c r="G835" s="584" t="str">
        <f>+VLOOKUP(Tabla3[[#This Row],[PATENTE]],'BASE DATOS'!F:I,4,0)</f>
        <v>NO</v>
      </c>
      <c r="H835" s="584" t="str">
        <f>+VLOOKUP(Tabla3[[#This Row],[PATENTE]],'BASE DATOS'!F:J,5,0)</f>
        <v>SI</v>
      </c>
      <c r="I835" s="584" t="str">
        <f>+VLOOKUP(Tabla3[[#This Row],[PATENTE]],'BASE DATOS'!F:K,6,0)</f>
        <v>NO</v>
      </c>
      <c r="J835" s="584">
        <f>+VLOOKUP(Tabla3[[#This Row],[PATENTE]],'BASE DATOS'!F:L,7,0)</f>
        <v>2009</v>
      </c>
      <c r="K835" s="619">
        <f>+VLOOKUP(Tabla3[[#This Row],[PATENTE]],'BASE DATOS'!F:M,8,0)</f>
        <v>16</v>
      </c>
    </row>
    <row r="836" spans="1:11" hidden="1">
      <c r="A836" s="578" t="s">
        <v>886</v>
      </c>
      <c r="B836" s="584">
        <v>6</v>
      </c>
      <c r="C836" s="589">
        <v>45950</v>
      </c>
      <c r="D836" s="582">
        <f t="shared" si="33"/>
        <v>43</v>
      </c>
      <c r="E836" s="618" t="str">
        <f>+VLOOKUP(Tabla3[[#This Row],[PATENTE]],'BASE DATOS'!F:G,2,0)</f>
        <v xml:space="preserve">TRANSP LAGOS - NOO925 </v>
      </c>
      <c r="F836" s="584" t="str">
        <f>+VLOOKUP(Tabla3[[#This Row],[PATENTE]],'BASE DATOS'!F:H,3,0)</f>
        <v>8P</v>
      </c>
      <c r="G836" s="584" t="str">
        <f>+VLOOKUP(Tabla3[[#This Row],[PATENTE]],'BASE DATOS'!F:I,4,0)</f>
        <v>SI</v>
      </c>
      <c r="H836" s="584" t="str">
        <f>+VLOOKUP(Tabla3[[#This Row],[PATENTE]],'BASE DATOS'!F:J,5,0)</f>
        <v>SI</v>
      </c>
      <c r="I836" s="584" t="str">
        <f>+VLOOKUP(Tabla3[[#This Row],[PATENTE]],'BASE DATOS'!F:K,6,0)</f>
        <v>NO</v>
      </c>
      <c r="J836" s="584">
        <f>+VLOOKUP(Tabla3[[#This Row],[PATENTE]],'BASE DATOS'!F:L,7,0)</f>
        <v>2014</v>
      </c>
      <c r="K836" s="619">
        <f>+VLOOKUP(Tabla3[[#This Row],[PATENTE]],'BASE DATOS'!F:M,8,0)</f>
        <v>11</v>
      </c>
    </row>
    <row r="837" spans="1:11" hidden="1">
      <c r="A837" s="578" t="s">
        <v>898</v>
      </c>
      <c r="B837" s="584">
        <v>6</v>
      </c>
      <c r="C837" s="589">
        <v>45950</v>
      </c>
      <c r="D837" s="582">
        <f t="shared" si="33"/>
        <v>43</v>
      </c>
      <c r="E837" s="618" t="str">
        <f>+VLOOKUP(Tabla3[[#This Row],[PATENTE]],'BASE DATOS'!F:G,2,0)</f>
        <v xml:space="preserve">TRANSP BERMEJO - NXP980 </v>
      </c>
      <c r="F837" s="584" t="str">
        <f>+VLOOKUP(Tabla3[[#This Row],[PATENTE]],'BASE DATOS'!F:H,3,0)</f>
        <v>12P</v>
      </c>
      <c r="G837" s="584" t="str">
        <f>+VLOOKUP(Tabla3[[#This Row],[PATENTE]],'BASE DATOS'!F:I,4,0)</f>
        <v>SI</v>
      </c>
      <c r="H837" s="584" t="str">
        <f>+VLOOKUP(Tabla3[[#This Row],[PATENTE]],'BASE DATOS'!F:J,5,0)</f>
        <v>SI</v>
      </c>
      <c r="I837" s="584" t="str">
        <f>+VLOOKUP(Tabla3[[#This Row],[PATENTE]],'BASE DATOS'!F:K,6,0)</f>
        <v>SI</v>
      </c>
      <c r="J837" s="584">
        <f>+VLOOKUP(Tabla3[[#This Row],[PATENTE]],'BASE DATOS'!F:L,7,0)</f>
        <v>2015</v>
      </c>
      <c r="K837" s="619">
        <f>+VLOOKUP(Tabla3[[#This Row],[PATENTE]],'BASE DATOS'!F:M,8,0)</f>
        <v>10</v>
      </c>
    </row>
    <row r="838" spans="1:11" hidden="1">
      <c r="A838" s="578" t="s">
        <v>877</v>
      </c>
      <c r="B838" s="584">
        <v>6</v>
      </c>
      <c r="C838" s="589">
        <v>45950</v>
      </c>
      <c r="D838" s="582">
        <f t="shared" si="33"/>
        <v>43</v>
      </c>
      <c r="E838" s="618" t="str">
        <f>+VLOOKUP(Tabla3[[#This Row],[PATENTE]],'BASE DATOS'!F:G,2,0)</f>
        <v>TRANSP MAIDANA CARLOS - OWA126</v>
      </c>
      <c r="F838" s="584" t="str">
        <f>+VLOOKUP(Tabla3[[#This Row],[PATENTE]],'BASE DATOS'!F:H,3,0)</f>
        <v>4P</v>
      </c>
      <c r="G838" s="584" t="str">
        <f>+VLOOKUP(Tabla3[[#This Row],[PATENTE]],'BASE DATOS'!F:I,4,0)</f>
        <v>SI</v>
      </c>
      <c r="H838" s="584" t="str">
        <f>+VLOOKUP(Tabla3[[#This Row],[PATENTE]],'BASE DATOS'!F:J,5,0)</f>
        <v>SI</v>
      </c>
      <c r="I838" s="584" t="str">
        <f>+VLOOKUP(Tabla3[[#This Row],[PATENTE]],'BASE DATOS'!F:K,6,0)</f>
        <v>NO</v>
      </c>
      <c r="J838" s="584">
        <f>+VLOOKUP(Tabla3[[#This Row],[PATENTE]],'BASE DATOS'!F:L,7,0)</f>
        <v>2015</v>
      </c>
      <c r="K838" s="619">
        <f>+VLOOKUP(Tabla3[[#This Row],[PATENTE]],'BASE DATOS'!F:M,8,0)</f>
        <v>10</v>
      </c>
    </row>
    <row r="839" spans="1:11" hidden="1">
      <c r="A839" s="578" t="s">
        <v>912</v>
      </c>
      <c r="B839" s="584">
        <v>5</v>
      </c>
      <c r="C839" s="589">
        <v>45950</v>
      </c>
      <c r="D839" s="582">
        <f t="shared" si="33"/>
        <v>43</v>
      </c>
      <c r="E839" s="618" t="str">
        <f>+VLOOKUP(Tabla3[[#This Row],[PATENTE]],'BASE DATOS'!F:G,2,0)</f>
        <v xml:space="preserve">PACHECO JULIO - AC028WN </v>
      </c>
      <c r="F839" s="584" t="str">
        <f>+VLOOKUP(Tabla3[[#This Row],[PATENTE]],'BASE DATOS'!F:H,3,0)</f>
        <v>8P</v>
      </c>
      <c r="G839" s="584" t="str">
        <f>+VLOOKUP(Tabla3[[#This Row],[PATENTE]],'BASE DATOS'!F:I,4,0)</f>
        <v>SI</v>
      </c>
      <c r="H839" s="584" t="str">
        <f>+VLOOKUP(Tabla3[[#This Row],[PATENTE]],'BASE DATOS'!F:J,5,0)</f>
        <v>SI</v>
      </c>
      <c r="I839" s="584" t="str">
        <f>+VLOOKUP(Tabla3[[#This Row],[PATENTE]],'BASE DATOS'!F:K,6,0)</f>
        <v>SI</v>
      </c>
      <c r="J839" s="584">
        <f>+VLOOKUP(Tabla3[[#This Row],[PATENTE]],'BASE DATOS'!F:L,7,0)</f>
        <v>2017</v>
      </c>
      <c r="K839" s="619">
        <f>+VLOOKUP(Tabla3[[#This Row],[PATENTE]],'BASE DATOS'!F:M,8,0)</f>
        <v>8</v>
      </c>
    </row>
    <row r="840" spans="1:11" hidden="1">
      <c r="A840" s="578" t="s">
        <v>890</v>
      </c>
      <c r="B840" s="584">
        <v>5</v>
      </c>
      <c r="C840" s="589">
        <v>45950</v>
      </c>
      <c r="D840" s="582">
        <f t="shared" si="33"/>
        <v>43</v>
      </c>
      <c r="E840" s="618" t="str">
        <f>+VLOOKUP(Tabla3[[#This Row],[PATENTE]],'BASE DATOS'!F:G,2,0)</f>
        <v xml:space="preserve">TRANSPORTE GRACIELA - AC040RO </v>
      </c>
      <c r="F840" s="584" t="str">
        <f>+VLOOKUP(Tabla3[[#This Row],[PATENTE]],'BASE DATOS'!F:H,3,0)</f>
        <v>1P</v>
      </c>
      <c r="G840" s="584" t="str">
        <f>+VLOOKUP(Tabla3[[#This Row],[PATENTE]],'BASE DATOS'!F:I,4,0)</f>
        <v>SI</v>
      </c>
      <c r="H840" s="584" t="str">
        <f>+VLOOKUP(Tabla3[[#This Row],[PATENTE]],'BASE DATOS'!F:J,5,0)</f>
        <v>ACEPTA( VER CAMI)</v>
      </c>
      <c r="I840" s="584" t="str">
        <f>+VLOOKUP(Tabla3[[#This Row],[PATENTE]],'BASE DATOS'!F:K,6,0)</f>
        <v>NO</v>
      </c>
      <c r="J840" s="584">
        <f>+VLOOKUP(Tabla3[[#This Row],[PATENTE]],'BASE DATOS'!F:L,7,0)</f>
        <v>2017</v>
      </c>
      <c r="K840" s="619">
        <f>+VLOOKUP(Tabla3[[#This Row],[PATENTE]],'BASE DATOS'!F:M,8,0)</f>
        <v>8</v>
      </c>
    </row>
    <row r="841" spans="1:11" hidden="1">
      <c r="A841" s="578" t="s">
        <v>888</v>
      </c>
      <c r="B841" s="584">
        <v>5</v>
      </c>
      <c r="C841" s="589">
        <v>45950</v>
      </c>
      <c r="D841" s="582">
        <f t="shared" si="33"/>
        <v>43</v>
      </c>
      <c r="E841" s="618" t="str">
        <f>+VLOOKUP(Tabla3[[#This Row],[PATENTE]],'BASE DATOS'!F:G,2,0)</f>
        <v xml:space="preserve">TRANSP FIRST CLASS - AD535UI </v>
      </c>
      <c r="F841" s="584" t="str">
        <f>+VLOOKUP(Tabla3[[#This Row],[PATENTE]],'BASE DATOS'!F:H,3,0)</f>
        <v>6P</v>
      </c>
      <c r="G841" s="584" t="str">
        <f>+VLOOKUP(Tabla3[[#This Row],[PATENTE]],'BASE DATOS'!F:I,4,0)</f>
        <v>SI</v>
      </c>
      <c r="H841" s="584" t="str">
        <f>+VLOOKUP(Tabla3[[#This Row],[PATENTE]],'BASE DATOS'!F:J,5,0)</f>
        <v>SI</v>
      </c>
      <c r="I841" s="584" t="str">
        <f>+VLOOKUP(Tabla3[[#This Row],[PATENTE]],'BASE DATOS'!F:K,6,0)</f>
        <v>NO</v>
      </c>
      <c r="J841" s="584">
        <f>+VLOOKUP(Tabla3[[#This Row],[PATENTE]],'BASE DATOS'!F:L,7,0)</f>
        <v>2019</v>
      </c>
      <c r="K841" s="619">
        <f>+VLOOKUP(Tabla3[[#This Row],[PATENTE]],'BASE DATOS'!F:M,8,0)</f>
        <v>6</v>
      </c>
    </row>
    <row r="842" spans="1:11" hidden="1">
      <c r="A842" s="578" t="s">
        <v>891</v>
      </c>
      <c r="B842" s="584">
        <v>5</v>
      </c>
      <c r="C842" s="589">
        <v>45950</v>
      </c>
      <c r="D842" s="582">
        <f t="shared" si="33"/>
        <v>43</v>
      </c>
      <c r="E842" s="618" t="str">
        <f>+VLOOKUP(Tabla3[[#This Row],[PATENTE]],'BASE DATOS'!F:G,2,0)</f>
        <v xml:space="preserve">GANZINI HUGO - HHA085 </v>
      </c>
      <c r="F842" s="584" t="str">
        <f>+VLOOKUP(Tabla3[[#This Row],[PATENTE]],'BASE DATOS'!F:H,3,0)</f>
        <v>2P</v>
      </c>
      <c r="G842" s="584" t="str">
        <f>+VLOOKUP(Tabla3[[#This Row],[PATENTE]],'BASE DATOS'!F:I,4,0)</f>
        <v>SI</v>
      </c>
      <c r="H842" s="584" t="str">
        <f>+VLOOKUP(Tabla3[[#This Row],[PATENTE]],'BASE DATOS'!F:J,5,0)</f>
        <v>SI</v>
      </c>
      <c r="I842" s="584" t="str">
        <f>+VLOOKUP(Tabla3[[#This Row],[PATENTE]],'BASE DATOS'!F:K,6,0)</f>
        <v>NO</v>
      </c>
      <c r="J842" s="584">
        <f>+VLOOKUP(Tabla3[[#This Row],[PATENTE]],'BASE DATOS'!F:L,7,0)</f>
        <v>2008</v>
      </c>
      <c r="K842" s="619">
        <f>+VLOOKUP(Tabla3[[#This Row],[PATENTE]],'BASE DATOS'!F:M,8,0)</f>
        <v>17</v>
      </c>
    </row>
    <row r="843" spans="1:11" hidden="1">
      <c r="A843" s="578" t="s">
        <v>913</v>
      </c>
      <c r="B843" s="584">
        <v>5</v>
      </c>
      <c r="C843" s="589">
        <v>45950</v>
      </c>
      <c r="D843" s="582">
        <f t="shared" si="33"/>
        <v>43</v>
      </c>
      <c r="E843" s="618" t="str">
        <f>+VLOOKUP(Tabla3[[#This Row],[PATENTE]],'BASE DATOS'!F:G,2,0)</f>
        <v xml:space="preserve">TRANSP DON NENO - KSI803 </v>
      </c>
      <c r="F843" s="584" t="str">
        <f>+VLOOKUP(Tabla3[[#This Row],[PATENTE]],'BASE DATOS'!F:H,3,0)</f>
        <v>2P</v>
      </c>
      <c r="G843" s="584" t="str">
        <f>+VLOOKUP(Tabla3[[#This Row],[PATENTE]],'BASE DATOS'!F:I,4,0)</f>
        <v>SI</v>
      </c>
      <c r="H843" s="584" t="str">
        <f>+VLOOKUP(Tabla3[[#This Row],[PATENTE]],'BASE DATOS'!F:J,5,0)</f>
        <v>SI</v>
      </c>
      <c r="I843" s="584" t="str">
        <f>+VLOOKUP(Tabla3[[#This Row],[PATENTE]],'BASE DATOS'!F:K,6,0)</f>
        <v>NO</v>
      </c>
      <c r="J843" s="584">
        <f>+VLOOKUP(Tabla3[[#This Row],[PATENTE]],'BASE DATOS'!F:L,7,0)</f>
        <v>2012</v>
      </c>
      <c r="K843" s="619">
        <f>+VLOOKUP(Tabla3[[#This Row],[PATENTE]],'BASE DATOS'!F:M,8,0)</f>
        <v>13</v>
      </c>
    </row>
    <row r="844" spans="1:11" hidden="1">
      <c r="A844" s="578" t="s">
        <v>897</v>
      </c>
      <c r="B844" s="584">
        <v>5</v>
      </c>
      <c r="C844" s="589">
        <v>45950</v>
      </c>
      <c r="D844" s="582">
        <f t="shared" si="33"/>
        <v>43</v>
      </c>
      <c r="E844" s="618" t="str">
        <f>+VLOOKUP(Tabla3[[#This Row],[PATENTE]],'BASE DATOS'!F:G,2,0)</f>
        <v xml:space="preserve">TRANSP CLAUDIO BUSTOS - LSG801 </v>
      </c>
      <c r="F844" s="584" t="str">
        <f>+VLOOKUP(Tabla3[[#This Row],[PATENTE]],'BASE DATOS'!F:H,3,0)</f>
        <v>2P</v>
      </c>
      <c r="G844" s="584" t="str">
        <f>+VLOOKUP(Tabla3[[#This Row],[PATENTE]],'BASE DATOS'!F:I,4,0)</f>
        <v>SI</v>
      </c>
      <c r="H844" s="584" t="str">
        <f>+VLOOKUP(Tabla3[[#This Row],[PATENTE]],'BASE DATOS'!F:J,5,0)</f>
        <v>SI</v>
      </c>
      <c r="I844" s="584" t="str">
        <f>+VLOOKUP(Tabla3[[#This Row],[PATENTE]],'BASE DATOS'!F:K,6,0)</f>
        <v>NO</v>
      </c>
      <c r="J844" s="584">
        <f>+VLOOKUP(Tabla3[[#This Row],[PATENTE]],'BASE DATOS'!F:L,7,0)</f>
        <v>2013</v>
      </c>
      <c r="K844" s="619">
        <f>+VLOOKUP(Tabla3[[#This Row],[PATENTE]],'BASE DATOS'!F:M,8,0)</f>
        <v>12</v>
      </c>
    </row>
    <row r="845" spans="1:11" hidden="1">
      <c r="A845" s="578" t="s">
        <v>879</v>
      </c>
      <c r="B845" s="584">
        <v>5</v>
      </c>
      <c r="C845" s="589">
        <v>45950</v>
      </c>
      <c r="D845" s="582">
        <f t="shared" si="33"/>
        <v>43</v>
      </c>
      <c r="E845" s="618" t="str">
        <f>+VLOOKUP(Tabla3[[#This Row],[PATENTE]],'BASE DATOS'!F:G,2,0)</f>
        <v xml:space="preserve">TRANSP JP - OYP470 </v>
      </c>
      <c r="F845" s="584" t="str">
        <f>+VLOOKUP(Tabla3[[#This Row],[PATENTE]],'BASE DATOS'!F:H,3,0)</f>
        <v>8P</v>
      </c>
      <c r="G845" s="584" t="str">
        <f>+VLOOKUP(Tabla3[[#This Row],[PATENTE]],'BASE DATOS'!F:I,4,0)</f>
        <v>SI</v>
      </c>
      <c r="H845" s="584" t="str">
        <f>+VLOOKUP(Tabla3[[#This Row],[PATENTE]],'BASE DATOS'!F:J,5,0)</f>
        <v>SI</v>
      </c>
      <c r="I845" s="584" t="str">
        <f>+VLOOKUP(Tabla3[[#This Row],[PATENTE]],'BASE DATOS'!F:K,6,0)</f>
        <v>NO</v>
      </c>
      <c r="J845" s="584">
        <f>+VLOOKUP(Tabla3[[#This Row],[PATENTE]],'BASE DATOS'!F:L,7,0)</f>
        <v>2011</v>
      </c>
      <c r="K845" s="619">
        <f>+VLOOKUP(Tabla3[[#This Row],[PATENTE]],'BASE DATOS'!F:M,8,0)</f>
        <v>14</v>
      </c>
    </row>
    <row r="846" spans="1:11" hidden="1">
      <c r="A846" s="578" t="s">
        <v>896</v>
      </c>
      <c r="B846" s="584">
        <v>5</v>
      </c>
      <c r="C846" s="589">
        <v>45950</v>
      </c>
      <c r="D846" s="582">
        <f t="shared" si="33"/>
        <v>43</v>
      </c>
      <c r="E846" s="618" t="str">
        <f>+VLOOKUP(Tabla3[[#This Row],[PATENTE]],'BASE DATOS'!F:G,2,0)</f>
        <v xml:space="preserve">TRANSP MAVIR - RHQ609 </v>
      </c>
      <c r="F846" s="584" t="str">
        <f>+VLOOKUP(Tabla3[[#This Row],[PATENTE]],'BASE DATOS'!F:H,3,0)</f>
        <v>10P</v>
      </c>
      <c r="G846" s="584" t="str">
        <f>+VLOOKUP(Tabla3[[#This Row],[PATENTE]],'BASE DATOS'!F:I,4,0)</f>
        <v>NO</v>
      </c>
      <c r="H846" s="584" t="str">
        <f>+VLOOKUP(Tabla3[[#This Row],[PATENTE]],'BASE DATOS'!F:J,5,0)</f>
        <v xml:space="preserve">NO </v>
      </c>
      <c r="I846" s="584" t="str">
        <f>+VLOOKUP(Tabla3[[#This Row],[PATENTE]],'BASE DATOS'!F:K,6,0)</f>
        <v>NO</v>
      </c>
      <c r="J846" s="584">
        <f>+VLOOKUP(Tabla3[[#This Row],[PATENTE]],'BASE DATOS'!F:L,7,0)</f>
        <v>1995</v>
      </c>
      <c r="K846" s="593">
        <v>0</v>
      </c>
    </row>
    <row r="847" spans="1:11" hidden="1">
      <c r="A847" s="578" t="s">
        <v>936</v>
      </c>
      <c r="B847" s="584">
        <v>4</v>
      </c>
      <c r="C847" s="589">
        <v>45950</v>
      </c>
      <c r="D847" s="582">
        <f t="shared" si="33"/>
        <v>43</v>
      </c>
      <c r="E847" s="618" t="str">
        <f>+VLOOKUP(Tabla3[[#This Row],[PATENTE]],'BASE DATOS'!F:G,2,0)</f>
        <v>TRANSP YANINA  LUONGO - AA050HC</v>
      </c>
      <c r="F847" s="584" t="str">
        <f>+VLOOKUP(Tabla3[[#This Row],[PATENTE]],'BASE DATOS'!F:H,3,0)</f>
        <v>1.5P</v>
      </c>
      <c r="G847" s="584" t="str">
        <f>+VLOOKUP(Tabla3[[#This Row],[PATENTE]],'BASE DATOS'!F:I,4,0)</f>
        <v>NO</v>
      </c>
      <c r="H847" s="584" t="str">
        <f>+VLOOKUP(Tabla3[[#This Row],[PATENTE]],'BASE DATOS'!F:J,5,0)</f>
        <v>SI</v>
      </c>
      <c r="I847" s="584" t="str">
        <f>+VLOOKUP(Tabla3[[#This Row],[PATENTE]],'BASE DATOS'!F:K,6,0)</f>
        <v>NO</v>
      </c>
      <c r="J847" s="584">
        <f>+VLOOKUP(Tabla3[[#This Row],[PATENTE]],'BASE DATOS'!F:L,7,0)</f>
        <v>2016</v>
      </c>
      <c r="K847" s="619">
        <f>+VLOOKUP(Tabla3[[#This Row],[PATENTE]],'BASE DATOS'!F:M,8,0)</f>
        <v>9</v>
      </c>
    </row>
    <row r="848" spans="1:11" hidden="1">
      <c r="A848" s="578" t="s">
        <v>919</v>
      </c>
      <c r="B848" s="584">
        <v>4</v>
      </c>
      <c r="C848" s="589">
        <v>45950</v>
      </c>
      <c r="D848" s="582">
        <f t="shared" si="33"/>
        <v>43</v>
      </c>
      <c r="E848" s="618" t="str">
        <f>+VLOOKUP(Tabla3[[#This Row],[PATENTE]],'BASE DATOS'!F:G,2,0)</f>
        <v xml:space="preserve">GUSTAVO CERQUETTA - AA427LT </v>
      </c>
      <c r="F848" s="584" t="str">
        <f>+VLOOKUP(Tabla3[[#This Row],[PATENTE]],'BASE DATOS'!F:H,3,0)</f>
        <v>1P</v>
      </c>
      <c r="G848" s="584" t="str">
        <f>+VLOOKUP(Tabla3[[#This Row],[PATENTE]],'BASE DATOS'!F:I,4,0)</f>
        <v>NO</v>
      </c>
      <c r="H848" s="584" t="str">
        <f>+VLOOKUP(Tabla3[[#This Row],[PATENTE]],'BASE DATOS'!F:J,5,0)</f>
        <v>SI</v>
      </c>
      <c r="I848" s="584" t="str">
        <f>+VLOOKUP(Tabla3[[#This Row],[PATENTE]],'BASE DATOS'!F:K,6,0)</f>
        <v>NO</v>
      </c>
      <c r="J848" s="584">
        <f>+VLOOKUP(Tabla3[[#This Row],[PATENTE]],'BASE DATOS'!F:L,7,0)</f>
        <v>2016</v>
      </c>
      <c r="K848" s="619">
        <f>+VLOOKUP(Tabla3[[#This Row],[PATENTE]],'BASE DATOS'!F:M,8,0)</f>
        <v>9</v>
      </c>
    </row>
    <row r="849" spans="1:11" hidden="1">
      <c r="A849" s="578" t="s">
        <v>883</v>
      </c>
      <c r="B849" s="584">
        <v>4</v>
      </c>
      <c r="C849" s="589">
        <v>45950</v>
      </c>
      <c r="D849" s="582">
        <f t="shared" si="33"/>
        <v>43</v>
      </c>
      <c r="E849" s="618" t="str">
        <f>+VLOOKUP(Tabla3[[#This Row],[PATENTE]],'BASE DATOS'!F:G,2,0)</f>
        <v xml:space="preserve">PACHECO JULIO - ACI503 </v>
      </c>
      <c r="F849" s="584" t="str">
        <f>+VLOOKUP(Tabla3[[#This Row],[PATENTE]],'BASE DATOS'!F:H,3,0)</f>
        <v>12P</v>
      </c>
      <c r="G849" s="584" t="str">
        <f>+VLOOKUP(Tabla3[[#This Row],[PATENTE]],'BASE DATOS'!F:I,4,0)</f>
        <v>NO</v>
      </c>
      <c r="H849" s="584" t="str">
        <f>+VLOOKUP(Tabla3[[#This Row],[PATENTE]],'BASE DATOS'!F:J,5,0)</f>
        <v>SI</v>
      </c>
      <c r="I849" s="584" t="str">
        <f>+VLOOKUP(Tabla3[[#This Row],[PATENTE]],'BASE DATOS'!F:K,6,0)</f>
        <v>SI</v>
      </c>
      <c r="J849" s="584">
        <f>+VLOOKUP(Tabla3[[#This Row],[PATENTE]],'BASE DATOS'!F:L,7,0)</f>
        <v>2000</v>
      </c>
      <c r="K849" s="619">
        <f>+VLOOKUP(Tabla3[[#This Row],[PATENTE]],'BASE DATOS'!F:M,8,0)</f>
        <v>25</v>
      </c>
    </row>
    <row r="850" spans="1:11" hidden="1">
      <c r="A850" s="578" t="s">
        <v>906</v>
      </c>
      <c r="B850" s="584">
        <v>4</v>
      </c>
      <c r="C850" s="589">
        <v>45950</v>
      </c>
      <c r="D850" s="582">
        <f t="shared" si="33"/>
        <v>43</v>
      </c>
      <c r="E850" s="618" t="str">
        <f>+VLOOKUP(Tabla3[[#This Row],[PATENTE]],'BASE DATOS'!F:G,2,0)</f>
        <v xml:space="preserve">VAZQUEZ (TRV SRL) - AD472GK </v>
      </c>
      <c r="F850" s="584" t="str">
        <f>+VLOOKUP(Tabla3[[#This Row],[PATENTE]],'BASE DATOS'!F:H,3,0)</f>
        <v>8P</v>
      </c>
      <c r="G850" s="584" t="str">
        <f>+VLOOKUP(Tabla3[[#This Row],[PATENTE]],'BASE DATOS'!F:I,4,0)</f>
        <v>NO</v>
      </c>
      <c r="H850" s="584" t="str">
        <f>+VLOOKUP(Tabla3[[#This Row],[PATENTE]],'BASE DATOS'!F:J,5,0)</f>
        <v>NO</v>
      </c>
      <c r="I850" s="584" t="str">
        <f>+VLOOKUP(Tabla3[[#This Row],[PATENTE]],'BASE DATOS'!F:K,6,0)</f>
        <v>SI</v>
      </c>
      <c r="J850" s="584">
        <f>+VLOOKUP(Tabla3[[#This Row],[PATENTE]],'BASE DATOS'!F:L,7,0)</f>
        <v>2019</v>
      </c>
      <c r="K850" s="619">
        <f>+VLOOKUP(Tabla3[[#This Row],[PATENTE]],'BASE DATOS'!F:M,8,0)</f>
        <v>6</v>
      </c>
    </row>
    <row r="851" spans="1:11" hidden="1">
      <c r="A851" s="578" t="s">
        <v>887</v>
      </c>
      <c r="B851" s="584">
        <v>4</v>
      </c>
      <c r="C851" s="589">
        <v>45950</v>
      </c>
      <c r="D851" s="582">
        <f t="shared" si="33"/>
        <v>43</v>
      </c>
      <c r="E851" s="618" t="str">
        <f>+VLOOKUP(Tabla3[[#This Row],[PATENTE]],'BASE DATOS'!F:G,2,0)</f>
        <v>ENRIQUE ROLLINO - BXB394</v>
      </c>
      <c r="F851" s="584" t="str">
        <f>+VLOOKUP(Tabla3[[#This Row],[PATENTE]],'BASE DATOS'!F:H,3,0)</f>
        <v>2P</v>
      </c>
      <c r="G851" s="584" t="str">
        <f>+VLOOKUP(Tabla3[[#This Row],[PATENTE]],'BASE DATOS'!F:I,4,0)</f>
        <v>SI</v>
      </c>
      <c r="H851" s="584" t="str">
        <f>+VLOOKUP(Tabla3[[#This Row],[PATENTE]],'BASE DATOS'!F:J,5,0)</f>
        <v>SI</v>
      </c>
      <c r="I851" s="584" t="str">
        <f>+VLOOKUP(Tabla3[[#This Row],[PATENTE]],'BASE DATOS'!F:K,6,0)</f>
        <v>NO</v>
      </c>
      <c r="J851" s="584">
        <f>+VLOOKUP(Tabla3[[#This Row],[PATENTE]],'BASE DATOS'!F:L,7,0)</f>
        <v>1998</v>
      </c>
      <c r="K851" s="619">
        <f>+VLOOKUP(Tabla3[[#This Row],[PATENTE]],'BASE DATOS'!F:M,8,0)</f>
        <v>27</v>
      </c>
    </row>
    <row r="852" spans="1:11" hidden="1">
      <c r="A852" s="578" t="s">
        <v>904</v>
      </c>
      <c r="B852" s="584">
        <v>4</v>
      </c>
      <c r="C852" s="589">
        <v>45950</v>
      </c>
      <c r="D852" s="582">
        <f t="shared" si="33"/>
        <v>43</v>
      </c>
      <c r="E852" s="618" t="str">
        <f>+VLOOKUP(Tabla3[[#This Row],[PATENTE]],'BASE DATOS'!F:G,2,0)</f>
        <v xml:space="preserve">ENRIQUE ROLLINO - DFO656 </v>
      </c>
      <c r="F852" s="584" t="str">
        <f>+VLOOKUP(Tabla3[[#This Row],[PATENTE]],'BASE DATOS'!F:H,3,0)</f>
        <v>6P</v>
      </c>
      <c r="G852" s="584" t="str">
        <f>+VLOOKUP(Tabla3[[#This Row],[PATENTE]],'BASE DATOS'!F:I,4,0)</f>
        <v>SI</v>
      </c>
      <c r="H852" s="584" t="str">
        <f>+VLOOKUP(Tabla3[[#This Row],[PATENTE]],'BASE DATOS'!F:J,5,0)</f>
        <v>SI</v>
      </c>
      <c r="I852" s="584" t="str">
        <f>+VLOOKUP(Tabla3[[#This Row],[PATENTE]],'BASE DATOS'!F:K,6,0)</f>
        <v>NO</v>
      </c>
      <c r="J852" s="584">
        <f>+VLOOKUP(Tabla3[[#This Row],[PATENTE]],'BASE DATOS'!F:L,7,0)</f>
        <v>2000</v>
      </c>
      <c r="K852" s="619">
        <f>+VLOOKUP(Tabla3[[#This Row],[PATENTE]],'BASE DATOS'!F:M,8,0)</f>
        <v>25</v>
      </c>
    </row>
    <row r="853" spans="1:11" hidden="1">
      <c r="A853" s="578" t="s">
        <v>881</v>
      </c>
      <c r="B853" s="584">
        <v>4</v>
      </c>
      <c r="C853" s="589">
        <v>45950</v>
      </c>
      <c r="D853" s="582">
        <f t="shared" si="33"/>
        <v>43</v>
      </c>
      <c r="E853" s="618" t="str">
        <f>+VLOOKUP(Tabla3[[#This Row],[PATENTE]],'BASE DATOS'!F:G,2,0)</f>
        <v xml:space="preserve">MAÑAS NORBERTO - DUQ686 </v>
      </c>
      <c r="F853" s="584" t="str">
        <f>+VLOOKUP(Tabla3[[#This Row],[PATENTE]],'BASE DATOS'!F:H,3,0)</f>
        <v>8P</v>
      </c>
      <c r="G853" s="584" t="str">
        <f>+VLOOKUP(Tabla3[[#This Row],[PATENTE]],'BASE DATOS'!F:I,4,0)</f>
        <v>SI</v>
      </c>
      <c r="H853" s="584" t="str">
        <f>+VLOOKUP(Tabla3[[#This Row],[PATENTE]],'BASE DATOS'!F:J,5,0)</f>
        <v>SI</v>
      </c>
      <c r="I853" s="584" t="str">
        <f>+VLOOKUP(Tabla3[[#This Row],[PATENTE]],'BASE DATOS'!F:K,6,0)</f>
        <v>NO</v>
      </c>
      <c r="J853" s="584">
        <f>+VLOOKUP(Tabla3[[#This Row],[PATENTE]],'BASE DATOS'!F:L,7,0)</f>
        <v>2001</v>
      </c>
      <c r="K853" s="619">
        <f>+VLOOKUP(Tabla3[[#This Row],[PATENTE]],'BASE DATOS'!F:M,8,0)</f>
        <v>24</v>
      </c>
    </row>
    <row r="854" spans="1:11" hidden="1">
      <c r="A854" s="578" t="s">
        <v>932</v>
      </c>
      <c r="B854" s="584">
        <v>4</v>
      </c>
      <c r="C854" s="589">
        <v>45950</v>
      </c>
      <c r="D854" s="582">
        <f t="shared" si="33"/>
        <v>43</v>
      </c>
      <c r="E854" s="618" t="str">
        <f>+VLOOKUP(Tabla3[[#This Row],[PATENTE]],'BASE DATOS'!F:G,2,0)</f>
        <v xml:space="preserve">TRANSP MAVIR - EFL176 </v>
      </c>
      <c r="F854" s="584" t="str">
        <f>+VLOOKUP(Tabla3[[#This Row],[PATENTE]],'BASE DATOS'!F:H,3,0)</f>
        <v>12P</v>
      </c>
      <c r="G854" s="584" t="str">
        <f>+VLOOKUP(Tabla3[[#This Row],[PATENTE]],'BASE DATOS'!F:I,4,0)</f>
        <v>SI</v>
      </c>
      <c r="H854" s="584" t="str">
        <f>+VLOOKUP(Tabla3[[#This Row],[PATENTE]],'BASE DATOS'!F:J,5,0)</f>
        <v>SI</v>
      </c>
      <c r="I854" s="584" t="str">
        <f>+VLOOKUP(Tabla3[[#This Row],[PATENTE]],'BASE DATOS'!F:K,6,0)</f>
        <v>NO</v>
      </c>
      <c r="J854" s="584">
        <f>+VLOOKUP(Tabla3[[#This Row],[PATENTE]],'BASE DATOS'!F:L,7,0)</f>
        <v>1998</v>
      </c>
      <c r="K854" s="619">
        <f>+VLOOKUP(Tabla3[[#This Row],[PATENTE]],'BASE DATOS'!F:M,8,0)</f>
        <v>27</v>
      </c>
    </row>
    <row r="855" spans="1:11" hidden="1">
      <c r="A855" s="578" t="s">
        <v>885</v>
      </c>
      <c r="B855" s="584">
        <v>4</v>
      </c>
      <c r="C855" s="589">
        <v>45950</v>
      </c>
      <c r="D855" s="582">
        <f t="shared" si="33"/>
        <v>43</v>
      </c>
      <c r="E855" s="618" t="str">
        <f>+VLOOKUP(Tabla3[[#This Row],[PATENTE]],'BASE DATOS'!F:G,2,0)</f>
        <v xml:space="preserve">TRANSP DON NENO - IES288 </v>
      </c>
      <c r="F855" s="584" t="str">
        <f>+VLOOKUP(Tabla3[[#This Row],[PATENTE]],'BASE DATOS'!F:H,3,0)</f>
        <v>2P</v>
      </c>
      <c r="G855" s="584" t="str">
        <f>+VLOOKUP(Tabla3[[#This Row],[PATENTE]],'BASE DATOS'!F:I,4,0)</f>
        <v>SI</v>
      </c>
      <c r="H855" s="584" t="str">
        <f>+VLOOKUP(Tabla3[[#This Row],[PATENTE]],'BASE DATOS'!F:J,5,0)</f>
        <v>SI</v>
      </c>
      <c r="I855" s="584" t="str">
        <f>+VLOOKUP(Tabla3[[#This Row],[PATENTE]],'BASE DATOS'!F:K,6,0)</f>
        <v>NO</v>
      </c>
      <c r="J855" s="584">
        <f>+VLOOKUP(Tabla3[[#This Row],[PATENTE]],'BASE DATOS'!F:L,7,0)</f>
        <v>2009</v>
      </c>
      <c r="K855" s="619">
        <f>+VLOOKUP(Tabla3[[#This Row],[PATENTE]],'BASE DATOS'!F:M,8,0)</f>
        <v>16</v>
      </c>
    </row>
    <row r="856" spans="1:11" hidden="1">
      <c r="A856" s="578" t="s">
        <v>902</v>
      </c>
      <c r="B856" s="584">
        <v>4</v>
      </c>
      <c r="C856" s="589">
        <v>45950</v>
      </c>
      <c r="D856" s="582">
        <f t="shared" si="33"/>
        <v>43</v>
      </c>
      <c r="E856" s="618" t="str">
        <f>+VLOOKUP(Tabla3[[#This Row],[PATENTE]],'BASE DATOS'!F:G,2,0)</f>
        <v xml:space="preserve">GUSTAVO CERQUETTA - KZA644 </v>
      </c>
      <c r="F856" s="584" t="str">
        <f>+VLOOKUP(Tabla3[[#This Row],[PATENTE]],'BASE DATOS'!F:H,3,0)</f>
        <v>2P</v>
      </c>
      <c r="G856" s="584" t="str">
        <f>+VLOOKUP(Tabla3[[#This Row],[PATENTE]],'BASE DATOS'!F:I,4,0)</f>
        <v>NO</v>
      </c>
      <c r="H856" s="584" t="str">
        <f>+VLOOKUP(Tabla3[[#This Row],[PATENTE]],'BASE DATOS'!F:J,5,0)</f>
        <v>SI</v>
      </c>
      <c r="I856" s="584" t="str">
        <f>+VLOOKUP(Tabla3[[#This Row],[PATENTE]],'BASE DATOS'!F:K,6,0)</f>
        <v>NO</v>
      </c>
      <c r="J856" s="584">
        <f>+VLOOKUP(Tabla3[[#This Row],[PATENTE]],'BASE DATOS'!F:L,7,0)</f>
        <v>2012</v>
      </c>
      <c r="K856" s="619">
        <f>+VLOOKUP(Tabla3[[#This Row],[PATENTE]],'BASE DATOS'!F:M,8,0)</f>
        <v>13</v>
      </c>
    </row>
    <row r="857" spans="1:11" hidden="1">
      <c r="A857" s="578" t="s">
        <v>909</v>
      </c>
      <c r="B857" s="584">
        <v>4</v>
      </c>
      <c r="C857" s="589">
        <v>45950</v>
      </c>
      <c r="D857" s="582">
        <f t="shared" si="33"/>
        <v>43</v>
      </c>
      <c r="E857" s="618" t="str">
        <f>+VLOOKUP(Tabla3[[#This Row],[PATENTE]],'BASE DATOS'!F:G,2,0)</f>
        <v xml:space="preserve">CRISTIAN MOYA - NHR055 </v>
      </c>
      <c r="F857" s="584" t="str">
        <f>+VLOOKUP(Tabla3[[#This Row],[PATENTE]],'BASE DATOS'!F:H,3,0)</f>
        <v>6P</v>
      </c>
      <c r="G857" s="584" t="str">
        <f>+VLOOKUP(Tabla3[[#This Row],[PATENTE]],'BASE DATOS'!F:I,4,0)</f>
        <v>SI</v>
      </c>
      <c r="H857" s="584" t="str">
        <f>+VLOOKUP(Tabla3[[#This Row],[PATENTE]],'BASE DATOS'!F:J,5,0)</f>
        <v>SI</v>
      </c>
      <c r="I857" s="584" t="str">
        <f>+VLOOKUP(Tabla3[[#This Row],[PATENTE]],'BASE DATOS'!F:K,6,0)</f>
        <v>NO</v>
      </c>
      <c r="J857" s="584">
        <f>+VLOOKUP(Tabla3[[#This Row],[PATENTE]],'BASE DATOS'!F:L,7,0)</f>
        <v>2013</v>
      </c>
      <c r="K857" s="619">
        <f>+VLOOKUP(Tabla3[[#This Row],[PATENTE]],'BASE DATOS'!F:M,8,0)</f>
        <v>12</v>
      </c>
    </row>
    <row r="858" spans="1:11" hidden="1">
      <c r="A858" s="578" t="s">
        <v>878</v>
      </c>
      <c r="B858" s="584">
        <v>3</v>
      </c>
      <c r="C858" s="589">
        <v>45950</v>
      </c>
      <c r="D858" s="582">
        <f t="shared" si="33"/>
        <v>43</v>
      </c>
      <c r="E858" s="618" t="str">
        <f>+VLOOKUP(Tabla3[[#This Row],[PATENTE]],'BASE DATOS'!F:G,2,0)</f>
        <v xml:space="preserve">PACHECO JULIO - AA854LY </v>
      </c>
      <c r="F858" s="584" t="str">
        <f>+VLOOKUP(Tabla3[[#This Row],[PATENTE]],'BASE DATOS'!F:H,3,0)</f>
        <v>7P</v>
      </c>
      <c r="G858" s="584" t="str">
        <f>+VLOOKUP(Tabla3[[#This Row],[PATENTE]],'BASE DATOS'!F:I,4,0)</f>
        <v>SI</v>
      </c>
      <c r="H858" s="584" t="str">
        <f>+VLOOKUP(Tabla3[[#This Row],[PATENTE]],'BASE DATOS'!F:J,5,0)</f>
        <v>SI</v>
      </c>
      <c r="I858" s="584" t="str">
        <f>+VLOOKUP(Tabla3[[#This Row],[PATENTE]],'BASE DATOS'!F:K,6,0)</f>
        <v>NO</v>
      </c>
      <c r="J858" s="584">
        <f>+VLOOKUP(Tabla3[[#This Row],[PATENTE]],'BASE DATOS'!F:L,7,0)</f>
        <v>2016</v>
      </c>
      <c r="K858" s="619">
        <f>+VLOOKUP(Tabla3[[#This Row],[PATENTE]],'BASE DATOS'!F:M,8,0)</f>
        <v>9</v>
      </c>
    </row>
    <row r="859" spans="1:11" hidden="1">
      <c r="A859" s="578" t="s">
        <v>899</v>
      </c>
      <c r="B859" s="584">
        <v>3</v>
      </c>
      <c r="C859" s="589">
        <v>45950</v>
      </c>
      <c r="D859" s="582">
        <f t="shared" si="33"/>
        <v>43</v>
      </c>
      <c r="E859" s="618" t="str">
        <f>+VLOOKUP(Tabla3[[#This Row],[PATENTE]],'BASE DATOS'!F:G,2,0)</f>
        <v xml:space="preserve">VAZQUEZ (TRV SRL) - AB176KN </v>
      </c>
      <c r="F859" s="584" t="str">
        <f>+VLOOKUP(Tabla3[[#This Row],[PATENTE]],'BASE DATOS'!F:H,3,0)</f>
        <v>8P</v>
      </c>
      <c r="G859" s="584" t="str">
        <f>+VLOOKUP(Tabla3[[#This Row],[PATENTE]],'BASE DATOS'!F:I,4,0)</f>
        <v>SI</v>
      </c>
      <c r="H859" s="584" t="str">
        <f>+VLOOKUP(Tabla3[[#This Row],[PATENTE]],'BASE DATOS'!F:J,5,0)</f>
        <v>SI</v>
      </c>
      <c r="I859" s="584" t="str">
        <f>+VLOOKUP(Tabla3[[#This Row],[PATENTE]],'BASE DATOS'!F:K,6,0)</f>
        <v>SI</v>
      </c>
      <c r="J859" s="584">
        <f>+VLOOKUP(Tabla3[[#This Row],[PATENTE]],'BASE DATOS'!F:L,7,0)</f>
        <v>2017</v>
      </c>
      <c r="K859" s="619">
        <f>+VLOOKUP(Tabla3[[#This Row],[PATENTE]],'BASE DATOS'!F:M,8,0)</f>
        <v>8</v>
      </c>
    </row>
    <row r="860" spans="1:11" hidden="1">
      <c r="A860" s="578" t="s">
        <v>1133</v>
      </c>
      <c r="B860" s="584">
        <v>3</v>
      </c>
      <c r="C860" s="589">
        <v>45950</v>
      </c>
      <c r="D860" s="582">
        <f t="shared" si="33"/>
        <v>43</v>
      </c>
      <c r="E860" s="618" t="str">
        <f>+VLOOKUP(Tabla3[[#This Row],[PATENTE]],'BASE DATOS'!F:G,2,0)</f>
        <v xml:space="preserve">BELLIMAR SRL - AB787MT </v>
      </c>
      <c r="F860" s="584" t="str">
        <f>+VLOOKUP(Tabla3[[#This Row],[PATENTE]],'BASE DATOS'!F:H,3,0)</f>
        <v>28P</v>
      </c>
      <c r="G860" s="584" t="str">
        <f>+VLOOKUP(Tabla3[[#This Row],[PATENTE]],'BASE DATOS'!F:I,4,0)</f>
        <v>NO</v>
      </c>
      <c r="H860" s="584" t="str">
        <f>+VLOOKUP(Tabla3[[#This Row],[PATENTE]],'BASE DATOS'!F:J,5,0)</f>
        <v xml:space="preserve">NO </v>
      </c>
      <c r="I860" s="584" t="str">
        <f>+VLOOKUP(Tabla3[[#This Row],[PATENTE]],'BASE DATOS'!F:K,6,0)</f>
        <v>NO</v>
      </c>
      <c r="J860" s="584">
        <f>+VLOOKUP(Tabla3[[#This Row],[PATENTE]],'BASE DATOS'!F:L,7,0)</f>
        <v>2017</v>
      </c>
      <c r="K860" s="619">
        <f>+VLOOKUP(Tabla3[[#This Row],[PATENTE]],'BASE DATOS'!F:M,8,0)</f>
        <v>8</v>
      </c>
    </row>
    <row r="861" spans="1:11" hidden="1">
      <c r="A861" s="578" t="s">
        <v>942</v>
      </c>
      <c r="B861" s="584">
        <v>3</v>
      </c>
      <c r="C861" s="589">
        <v>45950</v>
      </c>
      <c r="D861" s="582">
        <f t="shared" si="33"/>
        <v>43</v>
      </c>
      <c r="E861" s="618" t="str">
        <f>+VLOOKUP(Tabla3[[#This Row],[PATENTE]],'BASE DATOS'!F:G,2,0)</f>
        <v>GANZINI HUGO - AH599 - 1P</v>
      </c>
      <c r="F861" s="584" t="str">
        <f>+VLOOKUP(Tabla3[[#This Row],[PATENTE]],'BASE DATOS'!F:H,3,0)</f>
        <v>1P</v>
      </c>
      <c r="G861" s="584" t="str">
        <f>+VLOOKUP(Tabla3[[#This Row],[PATENTE]],'BASE DATOS'!F:I,4,0)</f>
        <v>NO</v>
      </c>
      <c r="H861" s="584" t="str">
        <f>+VLOOKUP(Tabla3[[#This Row],[PATENTE]],'BASE DATOS'!F:J,5,0)</f>
        <v>NO</v>
      </c>
      <c r="I861" s="584" t="str">
        <f>+VLOOKUP(Tabla3[[#This Row],[PATENTE]],'BASE DATOS'!F:K,6,0)</f>
        <v>NO</v>
      </c>
      <c r="J861" s="584">
        <f>+VLOOKUP(Tabla3[[#This Row],[PATENTE]],'BASE DATOS'!F:L,7,0)</f>
        <v>2025</v>
      </c>
      <c r="K861" s="619">
        <f>+VLOOKUP(Tabla3[[#This Row],[PATENTE]],'BASE DATOS'!F:M,8,0)</f>
        <v>0</v>
      </c>
    </row>
    <row r="862" spans="1:11" hidden="1">
      <c r="A862" s="578" t="s">
        <v>915</v>
      </c>
      <c r="B862" s="584">
        <v>3</v>
      </c>
      <c r="C862" s="589">
        <v>45950</v>
      </c>
      <c r="D862" s="582">
        <f t="shared" si="33"/>
        <v>43</v>
      </c>
      <c r="E862" s="618" t="str">
        <f>+VLOOKUP(Tabla3[[#This Row],[PATENTE]],'BASE DATOS'!F:G,2,0)</f>
        <v>TRANSPORTE GRACIELA - FPL254</v>
      </c>
      <c r="F862" s="584" t="str">
        <f>+VLOOKUP(Tabla3[[#This Row],[PATENTE]],'BASE DATOS'!F:H,3,0)</f>
        <v>2P</v>
      </c>
      <c r="G862" s="584" t="str">
        <f>+VLOOKUP(Tabla3[[#This Row],[PATENTE]],'BASE DATOS'!F:I,4,0)</f>
        <v>SI</v>
      </c>
      <c r="H862" s="584" t="str">
        <f>+VLOOKUP(Tabla3[[#This Row],[PATENTE]],'BASE DATOS'!F:J,5,0)</f>
        <v>NO (CAMI)</v>
      </c>
      <c r="I862" s="584" t="str">
        <f>+VLOOKUP(Tabla3[[#This Row],[PATENTE]],'BASE DATOS'!F:K,6,0)</f>
        <v>NO</v>
      </c>
      <c r="J862" s="584">
        <f>+VLOOKUP(Tabla3[[#This Row],[PATENTE]],'BASE DATOS'!F:L,7,0)</f>
        <v>2012</v>
      </c>
      <c r="K862" s="619">
        <f>+VLOOKUP(Tabla3[[#This Row],[PATENTE]],'BASE DATOS'!F:M,8,0)</f>
        <v>13</v>
      </c>
    </row>
    <row r="863" spans="1:11" hidden="1">
      <c r="A863" s="578" t="s">
        <v>892</v>
      </c>
      <c r="B863" s="584">
        <v>3</v>
      </c>
      <c r="C863" s="589">
        <v>45950</v>
      </c>
      <c r="D863" s="582">
        <f t="shared" si="33"/>
        <v>43</v>
      </c>
      <c r="E863" s="618" t="str">
        <f>+VLOOKUP(Tabla3[[#This Row],[PATENTE]],'BASE DATOS'!F:G,2,0)</f>
        <v xml:space="preserve">COLO - FTL525 </v>
      </c>
      <c r="F863" s="584" t="str">
        <f>+VLOOKUP(Tabla3[[#This Row],[PATENTE]],'BASE DATOS'!F:H,3,0)</f>
        <v>1P</v>
      </c>
      <c r="G863" s="584" t="str">
        <f>+VLOOKUP(Tabla3[[#This Row],[PATENTE]],'BASE DATOS'!F:I,4,0)</f>
        <v>NO</v>
      </c>
      <c r="H863" s="584" t="str">
        <f>+VLOOKUP(Tabla3[[#This Row],[PATENTE]],'BASE DATOS'!F:J,5,0)</f>
        <v>SI</v>
      </c>
      <c r="I863" s="584" t="str">
        <f>+VLOOKUP(Tabla3[[#This Row],[PATENTE]],'BASE DATOS'!F:K,6,0)</f>
        <v>NO</v>
      </c>
      <c r="J863" s="584">
        <f>+VLOOKUP(Tabla3[[#This Row],[PATENTE]],'BASE DATOS'!F:L,7,0)</f>
        <v>2008</v>
      </c>
      <c r="K863" s="619">
        <f>+VLOOKUP(Tabla3[[#This Row],[PATENTE]],'BASE DATOS'!F:M,8,0)</f>
        <v>17</v>
      </c>
    </row>
    <row r="864" spans="1:11" hidden="1">
      <c r="A864" s="578" t="s">
        <v>900</v>
      </c>
      <c r="B864" s="584">
        <v>3</v>
      </c>
      <c r="C864" s="589">
        <v>45950</v>
      </c>
      <c r="D864" s="582">
        <f t="shared" si="33"/>
        <v>43</v>
      </c>
      <c r="E864" s="618" t="str">
        <f>+VLOOKUP(Tabla3[[#This Row],[PATENTE]],'BASE DATOS'!F:G,2,0)</f>
        <v>TRANSPORTE GENA GAIA - IMO939</v>
      </c>
      <c r="F864" s="584" t="str">
        <f>+VLOOKUP(Tabla3[[#This Row],[PATENTE]],'BASE DATOS'!F:H,3,0)</f>
        <v>24P</v>
      </c>
      <c r="G864" s="584" t="str">
        <f>+VLOOKUP(Tabla3[[#This Row],[PATENTE]],'BASE DATOS'!F:I,4,0)</f>
        <v>Gestya</v>
      </c>
      <c r="H864" s="584" t="str">
        <f>+VLOOKUP(Tabla3[[#This Row],[PATENTE]],'BASE DATOS'!F:J,5,0)</f>
        <v xml:space="preserve">NO </v>
      </c>
      <c r="I864" s="584" t="str">
        <f>+VLOOKUP(Tabla3[[#This Row],[PATENTE]],'BASE DATOS'!F:K,6,0)</f>
        <v>NO</v>
      </c>
      <c r="J864" s="584">
        <f>+VLOOKUP(Tabla3[[#This Row],[PATENTE]],'BASE DATOS'!F:L,7,0)</f>
        <v>2010</v>
      </c>
      <c r="K864" s="619">
        <f>+VLOOKUP(Tabla3[[#This Row],[PATENTE]],'BASE DATOS'!F:M,8,0)</f>
        <v>15</v>
      </c>
    </row>
    <row r="865" spans="1:11" hidden="1">
      <c r="A865" s="581" t="s">
        <v>882</v>
      </c>
      <c r="B865" s="587">
        <v>3</v>
      </c>
      <c r="C865" s="589">
        <v>45950</v>
      </c>
      <c r="D865" s="583">
        <f t="shared" si="33"/>
        <v>43</v>
      </c>
      <c r="E865" s="620" t="str">
        <f>+VLOOKUP(Tabla3[[#This Row],[PATENTE]],'BASE DATOS'!F:G,2,0)</f>
        <v xml:space="preserve">MAÑAS - JWN279 </v>
      </c>
      <c r="F865" s="587" t="str">
        <f>+VLOOKUP(Tabla3[[#This Row],[PATENTE]],'BASE DATOS'!F:H,3,0)</f>
        <v>7P</v>
      </c>
      <c r="G865" s="587" t="str">
        <f>+VLOOKUP(Tabla3[[#This Row],[PATENTE]],'BASE DATOS'!F:I,4,0)</f>
        <v>SI</v>
      </c>
      <c r="H865" s="584" t="str">
        <f>+VLOOKUP(Tabla3[[#This Row],[PATENTE]],'BASE DATOS'!F:J,5,0)</f>
        <v>SI</v>
      </c>
      <c r="I865" s="587" t="str">
        <f>+VLOOKUP(Tabla3[[#This Row],[PATENTE]],'BASE DATOS'!F:K,6,0)</f>
        <v>NO</v>
      </c>
      <c r="J865" s="587">
        <f>+VLOOKUP(Tabla3[[#This Row],[PATENTE]],'BASE DATOS'!F:L,7,0)</f>
        <v>2011</v>
      </c>
      <c r="K865" s="621">
        <f>+VLOOKUP(Tabla3[[#This Row],[PATENTE]],'BASE DATOS'!F:M,8,0)</f>
        <v>14</v>
      </c>
    </row>
    <row r="866" spans="1:11" hidden="1">
      <c r="A866" s="578" t="s">
        <v>925</v>
      </c>
      <c r="B866" s="584">
        <v>3</v>
      </c>
      <c r="C866" s="589">
        <v>45950</v>
      </c>
      <c r="D866" s="582">
        <f t="shared" ref="D866:D913" si="34">+WEEKNUM(C866)</f>
        <v>43</v>
      </c>
      <c r="E866" s="618" t="str">
        <f>+VLOOKUP(Tabla3[[#This Row],[PATENTE]],'BASE DATOS'!F:G,2,0)</f>
        <v xml:space="preserve">TRANSP MAIDANA FACUNDO - KOW745 </v>
      </c>
      <c r="F866" s="584" t="str">
        <f>+VLOOKUP(Tabla3[[#This Row],[PATENTE]],'BASE DATOS'!F:H,3,0)</f>
        <v>8P</v>
      </c>
      <c r="G866" s="584" t="str">
        <f>+VLOOKUP(Tabla3[[#This Row],[PATENTE]],'BASE DATOS'!F:I,4,0)</f>
        <v>SI</v>
      </c>
      <c r="H866" s="584" t="str">
        <f>+VLOOKUP(Tabla3[[#This Row],[PATENTE]],'BASE DATOS'!F:J,5,0)</f>
        <v>SI</v>
      </c>
      <c r="I866" s="584" t="str">
        <f>+VLOOKUP(Tabla3[[#This Row],[PATENTE]],'BASE DATOS'!F:K,6,0)</f>
        <v>NO</v>
      </c>
      <c r="J866" s="584">
        <f>+VLOOKUP(Tabla3[[#This Row],[PATENTE]],'BASE DATOS'!F:L,7,0)</f>
        <v>2012</v>
      </c>
      <c r="K866" s="619">
        <f>+VLOOKUP(Tabla3[[#This Row],[PATENTE]],'BASE DATOS'!F:M,8,0)</f>
        <v>13</v>
      </c>
    </row>
    <row r="867" spans="1:11" hidden="1">
      <c r="A867" s="578" t="s">
        <v>920</v>
      </c>
      <c r="B867" s="584">
        <v>3</v>
      </c>
      <c r="C867" s="589">
        <v>45950</v>
      </c>
      <c r="D867" s="582">
        <f t="shared" si="34"/>
        <v>43</v>
      </c>
      <c r="E867" s="618" t="str">
        <f>+VLOOKUP(Tabla3[[#This Row],[PATENTE]],'BASE DATOS'!F:G,2,0)</f>
        <v xml:space="preserve">TRANSP LAGOS - MRV682 </v>
      </c>
      <c r="F867" s="584" t="str">
        <f>+VLOOKUP(Tabla3[[#This Row],[PATENTE]],'BASE DATOS'!F:H,3,0)</f>
        <v>8P</v>
      </c>
      <c r="G867" s="584" t="str">
        <f>+VLOOKUP(Tabla3[[#This Row],[PATENTE]],'BASE DATOS'!F:I,4,0)</f>
        <v>SI</v>
      </c>
      <c r="H867" s="584" t="str">
        <f>+VLOOKUP(Tabla3[[#This Row],[PATENTE]],'BASE DATOS'!F:J,5,0)</f>
        <v>SI</v>
      </c>
      <c r="I867" s="584" t="str">
        <f>+VLOOKUP(Tabla3[[#This Row],[PATENTE]],'BASE DATOS'!F:K,6,0)</f>
        <v>NO</v>
      </c>
      <c r="J867" s="584">
        <f>+VLOOKUP(Tabla3[[#This Row],[PATENTE]],'BASE DATOS'!F:L,7,0)</f>
        <v>2013</v>
      </c>
      <c r="K867" s="619">
        <f>+VLOOKUP(Tabla3[[#This Row],[PATENTE]],'BASE DATOS'!F:M,8,0)</f>
        <v>12</v>
      </c>
    </row>
    <row r="868" spans="1:11" hidden="1">
      <c r="A868" s="578" t="s">
        <v>903</v>
      </c>
      <c r="B868" s="584">
        <v>2</v>
      </c>
      <c r="C868" s="589">
        <v>45950</v>
      </c>
      <c r="D868" s="582">
        <f t="shared" si="34"/>
        <v>43</v>
      </c>
      <c r="E868" s="618" t="str">
        <f>+VLOOKUP(Tabla3[[#This Row],[PATENTE]],'BASE DATOS'!F:G,2,0)</f>
        <v xml:space="preserve">TRANSP CLAUDIO BUSTOS - AG243PE </v>
      </c>
      <c r="F868" s="584" t="str">
        <f>+VLOOKUP(Tabla3[[#This Row],[PATENTE]],'BASE DATOS'!F:H,3,0)</f>
        <v>1P</v>
      </c>
      <c r="G868" s="584" t="str">
        <f>+VLOOKUP(Tabla3[[#This Row],[PATENTE]],'BASE DATOS'!F:I,4,0)</f>
        <v>SI</v>
      </c>
      <c r="H868" s="584" t="str">
        <f>+VLOOKUP(Tabla3[[#This Row],[PATENTE]],'BASE DATOS'!F:J,5,0)</f>
        <v>SI</v>
      </c>
      <c r="I868" s="584" t="str">
        <f>+VLOOKUP(Tabla3[[#This Row],[PATENTE]],'BASE DATOS'!F:K,6,0)</f>
        <v>NO</v>
      </c>
      <c r="J868" s="584">
        <f>+VLOOKUP(Tabla3[[#This Row],[PATENTE]],'BASE DATOS'!F:L,7,0)</f>
        <v>2024</v>
      </c>
      <c r="K868" s="619">
        <f>+VLOOKUP(Tabla3[[#This Row],[PATENTE]],'BASE DATOS'!F:M,8,0)</f>
        <v>1</v>
      </c>
    </row>
    <row r="869" spans="1:11" hidden="1">
      <c r="A869" s="578" t="s">
        <v>916</v>
      </c>
      <c r="B869" s="584">
        <v>2</v>
      </c>
      <c r="C869" s="589">
        <v>45950</v>
      </c>
      <c r="D869" s="582">
        <f t="shared" si="34"/>
        <v>43</v>
      </c>
      <c r="E869" s="618" t="str">
        <f>+VLOOKUP(Tabla3[[#This Row],[PATENTE]],'BASE DATOS'!F:G,2,0)</f>
        <v xml:space="preserve">TRANSP MAIDANA CARLOS - EYP088 </v>
      </c>
      <c r="F869" s="584" t="str">
        <f>+VLOOKUP(Tabla3[[#This Row],[PATENTE]],'BASE DATOS'!F:H,3,0)</f>
        <v>6P</v>
      </c>
      <c r="G869" s="584" t="str">
        <f>+VLOOKUP(Tabla3[[#This Row],[PATENTE]],'BASE DATOS'!F:I,4,0)</f>
        <v>SI</v>
      </c>
      <c r="H869" s="584" t="str">
        <f>+VLOOKUP(Tabla3[[#This Row],[PATENTE]],'BASE DATOS'!F:J,5,0)</f>
        <v>SI</v>
      </c>
      <c r="I869" s="584" t="str">
        <f>+VLOOKUP(Tabla3[[#This Row],[PATENTE]],'BASE DATOS'!F:K,6,0)</f>
        <v>NO</v>
      </c>
      <c r="J869" s="584">
        <f>+VLOOKUP(Tabla3[[#This Row],[PATENTE]],'BASE DATOS'!F:L,7,0)</f>
        <v>2006</v>
      </c>
      <c r="K869" s="619">
        <f>+VLOOKUP(Tabla3[[#This Row],[PATENTE]],'BASE DATOS'!F:M,8,0)</f>
        <v>19</v>
      </c>
    </row>
    <row r="870" spans="1:11" hidden="1">
      <c r="A870" s="578" t="s">
        <v>924</v>
      </c>
      <c r="B870" s="584">
        <v>2</v>
      </c>
      <c r="C870" s="589">
        <v>45950</v>
      </c>
      <c r="D870" s="582">
        <f t="shared" si="34"/>
        <v>43</v>
      </c>
      <c r="E870" s="618" t="str">
        <f>+VLOOKUP(Tabla3[[#This Row],[PATENTE]],'BASE DATOS'!F:G,2,0)</f>
        <v>TRANSP MAVIR - HRZ429 -16P</v>
      </c>
      <c r="F870" s="584" t="str">
        <f>+VLOOKUP(Tabla3[[#This Row],[PATENTE]],'BASE DATOS'!F:H,3,0)</f>
        <v>16P</v>
      </c>
      <c r="G870" s="584" t="str">
        <f>+VLOOKUP(Tabla3[[#This Row],[PATENTE]],'BASE DATOS'!F:I,4,0)</f>
        <v>SI</v>
      </c>
      <c r="H870" s="584" t="str">
        <f>+VLOOKUP(Tabla3[[#This Row],[PATENTE]],'BASE DATOS'!F:J,5,0)</f>
        <v xml:space="preserve">NO </v>
      </c>
      <c r="I870" s="584" t="str">
        <f>+VLOOKUP(Tabla3[[#This Row],[PATENTE]],'BASE DATOS'!F:K,6,0)</f>
        <v>NO</v>
      </c>
      <c r="J870" s="584">
        <f>+VLOOKUP(Tabla3[[#This Row],[PATENTE]],'BASE DATOS'!F:L,7,0)</f>
        <v>2008</v>
      </c>
      <c r="K870" s="619">
        <f>+VLOOKUP(Tabla3[[#This Row],[PATENTE]],'BASE DATOS'!F:M,8,0)</f>
        <v>17</v>
      </c>
    </row>
    <row r="871" spans="1:11" hidden="1">
      <c r="A871" s="578" t="s">
        <v>901</v>
      </c>
      <c r="B871" s="584">
        <v>2</v>
      </c>
      <c r="C871" s="589">
        <v>45950</v>
      </c>
      <c r="D871" s="582">
        <f t="shared" si="34"/>
        <v>43</v>
      </c>
      <c r="E871" s="618" t="str">
        <f>+VLOOKUP(Tabla3[[#This Row],[PATENTE]],'BASE DATOS'!F:G,2,0)</f>
        <v xml:space="preserve">TRANSPORTE  GRACIELA - IYE750 </v>
      </c>
      <c r="F871" s="584" t="str">
        <f>+VLOOKUP(Tabla3[[#This Row],[PATENTE]],'BASE DATOS'!F:H,3,0)</f>
        <v>1P</v>
      </c>
      <c r="G871" s="584" t="str">
        <f>+VLOOKUP(Tabla3[[#This Row],[PATENTE]],'BASE DATOS'!F:I,4,0)</f>
        <v>NO</v>
      </c>
      <c r="H871" s="584" t="str">
        <f>+VLOOKUP(Tabla3[[#This Row],[PATENTE]],'BASE DATOS'!F:J,5,0)</f>
        <v>SI</v>
      </c>
      <c r="I871" s="584" t="str">
        <f>+VLOOKUP(Tabla3[[#This Row],[PATENTE]],'BASE DATOS'!F:K,6,0)</f>
        <v>NO</v>
      </c>
      <c r="J871" s="584">
        <f>+VLOOKUP(Tabla3[[#This Row],[PATENTE]],'BASE DATOS'!F:L,7,0)</f>
        <v>2009</v>
      </c>
      <c r="K871" s="619">
        <f>+VLOOKUP(Tabla3[[#This Row],[PATENTE]],'BASE DATOS'!F:M,8,0)</f>
        <v>16</v>
      </c>
    </row>
    <row r="872" spans="1:11" hidden="1">
      <c r="A872" s="578" t="s">
        <v>880</v>
      </c>
      <c r="B872" s="584">
        <v>1</v>
      </c>
      <c r="C872" s="589">
        <v>45950</v>
      </c>
      <c r="D872" s="582">
        <f t="shared" si="34"/>
        <v>43</v>
      </c>
      <c r="E872" s="618" t="str">
        <f>+VLOOKUP(Tabla3[[#This Row],[PATENTE]],'BASE DATOS'!F:G,2,0)</f>
        <v xml:space="preserve">LAURIA (SERVAL) - AD575XK </v>
      </c>
      <c r="F872" s="584" t="str">
        <f>+VLOOKUP(Tabla3[[#This Row],[PATENTE]],'BASE DATOS'!F:H,3,0)</f>
        <v>8P</v>
      </c>
      <c r="G872" s="584" t="str">
        <f>+VLOOKUP(Tabla3[[#This Row],[PATENTE]],'BASE DATOS'!F:I,4,0)</f>
        <v>SI</v>
      </c>
      <c r="H872" s="584" t="str">
        <f>+VLOOKUP(Tabla3[[#This Row],[PATENTE]],'BASE DATOS'!F:J,5,0)</f>
        <v>SI</v>
      </c>
      <c r="I872" s="584" t="str">
        <f>+VLOOKUP(Tabla3[[#This Row],[PATENTE]],'BASE DATOS'!F:K,6,0)</f>
        <v>NO</v>
      </c>
      <c r="J872" s="584">
        <f>+VLOOKUP(Tabla3[[#This Row],[PATENTE]],'BASE DATOS'!F:L,7,0)</f>
        <v>2019</v>
      </c>
      <c r="K872" s="619">
        <f>+VLOOKUP(Tabla3[[#This Row],[PATENTE]],'BASE DATOS'!F:M,8,0)</f>
        <v>6</v>
      </c>
    </row>
    <row r="873" spans="1:11" hidden="1">
      <c r="A873" s="578" t="s">
        <v>929</v>
      </c>
      <c r="B873" s="584">
        <v>1</v>
      </c>
      <c r="C873" s="589">
        <v>45950</v>
      </c>
      <c r="D873" s="582">
        <f t="shared" si="34"/>
        <v>43</v>
      </c>
      <c r="E873" s="618" t="str">
        <f>+VLOOKUP(Tabla3[[#This Row],[PATENTE]],'BASE DATOS'!F:G,2,0)</f>
        <v xml:space="preserve">PRONTOMAR - BAI674 </v>
      </c>
      <c r="F873" s="584" t="str">
        <f>+VLOOKUP(Tabla3[[#This Row],[PATENTE]],'BASE DATOS'!F:H,3,0)</f>
        <v>14P</v>
      </c>
      <c r="G873" s="584" t="str">
        <f>+VLOOKUP(Tabla3[[#This Row],[PATENTE]],'BASE DATOS'!F:I,4,0)</f>
        <v>NO</v>
      </c>
      <c r="H873" s="584" t="str">
        <f>+VLOOKUP(Tabla3[[#This Row],[PATENTE]],'BASE DATOS'!F:J,5,0)</f>
        <v xml:space="preserve">NO </v>
      </c>
      <c r="I873" s="584" t="str">
        <f>+VLOOKUP(Tabla3[[#This Row],[PATENTE]],'BASE DATOS'!F:K,6,0)</f>
        <v>NO</v>
      </c>
      <c r="J873" s="584">
        <f>+VLOOKUP(Tabla3[[#This Row],[PATENTE]],'BASE DATOS'!F:L,7,0)</f>
        <v>1996</v>
      </c>
      <c r="K873" s="619">
        <f>+VLOOKUP(Tabla3[[#This Row],[PATENTE]],'BASE DATOS'!F:M,8,0)</f>
        <v>29</v>
      </c>
    </row>
    <row r="874" spans="1:11" hidden="1">
      <c r="A874" s="578" t="s">
        <v>946</v>
      </c>
      <c r="B874" s="584">
        <v>1</v>
      </c>
      <c r="C874" s="589">
        <v>45950</v>
      </c>
      <c r="D874" s="582">
        <f t="shared" si="34"/>
        <v>43</v>
      </c>
      <c r="E874" s="618" t="str">
        <f>+VLOOKUP(Tabla3[[#This Row],[PATENTE]],'BASE DATOS'!F:G,2,0)</f>
        <v xml:space="preserve">PRONTOMAR - DFE635 </v>
      </c>
      <c r="F874" s="584" t="str">
        <f>+VLOOKUP(Tabla3[[#This Row],[PATENTE]],'BASE DATOS'!F:H,3,0)</f>
        <v>14P</v>
      </c>
      <c r="G874" s="584" t="str">
        <f>+VLOOKUP(Tabla3[[#This Row],[PATENTE]],'BASE DATOS'!F:I,4,0)</f>
        <v>NO</v>
      </c>
      <c r="H874" s="584" t="str">
        <f>+VLOOKUP(Tabla3[[#This Row],[PATENTE]],'BASE DATOS'!F:J,5,0)</f>
        <v xml:space="preserve">NO </v>
      </c>
      <c r="I874" s="584" t="str">
        <f>+VLOOKUP(Tabla3[[#This Row],[PATENTE]],'BASE DATOS'!F:K,6,0)</f>
        <v>NO</v>
      </c>
      <c r="J874" s="584">
        <f>+VLOOKUP(Tabla3[[#This Row],[PATENTE]],'BASE DATOS'!F:L,7,0)</f>
        <v>2000</v>
      </c>
      <c r="K874" s="619">
        <f>+VLOOKUP(Tabla3[[#This Row],[PATENTE]],'BASE DATOS'!F:M,8,0)</f>
        <v>25</v>
      </c>
    </row>
    <row r="875" spans="1:11" hidden="1">
      <c r="A875" s="578" t="s">
        <v>918</v>
      </c>
      <c r="B875" s="584">
        <v>1</v>
      </c>
      <c r="C875" s="589">
        <v>45950</v>
      </c>
      <c r="D875" s="582">
        <f t="shared" si="34"/>
        <v>43</v>
      </c>
      <c r="E875" s="618" t="str">
        <f>+VLOOKUP(Tabla3[[#This Row],[PATENTE]],'BASE DATOS'!F:G,2,0)</f>
        <v>TRANSPORTE GENA GAIA - DGO507</v>
      </c>
      <c r="F875" s="584" t="str">
        <f>+VLOOKUP(Tabla3[[#This Row],[PATENTE]],'BASE DATOS'!F:H,3,0)</f>
        <v>24P</v>
      </c>
      <c r="G875" s="584" t="str">
        <f>+VLOOKUP(Tabla3[[#This Row],[PATENTE]],'BASE DATOS'!F:I,4,0)</f>
        <v>Gestya</v>
      </c>
      <c r="H875" s="584" t="str">
        <f>+VLOOKUP(Tabla3[[#This Row],[PATENTE]],'BASE DATOS'!F:J,5,0)</f>
        <v xml:space="preserve">NO </v>
      </c>
      <c r="I875" s="584" t="str">
        <f>+VLOOKUP(Tabla3[[#This Row],[PATENTE]],'BASE DATOS'!F:K,6,0)</f>
        <v>NO</v>
      </c>
      <c r="J875" s="584">
        <f>+VLOOKUP(Tabla3[[#This Row],[PATENTE]],'BASE DATOS'!F:L,7,0)</f>
        <v>2001</v>
      </c>
      <c r="K875" s="619">
        <f>+VLOOKUP(Tabla3[[#This Row],[PATENTE]],'BASE DATOS'!F:M,8,0)</f>
        <v>24</v>
      </c>
    </row>
    <row r="876" spans="1:11" hidden="1">
      <c r="A876" s="578" t="s">
        <v>923</v>
      </c>
      <c r="B876" s="584">
        <v>1</v>
      </c>
      <c r="C876" s="589">
        <v>45950</v>
      </c>
      <c r="D876" s="582">
        <f t="shared" si="34"/>
        <v>43</v>
      </c>
      <c r="E876" s="618" t="str">
        <f>+VLOOKUP(Tabla3[[#This Row],[PATENTE]],'BASE DATOS'!F:G,2,0)</f>
        <v xml:space="preserve">TRANSPORTE GENA GAIA - DLP830 </v>
      </c>
      <c r="F876" s="584" t="str">
        <f>+VLOOKUP(Tabla3[[#This Row],[PATENTE]],'BASE DATOS'!F:H,3,0)</f>
        <v>24P</v>
      </c>
      <c r="G876" s="584" t="str">
        <f>+VLOOKUP(Tabla3[[#This Row],[PATENTE]],'BASE DATOS'!F:I,4,0)</f>
        <v>Gestya</v>
      </c>
      <c r="H876" s="584" t="str">
        <f>+VLOOKUP(Tabla3[[#This Row],[PATENTE]],'BASE DATOS'!F:J,5,0)</f>
        <v xml:space="preserve">NO </v>
      </c>
      <c r="I876" s="584" t="str">
        <f>+VLOOKUP(Tabla3[[#This Row],[PATENTE]],'BASE DATOS'!F:K,6,0)</f>
        <v>NO</v>
      </c>
      <c r="J876" s="584">
        <f>+VLOOKUP(Tabla3[[#This Row],[PATENTE]],'BASE DATOS'!F:L,7,0)</f>
        <v>2001</v>
      </c>
      <c r="K876" s="619">
        <f>+VLOOKUP(Tabla3[[#This Row],[PATENTE]],'BASE DATOS'!F:M,8,0)</f>
        <v>24</v>
      </c>
    </row>
    <row r="877" spans="1:11" hidden="1">
      <c r="A877" s="578" t="s">
        <v>926</v>
      </c>
      <c r="B877" s="584">
        <v>1</v>
      </c>
      <c r="C877" s="589">
        <v>45950</v>
      </c>
      <c r="D877" s="582">
        <f t="shared" si="34"/>
        <v>43</v>
      </c>
      <c r="E877" s="618" t="str">
        <f>+VLOOKUP(Tabla3[[#This Row],[PATENTE]],'BASE DATOS'!F:G,2,0)</f>
        <v xml:space="preserve">TRANSPORTE GENA GAIA - DUF042 </v>
      </c>
      <c r="F877" s="584" t="str">
        <f>+VLOOKUP(Tabla3[[#This Row],[PATENTE]],'BASE DATOS'!F:H,3,0)</f>
        <v>24P</v>
      </c>
      <c r="G877" s="584" t="str">
        <f>+VLOOKUP(Tabla3[[#This Row],[PATENTE]],'BASE DATOS'!F:I,4,0)</f>
        <v>Gestya</v>
      </c>
      <c r="H877" s="584" t="str">
        <f>+VLOOKUP(Tabla3[[#This Row],[PATENTE]],'BASE DATOS'!F:J,5,0)</f>
        <v xml:space="preserve">NO </v>
      </c>
      <c r="I877" s="584" t="str">
        <f>+VLOOKUP(Tabla3[[#This Row],[PATENTE]],'BASE DATOS'!F:K,6,0)</f>
        <v>NO</v>
      </c>
      <c r="J877" s="584">
        <f>+VLOOKUP(Tabla3[[#This Row],[PATENTE]],'BASE DATOS'!F:L,7,0)</f>
        <v>2001</v>
      </c>
      <c r="K877" s="619">
        <f>+VLOOKUP(Tabla3[[#This Row],[PATENTE]],'BASE DATOS'!F:M,8,0)</f>
        <v>24</v>
      </c>
    </row>
    <row r="878" spans="1:11" hidden="1">
      <c r="A878" s="578" t="s">
        <v>1128</v>
      </c>
      <c r="B878" s="584">
        <v>1</v>
      </c>
      <c r="C878" s="589">
        <v>45950</v>
      </c>
      <c r="D878" s="582">
        <f t="shared" si="34"/>
        <v>43</v>
      </c>
      <c r="E878" s="618" t="str">
        <f>+VLOOKUP(Tabla3[[#This Row],[PATENTE]],'BASE DATOS'!F:G,2,0)</f>
        <v xml:space="preserve">PRONTOMAR - EDW922 </v>
      </c>
      <c r="F878" s="584" t="str">
        <f>+VLOOKUP(Tabla3[[#This Row],[PATENTE]],'BASE DATOS'!F:H,3,0)</f>
        <v>14P</v>
      </c>
      <c r="G878" s="584" t="str">
        <f>+VLOOKUP(Tabla3[[#This Row],[PATENTE]],'BASE DATOS'!F:I,4,0)</f>
        <v>NO</v>
      </c>
      <c r="H878" s="584" t="str">
        <f>+VLOOKUP(Tabla3[[#This Row],[PATENTE]],'BASE DATOS'!F:J,5,0)</f>
        <v xml:space="preserve">NO </v>
      </c>
      <c r="I878" s="584" t="str">
        <f>+VLOOKUP(Tabla3[[#This Row],[PATENTE]],'BASE DATOS'!F:K,6,0)</f>
        <v>NO</v>
      </c>
      <c r="J878" s="584">
        <f>+VLOOKUP(Tabla3[[#This Row],[PATENTE]],'BASE DATOS'!F:L,7,0)</f>
        <v>2003</v>
      </c>
      <c r="K878" s="619">
        <f>+VLOOKUP(Tabla3[[#This Row],[PATENTE]],'BASE DATOS'!F:M,8,0)</f>
        <v>22</v>
      </c>
    </row>
    <row r="879" spans="1:11" hidden="1">
      <c r="A879" s="578" t="s">
        <v>945</v>
      </c>
      <c r="B879" s="584">
        <v>1</v>
      </c>
      <c r="C879" s="589">
        <v>45950</v>
      </c>
      <c r="D879" s="582">
        <f t="shared" si="34"/>
        <v>43</v>
      </c>
      <c r="E879" s="618" t="str">
        <f>+VLOOKUP(Tabla3[[#This Row],[PATENTE]],'BASE DATOS'!F:G,2,0)</f>
        <v>GANZINI HUGO - FWZ500 - 4P</v>
      </c>
      <c r="F879" s="584" t="str">
        <f>+VLOOKUP(Tabla3[[#This Row],[PATENTE]],'BASE DATOS'!F:H,3,0)</f>
        <v>4P</v>
      </c>
      <c r="G879" s="584" t="str">
        <f>+VLOOKUP(Tabla3[[#This Row],[PATENTE]],'BASE DATOS'!F:I,4,0)</f>
        <v>NO</v>
      </c>
      <c r="H879" s="584" t="str">
        <f>+VLOOKUP(Tabla3[[#This Row],[PATENTE]],'BASE DATOS'!F:J,5,0)</f>
        <v xml:space="preserve">NO </v>
      </c>
      <c r="I879" s="584" t="str">
        <f>+VLOOKUP(Tabla3[[#This Row],[PATENTE]],'BASE DATOS'!F:K,6,0)</f>
        <v>NO</v>
      </c>
      <c r="J879" s="584">
        <f>+VLOOKUP(Tabla3[[#This Row],[PATENTE]],'BASE DATOS'!F:L,7,0)</f>
        <v>2006</v>
      </c>
      <c r="K879" s="619">
        <f>+VLOOKUP(Tabla3[[#This Row],[PATENTE]],'BASE DATOS'!F:M,8,0)</f>
        <v>19</v>
      </c>
    </row>
    <row r="880" spans="1:11" hidden="1">
      <c r="A880" s="578" t="s">
        <v>1167</v>
      </c>
      <c r="B880" s="584">
        <v>1</v>
      </c>
      <c r="C880" s="589">
        <v>45950</v>
      </c>
      <c r="D880" s="582">
        <f t="shared" si="34"/>
        <v>43</v>
      </c>
      <c r="E880" s="618" t="str">
        <f>+VLOOKUP(Tabla3[[#This Row],[PATENTE]],'BASE DATOS'!F:G,2,0)</f>
        <v xml:space="preserve">GANZINI HUGO - GRO558 </v>
      </c>
      <c r="F880" s="584" t="str">
        <f>+VLOOKUP(Tabla3[[#This Row],[PATENTE]],'BASE DATOS'!F:H,3,0)</f>
        <v>12P</v>
      </c>
      <c r="G880" s="584" t="str">
        <f>+VLOOKUP(Tabla3[[#This Row],[PATENTE]],'BASE DATOS'!F:I,4,0)</f>
        <v>NO</v>
      </c>
      <c r="H880" s="584" t="str">
        <f>+VLOOKUP(Tabla3[[#This Row],[PATENTE]],'BASE DATOS'!F:J,5,0)</f>
        <v xml:space="preserve">NO </v>
      </c>
      <c r="I880" s="584" t="str">
        <f>+VLOOKUP(Tabla3[[#This Row],[PATENTE]],'BASE DATOS'!F:K,6,0)</f>
        <v>NO</v>
      </c>
      <c r="J880" s="584">
        <f>+VLOOKUP(Tabla3[[#This Row],[PATENTE]],'BASE DATOS'!F:L,7,0)</f>
        <v>2008</v>
      </c>
      <c r="K880" s="619">
        <f>+VLOOKUP(Tabla3[[#This Row],[PATENTE]],'BASE DATOS'!F:M,8,0)</f>
        <v>17</v>
      </c>
    </row>
    <row r="881" spans="1:11" hidden="1">
      <c r="A881" s="578" t="s">
        <v>938</v>
      </c>
      <c r="B881" s="584">
        <v>1</v>
      </c>
      <c r="C881" s="589">
        <v>45950</v>
      </c>
      <c r="D881" s="582">
        <f t="shared" si="34"/>
        <v>43</v>
      </c>
      <c r="E881" s="618" t="str">
        <f>+VLOOKUP(Tabla3[[#This Row],[PATENTE]],'BASE DATOS'!F:G,2,0)</f>
        <v>TRANSPORTE GENA GAIA - GYH519  - 26P</v>
      </c>
      <c r="F881" s="584" t="str">
        <f>+VLOOKUP(Tabla3[[#This Row],[PATENTE]],'BASE DATOS'!F:H,3,0)</f>
        <v>26P</v>
      </c>
      <c r="G881" s="584" t="str">
        <f>+VLOOKUP(Tabla3[[#This Row],[PATENTE]],'BASE DATOS'!F:I,4,0)</f>
        <v>GESTYA</v>
      </c>
      <c r="H881" s="584" t="str">
        <f>+VLOOKUP(Tabla3[[#This Row],[PATENTE]],'BASE DATOS'!F:J,5,0)</f>
        <v xml:space="preserve">NO </v>
      </c>
      <c r="I881" s="584" t="str">
        <f>+VLOOKUP(Tabla3[[#This Row],[PATENTE]],'BASE DATOS'!F:K,6,0)</f>
        <v>NO</v>
      </c>
      <c r="J881" s="584">
        <f>+VLOOKUP(Tabla3[[#This Row],[PATENTE]],'BASE DATOS'!F:L,7,0)</f>
        <v>2008</v>
      </c>
      <c r="K881" s="619">
        <f>+VLOOKUP(Tabla3[[#This Row],[PATENTE]],'BASE DATOS'!F:M,8,0)</f>
        <v>17</v>
      </c>
    </row>
    <row r="882" spans="1:11" hidden="1">
      <c r="A882" s="578" t="s">
        <v>939</v>
      </c>
      <c r="B882" s="584">
        <v>1</v>
      </c>
      <c r="C882" s="589">
        <v>45950</v>
      </c>
      <c r="D882" s="582">
        <f t="shared" si="34"/>
        <v>43</v>
      </c>
      <c r="E882" s="618" t="str">
        <f>+VLOOKUP(Tabla3[[#This Row],[PATENTE]],'BASE DATOS'!F:G,2,0)</f>
        <v>TRANSP CLAUDIO BUSTOS - JOQ178</v>
      </c>
      <c r="F882" s="584" t="str">
        <f>+VLOOKUP(Tabla3[[#This Row],[PATENTE]],'BASE DATOS'!F:H,3,0)</f>
        <v>1P</v>
      </c>
      <c r="G882" s="584" t="str">
        <f>+VLOOKUP(Tabla3[[#This Row],[PATENTE]],'BASE DATOS'!F:I,4,0)</f>
        <v>NO</v>
      </c>
      <c r="H882" s="584" t="str">
        <f>+VLOOKUP(Tabla3[[#This Row],[PATENTE]],'BASE DATOS'!F:J,5,0)</f>
        <v>SI</v>
      </c>
      <c r="I882" s="584" t="str">
        <f>+VLOOKUP(Tabla3[[#This Row],[PATENTE]],'BASE DATOS'!F:K,6,0)</f>
        <v>NO</v>
      </c>
      <c r="J882" s="584">
        <f>+VLOOKUP(Tabla3[[#This Row],[PATENTE]],'BASE DATOS'!F:L,7,0)</f>
        <v>2010</v>
      </c>
      <c r="K882" s="619">
        <f>+VLOOKUP(Tabla3[[#This Row],[PATENTE]],'BASE DATOS'!F:M,8,0)</f>
        <v>15</v>
      </c>
    </row>
    <row r="883" spans="1:11" hidden="1">
      <c r="A883" s="578" t="s">
        <v>884</v>
      </c>
      <c r="B883" s="584">
        <v>6</v>
      </c>
      <c r="C883" s="589">
        <v>45957</v>
      </c>
      <c r="D883" s="582">
        <f t="shared" si="34"/>
        <v>44</v>
      </c>
      <c r="E883" s="618" t="str">
        <f>+VLOOKUP(Tabla3[[#This Row],[PATENTE]],'BASE DATOS'!F:G,2,0)</f>
        <v xml:space="preserve">LAURIA (SERVAL) - AB233IT </v>
      </c>
      <c r="F883" s="584" t="str">
        <f>+VLOOKUP(Tabla3[[#This Row],[PATENTE]],'BASE DATOS'!F:H,3,0)</f>
        <v>6P</v>
      </c>
      <c r="G883" s="584" t="str">
        <f>+VLOOKUP(Tabla3[[#This Row],[PATENTE]],'BASE DATOS'!F:I,4,0)</f>
        <v>SI</v>
      </c>
      <c r="H883" s="584" t="str">
        <f>+VLOOKUP(Tabla3[[#This Row],[PATENTE]],'BASE DATOS'!F:J,5,0)</f>
        <v>SI</v>
      </c>
      <c r="I883" s="584" t="str">
        <f>+VLOOKUP(Tabla3[[#This Row],[PATENTE]],'BASE DATOS'!F:K,6,0)</f>
        <v>NO</v>
      </c>
      <c r="J883" s="584">
        <f>+VLOOKUP(Tabla3[[#This Row],[PATENTE]],'BASE DATOS'!F:L,7,0)</f>
        <v>2017</v>
      </c>
      <c r="K883" s="619">
        <f>+VLOOKUP(Tabla3[[#This Row],[PATENTE]],'BASE DATOS'!F:M,8,0)</f>
        <v>8</v>
      </c>
    </row>
    <row r="884" spans="1:11" hidden="1">
      <c r="A884" s="578" t="s">
        <v>889</v>
      </c>
      <c r="B884" s="584">
        <v>6</v>
      </c>
      <c r="C884" s="589">
        <v>45957</v>
      </c>
      <c r="D884" s="582">
        <f t="shared" si="34"/>
        <v>44</v>
      </c>
      <c r="E884" s="618" t="str">
        <f>+VLOOKUP(Tabla3[[#This Row],[PATENTE]],'BASE DATOS'!F:G,2,0)</f>
        <v xml:space="preserve">COLO - HAW164 </v>
      </c>
      <c r="F884" s="584" t="str">
        <f>+VLOOKUP(Tabla3[[#This Row],[PATENTE]],'BASE DATOS'!F:H,3,0)</f>
        <v>6P</v>
      </c>
      <c r="G884" s="584" t="str">
        <f>+VLOOKUP(Tabla3[[#This Row],[PATENTE]],'BASE DATOS'!F:I,4,0)</f>
        <v>NO</v>
      </c>
      <c r="H884" s="584" t="str">
        <f>+VLOOKUP(Tabla3[[#This Row],[PATENTE]],'BASE DATOS'!F:J,5,0)</f>
        <v>SI</v>
      </c>
      <c r="I884" s="584" t="str">
        <f>+VLOOKUP(Tabla3[[#This Row],[PATENTE]],'BASE DATOS'!F:K,6,0)</f>
        <v>NO</v>
      </c>
      <c r="J884" s="584">
        <f>+VLOOKUP(Tabla3[[#This Row],[PATENTE]],'BASE DATOS'!F:L,7,0)</f>
        <v>2009</v>
      </c>
      <c r="K884" s="619">
        <f>+VLOOKUP(Tabla3[[#This Row],[PATENTE]],'BASE DATOS'!F:M,8,0)</f>
        <v>16</v>
      </c>
    </row>
    <row r="885" spans="1:11" hidden="1">
      <c r="A885" s="578" t="s">
        <v>891</v>
      </c>
      <c r="B885" s="584">
        <v>6</v>
      </c>
      <c r="C885" s="589">
        <v>45957</v>
      </c>
      <c r="D885" s="582">
        <f t="shared" si="34"/>
        <v>44</v>
      </c>
      <c r="E885" s="618" t="str">
        <f>+VLOOKUP(Tabla3[[#This Row],[PATENTE]],'BASE DATOS'!F:G,2,0)</f>
        <v xml:space="preserve">GANZINI HUGO - HHA085 </v>
      </c>
      <c r="F885" s="584" t="str">
        <f>+VLOOKUP(Tabla3[[#This Row],[PATENTE]],'BASE DATOS'!F:H,3,0)</f>
        <v>2P</v>
      </c>
      <c r="G885" s="584" t="str">
        <f>+VLOOKUP(Tabla3[[#This Row],[PATENTE]],'BASE DATOS'!F:I,4,0)</f>
        <v>SI</v>
      </c>
      <c r="H885" s="584" t="str">
        <f>+VLOOKUP(Tabla3[[#This Row],[PATENTE]],'BASE DATOS'!F:J,5,0)</f>
        <v>SI</v>
      </c>
      <c r="I885" s="584" t="str">
        <f>+VLOOKUP(Tabla3[[#This Row],[PATENTE]],'BASE DATOS'!F:K,6,0)</f>
        <v>NO</v>
      </c>
      <c r="J885" s="584">
        <f>+VLOOKUP(Tabla3[[#This Row],[PATENTE]],'BASE DATOS'!F:L,7,0)</f>
        <v>2008</v>
      </c>
      <c r="K885" s="619">
        <f>+VLOOKUP(Tabla3[[#This Row],[PATENTE]],'BASE DATOS'!F:M,8,0)</f>
        <v>17</v>
      </c>
    </row>
    <row r="886" spans="1:11" hidden="1">
      <c r="A886" s="578" t="s">
        <v>902</v>
      </c>
      <c r="B886" s="584">
        <v>6</v>
      </c>
      <c r="C886" s="589">
        <v>45957</v>
      </c>
      <c r="D886" s="582">
        <f t="shared" si="34"/>
        <v>44</v>
      </c>
      <c r="E886" s="618" t="str">
        <f>+VLOOKUP(Tabla3[[#This Row],[PATENTE]],'BASE DATOS'!F:G,2,0)</f>
        <v xml:space="preserve">GUSTAVO CERQUETTA - KZA644 </v>
      </c>
      <c r="F886" s="584" t="str">
        <f>+VLOOKUP(Tabla3[[#This Row],[PATENTE]],'BASE DATOS'!F:H,3,0)</f>
        <v>2P</v>
      </c>
      <c r="G886" s="584" t="str">
        <f>+VLOOKUP(Tabla3[[#This Row],[PATENTE]],'BASE DATOS'!F:I,4,0)</f>
        <v>NO</v>
      </c>
      <c r="H886" s="584" t="str">
        <f>+VLOOKUP(Tabla3[[#This Row],[PATENTE]],'BASE DATOS'!F:J,5,0)</f>
        <v>SI</v>
      </c>
      <c r="I886" s="584" t="str">
        <f>+VLOOKUP(Tabla3[[#This Row],[PATENTE]],'BASE DATOS'!F:K,6,0)</f>
        <v>NO</v>
      </c>
      <c r="J886" s="584">
        <f>+VLOOKUP(Tabla3[[#This Row],[PATENTE]],'BASE DATOS'!F:L,7,0)</f>
        <v>2012</v>
      </c>
      <c r="K886" s="619">
        <f>+VLOOKUP(Tabla3[[#This Row],[PATENTE]],'BASE DATOS'!F:M,8,0)</f>
        <v>13</v>
      </c>
    </row>
    <row r="887" spans="1:11" hidden="1">
      <c r="A887" s="578" t="s">
        <v>897</v>
      </c>
      <c r="B887" s="584">
        <v>6</v>
      </c>
      <c r="C887" s="589">
        <v>45957</v>
      </c>
      <c r="D887" s="582">
        <f t="shared" si="34"/>
        <v>44</v>
      </c>
      <c r="E887" s="618" t="str">
        <f>+VLOOKUP(Tabla3[[#This Row],[PATENTE]],'BASE DATOS'!F:G,2,0)</f>
        <v xml:space="preserve">TRANSP CLAUDIO BUSTOS - LSG801 </v>
      </c>
      <c r="F887" s="584" t="str">
        <f>+VLOOKUP(Tabla3[[#This Row],[PATENTE]],'BASE DATOS'!F:H,3,0)</f>
        <v>2P</v>
      </c>
      <c r="G887" s="584" t="str">
        <f>+VLOOKUP(Tabla3[[#This Row],[PATENTE]],'BASE DATOS'!F:I,4,0)</f>
        <v>SI</v>
      </c>
      <c r="H887" s="584" t="str">
        <f>+VLOOKUP(Tabla3[[#This Row],[PATENTE]],'BASE DATOS'!F:J,5,0)</f>
        <v>SI</v>
      </c>
      <c r="I887" s="584" t="str">
        <f>+VLOOKUP(Tabla3[[#This Row],[PATENTE]],'BASE DATOS'!F:K,6,0)</f>
        <v>NO</v>
      </c>
      <c r="J887" s="584">
        <f>+VLOOKUP(Tabla3[[#This Row],[PATENTE]],'BASE DATOS'!F:L,7,0)</f>
        <v>2013</v>
      </c>
      <c r="K887" s="619">
        <f>+VLOOKUP(Tabla3[[#This Row],[PATENTE]],'BASE DATOS'!F:M,8,0)</f>
        <v>12</v>
      </c>
    </row>
    <row r="888" spans="1:11" hidden="1">
      <c r="A888" s="578" t="s">
        <v>905</v>
      </c>
      <c r="B888" s="584">
        <v>5</v>
      </c>
      <c r="C888" s="589">
        <v>45957</v>
      </c>
      <c r="D888" s="582">
        <f t="shared" si="34"/>
        <v>44</v>
      </c>
      <c r="E888" s="618" t="str">
        <f>+VLOOKUP(Tabla3[[#This Row],[PATENTE]],'BASE DATOS'!F:G,2,0)</f>
        <v xml:space="preserve">J RIMOLDI - AB312SE </v>
      </c>
      <c r="F888" s="584" t="str">
        <f>+VLOOKUP(Tabla3[[#This Row],[PATENTE]],'BASE DATOS'!F:H,3,0)</f>
        <v>8P</v>
      </c>
      <c r="G888" s="584" t="str">
        <f>+VLOOKUP(Tabla3[[#This Row],[PATENTE]],'BASE DATOS'!F:I,4,0)</f>
        <v>SI</v>
      </c>
      <c r="H888" s="584" t="str">
        <f>+VLOOKUP(Tabla3[[#This Row],[PATENTE]],'BASE DATOS'!F:J,5,0)</f>
        <v>SI</v>
      </c>
      <c r="I888" s="584" t="str">
        <f>+VLOOKUP(Tabla3[[#This Row],[PATENTE]],'BASE DATOS'!F:K,6,0)</f>
        <v>NO</v>
      </c>
      <c r="J888" s="584">
        <f>+VLOOKUP(Tabla3[[#This Row],[PATENTE]],'BASE DATOS'!F:L,7,0)</f>
        <v>2017</v>
      </c>
      <c r="K888" s="619">
        <f>+VLOOKUP(Tabla3[[#This Row],[PATENTE]],'BASE DATOS'!F:M,8,0)</f>
        <v>8</v>
      </c>
    </row>
    <row r="889" spans="1:11" hidden="1">
      <c r="A889" s="578" t="s">
        <v>895</v>
      </c>
      <c r="B889" s="584">
        <v>5</v>
      </c>
      <c r="C889" s="589">
        <v>45957</v>
      </c>
      <c r="D889" s="582">
        <f t="shared" si="34"/>
        <v>44</v>
      </c>
      <c r="E889" s="618" t="str">
        <f>+VLOOKUP(Tabla3[[#This Row],[PATENTE]],'BASE DATOS'!F:G,2,0)</f>
        <v xml:space="preserve">TRANSPORTE MICAELA </v>
      </c>
      <c r="F889" s="584" t="str">
        <f>+VLOOKUP(Tabla3[[#This Row],[PATENTE]],'BASE DATOS'!F:H,3,0)</f>
        <v>2P</v>
      </c>
      <c r="G889" s="584" t="str">
        <f>+VLOOKUP(Tabla3[[#This Row],[PATENTE]],'BASE DATOS'!F:I,4,0)</f>
        <v>NO</v>
      </c>
      <c r="H889" s="584" t="str">
        <f>+VLOOKUP(Tabla3[[#This Row],[PATENTE]],'BASE DATOS'!F:J,5,0)</f>
        <v>SI</v>
      </c>
      <c r="I889" s="584" t="str">
        <f>+VLOOKUP(Tabla3[[#This Row],[PATENTE]],'BASE DATOS'!F:K,6,0)</f>
        <v>NO</v>
      </c>
      <c r="J889" s="584">
        <f>+VLOOKUP(Tabla3[[#This Row],[PATENTE]],'BASE DATOS'!F:L,7,0)</f>
        <v>2024</v>
      </c>
      <c r="K889" s="619">
        <f>+VLOOKUP(Tabla3[[#This Row],[PATENTE]],'BASE DATOS'!F:M,8,0)</f>
        <v>1</v>
      </c>
    </row>
    <row r="890" spans="1:11" hidden="1">
      <c r="A890" s="578" t="s">
        <v>907</v>
      </c>
      <c r="B890" s="584">
        <v>5</v>
      </c>
      <c r="C890" s="589">
        <v>45957</v>
      </c>
      <c r="D890" s="582">
        <f t="shared" si="34"/>
        <v>44</v>
      </c>
      <c r="E890" s="618" t="str">
        <f>+VLOOKUP(Tabla3[[#This Row],[PATENTE]],'BASE DATOS'!F:G,2,0)</f>
        <v xml:space="preserve">LAURIA (SERVAL) - AH583GW </v>
      </c>
      <c r="F890" s="584" t="str">
        <f>+VLOOKUP(Tabla3[[#This Row],[PATENTE]],'BASE DATOS'!F:H,3,0)</f>
        <v>8P</v>
      </c>
      <c r="G890" s="584" t="str">
        <f>+VLOOKUP(Tabla3[[#This Row],[PATENTE]],'BASE DATOS'!F:I,4,0)</f>
        <v>SI</v>
      </c>
      <c r="H890" s="584" t="str">
        <f>+VLOOKUP(Tabla3[[#This Row],[PATENTE]],'BASE DATOS'!F:J,5,0)</f>
        <v>SI</v>
      </c>
      <c r="I890" s="584" t="str">
        <f>+VLOOKUP(Tabla3[[#This Row],[PATENTE]],'BASE DATOS'!F:K,6,0)</f>
        <v>NO</v>
      </c>
      <c r="J890" s="584">
        <f>+VLOOKUP(Tabla3[[#This Row],[PATENTE]],'BASE DATOS'!F:L,7,0)</f>
        <v>2025</v>
      </c>
      <c r="K890" s="619">
        <f>+VLOOKUP(Tabla3[[#This Row],[PATENTE]],'BASE DATOS'!F:M,8,0)</f>
        <v>0</v>
      </c>
    </row>
    <row r="891" spans="1:11" hidden="1">
      <c r="A891" s="578" t="s">
        <v>887</v>
      </c>
      <c r="B891" s="584">
        <v>5</v>
      </c>
      <c r="C891" s="589">
        <v>45957</v>
      </c>
      <c r="D891" s="582">
        <f t="shared" si="34"/>
        <v>44</v>
      </c>
      <c r="E891" s="618" t="str">
        <f>+VLOOKUP(Tabla3[[#This Row],[PATENTE]],'BASE DATOS'!F:G,2,0)</f>
        <v>ENRIQUE ROLLINO - BXB394</v>
      </c>
      <c r="F891" s="584" t="str">
        <f>+VLOOKUP(Tabla3[[#This Row],[PATENTE]],'BASE DATOS'!F:H,3,0)</f>
        <v>2P</v>
      </c>
      <c r="G891" s="584" t="str">
        <f>+VLOOKUP(Tabla3[[#This Row],[PATENTE]],'BASE DATOS'!F:I,4,0)</f>
        <v>SI</v>
      </c>
      <c r="H891" s="584" t="str">
        <f>+VLOOKUP(Tabla3[[#This Row],[PATENTE]],'BASE DATOS'!F:J,5,0)</f>
        <v>SI</v>
      </c>
      <c r="I891" s="584" t="str">
        <f>+VLOOKUP(Tabla3[[#This Row],[PATENTE]],'BASE DATOS'!F:K,6,0)</f>
        <v>NO</v>
      </c>
      <c r="J891" s="584">
        <f>+VLOOKUP(Tabla3[[#This Row],[PATENTE]],'BASE DATOS'!F:L,7,0)</f>
        <v>1998</v>
      </c>
      <c r="K891" s="619">
        <f>+VLOOKUP(Tabla3[[#This Row],[PATENTE]],'BASE DATOS'!F:M,8,0)</f>
        <v>27</v>
      </c>
    </row>
    <row r="892" spans="1:11" hidden="1">
      <c r="A892" s="578" t="s">
        <v>904</v>
      </c>
      <c r="B892" s="584">
        <v>5</v>
      </c>
      <c r="C892" s="589">
        <v>45957</v>
      </c>
      <c r="D892" s="582">
        <f t="shared" si="34"/>
        <v>44</v>
      </c>
      <c r="E892" s="618" t="str">
        <f>+VLOOKUP(Tabla3[[#This Row],[PATENTE]],'BASE DATOS'!F:G,2,0)</f>
        <v xml:space="preserve">ENRIQUE ROLLINO - DFO656 </v>
      </c>
      <c r="F892" s="584" t="str">
        <f>+VLOOKUP(Tabla3[[#This Row],[PATENTE]],'BASE DATOS'!F:H,3,0)</f>
        <v>6P</v>
      </c>
      <c r="G892" s="584" t="str">
        <f>+VLOOKUP(Tabla3[[#This Row],[PATENTE]],'BASE DATOS'!F:I,4,0)</f>
        <v>SI</v>
      </c>
      <c r="H892" s="584" t="str">
        <f>+VLOOKUP(Tabla3[[#This Row],[PATENTE]],'BASE DATOS'!F:J,5,0)</f>
        <v>SI</v>
      </c>
      <c r="I892" s="584" t="str">
        <f>+VLOOKUP(Tabla3[[#This Row],[PATENTE]],'BASE DATOS'!F:K,6,0)</f>
        <v>NO</v>
      </c>
      <c r="J892" s="584">
        <f>+VLOOKUP(Tabla3[[#This Row],[PATENTE]],'BASE DATOS'!F:L,7,0)</f>
        <v>2000</v>
      </c>
      <c r="K892" s="619">
        <f>+VLOOKUP(Tabla3[[#This Row],[PATENTE]],'BASE DATOS'!F:M,8,0)</f>
        <v>25</v>
      </c>
    </row>
    <row r="893" spans="1:11" hidden="1">
      <c r="A893" s="578" t="s">
        <v>916</v>
      </c>
      <c r="B893" s="584">
        <v>5</v>
      </c>
      <c r="C893" s="589">
        <v>45957</v>
      </c>
      <c r="D893" s="582">
        <f t="shared" si="34"/>
        <v>44</v>
      </c>
      <c r="E893" s="618" t="str">
        <f>+VLOOKUP(Tabla3[[#This Row],[PATENTE]],'BASE DATOS'!F:G,2,0)</f>
        <v xml:space="preserve">TRANSP MAIDANA CARLOS - EYP088 </v>
      </c>
      <c r="F893" s="584" t="str">
        <f>+VLOOKUP(Tabla3[[#This Row],[PATENTE]],'BASE DATOS'!F:H,3,0)</f>
        <v>6P</v>
      </c>
      <c r="G893" s="584" t="str">
        <f>+VLOOKUP(Tabla3[[#This Row],[PATENTE]],'BASE DATOS'!F:I,4,0)</f>
        <v>SI</v>
      </c>
      <c r="H893" s="584" t="str">
        <f>+VLOOKUP(Tabla3[[#This Row],[PATENTE]],'BASE DATOS'!F:J,5,0)</f>
        <v>SI</v>
      </c>
      <c r="I893" s="584" t="str">
        <f>+VLOOKUP(Tabla3[[#This Row],[PATENTE]],'BASE DATOS'!F:K,6,0)</f>
        <v>NO</v>
      </c>
      <c r="J893" s="584">
        <f>+VLOOKUP(Tabla3[[#This Row],[PATENTE]],'BASE DATOS'!F:L,7,0)</f>
        <v>2006</v>
      </c>
      <c r="K893" s="619">
        <f>+VLOOKUP(Tabla3[[#This Row],[PATENTE]],'BASE DATOS'!F:M,8,0)</f>
        <v>19</v>
      </c>
    </row>
    <row r="894" spans="1:11" hidden="1">
      <c r="A894" s="578" t="s">
        <v>915</v>
      </c>
      <c r="B894" s="584">
        <v>5</v>
      </c>
      <c r="C894" s="589">
        <v>45957</v>
      </c>
      <c r="D894" s="582">
        <f t="shared" si="34"/>
        <v>44</v>
      </c>
      <c r="E894" s="618" t="str">
        <f>+VLOOKUP(Tabla3[[#This Row],[PATENTE]],'BASE DATOS'!F:G,2,0)</f>
        <v>TRANSPORTE GRACIELA - FPL254</v>
      </c>
      <c r="F894" s="584" t="str">
        <f>+VLOOKUP(Tabla3[[#This Row],[PATENTE]],'BASE DATOS'!F:H,3,0)</f>
        <v>2P</v>
      </c>
      <c r="G894" s="584" t="str">
        <f>+VLOOKUP(Tabla3[[#This Row],[PATENTE]],'BASE DATOS'!F:I,4,0)</f>
        <v>SI</v>
      </c>
      <c r="H894" s="584" t="str">
        <f>+VLOOKUP(Tabla3[[#This Row],[PATENTE]],'BASE DATOS'!F:J,5,0)</f>
        <v>NO (CAMI)</v>
      </c>
      <c r="I894" s="584" t="str">
        <f>+VLOOKUP(Tabla3[[#This Row],[PATENTE]],'BASE DATOS'!F:K,6,0)</f>
        <v>NO</v>
      </c>
      <c r="J894" s="584">
        <f>+VLOOKUP(Tabla3[[#This Row],[PATENTE]],'BASE DATOS'!F:L,7,0)</f>
        <v>2012</v>
      </c>
      <c r="K894" s="619">
        <f>+VLOOKUP(Tabla3[[#This Row],[PATENTE]],'BASE DATOS'!F:M,8,0)</f>
        <v>13</v>
      </c>
    </row>
    <row r="895" spans="1:11" hidden="1">
      <c r="A895" s="578" t="s">
        <v>882</v>
      </c>
      <c r="B895" s="584">
        <v>5</v>
      </c>
      <c r="C895" s="589">
        <v>45957</v>
      </c>
      <c r="D895" s="582">
        <f t="shared" si="34"/>
        <v>44</v>
      </c>
      <c r="E895" s="618" t="str">
        <f>+VLOOKUP(Tabla3[[#This Row],[PATENTE]],'BASE DATOS'!F:G,2,0)</f>
        <v xml:space="preserve">MAÑAS - JWN279 </v>
      </c>
      <c r="F895" s="584" t="str">
        <f>+VLOOKUP(Tabla3[[#This Row],[PATENTE]],'BASE DATOS'!F:H,3,0)</f>
        <v>7P</v>
      </c>
      <c r="G895" s="584" t="str">
        <f>+VLOOKUP(Tabla3[[#This Row],[PATENTE]],'BASE DATOS'!F:I,4,0)</f>
        <v>SI</v>
      </c>
      <c r="H895" s="584" t="str">
        <f>+VLOOKUP(Tabla3[[#This Row],[PATENTE]],'BASE DATOS'!F:J,5,0)</f>
        <v>SI</v>
      </c>
      <c r="I895" s="584" t="str">
        <f>+VLOOKUP(Tabla3[[#This Row],[PATENTE]],'BASE DATOS'!F:K,6,0)</f>
        <v>NO</v>
      </c>
      <c r="J895" s="584">
        <f>+VLOOKUP(Tabla3[[#This Row],[PATENTE]],'BASE DATOS'!F:L,7,0)</f>
        <v>2011</v>
      </c>
      <c r="K895" s="619">
        <f>+VLOOKUP(Tabla3[[#This Row],[PATENTE]],'BASE DATOS'!F:M,8,0)</f>
        <v>14</v>
      </c>
    </row>
    <row r="896" spans="1:11" hidden="1">
      <c r="A896" s="578" t="s">
        <v>909</v>
      </c>
      <c r="B896" s="584">
        <v>5</v>
      </c>
      <c r="C896" s="589">
        <v>45957</v>
      </c>
      <c r="D896" s="582">
        <f t="shared" si="34"/>
        <v>44</v>
      </c>
      <c r="E896" s="618" t="str">
        <f>+VLOOKUP(Tabla3[[#This Row],[PATENTE]],'BASE DATOS'!F:G,2,0)</f>
        <v xml:space="preserve">CRISTIAN MOYA - NHR055 </v>
      </c>
      <c r="F896" s="584" t="str">
        <f>+VLOOKUP(Tabla3[[#This Row],[PATENTE]],'BASE DATOS'!F:H,3,0)</f>
        <v>6P</v>
      </c>
      <c r="G896" s="584" t="str">
        <f>+VLOOKUP(Tabla3[[#This Row],[PATENTE]],'BASE DATOS'!F:I,4,0)</f>
        <v>SI</v>
      </c>
      <c r="H896" s="584" t="str">
        <f>+VLOOKUP(Tabla3[[#This Row],[PATENTE]],'BASE DATOS'!F:J,5,0)</f>
        <v>SI</v>
      </c>
      <c r="I896" s="584" t="str">
        <f>+VLOOKUP(Tabla3[[#This Row],[PATENTE]],'BASE DATOS'!F:K,6,0)</f>
        <v>NO</v>
      </c>
      <c r="J896" s="584">
        <f>+VLOOKUP(Tabla3[[#This Row],[PATENTE]],'BASE DATOS'!F:L,7,0)</f>
        <v>2013</v>
      </c>
      <c r="K896" s="619">
        <f>+VLOOKUP(Tabla3[[#This Row],[PATENTE]],'BASE DATOS'!F:M,8,0)</f>
        <v>12</v>
      </c>
    </row>
    <row r="897" spans="1:11" hidden="1">
      <c r="A897" s="578" t="s">
        <v>886</v>
      </c>
      <c r="B897" s="584">
        <v>5</v>
      </c>
      <c r="C897" s="589">
        <v>45957</v>
      </c>
      <c r="D897" s="582">
        <f t="shared" si="34"/>
        <v>44</v>
      </c>
      <c r="E897" s="618" t="str">
        <f>+VLOOKUP(Tabla3[[#This Row],[PATENTE]],'BASE DATOS'!F:G,2,0)</f>
        <v xml:space="preserve">TRANSP LAGOS - NOO925 </v>
      </c>
      <c r="F897" s="584" t="str">
        <f>+VLOOKUP(Tabla3[[#This Row],[PATENTE]],'BASE DATOS'!F:H,3,0)</f>
        <v>8P</v>
      </c>
      <c r="G897" s="584" t="str">
        <f>+VLOOKUP(Tabla3[[#This Row],[PATENTE]],'BASE DATOS'!F:I,4,0)</f>
        <v>SI</v>
      </c>
      <c r="H897" s="584" t="str">
        <f>+VLOOKUP(Tabla3[[#This Row],[PATENTE]],'BASE DATOS'!F:J,5,0)</f>
        <v>SI</v>
      </c>
      <c r="I897" s="584" t="str">
        <f>+VLOOKUP(Tabla3[[#This Row],[PATENTE]],'BASE DATOS'!F:K,6,0)</f>
        <v>NO</v>
      </c>
      <c r="J897" s="584">
        <f>+VLOOKUP(Tabla3[[#This Row],[PATENTE]],'BASE DATOS'!F:L,7,0)</f>
        <v>2014</v>
      </c>
      <c r="K897" s="619">
        <f>+VLOOKUP(Tabla3[[#This Row],[PATENTE]],'BASE DATOS'!F:M,8,0)</f>
        <v>11</v>
      </c>
    </row>
    <row r="898" spans="1:11" hidden="1">
      <c r="A898" s="578" t="s">
        <v>898</v>
      </c>
      <c r="B898" s="584">
        <v>5</v>
      </c>
      <c r="C898" s="589">
        <v>45957</v>
      </c>
      <c r="D898" s="582">
        <f t="shared" si="34"/>
        <v>44</v>
      </c>
      <c r="E898" s="618" t="str">
        <f>+VLOOKUP(Tabla3[[#This Row],[PATENTE]],'BASE DATOS'!F:G,2,0)</f>
        <v xml:space="preserve">TRANSP BERMEJO - NXP980 </v>
      </c>
      <c r="F898" s="584" t="str">
        <f>+VLOOKUP(Tabla3[[#This Row],[PATENTE]],'BASE DATOS'!F:H,3,0)</f>
        <v>12P</v>
      </c>
      <c r="G898" s="584" t="str">
        <f>+VLOOKUP(Tabla3[[#This Row],[PATENTE]],'BASE DATOS'!F:I,4,0)</f>
        <v>SI</v>
      </c>
      <c r="H898" s="584" t="str">
        <f>+VLOOKUP(Tabla3[[#This Row],[PATENTE]],'BASE DATOS'!F:J,5,0)</f>
        <v>SI</v>
      </c>
      <c r="I898" s="584" t="str">
        <f>+VLOOKUP(Tabla3[[#This Row],[PATENTE]],'BASE DATOS'!F:K,6,0)</f>
        <v>SI</v>
      </c>
      <c r="J898" s="584">
        <f>+VLOOKUP(Tabla3[[#This Row],[PATENTE]],'BASE DATOS'!F:L,7,0)</f>
        <v>2015</v>
      </c>
      <c r="K898" s="619">
        <f>+VLOOKUP(Tabla3[[#This Row],[PATENTE]],'BASE DATOS'!F:M,8,0)</f>
        <v>10</v>
      </c>
    </row>
    <row r="899" spans="1:11" hidden="1">
      <c r="A899" s="578" t="s">
        <v>877</v>
      </c>
      <c r="B899" s="584">
        <v>5</v>
      </c>
      <c r="C899" s="589">
        <v>45957</v>
      </c>
      <c r="D899" s="582">
        <f t="shared" si="34"/>
        <v>44</v>
      </c>
      <c r="E899" s="618" t="str">
        <f>+VLOOKUP(Tabla3[[#This Row],[PATENTE]],'BASE DATOS'!F:G,2,0)</f>
        <v>TRANSP MAIDANA CARLOS - OWA126</v>
      </c>
      <c r="F899" s="584" t="str">
        <f>+VLOOKUP(Tabla3[[#This Row],[PATENTE]],'BASE DATOS'!F:H,3,0)</f>
        <v>4P</v>
      </c>
      <c r="G899" s="584" t="str">
        <f>+VLOOKUP(Tabla3[[#This Row],[PATENTE]],'BASE DATOS'!F:I,4,0)</f>
        <v>SI</v>
      </c>
      <c r="H899" s="584" t="str">
        <f>+VLOOKUP(Tabla3[[#This Row],[PATENTE]],'BASE DATOS'!F:J,5,0)</f>
        <v>SI</v>
      </c>
      <c r="I899" s="584" t="str">
        <f>+VLOOKUP(Tabla3[[#This Row],[PATENTE]],'BASE DATOS'!F:K,6,0)</f>
        <v>NO</v>
      </c>
      <c r="J899" s="584">
        <f>+VLOOKUP(Tabla3[[#This Row],[PATENTE]],'BASE DATOS'!F:L,7,0)</f>
        <v>2015</v>
      </c>
      <c r="K899" s="619">
        <f>+VLOOKUP(Tabla3[[#This Row],[PATENTE]],'BASE DATOS'!F:M,8,0)</f>
        <v>10</v>
      </c>
    </row>
    <row r="900" spans="1:11" hidden="1">
      <c r="A900" s="578" t="s">
        <v>879</v>
      </c>
      <c r="B900" s="584">
        <v>5</v>
      </c>
      <c r="C900" s="589">
        <v>45957</v>
      </c>
      <c r="D900" s="582">
        <f t="shared" si="34"/>
        <v>44</v>
      </c>
      <c r="E900" s="618" t="str">
        <f>+VLOOKUP(Tabla3[[#This Row],[PATENTE]],'BASE DATOS'!F:G,2,0)</f>
        <v xml:space="preserve">TRANSP JP - OYP470 </v>
      </c>
      <c r="F900" s="584" t="str">
        <f>+VLOOKUP(Tabla3[[#This Row],[PATENTE]],'BASE DATOS'!F:H,3,0)</f>
        <v>8P</v>
      </c>
      <c r="G900" s="584" t="str">
        <f>+VLOOKUP(Tabla3[[#This Row],[PATENTE]],'BASE DATOS'!F:I,4,0)</f>
        <v>SI</v>
      </c>
      <c r="H900" s="584" t="str">
        <f>+VLOOKUP(Tabla3[[#This Row],[PATENTE]],'BASE DATOS'!F:J,5,0)</f>
        <v>SI</v>
      </c>
      <c r="I900" s="584" t="str">
        <f>+VLOOKUP(Tabla3[[#This Row],[PATENTE]],'BASE DATOS'!F:K,6,0)</f>
        <v>NO</v>
      </c>
      <c r="J900" s="584">
        <f>+VLOOKUP(Tabla3[[#This Row],[PATENTE]],'BASE DATOS'!F:L,7,0)</f>
        <v>2011</v>
      </c>
      <c r="K900" s="619">
        <f>+VLOOKUP(Tabla3[[#This Row],[PATENTE]],'BASE DATOS'!F:M,8,0)</f>
        <v>14</v>
      </c>
    </row>
    <row r="901" spans="1:11" hidden="1">
      <c r="A901" s="578" t="s">
        <v>936</v>
      </c>
      <c r="B901" s="584">
        <v>4</v>
      </c>
      <c r="C901" s="589">
        <v>45957</v>
      </c>
      <c r="D901" s="582">
        <f t="shared" si="34"/>
        <v>44</v>
      </c>
      <c r="E901" s="618" t="str">
        <f>+VLOOKUP(Tabla3[[#This Row],[PATENTE]],'BASE DATOS'!F:G,2,0)</f>
        <v>TRANSP YANINA  LUONGO - AA050HC</v>
      </c>
      <c r="F901" s="584" t="str">
        <f>+VLOOKUP(Tabla3[[#This Row],[PATENTE]],'BASE DATOS'!F:H,3,0)</f>
        <v>1.5P</v>
      </c>
      <c r="G901" s="584" t="str">
        <f>+VLOOKUP(Tabla3[[#This Row],[PATENTE]],'BASE DATOS'!F:I,4,0)</f>
        <v>NO</v>
      </c>
      <c r="H901" s="584" t="str">
        <f>+VLOOKUP(Tabla3[[#This Row],[PATENTE]],'BASE DATOS'!F:J,5,0)</f>
        <v>SI</v>
      </c>
      <c r="I901" s="584" t="str">
        <f>+VLOOKUP(Tabla3[[#This Row],[PATENTE]],'BASE DATOS'!F:K,6,0)</f>
        <v>NO</v>
      </c>
      <c r="J901" s="584">
        <f>+VLOOKUP(Tabla3[[#This Row],[PATENTE]],'BASE DATOS'!F:L,7,0)</f>
        <v>2016</v>
      </c>
      <c r="K901" s="619">
        <f>+VLOOKUP(Tabla3[[#This Row],[PATENTE]],'BASE DATOS'!F:M,8,0)</f>
        <v>9</v>
      </c>
    </row>
    <row r="902" spans="1:11" hidden="1">
      <c r="A902" s="578" t="s">
        <v>878</v>
      </c>
      <c r="B902" s="584">
        <v>4</v>
      </c>
      <c r="C902" s="589">
        <v>45957</v>
      </c>
      <c r="D902" s="582">
        <f t="shared" si="34"/>
        <v>44</v>
      </c>
      <c r="E902" s="618" t="str">
        <f>+VLOOKUP(Tabla3[[#This Row],[PATENTE]],'BASE DATOS'!F:G,2,0)</f>
        <v xml:space="preserve">PACHECO JULIO - AA854LY </v>
      </c>
      <c r="F902" s="584" t="str">
        <f>+VLOOKUP(Tabla3[[#This Row],[PATENTE]],'BASE DATOS'!F:H,3,0)</f>
        <v>7P</v>
      </c>
      <c r="G902" s="584" t="str">
        <f>+VLOOKUP(Tabla3[[#This Row],[PATENTE]],'BASE DATOS'!F:I,4,0)</f>
        <v>SI</v>
      </c>
      <c r="H902" s="584" t="str">
        <f>+VLOOKUP(Tabla3[[#This Row],[PATENTE]],'BASE DATOS'!F:J,5,0)</f>
        <v>SI</v>
      </c>
      <c r="I902" s="584" t="str">
        <f>+VLOOKUP(Tabla3[[#This Row],[PATENTE]],'BASE DATOS'!F:K,6,0)</f>
        <v>NO</v>
      </c>
      <c r="J902" s="584">
        <f>+VLOOKUP(Tabla3[[#This Row],[PATENTE]],'BASE DATOS'!F:L,7,0)</f>
        <v>2016</v>
      </c>
      <c r="K902" s="619">
        <f>+VLOOKUP(Tabla3[[#This Row],[PATENTE]],'BASE DATOS'!F:M,8,0)</f>
        <v>9</v>
      </c>
    </row>
    <row r="903" spans="1:11" hidden="1">
      <c r="A903" s="578" t="s">
        <v>899</v>
      </c>
      <c r="B903" s="584">
        <v>4</v>
      </c>
      <c r="C903" s="589">
        <v>45957</v>
      </c>
      <c r="D903" s="582">
        <f t="shared" si="34"/>
        <v>44</v>
      </c>
      <c r="E903" s="618" t="str">
        <f>+VLOOKUP(Tabla3[[#This Row],[PATENTE]],'BASE DATOS'!F:G,2,0)</f>
        <v xml:space="preserve">VAZQUEZ (TRV SRL) - AB176KN </v>
      </c>
      <c r="F903" s="584" t="str">
        <f>+VLOOKUP(Tabla3[[#This Row],[PATENTE]],'BASE DATOS'!F:H,3,0)</f>
        <v>8P</v>
      </c>
      <c r="G903" s="584" t="str">
        <f>+VLOOKUP(Tabla3[[#This Row],[PATENTE]],'BASE DATOS'!F:I,4,0)</f>
        <v>SI</v>
      </c>
      <c r="H903" s="584" t="str">
        <f>+VLOOKUP(Tabla3[[#This Row],[PATENTE]],'BASE DATOS'!F:J,5,0)</f>
        <v>SI</v>
      </c>
      <c r="I903" s="584" t="str">
        <f>+VLOOKUP(Tabla3[[#This Row],[PATENTE]],'BASE DATOS'!F:K,6,0)</f>
        <v>SI</v>
      </c>
      <c r="J903" s="584">
        <f>+VLOOKUP(Tabla3[[#This Row],[PATENTE]],'BASE DATOS'!F:L,7,0)</f>
        <v>2017</v>
      </c>
      <c r="K903" s="619">
        <f>+VLOOKUP(Tabla3[[#This Row],[PATENTE]],'BASE DATOS'!F:M,8,0)</f>
        <v>8</v>
      </c>
    </row>
    <row r="904" spans="1:11" hidden="1">
      <c r="A904" s="578" t="s">
        <v>912</v>
      </c>
      <c r="B904" s="584">
        <v>4</v>
      </c>
      <c r="C904" s="589">
        <v>45957</v>
      </c>
      <c r="D904" s="582">
        <f t="shared" si="34"/>
        <v>44</v>
      </c>
      <c r="E904" s="618" t="str">
        <f>+VLOOKUP(Tabla3[[#This Row],[PATENTE]],'BASE DATOS'!F:G,2,0)</f>
        <v xml:space="preserve">PACHECO JULIO - AC028WN </v>
      </c>
      <c r="F904" s="584" t="str">
        <f>+VLOOKUP(Tabla3[[#This Row],[PATENTE]],'BASE DATOS'!F:H,3,0)</f>
        <v>8P</v>
      </c>
      <c r="G904" s="584" t="str">
        <f>+VLOOKUP(Tabla3[[#This Row],[PATENTE]],'BASE DATOS'!F:I,4,0)</f>
        <v>SI</v>
      </c>
      <c r="H904" s="584" t="str">
        <f>+VLOOKUP(Tabla3[[#This Row],[PATENTE]],'BASE DATOS'!F:J,5,0)</f>
        <v>SI</v>
      </c>
      <c r="I904" s="584" t="str">
        <f>+VLOOKUP(Tabla3[[#This Row],[PATENTE]],'BASE DATOS'!F:K,6,0)</f>
        <v>SI</v>
      </c>
      <c r="J904" s="584">
        <f>+VLOOKUP(Tabla3[[#This Row],[PATENTE]],'BASE DATOS'!F:L,7,0)</f>
        <v>2017</v>
      </c>
      <c r="K904" s="619">
        <f>+VLOOKUP(Tabla3[[#This Row],[PATENTE]],'BASE DATOS'!F:M,8,0)</f>
        <v>8</v>
      </c>
    </row>
    <row r="905" spans="1:11" hidden="1">
      <c r="A905" s="578" t="s">
        <v>888</v>
      </c>
      <c r="B905" s="584">
        <v>4</v>
      </c>
      <c r="C905" s="589">
        <v>45957</v>
      </c>
      <c r="D905" s="582">
        <f t="shared" si="34"/>
        <v>44</v>
      </c>
      <c r="E905" s="618" t="str">
        <f>+VLOOKUP(Tabla3[[#This Row],[PATENTE]],'BASE DATOS'!F:G,2,0)</f>
        <v xml:space="preserve">TRANSP FIRST CLASS - AD535UI </v>
      </c>
      <c r="F905" s="584" t="str">
        <f>+VLOOKUP(Tabla3[[#This Row],[PATENTE]],'BASE DATOS'!F:H,3,0)</f>
        <v>6P</v>
      </c>
      <c r="G905" s="584" t="str">
        <f>+VLOOKUP(Tabla3[[#This Row],[PATENTE]],'BASE DATOS'!F:I,4,0)</f>
        <v>SI</v>
      </c>
      <c r="H905" s="584" t="str">
        <f>+VLOOKUP(Tabla3[[#This Row],[PATENTE]],'BASE DATOS'!F:J,5,0)</f>
        <v>SI</v>
      </c>
      <c r="I905" s="584" t="str">
        <f>+VLOOKUP(Tabla3[[#This Row],[PATENTE]],'BASE DATOS'!F:K,6,0)</f>
        <v>NO</v>
      </c>
      <c r="J905" s="584">
        <f>+VLOOKUP(Tabla3[[#This Row],[PATENTE]],'BASE DATOS'!F:L,7,0)</f>
        <v>2019</v>
      </c>
      <c r="K905" s="619">
        <f>+VLOOKUP(Tabla3[[#This Row],[PATENTE]],'BASE DATOS'!F:M,8,0)</f>
        <v>6</v>
      </c>
    </row>
    <row r="906" spans="1:11" hidden="1">
      <c r="A906" s="578" t="s">
        <v>922</v>
      </c>
      <c r="B906" s="584">
        <v>4</v>
      </c>
      <c r="C906" s="589">
        <v>45957</v>
      </c>
      <c r="D906" s="582">
        <f t="shared" si="34"/>
        <v>44</v>
      </c>
      <c r="E906" s="618" t="str">
        <f>+VLOOKUP(Tabla3[[#This Row],[PATENTE]],'BASE DATOS'!F:G,2,0)</f>
        <v>LAURIA (SERVAL) - AF342ZY</v>
      </c>
      <c r="F906" s="584" t="str">
        <f>+VLOOKUP(Tabla3[[#This Row],[PATENTE]],'BASE DATOS'!F:H,3,0)</f>
        <v>8P</v>
      </c>
      <c r="G906" s="584" t="str">
        <f>+VLOOKUP(Tabla3[[#This Row],[PATENTE]],'BASE DATOS'!F:I,4,0)</f>
        <v>SI</v>
      </c>
      <c r="H906" s="584" t="str">
        <f>+VLOOKUP(Tabla3[[#This Row],[PATENTE]],'BASE DATOS'!F:J,5,0)</f>
        <v>SI</v>
      </c>
      <c r="I906" s="584" t="str">
        <f>+VLOOKUP(Tabla3[[#This Row],[PATENTE]],'BASE DATOS'!F:K,6,0)</f>
        <v>NO</v>
      </c>
      <c r="J906" s="584">
        <f>+VLOOKUP(Tabla3[[#This Row],[PATENTE]],'BASE DATOS'!F:L,7,0)</f>
        <v>2022</v>
      </c>
      <c r="K906" s="619">
        <f>+VLOOKUP(Tabla3[[#This Row],[PATENTE]],'BASE DATOS'!F:M,8,0)</f>
        <v>3</v>
      </c>
    </row>
    <row r="907" spans="1:11" hidden="1">
      <c r="A907" s="578" t="s">
        <v>893</v>
      </c>
      <c r="B907" s="584">
        <v>4</v>
      </c>
      <c r="C907" s="589">
        <v>45957</v>
      </c>
      <c r="D907" s="582">
        <f t="shared" si="34"/>
        <v>44</v>
      </c>
      <c r="E907" s="618" t="str">
        <f>+VLOOKUP(Tabla3[[#This Row],[PATENTE]],'BASE DATOS'!F:G,2,0)</f>
        <v xml:space="preserve">GANZINI HUGO - CFF038 </v>
      </c>
      <c r="F907" s="584" t="str">
        <f>+VLOOKUP(Tabla3[[#This Row],[PATENTE]],'BASE DATOS'!F:H,3,0)</f>
        <v>2P</v>
      </c>
      <c r="G907" s="584" t="str">
        <f>+VLOOKUP(Tabla3[[#This Row],[PATENTE]],'BASE DATOS'!F:I,4,0)</f>
        <v>SI</v>
      </c>
      <c r="H907" s="584" t="str">
        <f>+VLOOKUP(Tabla3[[#This Row],[PATENTE]],'BASE DATOS'!F:J,5,0)</f>
        <v>SI</v>
      </c>
      <c r="I907" s="584" t="str">
        <f>+VLOOKUP(Tabla3[[#This Row],[PATENTE]],'BASE DATOS'!F:K,6,0)</f>
        <v>NO</v>
      </c>
      <c r="J907" s="584">
        <f>+VLOOKUP(Tabla3[[#This Row],[PATENTE]],'BASE DATOS'!F:L,7,0)</f>
        <v>1999</v>
      </c>
      <c r="K907" s="619">
        <f>+VLOOKUP(Tabla3[[#This Row],[PATENTE]],'BASE DATOS'!F:M,8,0)</f>
        <v>26</v>
      </c>
    </row>
    <row r="908" spans="1:11" hidden="1">
      <c r="A908" s="578" t="s">
        <v>881</v>
      </c>
      <c r="B908" s="584">
        <v>4</v>
      </c>
      <c r="C908" s="589">
        <v>45957</v>
      </c>
      <c r="D908" s="582">
        <f t="shared" si="34"/>
        <v>44</v>
      </c>
      <c r="E908" s="618" t="str">
        <f>+VLOOKUP(Tabla3[[#This Row],[PATENTE]],'BASE DATOS'!F:G,2,0)</f>
        <v xml:space="preserve">MAÑAS NORBERTO - DUQ686 </v>
      </c>
      <c r="F908" s="584" t="str">
        <f>+VLOOKUP(Tabla3[[#This Row],[PATENTE]],'BASE DATOS'!F:H,3,0)</f>
        <v>8P</v>
      </c>
      <c r="G908" s="584" t="str">
        <f>+VLOOKUP(Tabla3[[#This Row],[PATENTE]],'BASE DATOS'!F:I,4,0)</f>
        <v>SI</v>
      </c>
      <c r="H908" s="584" t="str">
        <f>+VLOOKUP(Tabla3[[#This Row],[PATENTE]],'BASE DATOS'!F:J,5,0)</f>
        <v>SI</v>
      </c>
      <c r="I908" s="584" t="str">
        <f>+VLOOKUP(Tabla3[[#This Row],[PATENTE]],'BASE DATOS'!F:K,6,0)</f>
        <v>NO</v>
      </c>
      <c r="J908" s="584">
        <f>+VLOOKUP(Tabla3[[#This Row],[PATENTE]],'BASE DATOS'!F:L,7,0)</f>
        <v>2001</v>
      </c>
      <c r="K908" s="619">
        <f>+VLOOKUP(Tabla3[[#This Row],[PATENTE]],'BASE DATOS'!F:M,8,0)</f>
        <v>24</v>
      </c>
    </row>
    <row r="909" spans="1:11" hidden="1">
      <c r="A909" s="578" t="s">
        <v>892</v>
      </c>
      <c r="B909" s="584">
        <v>4</v>
      </c>
      <c r="C909" s="589">
        <v>45957</v>
      </c>
      <c r="D909" s="582">
        <f t="shared" si="34"/>
        <v>44</v>
      </c>
      <c r="E909" s="618" t="str">
        <f>+VLOOKUP(Tabla3[[#This Row],[PATENTE]],'BASE DATOS'!F:G,2,0)</f>
        <v xml:space="preserve">COLO - FTL525 </v>
      </c>
      <c r="F909" s="584" t="str">
        <f>+VLOOKUP(Tabla3[[#This Row],[PATENTE]],'BASE DATOS'!F:H,3,0)</f>
        <v>1P</v>
      </c>
      <c r="G909" s="584" t="str">
        <f>+VLOOKUP(Tabla3[[#This Row],[PATENTE]],'BASE DATOS'!F:I,4,0)</f>
        <v>NO</v>
      </c>
      <c r="H909" s="584" t="str">
        <f>+VLOOKUP(Tabla3[[#This Row],[PATENTE]],'BASE DATOS'!F:J,5,0)</f>
        <v>SI</v>
      </c>
      <c r="I909" s="584" t="str">
        <f>+VLOOKUP(Tabla3[[#This Row],[PATENTE]],'BASE DATOS'!F:K,6,0)</f>
        <v>NO</v>
      </c>
      <c r="J909" s="584">
        <f>+VLOOKUP(Tabla3[[#This Row],[PATENTE]],'BASE DATOS'!F:L,7,0)</f>
        <v>2008</v>
      </c>
      <c r="K909" s="619">
        <f>+VLOOKUP(Tabla3[[#This Row],[PATENTE]],'BASE DATOS'!F:M,8,0)</f>
        <v>17</v>
      </c>
    </row>
    <row r="910" spans="1:11" hidden="1">
      <c r="A910" s="578" t="s">
        <v>885</v>
      </c>
      <c r="B910" s="584">
        <v>4</v>
      </c>
      <c r="C910" s="589">
        <v>45957</v>
      </c>
      <c r="D910" s="582">
        <f t="shared" si="34"/>
        <v>44</v>
      </c>
      <c r="E910" s="618" t="str">
        <f>+VLOOKUP(Tabla3[[#This Row],[PATENTE]],'BASE DATOS'!F:G,2,0)</f>
        <v xml:space="preserve">TRANSP DON NENO - IES288 </v>
      </c>
      <c r="F910" s="584" t="str">
        <f>+VLOOKUP(Tabla3[[#This Row],[PATENTE]],'BASE DATOS'!F:H,3,0)</f>
        <v>2P</v>
      </c>
      <c r="G910" s="584" t="str">
        <f>+VLOOKUP(Tabla3[[#This Row],[PATENTE]],'BASE DATOS'!F:I,4,0)</f>
        <v>SI</v>
      </c>
      <c r="H910" s="584" t="str">
        <f>+VLOOKUP(Tabla3[[#This Row],[PATENTE]],'BASE DATOS'!F:J,5,0)</f>
        <v>SI</v>
      </c>
      <c r="I910" s="584" t="str">
        <f>+VLOOKUP(Tabla3[[#This Row],[PATENTE]],'BASE DATOS'!F:K,6,0)</f>
        <v>NO</v>
      </c>
      <c r="J910" s="584">
        <f>+VLOOKUP(Tabla3[[#This Row],[PATENTE]],'BASE DATOS'!F:L,7,0)</f>
        <v>2009</v>
      </c>
      <c r="K910" s="619">
        <f>+VLOOKUP(Tabla3[[#This Row],[PATENTE]],'BASE DATOS'!F:M,8,0)</f>
        <v>16</v>
      </c>
    </row>
    <row r="911" spans="1:11" hidden="1">
      <c r="A911" s="578" t="s">
        <v>901</v>
      </c>
      <c r="B911" s="584">
        <v>4</v>
      </c>
      <c r="C911" s="589">
        <v>45957</v>
      </c>
      <c r="D911" s="582">
        <f t="shared" si="34"/>
        <v>44</v>
      </c>
      <c r="E911" s="618" t="str">
        <f>+VLOOKUP(Tabla3[[#This Row],[PATENTE]],'BASE DATOS'!F:G,2,0)</f>
        <v xml:space="preserve">TRANSPORTE  GRACIELA - IYE750 </v>
      </c>
      <c r="F911" s="584" t="str">
        <f>+VLOOKUP(Tabla3[[#This Row],[PATENTE]],'BASE DATOS'!F:H,3,0)</f>
        <v>1P</v>
      </c>
      <c r="G911" s="584" t="str">
        <f>+VLOOKUP(Tabla3[[#This Row],[PATENTE]],'BASE DATOS'!F:I,4,0)</f>
        <v>NO</v>
      </c>
      <c r="H911" s="584" t="str">
        <f>+VLOOKUP(Tabla3[[#This Row],[PATENTE]],'BASE DATOS'!F:J,5,0)</f>
        <v>SI</v>
      </c>
      <c r="I911" s="584" t="str">
        <f>+VLOOKUP(Tabla3[[#This Row],[PATENTE]],'BASE DATOS'!F:K,6,0)</f>
        <v>NO</v>
      </c>
      <c r="J911" s="584">
        <f>+VLOOKUP(Tabla3[[#This Row],[PATENTE]],'BASE DATOS'!F:L,7,0)</f>
        <v>2009</v>
      </c>
      <c r="K911" s="619">
        <f>+VLOOKUP(Tabla3[[#This Row],[PATENTE]],'BASE DATOS'!F:M,8,0)</f>
        <v>16</v>
      </c>
    </row>
    <row r="912" spans="1:11" hidden="1">
      <c r="A912" s="578" t="s">
        <v>913</v>
      </c>
      <c r="B912" s="584">
        <v>4</v>
      </c>
      <c r="C912" s="589">
        <v>45957</v>
      </c>
      <c r="D912" s="582">
        <f t="shared" si="34"/>
        <v>44</v>
      </c>
      <c r="E912" s="618" t="str">
        <f>+VLOOKUP(Tabla3[[#This Row],[PATENTE]],'BASE DATOS'!F:G,2,0)</f>
        <v xml:space="preserve">TRANSP DON NENO - KSI803 </v>
      </c>
      <c r="F912" s="584" t="str">
        <f>+VLOOKUP(Tabla3[[#This Row],[PATENTE]],'BASE DATOS'!F:H,3,0)</f>
        <v>2P</v>
      </c>
      <c r="G912" s="584" t="str">
        <f>+VLOOKUP(Tabla3[[#This Row],[PATENTE]],'BASE DATOS'!F:I,4,0)</f>
        <v>SI</v>
      </c>
      <c r="H912" s="584" t="str">
        <f>+VLOOKUP(Tabla3[[#This Row],[PATENTE]],'BASE DATOS'!F:J,5,0)</f>
        <v>SI</v>
      </c>
      <c r="I912" s="584" t="str">
        <f>+VLOOKUP(Tabla3[[#This Row],[PATENTE]],'BASE DATOS'!F:K,6,0)</f>
        <v>NO</v>
      </c>
      <c r="J912" s="584">
        <f>+VLOOKUP(Tabla3[[#This Row],[PATENTE]],'BASE DATOS'!F:L,7,0)</f>
        <v>2012</v>
      </c>
      <c r="K912" s="619">
        <f>+VLOOKUP(Tabla3[[#This Row],[PATENTE]],'BASE DATOS'!F:M,8,0)</f>
        <v>13</v>
      </c>
    </row>
    <row r="913" spans="1:11" hidden="1">
      <c r="A913" s="581" t="s">
        <v>920</v>
      </c>
      <c r="B913" s="587">
        <v>4</v>
      </c>
      <c r="C913" s="589">
        <v>45957</v>
      </c>
      <c r="D913" s="583">
        <f t="shared" si="34"/>
        <v>44</v>
      </c>
      <c r="E913" s="620" t="str">
        <f>+VLOOKUP(Tabla3[[#This Row],[PATENTE]],'BASE DATOS'!F:G,2,0)</f>
        <v xml:space="preserve">TRANSP LAGOS - MRV682 </v>
      </c>
      <c r="F913" s="587" t="str">
        <f>+VLOOKUP(Tabla3[[#This Row],[PATENTE]],'BASE DATOS'!F:H,3,0)</f>
        <v>8P</v>
      </c>
      <c r="G913" s="587" t="str">
        <f>+VLOOKUP(Tabla3[[#This Row],[PATENTE]],'BASE DATOS'!F:I,4,0)</f>
        <v>SI</v>
      </c>
      <c r="H913" s="584" t="str">
        <f>+VLOOKUP(Tabla3[[#This Row],[PATENTE]],'BASE DATOS'!F:J,5,0)</f>
        <v>SI</v>
      </c>
      <c r="I913" s="587" t="str">
        <f>+VLOOKUP(Tabla3[[#This Row],[PATENTE]],'BASE DATOS'!F:K,6,0)</f>
        <v>NO</v>
      </c>
      <c r="J913" s="587">
        <f>+VLOOKUP(Tabla3[[#This Row],[PATENTE]],'BASE DATOS'!F:L,7,0)</f>
        <v>2013</v>
      </c>
      <c r="K913" s="621">
        <f>+VLOOKUP(Tabla3[[#This Row],[PATENTE]],'BASE DATOS'!F:M,8,0)</f>
        <v>12</v>
      </c>
    </row>
    <row r="914" spans="1:11" hidden="1">
      <c r="A914" s="578" t="s">
        <v>896</v>
      </c>
      <c r="B914" s="584">
        <v>4</v>
      </c>
      <c r="C914" s="589">
        <v>45957</v>
      </c>
      <c r="D914" s="582">
        <f t="shared" ref="D914:D945" si="35">+WEEKNUM(C914)</f>
        <v>44</v>
      </c>
      <c r="E914" s="618" t="str">
        <f>+VLOOKUP(Tabla3[[#This Row],[PATENTE]],'BASE DATOS'!F:G,2,0)</f>
        <v xml:space="preserve">TRANSP MAVIR - RHQ609 </v>
      </c>
      <c r="F914" s="584" t="str">
        <f>+VLOOKUP(Tabla3[[#This Row],[PATENTE]],'BASE DATOS'!F:H,3,0)</f>
        <v>10P</v>
      </c>
      <c r="G914" s="584" t="str">
        <f>+VLOOKUP(Tabla3[[#This Row],[PATENTE]],'BASE DATOS'!F:I,4,0)</f>
        <v>NO</v>
      </c>
      <c r="H914" s="584" t="str">
        <f>+VLOOKUP(Tabla3[[#This Row],[PATENTE]],'BASE DATOS'!F:J,5,0)</f>
        <v xml:space="preserve">NO </v>
      </c>
      <c r="I914" s="584" t="str">
        <f>+VLOOKUP(Tabla3[[#This Row],[PATENTE]],'BASE DATOS'!F:K,6,0)</f>
        <v>NO</v>
      </c>
      <c r="J914" s="584">
        <f>+VLOOKUP(Tabla3[[#This Row],[PATENTE]],'BASE DATOS'!F:L,7,0)</f>
        <v>1995</v>
      </c>
      <c r="K914" s="593">
        <v>0</v>
      </c>
    </row>
    <row r="915" spans="1:11" hidden="1">
      <c r="A915" s="578" t="s">
        <v>919</v>
      </c>
      <c r="B915" s="584">
        <v>3</v>
      </c>
      <c r="C915" s="589">
        <v>45957</v>
      </c>
      <c r="D915" s="582">
        <f t="shared" si="35"/>
        <v>44</v>
      </c>
      <c r="E915" s="618" t="str">
        <f>+VLOOKUP(Tabla3[[#This Row],[PATENTE]],'BASE DATOS'!F:G,2,0)</f>
        <v xml:space="preserve">GUSTAVO CERQUETTA - AA427LT </v>
      </c>
      <c r="F915" s="584" t="str">
        <f>+VLOOKUP(Tabla3[[#This Row],[PATENTE]],'BASE DATOS'!F:H,3,0)</f>
        <v>1P</v>
      </c>
      <c r="G915" s="584" t="str">
        <f>+VLOOKUP(Tabla3[[#This Row],[PATENTE]],'BASE DATOS'!F:I,4,0)</f>
        <v>NO</v>
      </c>
      <c r="H915" s="584" t="str">
        <f>+VLOOKUP(Tabla3[[#This Row],[PATENTE]],'BASE DATOS'!F:J,5,0)</f>
        <v>SI</v>
      </c>
      <c r="I915" s="584" t="str">
        <f>+VLOOKUP(Tabla3[[#This Row],[PATENTE]],'BASE DATOS'!F:K,6,0)</f>
        <v>NO</v>
      </c>
      <c r="J915" s="584">
        <f>+VLOOKUP(Tabla3[[#This Row],[PATENTE]],'BASE DATOS'!F:L,7,0)</f>
        <v>2016</v>
      </c>
      <c r="K915" s="619">
        <f>+VLOOKUP(Tabla3[[#This Row],[PATENTE]],'BASE DATOS'!F:M,8,0)</f>
        <v>9</v>
      </c>
    </row>
    <row r="916" spans="1:11" hidden="1">
      <c r="A916" s="578" t="s">
        <v>890</v>
      </c>
      <c r="B916" s="584">
        <v>3</v>
      </c>
      <c r="C916" s="589">
        <v>45957</v>
      </c>
      <c r="D916" s="582">
        <f t="shared" si="35"/>
        <v>44</v>
      </c>
      <c r="E916" s="618" t="str">
        <f>+VLOOKUP(Tabla3[[#This Row],[PATENTE]],'BASE DATOS'!F:G,2,0)</f>
        <v xml:space="preserve">TRANSPORTE GRACIELA - AC040RO </v>
      </c>
      <c r="F916" s="584" t="str">
        <f>+VLOOKUP(Tabla3[[#This Row],[PATENTE]],'BASE DATOS'!F:H,3,0)</f>
        <v>1P</v>
      </c>
      <c r="G916" s="584" t="str">
        <f>+VLOOKUP(Tabla3[[#This Row],[PATENTE]],'BASE DATOS'!F:I,4,0)</f>
        <v>SI</v>
      </c>
      <c r="H916" s="584" t="str">
        <f>+VLOOKUP(Tabla3[[#This Row],[PATENTE]],'BASE DATOS'!F:J,5,0)</f>
        <v>ACEPTA( VER CAMI)</v>
      </c>
      <c r="I916" s="584" t="str">
        <f>+VLOOKUP(Tabla3[[#This Row],[PATENTE]],'BASE DATOS'!F:K,6,0)</f>
        <v>NO</v>
      </c>
      <c r="J916" s="584">
        <f>+VLOOKUP(Tabla3[[#This Row],[PATENTE]],'BASE DATOS'!F:L,7,0)</f>
        <v>2017</v>
      </c>
      <c r="K916" s="619">
        <f>+VLOOKUP(Tabla3[[#This Row],[PATENTE]],'BASE DATOS'!F:M,8,0)</f>
        <v>8</v>
      </c>
    </row>
    <row r="917" spans="1:11" hidden="1">
      <c r="A917" s="578" t="s">
        <v>883</v>
      </c>
      <c r="B917" s="584">
        <v>3</v>
      </c>
      <c r="C917" s="589">
        <v>45957</v>
      </c>
      <c r="D917" s="582">
        <f t="shared" si="35"/>
        <v>44</v>
      </c>
      <c r="E917" s="618" t="str">
        <f>+VLOOKUP(Tabla3[[#This Row],[PATENTE]],'BASE DATOS'!F:G,2,0)</f>
        <v xml:space="preserve">PACHECO JULIO - ACI503 </v>
      </c>
      <c r="F917" s="584" t="str">
        <f>+VLOOKUP(Tabla3[[#This Row],[PATENTE]],'BASE DATOS'!F:H,3,0)</f>
        <v>12P</v>
      </c>
      <c r="G917" s="584" t="str">
        <f>+VLOOKUP(Tabla3[[#This Row],[PATENTE]],'BASE DATOS'!F:I,4,0)</f>
        <v>NO</v>
      </c>
      <c r="H917" s="584" t="str">
        <f>+VLOOKUP(Tabla3[[#This Row],[PATENTE]],'BASE DATOS'!F:J,5,0)</f>
        <v>SI</v>
      </c>
      <c r="I917" s="584" t="str">
        <f>+VLOOKUP(Tabla3[[#This Row],[PATENTE]],'BASE DATOS'!F:K,6,0)</f>
        <v>SI</v>
      </c>
      <c r="J917" s="584">
        <f>+VLOOKUP(Tabla3[[#This Row],[PATENTE]],'BASE DATOS'!F:L,7,0)</f>
        <v>2000</v>
      </c>
      <c r="K917" s="619">
        <f>+VLOOKUP(Tabla3[[#This Row],[PATENTE]],'BASE DATOS'!F:M,8,0)</f>
        <v>25</v>
      </c>
    </row>
    <row r="918" spans="1:11" hidden="1">
      <c r="A918" s="578" t="s">
        <v>903</v>
      </c>
      <c r="B918" s="584">
        <v>3</v>
      </c>
      <c r="C918" s="589">
        <v>45957</v>
      </c>
      <c r="D918" s="582">
        <f t="shared" si="35"/>
        <v>44</v>
      </c>
      <c r="E918" s="618" t="str">
        <f>+VLOOKUP(Tabla3[[#This Row],[PATENTE]],'BASE DATOS'!F:G,2,0)</f>
        <v xml:space="preserve">TRANSP CLAUDIO BUSTOS - AG243PE </v>
      </c>
      <c r="F918" s="584" t="str">
        <f>+VLOOKUP(Tabla3[[#This Row],[PATENTE]],'BASE DATOS'!F:H,3,0)</f>
        <v>1P</v>
      </c>
      <c r="G918" s="584" t="str">
        <f>+VLOOKUP(Tabla3[[#This Row],[PATENTE]],'BASE DATOS'!F:I,4,0)</f>
        <v>SI</v>
      </c>
      <c r="H918" s="584" t="str">
        <f>+VLOOKUP(Tabla3[[#This Row],[PATENTE]],'BASE DATOS'!F:J,5,0)</f>
        <v>SI</v>
      </c>
      <c r="I918" s="584" t="str">
        <f>+VLOOKUP(Tabla3[[#This Row],[PATENTE]],'BASE DATOS'!F:K,6,0)</f>
        <v>NO</v>
      </c>
      <c r="J918" s="584">
        <f>+VLOOKUP(Tabla3[[#This Row],[PATENTE]],'BASE DATOS'!F:L,7,0)</f>
        <v>2024</v>
      </c>
      <c r="K918" s="619">
        <f>+VLOOKUP(Tabla3[[#This Row],[PATENTE]],'BASE DATOS'!F:M,8,0)</f>
        <v>1</v>
      </c>
    </row>
    <row r="919" spans="1:11" hidden="1">
      <c r="A919" s="578" t="s">
        <v>921</v>
      </c>
      <c r="B919" s="584">
        <v>3</v>
      </c>
      <c r="C919" s="589">
        <v>45957</v>
      </c>
      <c r="D919" s="582">
        <f t="shared" si="35"/>
        <v>44</v>
      </c>
      <c r="E919" s="618" t="str">
        <f>+VLOOKUP(Tabla3[[#This Row],[PATENTE]],'BASE DATOS'!F:G,2,0)</f>
        <v xml:space="preserve">MAÑAS NORBERTO - CQQ304 </v>
      </c>
      <c r="F919" s="584" t="str">
        <f>+VLOOKUP(Tabla3[[#This Row],[PATENTE]],'BASE DATOS'!F:H,3,0)</f>
        <v>11P</v>
      </c>
      <c r="G919" s="584" t="str">
        <f>+VLOOKUP(Tabla3[[#This Row],[PATENTE]],'BASE DATOS'!F:I,4,0)</f>
        <v>SI</v>
      </c>
      <c r="H919" s="584" t="str">
        <f>+VLOOKUP(Tabla3[[#This Row],[PATENTE]],'BASE DATOS'!F:J,5,0)</f>
        <v>SI</v>
      </c>
      <c r="I919" s="584" t="str">
        <f>+VLOOKUP(Tabla3[[#This Row],[PATENTE]],'BASE DATOS'!F:K,6,0)</f>
        <v>NO</v>
      </c>
      <c r="J919" s="584">
        <f>+VLOOKUP(Tabla3[[#This Row],[PATENTE]],'BASE DATOS'!F:L,7,0)</f>
        <v>2000</v>
      </c>
      <c r="K919" s="619">
        <f>+VLOOKUP(Tabla3[[#This Row],[PATENTE]],'BASE DATOS'!F:M,8,0)</f>
        <v>25</v>
      </c>
    </row>
    <row r="920" spans="1:11" hidden="1">
      <c r="A920" s="578" t="s">
        <v>900</v>
      </c>
      <c r="B920" s="584">
        <v>3</v>
      </c>
      <c r="C920" s="589">
        <v>45957</v>
      </c>
      <c r="D920" s="582">
        <f t="shared" si="35"/>
        <v>44</v>
      </c>
      <c r="E920" s="618" t="str">
        <f>+VLOOKUP(Tabla3[[#This Row],[PATENTE]],'BASE DATOS'!F:G,2,0)</f>
        <v>TRANSPORTE GENA GAIA - IMO939</v>
      </c>
      <c r="F920" s="584" t="str">
        <f>+VLOOKUP(Tabla3[[#This Row],[PATENTE]],'BASE DATOS'!F:H,3,0)</f>
        <v>24P</v>
      </c>
      <c r="G920" s="584" t="str">
        <f>+VLOOKUP(Tabla3[[#This Row],[PATENTE]],'BASE DATOS'!F:I,4,0)</f>
        <v>Gestya</v>
      </c>
      <c r="H920" s="584" t="str">
        <f>+VLOOKUP(Tabla3[[#This Row],[PATENTE]],'BASE DATOS'!F:J,5,0)</f>
        <v xml:space="preserve">NO </v>
      </c>
      <c r="I920" s="584" t="str">
        <f>+VLOOKUP(Tabla3[[#This Row],[PATENTE]],'BASE DATOS'!F:K,6,0)</f>
        <v>NO</v>
      </c>
      <c r="J920" s="584">
        <f>+VLOOKUP(Tabla3[[#This Row],[PATENTE]],'BASE DATOS'!F:L,7,0)</f>
        <v>2010</v>
      </c>
      <c r="K920" s="619">
        <f>+VLOOKUP(Tabla3[[#This Row],[PATENTE]],'BASE DATOS'!F:M,8,0)</f>
        <v>15</v>
      </c>
    </row>
    <row r="921" spans="1:11" hidden="1">
      <c r="A921" s="578" t="s">
        <v>906</v>
      </c>
      <c r="B921" s="584">
        <v>2</v>
      </c>
      <c r="C921" s="589">
        <v>45957</v>
      </c>
      <c r="D921" s="582">
        <f t="shared" si="35"/>
        <v>44</v>
      </c>
      <c r="E921" s="618" t="str">
        <f>+VLOOKUP(Tabla3[[#This Row],[PATENTE]],'BASE DATOS'!F:G,2,0)</f>
        <v xml:space="preserve">VAZQUEZ (TRV SRL) - AD472GK </v>
      </c>
      <c r="F921" s="584" t="str">
        <f>+VLOOKUP(Tabla3[[#This Row],[PATENTE]],'BASE DATOS'!F:H,3,0)</f>
        <v>8P</v>
      </c>
      <c r="G921" s="584" t="str">
        <f>+VLOOKUP(Tabla3[[#This Row],[PATENTE]],'BASE DATOS'!F:I,4,0)</f>
        <v>NO</v>
      </c>
      <c r="H921" s="584" t="str">
        <f>+VLOOKUP(Tabla3[[#This Row],[PATENTE]],'BASE DATOS'!F:J,5,0)</f>
        <v>NO</v>
      </c>
      <c r="I921" s="584" t="str">
        <f>+VLOOKUP(Tabla3[[#This Row],[PATENTE]],'BASE DATOS'!F:K,6,0)</f>
        <v>SI</v>
      </c>
      <c r="J921" s="584">
        <f>+VLOOKUP(Tabla3[[#This Row],[PATENTE]],'BASE DATOS'!F:L,7,0)</f>
        <v>2019</v>
      </c>
      <c r="K921" s="619">
        <f>+VLOOKUP(Tabla3[[#This Row],[PATENTE]],'BASE DATOS'!F:M,8,0)</f>
        <v>6</v>
      </c>
    </row>
    <row r="922" spans="1:11" hidden="1">
      <c r="A922" s="578" t="s">
        <v>880</v>
      </c>
      <c r="B922" s="584">
        <v>2</v>
      </c>
      <c r="C922" s="589">
        <v>45957</v>
      </c>
      <c r="D922" s="582">
        <f t="shared" si="35"/>
        <v>44</v>
      </c>
      <c r="E922" s="618" t="str">
        <f>+VLOOKUP(Tabla3[[#This Row],[PATENTE]],'BASE DATOS'!F:G,2,0)</f>
        <v xml:space="preserve">LAURIA (SERVAL) - AD575XK </v>
      </c>
      <c r="F922" s="584" t="str">
        <f>+VLOOKUP(Tabla3[[#This Row],[PATENTE]],'BASE DATOS'!F:H,3,0)</f>
        <v>8P</v>
      </c>
      <c r="G922" s="584" t="str">
        <f>+VLOOKUP(Tabla3[[#This Row],[PATENTE]],'BASE DATOS'!F:I,4,0)</f>
        <v>SI</v>
      </c>
      <c r="H922" s="584" t="str">
        <f>+VLOOKUP(Tabla3[[#This Row],[PATENTE]],'BASE DATOS'!F:J,5,0)</f>
        <v>SI</v>
      </c>
      <c r="I922" s="584" t="str">
        <f>+VLOOKUP(Tabla3[[#This Row],[PATENTE]],'BASE DATOS'!F:K,6,0)</f>
        <v>NO</v>
      </c>
      <c r="J922" s="584">
        <f>+VLOOKUP(Tabla3[[#This Row],[PATENTE]],'BASE DATOS'!F:L,7,0)</f>
        <v>2019</v>
      </c>
      <c r="K922" s="619">
        <f>+VLOOKUP(Tabla3[[#This Row],[PATENTE]],'BASE DATOS'!F:M,8,0)</f>
        <v>6</v>
      </c>
    </row>
    <row r="923" spans="1:11" hidden="1">
      <c r="A923" s="578" t="s">
        <v>933</v>
      </c>
      <c r="B923" s="584">
        <v>2</v>
      </c>
      <c r="C923" s="589">
        <v>45957</v>
      </c>
      <c r="D923" s="582">
        <f t="shared" si="35"/>
        <v>44</v>
      </c>
      <c r="E923" s="618" t="str">
        <f>+VLOOKUP(Tabla3[[#This Row],[PATENTE]],'BASE DATOS'!F:G,2,0)</f>
        <v xml:space="preserve">TRANSPORTE GENA GAIA - IKE806 </v>
      </c>
      <c r="F923" s="584" t="str">
        <f>+VLOOKUP(Tabla3[[#This Row],[PATENTE]],'BASE DATOS'!F:H,3,0)</f>
        <v>24P</v>
      </c>
      <c r="G923" s="584" t="str">
        <f>+VLOOKUP(Tabla3[[#This Row],[PATENTE]],'BASE DATOS'!F:I,4,0)</f>
        <v>Gestya</v>
      </c>
      <c r="H923" s="584" t="str">
        <f>+VLOOKUP(Tabla3[[#This Row],[PATENTE]],'BASE DATOS'!F:J,5,0)</f>
        <v xml:space="preserve">NO </v>
      </c>
      <c r="I923" s="584" t="str">
        <f>+VLOOKUP(Tabla3[[#This Row],[PATENTE]],'BASE DATOS'!F:K,6,0)</f>
        <v>NO</v>
      </c>
      <c r="J923" s="584">
        <f>+VLOOKUP(Tabla3[[#This Row],[PATENTE]],'BASE DATOS'!F:L,7,0)</f>
        <v>2010</v>
      </c>
      <c r="K923" s="619">
        <f>+VLOOKUP(Tabla3[[#This Row],[PATENTE]],'BASE DATOS'!F:M,8,0)</f>
        <v>15</v>
      </c>
    </row>
    <row r="924" spans="1:11" hidden="1">
      <c r="A924" s="578" t="s">
        <v>925</v>
      </c>
      <c r="B924" s="584">
        <v>2</v>
      </c>
      <c r="C924" s="589">
        <v>45957</v>
      </c>
      <c r="D924" s="582">
        <f t="shared" si="35"/>
        <v>44</v>
      </c>
      <c r="E924" s="618" t="str">
        <f>+VLOOKUP(Tabla3[[#This Row],[PATENTE]],'BASE DATOS'!F:G,2,0)</f>
        <v xml:space="preserve">TRANSP MAIDANA FACUNDO - KOW745 </v>
      </c>
      <c r="F924" s="584" t="str">
        <f>+VLOOKUP(Tabla3[[#This Row],[PATENTE]],'BASE DATOS'!F:H,3,0)</f>
        <v>8P</v>
      </c>
      <c r="G924" s="584" t="str">
        <f>+VLOOKUP(Tabla3[[#This Row],[PATENTE]],'BASE DATOS'!F:I,4,0)</f>
        <v>SI</v>
      </c>
      <c r="H924" s="584" t="str">
        <f>+VLOOKUP(Tabla3[[#This Row],[PATENTE]],'BASE DATOS'!F:J,5,0)</f>
        <v>SI</v>
      </c>
      <c r="I924" s="584" t="str">
        <f>+VLOOKUP(Tabla3[[#This Row],[PATENTE]],'BASE DATOS'!F:K,6,0)</f>
        <v>NO</v>
      </c>
      <c r="J924" s="584">
        <f>+VLOOKUP(Tabla3[[#This Row],[PATENTE]],'BASE DATOS'!F:L,7,0)</f>
        <v>2012</v>
      </c>
      <c r="K924" s="619">
        <f>+VLOOKUP(Tabla3[[#This Row],[PATENTE]],'BASE DATOS'!F:M,8,0)</f>
        <v>13</v>
      </c>
    </row>
    <row r="925" spans="1:11" hidden="1">
      <c r="A925" s="578" t="s">
        <v>1133</v>
      </c>
      <c r="B925" s="584">
        <v>1</v>
      </c>
      <c r="C925" s="589">
        <v>45957</v>
      </c>
      <c r="D925" s="582">
        <f t="shared" si="35"/>
        <v>44</v>
      </c>
      <c r="E925" s="618" t="str">
        <f>+VLOOKUP(Tabla3[[#This Row],[PATENTE]],'BASE DATOS'!F:G,2,0)</f>
        <v xml:space="preserve">BELLIMAR SRL - AB787MT </v>
      </c>
      <c r="F925" s="584" t="str">
        <f>+VLOOKUP(Tabla3[[#This Row],[PATENTE]],'BASE DATOS'!F:H,3,0)</f>
        <v>28P</v>
      </c>
      <c r="G925" s="584" t="str">
        <f>+VLOOKUP(Tabla3[[#This Row],[PATENTE]],'BASE DATOS'!F:I,4,0)</f>
        <v>NO</v>
      </c>
      <c r="H925" s="584" t="str">
        <f>+VLOOKUP(Tabla3[[#This Row],[PATENTE]],'BASE DATOS'!F:J,5,0)</f>
        <v xml:space="preserve">NO </v>
      </c>
      <c r="I925" s="584" t="str">
        <f>+VLOOKUP(Tabla3[[#This Row],[PATENTE]],'BASE DATOS'!F:K,6,0)</f>
        <v>NO</v>
      </c>
      <c r="J925" s="584">
        <f>+VLOOKUP(Tabla3[[#This Row],[PATENTE]],'BASE DATOS'!F:L,7,0)</f>
        <v>2017</v>
      </c>
      <c r="K925" s="619">
        <f>+VLOOKUP(Tabla3[[#This Row],[PATENTE]],'BASE DATOS'!F:M,8,0)</f>
        <v>8</v>
      </c>
    </row>
    <row r="926" spans="1:11" hidden="1">
      <c r="A926" s="578" t="s">
        <v>1134</v>
      </c>
      <c r="B926" s="584">
        <v>1</v>
      </c>
      <c r="C926" s="589">
        <v>45957</v>
      </c>
      <c r="D926" s="582">
        <f t="shared" si="35"/>
        <v>44</v>
      </c>
      <c r="E926" s="618" t="str">
        <f>+VLOOKUP(Tabla3[[#This Row],[PATENTE]],'BASE DATOS'!F:G,2,0)</f>
        <v>GANZINI HUGO- 8P</v>
      </c>
      <c r="F926" s="584" t="str">
        <f>+VLOOKUP(Tabla3[[#This Row],[PATENTE]],'BASE DATOS'!F:H,3,0)</f>
        <v>8P</v>
      </c>
      <c r="G926" s="584" t="str">
        <f>+VLOOKUP(Tabla3[[#This Row],[PATENTE]],'BASE DATOS'!F:I,4,0)</f>
        <v>NO</v>
      </c>
      <c r="H926" s="584" t="str">
        <f>+VLOOKUP(Tabla3[[#This Row],[PATENTE]],'BASE DATOS'!F:J,5,0)</f>
        <v xml:space="preserve">NO </v>
      </c>
      <c r="I926" s="584" t="str">
        <f>+VLOOKUP(Tabla3[[#This Row],[PATENTE]],'BASE DATOS'!F:K,6,0)</f>
        <v>NO</v>
      </c>
      <c r="J926" s="584">
        <f>+VLOOKUP(Tabla3[[#This Row],[PATENTE]],'BASE DATOS'!F:L,7,0)</f>
        <v>2018</v>
      </c>
      <c r="K926" s="619">
        <f>+VLOOKUP(Tabla3[[#This Row],[PATENTE]],'BASE DATOS'!F:M,8,0)</f>
        <v>7</v>
      </c>
    </row>
    <row r="927" spans="1:11" hidden="1">
      <c r="A927" s="578" t="s">
        <v>1168</v>
      </c>
      <c r="B927" s="584">
        <v>1</v>
      </c>
      <c r="C927" s="589">
        <v>45957</v>
      </c>
      <c r="D927" s="582">
        <f t="shared" si="35"/>
        <v>44</v>
      </c>
      <c r="E927" s="618" t="str">
        <f>+VLOOKUP(Tabla3[[#This Row],[PATENTE]],'BASE DATOS'!F:G,2,0)</f>
        <v>BELLIMAR SRL - AH493TR - 24P</v>
      </c>
      <c r="F927" s="584" t="str">
        <f>+VLOOKUP(Tabla3[[#This Row],[PATENTE]],'BASE DATOS'!F:H,3,0)</f>
        <v>24P</v>
      </c>
      <c r="G927" s="584" t="str">
        <f>+VLOOKUP(Tabla3[[#This Row],[PATENTE]],'BASE DATOS'!F:I,4,0)</f>
        <v>SI</v>
      </c>
      <c r="H927" s="584" t="str">
        <f>+VLOOKUP(Tabla3[[#This Row],[PATENTE]],'BASE DATOS'!F:J,5,0)</f>
        <v xml:space="preserve">NO </v>
      </c>
      <c r="I927" s="584" t="str">
        <f>+VLOOKUP(Tabla3[[#This Row],[PATENTE]],'BASE DATOS'!F:K,6,0)</f>
        <v>NO</v>
      </c>
      <c r="J927" s="584">
        <f>+VLOOKUP(Tabla3[[#This Row],[PATENTE]],'BASE DATOS'!F:L,7,0)</f>
        <v>2025</v>
      </c>
      <c r="K927" s="619">
        <f>+VLOOKUP(Tabla3[[#This Row],[PATENTE]],'BASE DATOS'!F:M,8,0)</f>
        <v>0</v>
      </c>
    </row>
    <row r="928" spans="1:11" hidden="1">
      <c r="A928" s="578" t="s">
        <v>942</v>
      </c>
      <c r="B928" s="584">
        <v>1</v>
      </c>
      <c r="C928" s="589">
        <v>45957</v>
      </c>
      <c r="D928" s="582">
        <f t="shared" si="35"/>
        <v>44</v>
      </c>
      <c r="E928" s="618" t="str">
        <f>+VLOOKUP(Tabla3[[#This Row],[PATENTE]],'BASE DATOS'!F:G,2,0)</f>
        <v>GANZINI HUGO - AH599 - 1P</v>
      </c>
      <c r="F928" s="584" t="str">
        <f>+VLOOKUP(Tabla3[[#This Row],[PATENTE]],'BASE DATOS'!F:H,3,0)</f>
        <v>1P</v>
      </c>
      <c r="G928" s="584" t="str">
        <f>+VLOOKUP(Tabla3[[#This Row],[PATENTE]],'BASE DATOS'!F:I,4,0)</f>
        <v>NO</v>
      </c>
      <c r="H928" s="584" t="str">
        <f>+VLOOKUP(Tabla3[[#This Row],[PATENTE]],'BASE DATOS'!F:J,5,0)</f>
        <v>NO</v>
      </c>
      <c r="I928" s="584" t="str">
        <f>+VLOOKUP(Tabla3[[#This Row],[PATENTE]],'BASE DATOS'!F:K,6,0)</f>
        <v>NO</v>
      </c>
      <c r="J928" s="584">
        <f>+VLOOKUP(Tabla3[[#This Row],[PATENTE]],'BASE DATOS'!F:L,7,0)</f>
        <v>2025</v>
      </c>
      <c r="K928" s="619">
        <f>+VLOOKUP(Tabla3[[#This Row],[PATENTE]],'BASE DATOS'!F:M,8,0)</f>
        <v>0</v>
      </c>
    </row>
    <row r="929" spans="1:11" hidden="1">
      <c r="A929" s="578" t="s">
        <v>944</v>
      </c>
      <c r="B929" s="584">
        <v>1</v>
      </c>
      <c r="C929" s="589">
        <v>45957</v>
      </c>
      <c r="D929" s="582">
        <f t="shared" si="35"/>
        <v>44</v>
      </c>
      <c r="E929" s="618" t="str">
        <f>+VLOOKUP(Tabla3[[#This Row],[PATENTE]],'BASE DATOS'!F:G,2,0)</f>
        <v xml:space="preserve">TRANSPORTE GENA GAIA - BHG261 </v>
      </c>
      <c r="F929" s="584" t="str">
        <f>+VLOOKUP(Tabla3[[#This Row],[PATENTE]],'BASE DATOS'!F:H,3,0)</f>
        <v>26P</v>
      </c>
      <c r="G929" s="584" t="str">
        <f>+VLOOKUP(Tabla3[[#This Row],[PATENTE]],'BASE DATOS'!F:I,4,0)</f>
        <v>Gestya</v>
      </c>
      <c r="H929" s="584" t="str">
        <f>+VLOOKUP(Tabla3[[#This Row],[PATENTE]],'BASE DATOS'!F:J,5,0)</f>
        <v xml:space="preserve">NO </v>
      </c>
      <c r="I929" s="584" t="str">
        <f>+VLOOKUP(Tabla3[[#This Row],[PATENTE]],'BASE DATOS'!F:K,6,0)</f>
        <v>NO</v>
      </c>
      <c r="J929" s="584">
        <f>+VLOOKUP(Tabla3[[#This Row],[PATENTE]],'BASE DATOS'!F:L,7,0)</f>
        <v>1997</v>
      </c>
      <c r="K929" s="619">
        <f>+VLOOKUP(Tabla3[[#This Row],[PATENTE]],'BASE DATOS'!F:M,8,0)</f>
        <v>28</v>
      </c>
    </row>
    <row r="930" spans="1:11" hidden="1">
      <c r="A930" s="578" t="s">
        <v>926</v>
      </c>
      <c r="B930" s="584">
        <v>1</v>
      </c>
      <c r="C930" s="589">
        <v>45957</v>
      </c>
      <c r="D930" s="582">
        <f t="shared" si="35"/>
        <v>44</v>
      </c>
      <c r="E930" s="618" t="str">
        <f>+VLOOKUP(Tabla3[[#This Row],[PATENTE]],'BASE DATOS'!F:G,2,0)</f>
        <v xml:space="preserve">TRANSPORTE GENA GAIA - DUF042 </v>
      </c>
      <c r="F930" s="584" t="str">
        <f>+VLOOKUP(Tabla3[[#This Row],[PATENTE]],'BASE DATOS'!F:H,3,0)</f>
        <v>24P</v>
      </c>
      <c r="G930" s="584" t="str">
        <f>+VLOOKUP(Tabla3[[#This Row],[PATENTE]],'BASE DATOS'!F:I,4,0)</f>
        <v>Gestya</v>
      </c>
      <c r="H930" s="584" t="str">
        <f>+VLOOKUP(Tabla3[[#This Row],[PATENTE]],'BASE DATOS'!F:J,5,0)</f>
        <v xml:space="preserve">NO </v>
      </c>
      <c r="I930" s="584" t="str">
        <f>+VLOOKUP(Tabla3[[#This Row],[PATENTE]],'BASE DATOS'!F:K,6,0)</f>
        <v>NO</v>
      </c>
      <c r="J930" s="584">
        <f>+VLOOKUP(Tabla3[[#This Row],[PATENTE]],'BASE DATOS'!F:L,7,0)</f>
        <v>2001</v>
      </c>
      <c r="K930" s="619">
        <f>+VLOOKUP(Tabla3[[#This Row],[PATENTE]],'BASE DATOS'!F:M,8,0)</f>
        <v>24</v>
      </c>
    </row>
    <row r="931" spans="1:11" hidden="1">
      <c r="A931" s="578" t="s">
        <v>1128</v>
      </c>
      <c r="B931" s="584">
        <v>1</v>
      </c>
      <c r="C931" s="589">
        <v>45957</v>
      </c>
      <c r="D931" s="582">
        <f t="shared" si="35"/>
        <v>44</v>
      </c>
      <c r="E931" s="618" t="str">
        <f>+VLOOKUP(Tabla3[[#This Row],[PATENTE]],'BASE DATOS'!F:G,2,0)</f>
        <v xml:space="preserve">PRONTOMAR - EDW922 </v>
      </c>
      <c r="F931" s="584" t="str">
        <f>+VLOOKUP(Tabla3[[#This Row],[PATENTE]],'BASE DATOS'!F:H,3,0)</f>
        <v>14P</v>
      </c>
      <c r="G931" s="584" t="str">
        <f>+VLOOKUP(Tabla3[[#This Row],[PATENTE]],'BASE DATOS'!F:I,4,0)</f>
        <v>NO</v>
      </c>
      <c r="H931" s="584" t="str">
        <f>+VLOOKUP(Tabla3[[#This Row],[PATENTE]],'BASE DATOS'!F:J,5,0)</f>
        <v xml:space="preserve">NO </v>
      </c>
      <c r="I931" s="584" t="str">
        <f>+VLOOKUP(Tabla3[[#This Row],[PATENTE]],'BASE DATOS'!F:K,6,0)</f>
        <v>NO</v>
      </c>
      <c r="J931" s="584">
        <f>+VLOOKUP(Tabla3[[#This Row],[PATENTE]],'BASE DATOS'!F:L,7,0)</f>
        <v>2003</v>
      </c>
      <c r="K931" s="619">
        <f>+VLOOKUP(Tabla3[[#This Row],[PATENTE]],'BASE DATOS'!F:M,8,0)</f>
        <v>22</v>
      </c>
    </row>
    <row r="932" spans="1:11" hidden="1">
      <c r="A932" s="578" t="s">
        <v>927</v>
      </c>
      <c r="B932" s="584">
        <v>1</v>
      </c>
      <c r="C932" s="589">
        <v>45957</v>
      </c>
      <c r="D932" s="582">
        <f t="shared" si="35"/>
        <v>44</v>
      </c>
      <c r="E932" s="618" t="str">
        <f>+VLOOKUP(Tabla3[[#This Row],[PATENTE]],'BASE DATOS'!F:G,2,0)</f>
        <v xml:space="preserve">TRANSP MAVIR - EKE275 </v>
      </c>
      <c r="F932" s="584" t="str">
        <f>+VLOOKUP(Tabla3[[#This Row],[PATENTE]],'BASE DATOS'!F:H,3,0)</f>
        <v>11P</v>
      </c>
      <c r="G932" s="584" t="str">
        <f>+VLOOKUP(Tabla3[[#This Row],[PATENTE]],'BASE DATOS'!F:I,4,0)</f>
        <v>NO</v>
      </c>
      <c r="H932" s="584" t="str">
        <f>+VLOOKUP(Tabla3[[#This Row],[PATENTE]],'BASE DATOS'!F:J,5,0)</f>
        <v xml:space="preserve">NO </v>
      </c>
      <c r="I932" s="584" t="str">
        <f>+VLOOKUP(Tabla3[[#This Row],[PATENTE]],'BASE DATOS'!F:K,6,0)</f>
        <v>NO</v>
      </c>
      <c r="J932" s="584">
        <f>+VLOOKUP(Tabla3[[#This Row],[PATENTE]],'BASE DATOS'!F:L,7,0)</f>
        <v>2004</v>
      </c>
      <c r="K932" s="593">
        <v>0</v>
      </c>
    </row>
    <row r="933" spans="1:11" hidden="1">
      <c r="A933" s="578" t="s">
        <v>930</v>
      </c>
      <c r="B933" s="584">
        <v>1</v>
      </c>
      <c r="C933" s="589">
        <v>45957</v>
      </c>
      <c r="D933" s="582">
        <f t="shared" si="35"/>
        <v>44</v>
      </c>
      <c r="E933" s="618" t="str">
        <f>+VLOOKUP(Tabla3[[#This Row],[PATENTE]],'BASE DATOS'!F:G,2,0)</f>
        <v xml:space="preserve">GANZINI HUGO - JJF375 </v>
      </c>
      <c r="F933" s="584" t="str">
        <f>+VLOOKUP(Tabla3[[#This Row],[PATENTE]],'BASE DATOS'!F:H,3,0)</f>
        <v>14P</v>
      </c>
      <c r="G933" s="584" t="str">
        <f>+VLOOKUP(Tabla3[[#This Row],[PATENTE]],'BASE DATOS'!F:I,4,0)</f>
        <v>SI</v>
      </c>
      <c r="H933" s="584" t="str">
        <f>+VLOOKUP(Tabla3[[#This Row],[PATENTE]],'BASE DATOS'!F:J,5,0)</f>
        <v xml:space="preserve">NO </v>
      </c>
      <c r="I933" s="584" t="str">
        <f>+VLOOKUP(Tabla3[[#This Row],[PATENTE]],'BASE DATOS'!F:K,6,0)</f>
        <v>NO</v>
      </c>
      <c r="J933" s="584">
        <f>+VLOOKUP(Tabla3[[#This Row],[PATENTE]],'BASE DATOS'!F:L,7,0)</f>
        <v>2011</v>
      </c>
      <c r="K933" s="619">
        <f>+VLOOKUP(Tabla3[[#This Row],[PATENTE]],'BASE DATOS'!F:M,8,0)</f>
        <v>14</v>
      </c>
    </row>
    <row r="934" spans="1:11" hidden="1">
      <c r="A934" s="578" t="s">
        <v>898</v>
      </c>
      <c r="B934" s="584">
        <v>7</v>
      </c>
      <c r="C934" s="589">
        <v>45964</v>
      </c>
      <c r="D934" s="582">
        <f t="shared" si="35"/>
        <v>45</v>
      </c>
      <c r="E934" s="618" t="str">
        <f>+VLOOKUP(Tabla3[[#This Row],[PATENTE]],'BASE DATOS'!F:G,2,0)</f>
        <v xml:space="preserve">TRANSP BERMEJO - NXP980 </v>
      </c>
      <c r="F934" s="584" t="str">
        <f>+VLOOKUP(Tabla3[[#This Row],[PATENTE]],'BASE DATOS'!F:H,3,0)</f>
        <v>12P</v>
      </c>
      <c r="G934" s="584" t="str">
        <f>+VLOOKUP(Tabla3[[#This Row],[PATENTE]],'BASE DATOS'!F:I,4,0)</f>
        <v>SI</v>
      </c>
      <c r="H934" s="584" t="str">
        <f>+VLOOKUP(Tabla3[[#This Row],[PATENTE]],'BASE DATOS'!F:J,5,0)</f>
        <v>SI</v>
      </c>
      <c r="I934" s="584" t="str">
        <f>+VLOOKUP(Tabla3[[#This Row],[PATENTE]],'BASE DATOS'!F:K,6,0)</f>
        <v>SI</v>
      </c>
      <c r="J934" s="584">
        <f>+VLOOKUP(Tabla3[[#This Row],[PATENTE]],'BASE DATOS'!F:L,7,0)</f>
        <v>2015</v>
      </c>
      <c r="K934" s="619">
        <f>+VLOOKUP(Tabla3[[#This Row],[PATENTE]],'BASE DATOS'!F:M,8,0)</f>
        <v>10</v>
      </c>
    </row>
    <row r="935" spans="1:11" hidden="1">
      <c r="A935" s="578" t="s">
        <v>905</v>
      </c>
      <c r="B935" s="584">
        <v>6</v>
      </c>
      <c r="C935" s="589">
        <v>45964</v>
      </c>
      <c r="D935" s="582">
        <f t="shared" si="35"/>
        <v>45</v>
      </c>
      <c r="E935" s="618" t="str">
        <f>+VLOOKUP(Tabla3[[#This Row],[PATENTE]],'BASE DATOS'!F:G,2,0)</f>
        <v xml:space="preserve">J RIMOLDI - AB312SE </v>
      </c>
      <c r="F935" s="584" t="str">
        <f>+VLOOKUP(Tabla3[[#This Row],[PATENTE]],'BASE DATOS'!F:H,3,0)</f>
        <v>8P</v>
      </c>
      <c r="G935" s="584" t="str">
        <f>+VLOOKUP(Tabla3[[#This Row],[PATENTE]],'BASE DATOS'!F:I,4,0)</f>
        <v>SI</v>
      </c>
      <c r="H935" s="584" t="str">
        <f>+VLOOKUP(Tabla3[[#This Row],[PATENTE]],'BASE DATOS'!F:J,5,0)</f>
        <v>SI</v>
      </c>
      <c r="I935" s="584" t="str">
        <f>+VLOOKUP(Tabla3[[#This Row],[PATENTE]],'BASE DATOS'!F:K,6,0)</f>
        <v>NO</v>
      </c>
      <c r="J935" s="584">
        <f>+VLOOKUP(Tabla3[[#This Row],[PATENTE]],'BASE DATOS'!F:L,7,0)</f>
        <v>2017</v>
      </c>
      <c r="K935" s="619">
        <f>+VLOOKUP(Tabla3[[#This Row],[PATENTE]],'BASE DATOS'!F:M,8,0)</f>
        <v>8</v>
      </c>
    </row>
    <row r="936" spans="1:11" hidden="1">
      <c r="A936" s="578" t="s">
        <v>907</v>
      </c>
      <c r="B936" s="584">
        <v>6</v>
      </c>
      <c r="C936" s="589">
        <v>45964</v>
      </c>
      <c r="D936" s="582">
        <f t="shared" si="35"/>
        <v>45</v>
      </c>
      <c r="E936" s="618" t="str">
        <f>+VLOOKUP(Tabla3[[#This Row],[PATENTE]],'BASE DATOS'!F:G,2,0)</f>
        <v xml:space="preserve">LAURIA (SERVAL) - AH583GW </v>
      </c>
      <c r="F936" s="584" t="str">
        <f>+VLOOKUP(Tabla3[[#This Row],[PATENTE]],'BASE DATOS'!F:H,3,0)</f>
        <v>8P</v>
      </c>
      <c r="G936" s="584" t="str">
        <f>+VLOOKUP(Tabla3[[#This Row],[PATENTE]],'BASE DATOS'!F:I,4,0)</f>
        <v>SI</v>
      </c>
      <c r="H936" s="584" t="str">
        <f>+VLOOKUP(Tabla3[[#This Row],[PATENTE]],'BASE DATOS'!F:J,5,0)</f>
        <v>SI</v>
      </c>
      <c r="I936" s="584" t="str">
        <f>+VLOOKUP(Tabla3[[#This Row],[PATENTE]],'BASE DATOS'!F:K,6,0)</f>
        <v>NO</v>
      </c>
      <c r="J936" s="584">
        <f>+VLOOKUP(Tabla3[[#This Row],[PATENTE]],'BASE DATOS'!F:L,7,0)</f>
        <v>2025</v>
      </c>
      <c r="K936" s="619">
        <f>+VLOOKUP(Tabla3[[#This Row],[PATENTE]],'BASE DATOS'!F:M,8,0)</f>
        <v>0</v>
      </c>
    </row>
    <row r="937" spans="1:11" hidden="1">
      <c r="A937" s="578" t="s">
        <v>904</v>
      </c>
      <c r="B937" s="584">
        <v>6</v>
      </c>
      <c r="C937" s="589">
        <v>45964</v>
      </c>
      <c r="D937" s="582">
        <f t="shared" si="35"/>
        <v>45</v>
      </c>
      <c r="E937" s="618" t="str">
        <f>+VLOOKUP(Tabla3[[#This Row],[PATENTE]],'BASE DATOS'!F:G,2,0)</f>
        <v xml:space="preserve">ENRIQUE ROLLINO - DFO656 </v>
      </c>
      <c r="F937" s="584" t="str">
        <f>+VLOOKUP(Tabla3[[#This Row],[PATENTE]],'BASE DATOS'!F:H,3,0)</f>
        <v>6P</v>
      </c>
      <c r="G937" s="584" t="str">
        <f>+VLOOKUP(Tabla3[[#This Row],[PATENTE]],'BASE DATOS'!F:I,4,0)</f>
        <v>SI</v>
      </c>
      <c r="H937" s="584" t="str">
        <f>+VLOOKUP(Tabla3[[#This Row],[PATENTE]],'BASE DATOS'!F:J,5,0)</f>
        <v>SI</v>
      </c>
      <c r="I937" s="584" t="str">
        <f>+VLOOKUP(Tabla3[[#This Row],[PATENTE]],'BASE DATOS'!F:K,6,0)</f>
        <v>NO</v>
      </c>
      <c r="J937" s="584">
        <f>+VLOOKUP(Tabla3[[#This Row],[PATENTE]],'BASE DATOS'!F:L,7,0)</f>
        <v>2000</v>
      </c>
      <c r="K937" s="619">
        <f>+VLOOKUP(Tabla3[[#This Row],[PATENTE]],'BASE DATOS'!F:M,8,0)</f>
        <v>25</v>
      </c>
    </row>
    <row r="938" spans="1:11" hidden="1">
      <c r="A938" s="578" t="s">
        <v>885</v>
      </c>
      <c r="B938" s="584">
        <v>6</v>
      </c>
      <c r="C938" s="589">
        <v>45964</v>
      </c>
      <c r="D938" s="582">
        <f t="shared" si="35"/>
        <v>45</v>
      </c>
      <c r="E938" s="618" t="str">
        <f>+VLOOKUP(Tabla3[[#This Row],[PATENTE]],'BASE DATOS'!F:G,2,0)</f>
        <v xml:space="preserve">TRANSP DON NENO - IES288 </v>
      </c>
      <c r="F938" s="584" t="str">
        <f>+VLOOKUP(Tabla3[[#This Row],[PATENTE]],'BASE DATOS'!F:H,3,0)</f>
        <v>2P</v>
      </c>
      <c r="G938" s="584" t="str">
        <f>+VLOOKUP(Tabla3[[#This Row],[PATENTE]],'BASE DATOS'!F:I,4,0)</f>
        <v>SI</v>
      </c>
      <c r="H938" s="584" t="str">
        <f>+VLOOKUP(Tabla3[[#This Row],[PATENTE]],'BASE DATOS'!F:J,5,0)</f>
        <v>SI</v>
      </c>
      <c r="I938" s="584" t="str">
        <f>+VLOOKUP(Tabla3[[#This Row],[PATENTE]],'BASE DATOS'!F:K,6,0)</f>
        <v>NO</v>
      </c>
      <c r="J938" s="584">
        <f>+VLOOKUP(Tabla3[[#This Row],[PATENTE]],'BASE DATOS'!F:L,7,0)</f>
        <v>2009</v>
      </c>
      <c r="K938" s="619">
        <f>+VLOOKUP(Tabla3[[#This Row],[PATENTE]],'BASE DATOS'!F:M,8,0)</f>
        <v>16</v>
      </c>
    </row>
    <row r="939" spans="1:11" hidden="1">
      <c r="A939" s="578" t="s">
        <v>882</v>
      </c>
      <c r="B939" s="584">
        <v>6</v>
      </c>
      <c r="C939" s="589">
        <v>45964</v>
      </c>
      <c r="D939" s="582">
        <f t="shared" si="35"/>
        <v>45</v>
      </c>
      <c r="E939" s="618" t="str">
        <f>+VLOOKUP(Tabla3[[#This Row],[PATENTE]],'BASE DATOS'!F:G,2,0)</f>
        <v xml:space="preserve">MAÑAS - JWN279 </v>
      </c>
      <c r="F939" s="584" t="str">
        <f>+VLOOKUP(Tabla3[[#This Row],[PATENTE]],'BASE DATOS'!F:H,3,0)</f>
        <v>7P</v>
      </c>
      <c r="G939" s="584" t="str">
        <f>+VLOOKUP(Tabla3[[#This Row],[PATENTE]],'BASE DATOS'!F:I,4,0)</f>
        <v>SI</v>
      </c>
      <c r="H939" s="584" t="str">
        <f>+VLOOKUP(Tabla3[[#This Row],[PATENTE]],'BASE DATOS'!F:J,5,0)</f>
        <v>SI</v>
      </c>
      <c r="I939" s="584" t="str">
        <f>+VLOOKUP(Tabla3[[#This Row],[PATENTE]],'BASE DATOS'!F:K,6,0)</f>
        <v>NO</v>
      </c>
      <c r="J939" s="584">
        <f>+VLOOKUP(Tabla3[[#This Row],[PATENTE]],'BASE DATOS'!F:L,7,0)</f>
        <v>2011</v>
      </c>
      <c r="K939" s="619">
        <f>+VLOOKUP(Tabla3[[#This Row],[PATENTE]],'BASE DATOS'!F:M,8,0)</f>
        <v>14</v>
      </c>
    </row>
    <row r="940" spans="1:11" hidden="1">
      <c r="A940" s="578" t="s">
        <v>902</v>
      </c>
      <c r="B940" s="584">
        <v>6</v>
      </c>
      <c r="C940" s="589">
        <v>45964</v>
      </c>
      <c r="D940" s="582">
        <f t="shared" si="35"/>
        <v>45</v>
      </c>
      <c r="E940" s="618" t="str">
        <f>+VLOOKUP(Tabla3[[#This Row],[PATENTE]],'BASE DATOS'!F:G,2,0)</f>
        <v xml:space="preserve">GUSTAVO CERQUETTA - KZA644 </v>
      </c>
      <c r="F940" s="584" t="str">
        <f>+VLOOKUP(Tabla3[[#This Row],[PATENTE]],'BASE DATOS'!F:H,3,0)</f>
        <v>2P</v>
      </c>
      <c r="G940" s="584" t="str">
        <f>+VLOOKUP(Tabla3[[#This Row],[PATENTE]],'BASE DATOS'!F:I,4,0)</f>
        <v>NO</v>
      </c>
      <c r="H940" s="584" t="str">
        <f>+VLOOKUP(Tabla3[[#This Row],[PATENTE]],'BASE DATOS'!F:J,5,0)</f>
        <v>SI</v>
      </c>
      <c r="I940" s="584" t="str">
        <f>+VLOOKUP(Tabla3[[#This Row],[PATENTE]],'BASE DATOS'!F:K,6,0)</f>
        <v>NO</v>
      </c>
      <c r="J940" s="584">
        <f>+VLOOKUP(Tabla3[[#This Row],[PATENTE]],'BASE DATOS'!F:L,7,0)</f>
        <v>2012</v>
      </c>
      <c r="K940" s="619">
        <f>+VLOOKUP(Tabla3[[#This Row],[PATENTE]],'BASE DATOS'!F:M,8,0)</f>
        <v>13</v>
      </c>
    </row>
    <row r="941" spans="1:11" hidden="1">
      <c r="A941" s="578" t="s">
        <v>909</v>
      </c>
      <c r="B941" s="584">
        <v>6</v>
      </c>
      <c r="C941" s="589">
        <v>45964</v>
      </c>
      <c r="D941" s="582">
        <f t="shared" si="35"/>
        <v>45</v>
      </c>
      <c r="E941" s="618" t="str">
        <f>+VLOOKUP(Tabla3[[#This Row],[PATENTE]],'BASE DATOS'!F:G,2,0)</f>
        <v xml:space="preserve">CRISTIAN MOYA - NHR055 </v>
      </c>
      <c r="F941" s="584" t="str">
        <f>+VLOOKUP(Tabla3[[#This Row],[PATENTE]],'BASE DATOS'!F:H,3,0)</f>
        <v>6P</v>
      </c>
      <c r="G941" s="584" t="str">
        <f>+VLOOKUP(Tabla3[[#This Row],[PATENTE]],'BASE DATOS'!F:I,4,0)</f>
        <v>SI</v>
      </c>
      <c r="H941" s="584" t="str">
        <f>+VLOOKUP(Tabla3[[#This Row],[PATENTE]],'BASE DATOS'!F:J,5,0)</f>
        <v>SI</v>
      </c>
      <c r="I941" s="584" t="str">
        <f>+VLOOKUP(Tabla3[[#This Row],[PATENTE]],'BASE DATOS'!F:K,6,0)</f>
        <v>NO</v>
      </c>
      <c r="J941" s="584">
        <f>+VLOOKUP(Tabla3[[#This Row],[PATENTE]],'BASE DATOS'!F:L,7,0)</f>
        <v>2013</v>
      </c>
      <c r="K941" s="619">
        <f>+VLOOKUP(Tabla3[[#This Row],[PATENTE]],'BASE DATOS'!F:M,8,0)</f>
        <v>12</v>
      </c>
    </row>
    <row r="942" spans="1:11" hidden="1">
      <c r="A942" s="578" t="s">
        <v>884</v>
      </c>
      <c r="B942" s="584">
        <v>5</v>
      </c>
      <c r="C942" s="589">
        <v>45964</v>
      </c>
      <c r="D942" s="582">
        <f t="shared" si="35"/>
        <v>45</v>
      </c>
      <c r="E942" s="618" t="str">
        <f>+VLOOKUP(Tabla3[[#This Row],[PATENTE]],'BASE DATOS'!F:G,2,0)</f>
        <v xml:space="preserve">LAURIA (SERVAL) - AB233IT </v>
      </c>
      <c r="F942" s="584" t="str">
        <f>+VLOOKUP(Tabla3[[#This Row],[PATENTE]],'BASE DATOS'!F:H,3,0)</f>
        <v>6P</v>
      </c>
      <c r="G942" s="584" t="str">
        <f>+VLOOKUP(Tabla3[[#This Row],[PATENTE]],'BASE DATOS'!F:I,4,0)</f>
        <v>SI</v>
      </c>
      <c r="H942" s="584" t="str">
        <f>+VLOOKUP(Tabla3[[#This Row],[PATENTE]],'BASE DATOS'!F:J,5,0)</f>
        <v>SI</v>
      </c>
      <c r="I942" s="584" t="str">
        <f>+VLOOKUP(Tabla3[[#This Row],[PATENTE]],'BASE DATOS'!F:K,6,0)</f>
        <v>NO</v>
      </c>
      <c r="J942" s="584">
        <f>+VLOOKUP(Tabla3[[#This Row],[PATENTE]],'BASE DATOS'!F:L,7,0)</f>
        <v>2017</v>
      </c>
      <c r="K942" s="619">
        <f>+VLOOKUP(Tabla3[[#This Row],[PATENTE]],'BASE DATOS'!F:M,8,0)</f>
        <v>8</v>
      </c>
    </row>
    <row r="943" spans="1:11" hidden="1">
      <c r="A943" s="578" t="s">
        <v>912</v>
      </c>
      <c r="B943" s="584">
        <v>5</v>
      </c>
      <c r="C943" s="589">
        <v>45964</v>
      </c>
      <c r="D943" s="582">
        <f t="shared" si="35"/>
        <v>45</v>
      </c>
      <c r="E943" s="618" t="str">
        <f>+VLOOKUP(Tabla3[[#This Row],[PATENTE]],'BASE DATOS'!F:G,2,0)</f>
        <v xml:space="preserve">PACHECO JULIO - AC028WN </v>
      </c>
      <c r="F943" s="584" t="str">
        <f>+VLOOKUP(Tabla3[[#This Row],[PATENTE]],'BASE DATOS'!F:H,3,0)</f>
        <v>8P</v>
      </c>
      <c r="G943" s="584" t="str">
        <f>+VLOOKUP(Tabla3[[#This Row],[PATENTE]],'BASE DATOS'!F:I,4,0)</f>
        <v>SI</v>
      </c>
      <c r="H943" s="584" t="str">
        <f>+VLOOKUP(Tabla3[[#This Row],[PATENTE]],'BASE DATOS'!F:J,5,0)</f>
        <v>SI</v>
      </c>
      <c r="I943" s="584" t="str">
        <f>+VLOOKUP(Tabla3[[#This Row],[PATENTE]],'BASE DATOS'!F:K,6,0)</f>
        <v>SI</v>
      </c>
      <c r="J943" s="584">
        <f>+VLOOKUP(Tabla3[[#This Row],[PATENTE]],'BASE DATOS'!F:L,7,0)</f>
        <v>2017</v>
      </c>
      <c r="K943" s="619">
        <f>+VLOOKUP(Tabla3[[#This Row],[PATENTE]],'BASE DATOS'!F:M,8,0)</f>
        <v>8</v>
      </c>
    </row>
    <row r="944" spans="1:11" hidden="1">
      <c r="A944" s="578" t="s">
        <v>883</v>
      </c>
      <c r="B944" s="584">
        <v>5</v>
      </c>
      <c r="C944" s="589">
        <v>45964</v>
      </c>
      <c r="D944" s="582">
        <f t="shared" si="35"/>
        <v>45</v>
      </c>
      <c r="E944" s="618" t="str">
        <f>+VLOOKUP(Tabla3[[#This Row],[PATENTE]],'BASE DATOS'!F:G,2,0)</f>
        <v xml:space="preserve">PACHECO JULIO - ACI503 </v>
      </c>
      <c r="F944" s="584" t="str">
        <f>+VLOOKUP(Tabla3[[#This Row],[PATENTE]],'BASE DATOS'!F:H,3,0)</f>
        <v>12P</v>
      </c>
      <c r="G944" s="584" t="str">
        <f>+VLOOKUP(Tabla3[[#This Row],[PATENTE]],'BASE DATOS'!F:I,4,0)</f>
        <v>NO</v>
      </c>
      <c r="H944" s="584" t="str">
        <f>+VLOOKUP(Tabla3[[#This Row],[PATENTE]],'BASE DATOS'!F:J,5,0)</f>
        <v>SI</v>
      </c>
      <c r="I944" s="584" t="str">
        <f>+VLOOKUP(Tabla3[[#This Row],[PATENTE]],'BASE DATOS'!F:K,6,0)</f>
        <v>SI</v>
      </c>
      <c r="J944" s="584">
        <f>+VLOOKUP(Tabla3[[#This Row],[PATENTE]],'BASE DATOS'!F:L,7,0)</f>
        <v>2000</v>
      </c>
      <c r="K944" s="619">
        <f>+VLOOKUP(Tabla3[[#This Row],[PATENTE]],'BASE DATOS'!F:M,8,0)</f>
        <v>25</v>
      </c>
    </row>
    <row r="945" spans="1:11" hidden="1">
      <c r="A945" s="578" t="s">
        <v>906</v>
      </c>
      <c r="B945" s="584">
        <v>5</v>
      </c>
      <c r="C945" s="589">
        <v>45964</v>
      </c>
      <c r="D945" s="582">
        <f t="shared" si="35"/>
        <v>45</v>
      </c>
      <c r="E945" s="618" t="str">
        <f>+VLOOKUP(Tabla3[[#This Row],[PATENTE]],'BASE DATOS'!F:G,2,0)</f>
        <v xml:space="preserve">VAZQUEZ (TRV SRL) - AD472GK </v>
      </c>
      <c r="F945" s="584" t="str">
        <f>+VLOOKUP(Tabla3[[#This Row],[PATENTE]],'BASE DATOS'!F:H,3,0)</f>
        <v>8P</v>
      </c>
      <c r="G945" s="584" t="str">
        <f>+VLOOKUP(Tabla3[[#This Row],[PATENTE]],'BASE DATOS'!F:I,4,0)</f>
        <v>NO</v>
      </c>
      <c r="H945" s="584" t="str">
        <f>+VLOOKUP(Tabla3[[#This Row],[PATENTE]],'BASE DATOS'!F:J,5,0)</f>
        <v>NO</v>
      </c>
      <c r="I945" s="584" t="str">
        <f>+VLOOKUP(Tabla3[[#This Row],[PATENTE]],'BASE DATOS'!F:K,6,0)</f>
        <v>SI</v>
      </c>
      <c r="J945" s="584">
        <f>+VLOOKUP(Tabla3[[#This Row],[PATENTE]],'BASE DATOS'!F:L,7,0)</f>
        <v>2019</v>
      </c>
      <c r="K945" s="619">
        <f>+VLOOKUP(Tabla3[[#This Row],[PATENTE]],'BASE DATOS'!F:M,8,0)</f>
        <v>6</v>
      </c>
    </row>
    <row r="946" spans="1:11" hidden="1">
      <c r="A946" s="578" t="s">
        <v>922</v>
      </c>
      <c r="B946" s="584">
        <v>5</v>
      </c>
      <c r="C946" s="589">
        <v>45964</v>
      </c>
      <c r="D946" s="582">
        <f t="shared" ref="D946:D964" si="36">+WEEKNUM(C946)</f>
        <v>45</v>
      </c>
      <c r="E946" s="618" t="str">
        <f>+VLOOKUP(Tabla3[[#This Row],[PATENTE]],'BASE DATOS'!F:G,2,0)</f>
        <v>LAURIA (SERVAL) - AF342ZY</v>
      </c>
      <c r="F946" s="584" t="str">
        <f>+VLOOKUP(Tabla3[[#This Row],[PATENTE]],'BASE DATOS'!F:H,3,0)</f>
        <v>8P</v>
      </c>
      <c r="G946" s="584" t="str">
        <f>+VLOOKUP(Tabla3[[#This Row],[PATENTE]],'BASE DATOS'!F:I,4,0)</f>
        <v>SI</v>
      </c>
      <c r="H946" s="584" t="str">
        <f>+VLOOKUP(Tabla3[[#This Row],[PATENTE]],'BASE DATOS'!F:J,5,0)</f>
        <v>SI</v>
      </c>
      <c r="I946" s="584" t="str">
        <f>+VLOOKUP(Tabla3[[#This Row],[PATENTE]],'BASE DATOS'!F:K,6,0)</f>
        <v>NO</v>
      </c>
      <c r="J946" s="584">
        <f>+VLOOKUP(Tabla3[[#This Row],[PATENTE]],'BASE DATOS'!F:L,7,0)</f>
        <v>2022</v>
      </c>
      <c r="K946" s="619">
        <f>+VLOOKUP(Tabla3[[#This Row],[PATENTE]],'BASE DATOS'!F:M,8,0)</f>
        <v>3</v>
      </c>
    </row>
    <row r="947" spans="1:11" hidden="1">
      <c r="A947" s="578" t="s">
        <v>895</v>
      </c>
      <c r="B947" s="584">
        <v>5</v>
      </c>
      <c r="C947" s="589">
        <v>45964</v>
      </c>
      <c r="D947" s="582">
        <f t="shared" si="36"/>
        <v>45</v>
      </c>
      <c r="E947" s="618" t="str">
        <f>+VLOOKUP(Tabla3[[#This Row],[PATENTE]],'BASE DATOS'!F:G,2,0)</f>
        <v xml:space="preserve">TRANSPORTE MICAELA </v>
      </c>
      <c r="F947" s="584" t="str">
        <f>+VLOOKUP(Tabla3[[#This Row],[PATENTE]],'BASE DATOS'!F:H,3,0)</f>
        <v>2P</v>
      </c>
      <c r="G947" s="584" t="str">
        <f>+VLOOKUP(Tabla3[[#This Row],[PATENTE]],'BASE DATOS'!F:I,4,0)</f>
        <v>NO</v>
      </c>
      <c r="H947" s="584" t="str">
        <f>+VLOOKUP(Tabla3[[#This Row],[PATENTE]],'BASE DATOS'!F:J,5,0)</f>
        <v>SI</v>
      </c>
      <c r="I947" s="584" t="str">
        <f>+VLOOKUP(Tabla3[[#This Row],[PATENTE]],'BASE DATOS'!F:K,6,0)</f>
        <v>NO</v>
      </c>
      <c r="J947" s="584">
        <f>+VLOOKUP(Tabla3[[#This Row],[PATENTE]],'BASE DATOS'!F:L,7,0)</f>
        <v>2024</v>
      </c>
      <c r="K947" s="619">
        <f>+VLOOKUP(Tabla3[[#This Row],[PATENTE]],'BASE DATOS'!F:M,8,0)</f>
        <v>1</v>
      </c>
    </row>
    <row r="948" spans="1:11" hidden="1">
      <c r="A948" s="578" t="s">
        <v>903</v>
      </c>
      <c r="B948" s="584">
        <v>5</v>
      </c>
      <c r="C948" s="589">
        <v>45964</v>
      </c>
      <c r="D948" s="582">
        <f t="shared" si="36"/>
        <v>45</v>
      </c>
      <c r="E948" s="618" t="str">
        <f>+VLOOKUP(Tabla3[[#This Row],[PATENTE]],'BASE DATOS'!F:G,2,0)</f>
        <v xml:space="preserve">TRANSP CLAUDIO BUSTOS - AG243PE </v>
      </c>
      <c r="F948" s="584" t="str">
        <f>+VLOOKUP(Tabla3[[#This Row],[PATENTE]],'BASE DATOS'!F:H,3,0)</f>
        <v>1P</v>
      </c>
      <c r="G948" s="584" t="str">
        <f>+VLOOKUP(Tabla3[[#This Row],[PATENTE]],'BASE DATOS'!F:I,4,0)</f>
        <v>SI</v>
      </c>
      <c r="H948" s="584" t="str">
        <f>+VLOOKUP(Tabla3[[#This Row],[PATENTE]],'BASE DATOS'!F:J,5,0)</f>
        <v>SI</v>
      </c>
      <c r="I948" s="584" t="str">
        <f>+VLOOKUP(Tabla3[[#This Row],[PATENTE]],'BASE DATOS'!F:K,6,0)</f>
        <v>NO</v>
      </c>
      <c r="J948" s="584">
        <f>+VLOOKUP(Tabla3[[#This Row],[PATENTE]],'BASE DATOS'!F:L,7,0)</f>
        <v>2024</v>
      </c>
      <c r="K948" s="619">
        <f>+VLOOKUP(Tabla3[[#This Row],[PATENTE]],'BASE DATOS'!F:M,8,0)</f>
        <v>1</v>
      </c>
    </row>
    <row r="949" spans="1:11" hidden="1">
      <c r="A949" s="578" t="s">
        <v>881</v>
      </c>
      <c r="B949" s="584">
        <v>5</v>
      </c>
      <c r="C949" s="589">
        <v>45964</v>
      </c>
      <c r="D949" s="582">
        <f t="shared" si="36"/>
        <v>45</v>
      </c>
      <c r="E949" s="618" t="str">
        <f>+VLOOKUP(Tabla3[[#This Row],[PATENTE]],'BASE DATOS'!F:G,2,0)</f>
        <v xml:space="preserve">MAÑAS NORBERTO - DUQ686 </v>
      </c>
      <c r="F949" s="584" t="str">
        <f>+VLOOKUP(Tabla3[[#This Row],[PATENTE]],'BASE DATOS'!F:H,3,0)</f>
        <v>8P</v>
      </c>
      <c r="G949" s="584" t="str">
        <f>+VLOOKUP(Tabla3[[#This Row],[PATENTE]],'BASE DATOS'!F:I,4,0)</f>
        <v>SI</v>
      </c>
      <c r="H949" s="584" t="str">
        <f>+VLOOKUP(Tabla3[[#This Row],[PATENTE]],'BASE DATOS'!F:J,5,0)</f>
        <v>SI</v>
      </c>
      <c r="I949" s="584" t="str">
        <f>+VLOOKUP(Tabla3[[#This Row],[PATENTE]],'BASE DATOS'!F:K,6,0)</f>
        <v>NO</v>
      </c>
      <c r="J949" s="584">
        <f>+VLOOKUP(Tabla3[[#This Row],[PATENTE]],'BASE DATOS'!F:L,7,0)</f>
        <v>2001</v>
      </c>
      <c r="K949" s="619">
        <f>+VLOOKUP(Tabla3[[#This Row],[PATENTE]],'BASE DATOS'!F:M,8,0)</f>
        <v>24</v>
      </c>
    </row>
    <row r="950" spans="1:11" hidden="1">
      <c r="A950" s="578" t="s">
        <v>913</v>
      </c>
      <c r="B950" s="584">
        <v>5</v>
      </c>
      <c r="C950" s="589">
        <v>45964</v>
      </c>
      <c r="D950" s="582">
        <f t="shared" si="36"/>
        <v>45</v>
      </c>
      <c r="E950" s="618" t="str">
        <f>+VLOOKUP(Tabla3[[#This Row],[PATENTE]],'BASE DATOS'!F:G,2,0)</f>
        <v xml:space="preserve">TRANSP DON NENO - KSI803 </v>
      </c>
      <c r="F950" s="584" t="str">
        <f>+VLOOKUP(Tabla3[[#This Row],[PATENTE]],'BASE DATOS'!F:H,3,0)</f>
        <v>2P</v>
      </c>
      <c r="G950" s="584" t="str">
        <f>+VLOOKUP(Tabla3[[#This Row],[PATENTE]],'BASE DATOS'!F:I,4,0)</f>
        <v>SI</v>
      </c>
      <c r="H950" s="584" t="str">
        <f>+VLOOKUP(Tabla3[[#This Row],[PATENTE]],'BASE DATOS'!F:J,5,0)</f>
        <v>SI</v>
      </c>
      <c r="I950" s="584" t="str">
        <f>+VLOOKUP(Tabla3[[#This Row],[PATENTE]],'BASE DATOS'!F:K,6,0)</f>
        <v>NO</v>
      </c>
      <c r="J950" s="584">
        <f>+VLOOKUP(Tabla3[[#This Row],[PATENTE]],'BASE DATOS'!F:L,7,0)</f>
        <v>2012</v>
      </c>
      <c r="K950" s="619">
        <f>+VLOOKUP(Tabla3[[#This Row],[PATENTE]],'BASE DATOS'!F:M,8,0)</f>
        <v>13</v>
      </c>
    </row>
    <row r="951" spans="1:11" hidden="1">
      <c r="A951" s="578" t="s">
        <v>920</v>
      </c>
      <c r="B951" s="584">
        <v>5</v>
      </c>
      <c r="C951" s="589">
        <v>45964</v>
      </c>
      <c r="D951" s="582">
        <f t="shared" si="36"/>
        <v>45</v>
      </c>
      <c r="E951" s="618" t="str">
        <f>+VLOOKUP(Tabla3[[#This Row],[PATENTE]],'BASE DATOS'!F:G,2,0)</f>
        <v xml:space="preserve">TRANSP LAGOS - MRV682 </v>
      </c>
      <c r="F951" s="584" t="str">
        <f>+VLOOKUP(Tabla3[[#This Row],[PATENTE]],'BASE DATOS'!F:H,3,0)</f>
        <v>8P</v>
      </c>
      <c r="G951" s="584" t="str">
        <f>+VLOOKUP(Tabla3[[#This Row],[PATENTE]],'BASE DATOS'!F:I,4,0)</f>
        <v>SI</v>
      </c>
      <c r="H951" s="584" t="str">
        <f>+VLOOKUP(Tabla3[[#This Row],[PATENTE]],'BASE DATOS'!F:J,5,0)</f>
        <v>SI</v>
      </c>
      <c r="I951" s="584" t="str">
        <f>+VLOOKUP(Tabla3[[#This Row],[PATENTE]],'BASE DATOS'!F:K,6,0)</f>
        <v>NO</v>
      </c>
      <c r="J951" s="584">
        <f>+VLOOKUP(Tabla3[[#This Row],[PATENTE]],'BASE DATOS'!F:L,7,0)</f>
        <v>2013</v>
      </c>
      <c r="K951" s="619">
        <f>+VLOOKUP(Tabla3[[#This Row],[PATENTE]],'BASE DATOS'!F:M,8,0)</f>
        <v>12</v>
      </c>
    </row>
    <row r="952" spans="1:11" hidden="1">
      <c r="A952" s="578" t="s">
        <v>886</v>
      </c>
      <c r="B952" s="584">
        <v>5</v>
      </c>
      <c r="C952" s="589">
        <v>45964</v>
      </c>
      <c r="D952" s="582">
        <f t="shared" si="36"/>
        <v>45</v>
      </c>
      <c r="E952" s="618" t="str">
        <f>+VLOOKUP(Tabla3[[#This Row],[PATENTE]],'BASE DATOS'!F:G,2,0)</f>
        <v xml:space="preserve">TRANSP LAGOS - NOO925 </v>
      </c>
      <c r="F952" s="584" t="str">
        <f>+VLOOKUP(Tabla3[[#This Row],[PATENTE]],'BASE DATOS'!F:H,3,0)</f>
        <v>8P</v>
      </c>
      <c r="G952" s="584" t="str">
        <f>+VLOOKUP(Tabla3[[#This Row],[PATENTE]],'BASE DATOS'!F:I,4,0)</f>
        <v>SI</v>
      </c>
      <c r="H952" s="584" t="str">
        <f>+VLOOKUP(Tabla3[[#This Row],[PATENTE]],'BASE DATOS'!F:J,5,0)</f>
        <v>SI</v>
      </c>
      <c r="I952" s="584" t="str">
        <f>+VLOOKUP(Tabla3[[#This Row],[PATENTE]],'BASE DATOS'!F:K,6,0)</f>
        <v>NO</v>
      </c>
      <c r="J952" s="584">
        <f>+VLOOKUP(Tabla3[[#This Row],[PATENTE]],'BASE DATOS'!F:L,7,0)</f>
        <v>2014</v>
      </c>
      <c r="K952" s="619">
        <f>+VLOOKUP(Tabla3[[#This Row],[PATENTE]],'BASE DATOS'!F:M,8,0)</f>
        <v>11</v>
      </c>
    </row>
    <row r="953" spans="1:11" hidden="1">
      <c r="A953" s="578" t="s">
        <v>877</v>
      </c>
      <c r="B953" s="584">
        <v>5</v>
      </c>
      <c r="C953" s="589">
        <v>45964</v>
      </c>
      <c r="D953" s="582">
        <f t="shared" si="36"/>
        <v>45</v>
      </c>
      <c r="E953" s="618" t="str">
        <f>+VLOOKUP(Tabla3[[#This Row],[PATENTE]],'BASE DATOS'!F:G,2,0)</f>
        <v>TRANSP MAIDANA CARLOS - OWA126</v>
      </c>
      <c r="F953" s="584" t="str">
        <f>+VLOOKUP(Tabla3[[#This Row],[PATENTE]],'BASE DATOS'!F:H,3,0)</f>
        <v>4P</v>
      </c>
      <c r="G953" s="584" t="str">
        <f>+VLOOKUP(Tabla3[[#This Row],[PATENTE]],'BASE DATOS'!F:I,4,0)</f>
        <v>SI</v>
      </c>
      <c r="H953" s="584" t="str">
        <f>+VLOOKUP(Tabla3[[#This Row],[PATENTE]],'BASE DATOS'!F:J,5,0)</f>
        <v>SI</v>
      </c>
      <c r="I953" s="584" t="str">
        <f>+VLOOKUP(Tabla3[[#This Row],[PATENTE]],'BASE DATOS'!F:K,6,0)</f>
        <v>NO</v>
      </c>
      <c r="J953" s="584">
        <f>+VLOOKUP(Tabla3[[#This Row],[PATENTE]],'BASE DATOS'!F:L,7,0)</f>
        <v>2015</v>
      </c>
      <c r="K953" s="619">
        <f>+VLOOKUP(Tabla3[[#This Row],[PATENTE]],'BASE DATOS'!F:M,8,0)</f>
        <v>10</v>
      </c>
    </row>
    <row r="954" spans="1:11" hidden="1">
      <c r="A954" s="578" t="s">
        <v>879</v>
      </c>
      <c r="B954" s="584">
        <v>5</v>
      </c>
      <c r="C954" s="589">
        <v>45964</v>
      </c>
      <c r="D954" s="582">
        <f t="shared" si="36"/>
        <v>45</v>
      </c>
      <c r="E954" s="618" t="str">
        <f>+VLOOKUP(Tabla3[[#This Row],[PATENTE]],'BASE DATOS'!F:G,2,0)</f>
        <v xml:space="preserve">TRANSP JP - OYP470 </v>
      </c>
      <c r="F954" s="584" t="str">
        <f>+VLOOKUP(Tabla3[[#This Row],[PATENTE]],'BASE DATOS'!F:H,3,0)</f>
        <v>8P</v>
      </c>
      <c r="G954" s="584" t="str">
        <f>+VLOOKUP(Tabla3[[#This Row],[PATENTE]],'BASE DATOS'!F:I,4,0)</f>
        <v>SI</v>
      </c>
      <c r="H954" s="584" t="str">
        <f>+VLOOKUP(Tabla3[[#This Row],[PATENTE]],'BASE DATOS'!F:J,5,0)</f>
        <v>SI</v>
      </c>
      <c r="I954" s="584" t="str">
        <f>+VLOOKUP(Tabla3[[#This Row],[PATENTE]],'BASE DATOS'!F:K,6,0)</f>
        <v>NO</v>
      </c>
      <c r="J954" s="584">
        <f>+VLOOKUP(Tabla3[[#This Row],[PATENTE]],'BASE DATOS'!F:L,7,0)</f>
        <v>2011</v>
      </c>
      <c r="K954" s="619">
        <f>+VLOOKUP(Tabla3[[#This Row],[PATENTE]],'BASE DATOS'!F:M,8,0)</f>
        <v>14</v>
      </c>
    </row>
    <row r="955" spans="1:11" hidden="1">
      <c r="A955" s="578" t="s">
        <v>919</v>
      </c>
      <c r="B955" s="584">
        <v>4</v>
      </c>
      <c r="C955" s="589">
        <v>45964</v>
      </c>
      <c r="D955" s="582">
        <f t="shared" si="36"/>
        <v>45</v>
      </c>
      <c r="E955" s="618" t="str">
        <f>+VLOOKUP(Tabla3[[#This Row],[PATENTE]],'BASE DATOS'!F:G,2,0)</f>
        <v xml:space="preserve">GUSTAVO CERQUETTA - AA427LT </v>
      </c>
      <c r="F955" s="584" t="str">
        <f>+VLOOKUP(Tabla3[[#This Row],[PATENTE]],'BASE DATOS'!F:H,3,0)</f>
        <v>1P</v>
      </c>
      <c r="G955" s="584" t="str">
        <f>+VLOOKUP(Tabla3[[#This Row],[PATENTE]],'BASE DATOS'!F:I,4,0)</f>
        <v>NO</v>
      </c>
      <c r="H955" s="584" t="str">
        <f>+VLOOKUP(Tabla3[[#This Row],[PATENTE]],'BASE DATOS'!F:J,5,0)</f>
        <v>SI</v>
      </c>
      <c r="I955" s="584" t="str">
        <f>+VLOOKUP(Tabla3[[#This Row],[PATENTE]],'BASE DATOS'!F:K,6,0)</f>
        <v>NO</v>
      </c>
      <c r="J955" s="584">
        <f>+VLOOKUP(Tabla3[[#This Row],[PATENTE]],'BASE DATOS'!F:L,7,0)</f>
        <v>2016</v>
      </c>
      <c r="K955" s="619">
        <f>+VLOOKUP(Tabla3[[#This Row],[PATENTE]],'BASE DATOS'!F:M,8,0)</f>
        <v>9</v>
      </c>
    </row>
    <row r="956" spans="1:11" hidden="1">
      <c r="A956" s="578" t="s">
        <v>1133</v>
      </c>
      <c r="B956" s="584">
        <v>4</v>
      </c>
      <c r="C956" s="589">
        <v>45964</v>
      </c>
      <c r="D956" s="582">
        <f t="shared" si="36"/>
        <v>45</v>
      </c>
      <c r="E956" s="618" t="str">
        <f>+VLOOKUP(Tabla3[[#This Row],[PATENTE]],'BASE DATOS'!F:G,2,0)</f>
        <v xml:space="preserve">BELLIMAR SRL - AB787MT </v>
      </c>
      <c r="F956" s="584" t="str">
        <f>+VLOOKUP(Tabla3[[#This Row],[PATENTE]],'BASE DATOS'!F:H,3,0)</f>
        <v>28P</v>
      </c>
      <c r="G956" s="584" t="str">
        <f>+VLOOKUP(Tabla3[[#This Row],[PATENTE]],'BASE DATOS'!F:I,4,0)</f>
        <v>NO</v>
      </c>
      <c r="H956" s="584" t="str">
        <f>+VLOOKUP(Tabla3[[#This Row],[PATENTE]],'BASE DATOS'!F:J,5,0)</f>
        <v xml:space="preserve">NO </v>
      </c>
      <c r="I956" s="584" t="str">
        <f>+VLOOKUP(Tabla3[[#This Row],[PATENTE]],'BASE DATOS'!F:K,6,0)</f>
        <v>NO</v>
      </c>
      <c r="J956" s="584">
        <f>+VLOOKUP(Tabla3[[#This Row],[PATENTE]],'BASE DATOS'!F:L,7,0)</f>
        <v>2017</v>
      </c>
      <c r="K956" s="619">
        <f>+VLOOKUP(Tabla3[[#This Row],[PATENTE]],'BASE DATOS'!F:M,8,0)</f>
        <v>8</v>
      </c>
    </row>
    <row r="957" spans="1:11" hidden="1">
      <c r="A957" s="578" t="s">
        <v>890</v>
      </c>
      <c r="B957" s="584">
        <v>4</v>
      </c>
      <c r="C957" s="589">
        <v>45964</v>
      </c>
      <c r="D957" s="582">
        <f t="shared" si="36"/>
        <v>45</v>
      </c>
      <c r="E957" s="618" t="str">
        <f>+VLOOKUP(Tabla3[[#This Row],[PATENTE]],'BASE DATOS'!F:G,2,0)</f>
        <v xml:space="preserve">TRANSPORTE GRACIELA - AC040RO </v>
      </c>
      <c r="F957" s="584" t="str">
        <f>+VLOOKUP(Tabla3[[#This Row],[PATENTE]],'BASE DATOS'!F:H,3,0)</f>
        <v>1P</v>
      </c>
      <c r="G957" s="584" t="str">
        <f>+VLOOKUP(Tabla3[[#This Row],[PATENTE]],'BASE DATOS'!F:I,4,0)</f>
        <v>SI</v>
      </c>
      <c r="H957" s="584" t="str">
        <f>+VLOOKUP(Tabla3[[#This Row],[PATENTE]],'BASE DATOS'!F:J,5,0)</f>
        <v>ACEPTA( VER CAMI)</v>
      </c>
      <c r="I957" s="584" t="str">
        <f>+VLOOKUP(Tabla3[[#This Row],[PATENTE]],'BASE DATOS'!F:K,6,0)</f>
        <v>NO</v>
      </c>
      <c r="J957" s="584">
        <f>+VLOOKUP(Tabla3[[#This Row],[PATENTE]],'BASE DATOS'!F:L,7,0)</f>
        <v>2017</v>
      </c>
      <c r="K957" s="619">
        <f>+VLOOKUP(Tabla3[[#This Row],[PATENTE]],'BASE DATOS'!F:M,8,0)</f>
        <v>8</v>
      </c>
    </row>
    <row r="958" spans="1:11" hidden="1">
      <c r="A958" s="578" t="s">
        <v>888</v>
      </c>
      <c r="B958" s="584">
        <v>4</v>
      </c>
      <c r="C958" s="589">
        <v>45964</v>
      </c>
      <c r="D958" s="582">
        <f t="shared" si="36"/>
        <v>45</v>
      </c>
      <c r="E958" s="618" t="str">
        <f>+VLOOKUP(Tabla3[[#This Row],[PATENTE]],'BASE DATOS'!F:G,2,0)</f>
        <v xml:space="preserve">TRANSP FIRST CLASS - AD535UI </v>
      </c>
      <c r="F958" s="584" t="str">
        <f>+VLOOKUP(Tabla3[[#This Row],[PATENTE]],'BASE DATOS'!F:H,3,0)</f>
        <v>6P</v>
      </c>
      <c r="G958" s="584" t="str">
        <f>+VLOOKUP(Tabla3[[#This Row],[PATENTE]],'BASE DATOS'!F:I,4,0)</f>
        <v>SI</v>
      </c>
      <c r="H958" s="584" t="str">
        <f>+VLOOKUP(Tabla3[[#This Row],[PATENTE]],'BASE DATOS'!F:J,5,0)</f>
        <v>SI</v>
      </c>
      <c r="I958" s="584" t="str">
        <f>+VLOOKUP(Tabla3[[#This Row],[PATENTE]],'BASE DATOS'!F:K,6,0)</f>
        <v>NO</v>
      </c>
      <c r="J958" s="584">
        <f>+VLOOKUP(Tabla3[[#This Row],[PATENTE]],'BASE DATOS'!F:L,7,0)</f>
        <v>2019</v>
      </c>
      <c r="K958" s="619">
        <f>+VLOOKUP(Tabla3[[#This Row],[PATENTE]],'BASE DATOS'!F:M,8,0)</f>
        <v>6</v>
      </c>
    </row>
    <row r="959" spans="1:11" hidden="1">
      <c r="A959" s="578" t="s">
        <v>887</v>
      </c>
      <c r="B959" s="584">
        <v>4</v>
      </c>
      <c r="C959" s="589">
        <v>45964</v>
      </c>
      <c r="D959" s="582">
        <f t="shared" si="36"/>
        <v>45</v>
      </c>
      <c r="E959" s="618" t="str">
        <f>+VLOOKUP(Tabla3[[#This Row],[PATENTE]],'BASE DATOS'!F:G,2,0)</f>
        <v>ENRIQUE ROLLINO - BXB394</v>
      </c>
      <c r="F959" s="584" t="str">
        <f>+VLOOKUP(Tabla3[[#This Row],[PATENTE]],'BASE DATOS'!F:H,3,0)</f>
        <v>2P</v>
      </c>
      <c r="G959" s="584" t="str">
        <f>+VLOOKUP(Tabla3[[#This Row],[PATENTE]],'BASE DATOS'!F:I,4,0)</f>
        <v>SI</v>
      </c>
      <c r="H959" s="584" t="str">
        <f>+VLOOKUP(Tabla3[[#This Row],[PATENTE]],'BASE DATOS'!F:J,5,0)</f>
        <v>SI</v>
      </c>
      <c r="I959" s="584" t="str">
        <f>+VLOOKUP(Tabla3[[#This Row],[PATENTE]],'BASE DATOS'!F:K,6,0)</f>
        <v>NO</v>
      </c>
      <c r="J959" s="584">
        <f>+VLOOKUP(Tabla3[[#This Row],[PATENTE]],'BASE DATOS'!F:L,7,0)</f>
        <v>1998</v>
      </c>
      <c r="K959" s="619">
        <f>+VLOOKUP(Tabla3[[#This Row],[PATENTE]],'BASE DATOS'!F:M,8,0)</f>
        <v>27</v>
      </c>
    </row>
    <row r="960" spans="1:11" hidden="1">
      <c r="A960" s="578" t="s">
        <v>893</v>
      </c>
      <c r="B960" s="584">
        <v>4</v>
      </c>
      <c r="C960" s="589">
        <v>45964</v>
      </c>
      <c r="D960" s="582">
        <f t="shared" si="36"/>
        <v>45</v>
      </c>
      <c r="E960" s="618" t="str">
        <f>+VLOOKUP(Tabla3[[#This Row],[PATENTE]],'BASE DATOS'!F:G,2,0)</f>
        <v xml:space="preserve">GANZINI HUGO - CFF038 </v>
      </c>
      <c r="F960" s="584" t="str">
        <f>+VLOOKUP(Tabla3[[#This Row],[PATENTE]],'BASE DATOS'!F:H,3,0)</f>
        <v>2P</v>
      </c>
      <c r="G960" s="584" t="str">
        <f>+VLOOKUP(Tabla3[[#This Row],[PATENTE]],'BASE DATOS'!F:I,4,0)</f>
        <v>SI</v>
      </c>
      <c r="H960" s="584" t="str">
        <f>+VLOOKUP(Tabla3[[#This Row],[PATENTE]],'BASE DATOS'!F:J,5,0)</f>
        <v>SI</v>
      </c>
      <c r="I960" s="584" t="str">
        <f>+VLOOKUP(Tabla3[[#This Row],[PATENTE]],'BASE DATOS'!F:K,6,0)</f>
        <v>NO</v>
      </c>
      <c r="J960" s="584">
        <f>+VLOOKUP(Tabla3[[#This Row],[PATENTE]],'BASE DATOS'!F:L,7,0)</f>
        <v>1999</v>
      </c>
      <c r="K960" s="619">
        <f>+VLOOKUP(Tabla3[[#This Row],[PATENTE]],'BASE DATOS'!F:M,8,0)</f>
        <v>26</v>
      </c>
    </row>
    <row r="961" spans="1:11" hidden="1">
      <c r="A961" s="578" t="s">
        <v>921</v>
      </c>
      <c r="B961" s="584">
        <v>4</v>
      </c>
      <c r="C961" s="589">
        <v>45964</v>
      </c>
      <c r="D961" s="582">
        <f t="shared" si="36"/>
        <v>45</v>
      </c>
      <c r="E961" s="618" t="str">
        <f>+VLOOKUP(Tabla3[[#This Row],[PATENTE]],'BASE DATOS'!F:G,2,0)</f>
        <v xml:space="preserve">MAÑAS NORBERTO - CQQ304 </v>
      </c>
      <c r="F961" s="584" t="str">
        <f>+VLOOKUP(Tabla3[[#This Row],[PATENTE]],'BASE DATOS'!F:H,3,0)</f>
        <v>11P</v>
      </c>
      <c r="G961" s="584" t="str">
        <f>+VLOOKUP(Tabla3[[#This Row],[PATENTE]],'BASE DATOS'!F:I,4,0)</f>
        <v>SI</v>
      </c>
      <c r="H961" s="584" t="str">
        <f>+VLOOKUP(Tabla3[[#This Row],[PATENTE]],'BASE DATOS'!F:J,5,0)</f>
        <v>SI</v>
      </c>
      <c r="I961" s="584" t="str">
        <f>+VLOOKUP(Tabla3[[#This Row],[PATENTE]],'BASE DATOS'!F:K,6,0)</f>
        <v>NO</v>
      </c>
      <c r="J961" s="584">
        <f>+VLOOKUP(Tabla3[[#This Row],[PATENTE]],'BASE DATOS'!F:L,7,0)</f>
        <v>2000</v>
      </c>
      <c r="K961" s="619">
        <f>+VLOOKUP(Tabla3[[#This Row],[PATENTE]],'BASE DATOS'!F:M,8,0)</f>
        <v>25</v>
      </c>
    </row>
    <row r="962" spans="1:11" hidden="1">
      <c r="A962" s="578" t="s">
        <v>916</v>
      </c>
      <c r="B962" s="584">
        <v>4</v>
      </c>
      <c r="C962" s="589">
        <v>45964</v>
      </c>
      <c r="D962" s="582">
        <f t="shared" si="36"/>
        <v>45</v>
      </c>
      <c r="E962" s="618" t="str">
        <f>+VLOOKUP(Tabla3[[#This Row],[PATENTE]],'BASE DATOS'!F:G,2,0)</f>
        <v xml:space="preserve">TRANSP MAIDANA CARLOS - EYP088 </v>
      </c>
      <c r="F962" s="584" t="str">
        <f>+VLOOKUP(Tabla3[[#This Row],[PATENTE]],'BASE DATOS'!F:H,3,0)</f>
        <v>6P</v>
      </c>
      <c r="G962" s="584" t="str">
        <f>+VLOOKUP(Tabla3[[#This Row],[PATENTE]],'BASE DATOS'!F:I,4,0)</f>
        <v>SI</v>
      </c>
      <c r="H962" s="584" t="str">
        <f>+VLOOKUP(Tabla3[[#This Row],[PATENTE]],'BASE DATOS'!F:J,5,0)</f>
        <v>SI</v>
      </c>
      <c r="I962" s="584" t="str">
        <f>+VLOOKUP(Tabla3[[#This Row],[PATENTE]],'BASE DATOS'!F:K,6,0)</f>
        <v>NO</v>
      </c>
      <c r="J962" s="584">
        <f>+VLOOKUP(Tabla3[[#This Row],[PATENTE]],'BASE DATOS'!F:L,7,0)</f>
        <v>2006</v>
      </c>
      <c r="K962" s="619">
        <f>+VLOOKUP(Tabla3[[#This Row],[PATENTE]],'BASE DATOS'!F:M,8,0)</f>
        <v>19</v>
      </c>
    </row>
    <row r="963" spans="1:11" hidden="1">
      <c r="A963" s="578" t="s">
        <v>915</v>
      </c>
      <c r="B963" s="584">
        <v>4</v>
      </c>
      <c r="C963" s="589">
        <v>45964</v>
      </c>
      <c r="D963" s="582">
        <f t="shared" si="36"/>
        <v>45</v>
      </c>
      <c r="E963" s="618" t="str">
        <f>+VLOOKUP(Tabla3[[#This Row],[PATENTE]],'BASE DATOS'!F:G,2,0)</f>
        <v>TRANSPORTE GRACIELA - FPL254</v>
      </c>
      <c r="F963" s="584" t="str">
        <f>+VLOOKUP(Tabla3[[#This Row],[PATENTE]],'BASE DATOS'!F:H,3,0)</f>
        <v>2P</v>
      </c>
      <c r="G963" s="584" t="str">
        <f>+VLOOKUP(Tabla3[[#This Row],[PATENTE]],'BASE DATOS'!F:I,4,0)</f>
        <v>SI</v>
      </c>
      <c r="H963" s="584" t="str">
        <f>+VLOOKUP(Tabla3[[#This Row],[PATENTE]],'BASE DATOS'!F:J,5,0)</f>
        <v>NO (CAMI)</v>
      </c>
      <c r="I963" s="584" t="str">
        <f>+VLOOKUP(Tabla3[[#This Row],[PATENTE]],'BASE DATOS'!F:K,6,0)</f>
        <v>NO</v>
      </c>
      <c r="J963" s="584">
        <f>+VLOOKUP(Tabla3[[#This Row],[PATENTE]],'BASE DATOS'!F:L,7,0)</f>
        <v>2012</v>
      </c>
      <c r="K963" s="619">
        <f>+VLOOKUP(Tabla3[[#This Row],[PATENTE]],'BASE DATOS'!F:M,8,0)</f>
        <v>13</v>
      </c>
    </row>
    <row r="964" spans="1:11" hidden="1">
      <c r="A964" s="581" t="s">
        <v>892</v>
      </c>
      <c r="B964" s="587">
        <v>4</v>
      </c>
      <c r="C964" s="589">
        <v>45964</v>
      </c>
      <c r="D964" s="583">
        <f t="shared" si="36"/>
        <v>45</v>
      </c>
      <c r="E964" s="620" t="str">
        <f>+VLOOKUP(Tabla3[[#This Row],[PATENTE]],'BASE DATOS'!F:G,2,0)</f>
        <v xml:space="preserve">COLO - FTL525 </v>
      </c>
      <c r="F964" s="587" t="str">
        <f>+VLOOKUP(Tabla3[[#This Row],[PATENTE]],'BASE DATOS'!F:H,3,0)</f>
        <v>1P</v>
      </c>
      <c r="G964" s="587" t="str">
        <f>+VLOOKUP(Tabla3[[#This Row],[PATENTE]],'BASE DATOS'!F:I,4,0)</f>
        <v>NO</v>
      </c>
      <c r="H964" s="587" t="str">
        <f>+VLOOKUP(Tabla3[[#This Row],[PATENTE]],'BASE DATOS'!F:J,5,0)</f>
        <v>SI</v>
      </c>
      <c r="I964" s="587" t="str">
        <f>+VLOOKUP(Tabla3[[#This Row],[PATENTE]],'BASE DATOS'!F:K,6,0)</f>
        <v>NO</v>
      </c>
      <c r="J964" s="587">
        <f>+VLOOKUP(Tabla3[[#This Row],[PATENTE]],'BASE DATOS'!F:L,7,0)</f>
        <v>2008</v>
      </c>
      <c r="K964" s="621">
        <f>+VLOOKUP(Tabla3[[#This Row],[PATENTE]],'BASE DATOS'!F:M,8,0)</f>
        <v>17</v>
      </c>
    </row>
    <row r="965" spans="1:11" hidden="1">
      <c r="A965" s="578" t="s">
        <v>891</v>
      </c>
      <c r="B965" s="584">
        <v>4</v>
      </c>
      <c r="C965" s="589">
        <v>45964</v>
      </c>
      <c r="D965" s="582">
        <f t="shared" ref="D965:D984" si="37">+WEEKNUM(C965)</f>
        <v>45</v>
      </c>
      <c r="E965" s="618" t="str">
        <f>+VLOOKUP(Tabla3[[#This Row],[PATENTE]],'BASE DATOS'!F:G,2,0)</f>
        <v xml:space="preserve">GANZINI HUGO - HHA085 </v>
      </c>
      <c r="F965" s="584" t="str">
        <f>+VLOOKUP(Tabla3[[#This Row],[PATENTE]],'BASE DATOS'!F:H,3,0)</f>
        <v>2P</v>
      </c>
      <c r="G965" s="584" t="str">
        <f>+VLOOKUP(Tabla3[[#This Row],[PATENTE]],'BASE DATOS'!F:I,4,0)</f>
        <v>SI</v>
      </c>
      <c r="H965" s="584" t="str">
        <f>+VLOOKUP(Tabla3[[#This Row],[PATENTE]],'BASE DATOS'!F:J,5,0)</f>
        <v>SI</v>
      </c>
      <c r="I965" s="584" t="str">
        <f>+VLOOKUP(Tabla3[[#This Row],[PATENTE]],'BASE DATOS'!F:K,6,0)</f>
        <v>NO</v>
      </c>
      <c r="J965" s="584">
        <f>+VLOOKUP(Tabla3[[#This Row],[PATENTE]],'BASE DATOS'!F:L,7,0)</f>
        <v>2008</v>
      </c>
      <c r="K965" s="619">
        <f>+VLOOKUP(Tabla3[[#This Row],[PATENTE]],'BASE DATOS'!F:M,8,0)</f>
        <v>17</v>
      </c>
    </row>
    <row r="966" spans="1:11" hidden="1">
      <c r="A966" s="578" t="s">
        <v>901</v>
      </c>
      <c r="B966" s="584">
        <v>4</v>
      </c>
      <c r="C966" s="589">
        <v>45964</v>
      </c>
      <c r="D966" s="582">
        <f t="shared" si="37"/>
        <v>45</v>
      </c>
      <c r="E966" s="618" t="str">
        <f>+VLOOKUP(Tabla3[[#This Row],[PATENTE]],'BASE DATOS'!F:G,2,0)</f>
        <v xml:space="preserve">TRANSPORTE  GRACIELA - IYE750 </v>
      </c>
      <c r="F966" s="584" t="str">
        <f>+VLOOKUP(Tabla3[[#This Row],[PATENTE]],'BASE DATOS'!F:H,3,0)</f>
        <v>1P</v>
      </c>
      <c r="G966" s="584" t="str">
        <f>+VLOOKUP(Tabla3[[#This Row],[PATENTE]],'BASE DATOS'!F:I,4,0)</f>
        <v>NO</v>
      </c>
      <c r="H966" s="584" t="str">
        <f>+VLOOKUP(Tabla3[[#This Row],[PATENTE]],'BASE DATOS'!F:J,5,0)</f>
        <v>SI</v>
      </c>
      <c r="I966" s="584" t="str">
        <f>+VLOOKUP(Tabla3[[#This Row],[PATENTE]],'BASE DATOS'!F:K,6,0)</f>
        <v>NO</v>
      </c>
      <c r="J966" s="584">
        <f>+VLOOKUP(Tabla3[[#This Row],[PATENTE]],'BASE DATOS'!F:L,7,0)</f>
        <v>2009</v>
      </c>
      <c r="K966" s="619">
        <f>+VLOOKUP(Tabla3[[#This Row],[PATENTE]],'BASE DATOS'!F:M,8,0)</f>
        <v>16</v>
      </c>
    </row>
    <row r="967" spans="1:11" hidden="1">
      <c r="A967" s="578" t="s">
        <v>896</v>
      </c>
      <c r="B967" s="584">
        <v>4</v>
      </c>
      <c r="C967" s="589">
        <v>45964</v>
      </c>
      <c r="D967" s="582">
        <f t="shared" si="37"/>
        <v>45</v>
      </c>
      <c r="E967" s="618" t="str">
        <f>+VLOOKUP(Tabla3[[#This Row],[PATENTE]],'BASE DATOS'!F:G,2,0)</f>
        <v xml:space="preserve">TRANSP MAVIR - RHQ609 </v>
      </c>
      <c r="F967" s="584" t="str">
        <f>+VLOOKUP(Tabla3[[#This Row],[PATENTE]],'BASE DATOS'!F:H,3,0)</f>
        <v>10P</v>
      </c>
      <c r="G967" s="584" t="str">
        <f>+VLOOKUP(Tabla3[[#This Row],[PATENTE]],'BASE DATOS'!F:I,4,0)</f>
        <v>NO</v>
      </c>
      <c r="H967" s="584" t="str">
        <f>+VLOOKUP(Tabla3[[#This Row],[PATENTE]],'BASE DATOS'!F:J,5,0)</f>
        <v xml:space="preserve">NO </v>
      </c>
      <c r="I967" s="584" t="str">
        <f>+VLOOKUP(Tabla3[[#This Row],[PATENTE]],'BASE DATOS'!F:K,6,0)</f>
        <v>NO</v>
      </c>
      <c r="J967" s="584">
        <f>+VLOOKUP(Tabla3[[#This Row],[PATENTE]],'BASE DATOS'!F:L,7,0)</f>
        <v>1995</v>
      </c>
      <c r="K967" s="593">
        <v>0</v>
      </c>
    </row>
    <row r="968" spans="1:11" hidden="1">
      <c r="A968" s="578" t="s">
        <v>878</v>
      </c>
      <c r="B968" s="584">
        <v>3</v>
      </c>
      <c r="C968" s="589">
        <v>45964</v>
      </c>
      <c r="D968" s="582">
        <f t="shared" si="37"/>
        <v>45</v>
      </c>
      <c r="E968" s="618" t="str">
        <f>+VLOOKUP(Tabla3[[#This Row],[PATENTE]],'BASE DATOS'!F:G,2,0)</f>
        <v xml:space="preserve">PACHECO JULIO - AA854LY </v>
      </c>
      <c r="F968" s="584" t="str">
        <f>+VLOOKUP(Tabla3[[#This Row],[PATENTE]],'BASE DATOS'!F:H,3,0)</f>
        <v>7P</v>
      </c>
      <c r="G968" s="584" t="str">
        <f>+VLOOKUP(Tabla3[[#This Row],[PATENTE]],'BASE DATOS'!F:I,4,0)</f>
        <v>SI</v>
      </c>
      <c r="H968" s="584" t="str">
        <f>+VLOOKUP(Tabla3[[#This Row],[PATENTE]],'BASE DATOS'!F:J,5,0)</f>
        <v>SI</v>
      </c>
      <c r="I968" s="584" t="str">
        <f>+VLOOKUP(Tabla3[[#This Row],[PATENTE]],'BASE DATOS'!F:K,6,0)</f>
        <v>NO</v>
      </c>
      <c r="J968" s="584">
        <f>+VLOOKUP(Tabla3[[#This Row],[PATENTE]],'BASE DATOS'!F:L,7,0)</f>
        <v>2016</v>
      </c>
      <c r="K968" s="619">
        <f>+VLOOKUP(Tabla3[[#This Row],[PATENTE]],'BASE DATOS'!F:M,8,0)</f>
        <v>9</v>
      </c>
    </row>
    <row r="969" spans="1:11" hidden="1">
      <c r="A969" s="578" t="s">
        <v>899</v>
      </c>
      <c r="B969" s="584">
        <v>3</v>
      </c>
      <c r="C969" s="589">
        <v>45964</v>
      </c>
      <c r="D969" s="582">
        <f t="shared" si="37"/>
        <v>45</v>
      </c>
      <c r="E969" s="618" t="str">
        <f>+VLOOKUP(Tabla3[[#This Row],[PATENTE]],'BASE DATOS'!F:G,2,0)</f>
        <v xml:space="preserve">VAZQUEZ (TRV SRL) - AB176KN </v>
      </c>
      <c r="F969" s="584" t="str">
        <f>+VLOOKUP(Tabla3[[#This Row],[PATENTE]],'BASE DATOS'!F:H,3,0)</f>
        <v>8P</v>
      </c>
      <c r="G969" s="584" t="str">
        <f>+VLOOKUP(Tabla3[[#This Row],[PATENTE]],'BASE DATOS'!F:I,4,0)</f>
        <v>SI</v>
      </c>
      <c r="H969" s="584" t="str">
        <f>+VLOOKUP(Tabla3[[#This Row],[PATENTE]],'BASE DATOS'!F:J,5,0)</f>
        <v>SI</v>
      </c>
      <c r="I969" s="584" t="str">
        <f>+VLOOKUP(Tabla3[[#This Row],[PATENTE]],'BASE DATOS'!F:K,6,0)</f>
        <v>SI</v>
      </c>
      <c r="J969" s="584">
        <f>+VLOOKUP(Tabla3[[#This Row],[PATENTE]],'BASE DATOS'!F:L,7,0)</f>
        <v>2017</v>
      </c>
      <c r="K969" s="619">
        <f>+VLOOKUP(Tabla3[[#This Row],[PATENTE]],'BASE DATOS'!F:M,8,0)</f>
        <v>8</v>
      </c>
    </row>
    <row r="970" spans="1:11" hidden="1">
      <c r="A970" s="578" t="s">
        <v>889</v>
      </c>
      <c r="B970" s="584">
        <v>3</v>
      </c>
      <c r="C970" s="589">
        <v>45964</v>
      </c>
      <c r="D970" s="582">
        <f t="shared" si="37"/>
        <v>45</v>
      </c>
      <c r="E970" s="618" t="str">
        <f>+VLOOKUP(Tabla3[[#This Row],[PATENTE]],'BASE DATOS'!F:G,2,0)</f>
        <v xml:space="preserve">COLO - HAW164 </v>
      </c>
      <c r="F970" s="584" t="str">
        <f>+VLOOKUP(Tabla3[[#This Row],[PATENTE]],'BASE DATOS'!F:H,3,0)</f>
        <v>6P</v>
      </c>
      <c r="G970" s="584" t="str">
        <f>+VLOOKUP(Tabla3[[#This Row],[PATENTE]],'BASE DATOS'!F:I,4,0)</f>
        <v>NO</v>
      </c>
      <c r="H970" s="584" t="str">
        <f>+VLOOKUP(Tabla3[[#This Row],[PATENTE]],'BASE DATOS'!F:J,5,0)</f>
        <v>SI</v>
      </c>
      <c r="I970" s="584" t="str">
        <f>+VLOOKUP(Tabla3[[#This Row],[PATENTE]],'BASE DATOS'!F:K,6,0)</f>
        <v>NO</v>
      </c>
      <c r="J970" s="584">
        <f>+VLOOKUP(Tabla3[[#This Row],[PATENTE]],'BASE DATOS'!F:L,7,0)</f>
        <v>2009</v>
      </c>
      <c r="K970" s="619">
        <f>+VLOOKUP(Tabla3[[#This Row],[PATENTE]],'BASE DATOS'!F:M,8,0)</f>
        <v>16</v>
      </c>
    </row>
    <row r="971" spans="1:11" hidden="1">
      <c r="A971" s="578" t="s">
        <v>924</v>
      </c>
      <c r="B971" s="584">
        <v>3</v>
      </c>
      <c r="C971" s="589">
        <v>45964</v>
      </c>
      <c r="D971" s="582">
        <f t="shared" si="37"/>
        <v>45</v>
      </c>
      <c r="E971" s="618" t="str">
        <f>+VLOOKUP(Tabla3[[#This Row],[PATENTE]],'BASE DATOS'!F:G,2,0)</f>
        <v>TRANSP MAVIR - HRZ429 -16P</v>
      </c>
      <c r="F971" s="584" t="str">
        <f>+VLOOKUP(Tabla3[[#This Row],[PATENTE]],'BASE DATOS'!F:H,3,0)</f>
        <v>16P</v>
      </c>
      <c r="G971" s="584" t="str">
        <f>+VLOOKUP(Tabla3[[#This Row],[PATENTE]],'BASE DATOS'!F:I,4,0)</f>
        <v>SI</v>
      </c>
      <c r="H971" s="584" t="str">
        <f>+VLOOKUP(Tabla3[[#This Row],[PATENTE]],'BASE DATOS'!F:J,5,0)</f>
        <v xml:space="preserve">NO </v>
      </c>
      <c r="I971" s="584" t="str">
        <f>+VLOOKUP(Tabla3[[#This Row],[PATENTE]],'BASE DATOS'!F:K,6,0)</f>
        <v>NO</v>
      </c>
      <c r="J971" s="584">
        <f>+VLOOKUP(Tabla3[[#This Row],[PATENTE]],'BASE DATOS'!F:L,7,0)</f>
        <v>2008</v>
      </c>
      <c r="K971" s="619">
        <f>+VLOOKUP(Tabla3[[#This Row],[PATENTE]],'BASE DATOS'!F:M,8,0)</f>
        <v>17</v>
      </c>
    </row>
    <row r="972" spans="1:11" hidden="1">
      <c r="A972" s="578" t="s">
        <v>900</v>
      </c>
      <c r="B972" s="584">
        <v>3</v>
      </c>
      <c r="C972" s="589">
        <v>45964</v>
      </c>
      <c r="D972" s="582">
        <f t="shared" si="37"/>
        <v>45</v>
      </c>
      <c r="E972" s="618" t="str">
        <f>+VLOOKUP(Tabla3[[#This Row],[PATENTE]],'BASE DATOS'!F:G,2,0)</f>
        <v>TRANSPORTE GENA GAIA - IMO939</v>
      </c>
      <c r="F972" s="584" t="str">
        <f>+VLOOKUP(Tabla3[[#This Row],[PATENTE]],'BASE DATOS'!F:H,3,0)</f>
        <v>24P</v>
      </c>
      <c r="G972" s="584" t="str">
        <f>+VLOOKUP(Tabla3[[#This Row],[PATENTE]],'BASE DATOS'!F:I,4,0)</f>
        <v>Gestya</v>
      </c>
      <c r="H972" s="584" t="str">
        <f>+VLOOKUP(Tabla3[[#This Row],[PATENTE]],'BASE DATOS'!F:J,5,0)</f>
        <v xml:space="preserve">NO </v>
      </c>
      <c r="I972" s="584" t="str">
        <f>+VLOOKUP(Tabla3[[#This Row],[PATENTE]],'BASE DATOS'!F:K,6,0)</f>
        <v>NO</v>
      </c>
      <c r="J972" s="584">
        <f>+VLOOKUP(Tabla3[[#This Row],[PATENTE]],'BASE DATOS'!F:L,7,0)</f>
        <v>2010</v>
      </c>
      <c r="K972" s="619">
        <f>+VLOOKUP(Tabla3[[#This Row],[PATENTE]],'BASE DATOS'!F:M,8,0)</f>
        <v>15</v>
      </c>
    </row>
    <row r="973" spans="1:11" hidden="1">
      <c r="A973" s="578" t="s">
        <v>925</v>
      </c>
      <c r="B973" s="584">
        <v>3</v>
      </c>
      <c r="C973" s="589">
        <v>45964</v>
      </c>
      <c r="D973" s="582">
        <f t="shared" si="37"/>
        <v>45</v>
      </c>
      <c r="E973" s="618" t="str">
        <f>+VLOOKUP(Tabla3[[#This Row],[PATENTE]],'BASE DATOS'!F:G,2,0)</f>
        <v xml:space="preserve">TRANSP MAIDANA FACUNDO - KOW745 </v>
      </c>
      <c r="F973" s="584" t="str">
        <f>+VLOOKUP(Tabla3[[#This Row],[PATENTE]],'BASE DATOS'!F:H,3,0)</f>
        <v>8P</v>
      </c>
      <c r="G973" s="584" t="str">
        <f>+VLOOKUP(Tabla3[[#This Row],[PATENTE]],'BASE DATOS'!F:I,4,0)</f>
        <v>SI</v>
      </c>
      <c r="H973" s="584" t="str">
        <f>+VLOOKUP(Tabla3[[#This Row],[PATENTE]],'BASE DATOS'!F:J,5,0)</f>
        <v>SI</v>
      </c>
      <c r="I973" s="584" t="str">
        <f>+VLOOKUP(Tabla3[[#This Row],[PATENTE]],'BASE DATOS'!F:K,6,0)</f>
        <v>NO</v>
      </c>
      <c r="J973" s="584">
        <f>+VLOOKUP(Tabla3[[#This Row],[PATENTE]],'BASE DATOS'!F:L,7,0)</f>
        <v>2012</v>
      </c>
      <c r="K973" s="619">
        <f>+VLOOKUP(Tabla3[[#This Row],[PATENTE]],'BASE DATOS'!F:M,8,0)</f>
        <v>13</v>
      </c>
    </row>
    <row r="974" spans="1:11" hidden="1">
      <c r="A974" s="578" t="s">
        <v>897</v>
      </c>
      <c r="B974" s="584">
        <v>3</v>
      </c>
      <c r="C974" s="589">
        <v>45964</v>
      </c>
      <c r="D974" s="582">
        <f t="shared" si="37"/>
        <v>45</v>
      </c>
      <c r="E974" s="618" t="str">
        <f>+VLOOKUP(Tabla3[[#This Row],[PATENTE]],'BASE DATOS'!F:G,2,0)</f>
        <v xml:space="preserve">TRANSP CLAUDIO BUSTOS - LSG801 </v>
      </c>
      <c r="F974" s="584" t="str">
        <f>+VLOOKUP(Tabla3[[#This Row],[PATENTE]],'BASE DATOS'!F:H,3,0)</f>
        <v>2P</v>
      </c>
      <c r="G974" s="584" t="str">
        <f>+VLOOKUP(Tabla3[[#This Row],[PATENTE]],'BASE DATOS'!F:I,4,0)</f>
        <v>SI</v>
      </c>
      <c r="H974" s="584" t="str">
        <f>+VLOOKUP(Tabla3[[#This Row],[PATENTE]],'BASE DATOS'!F:J,5,0)</f>
        <v>SI</v>
      </c>
      <c r="I974" s="584" t="str">
        <f>+VLOOKUP(Tabla3[[#This Row],[PATENTE]],'BASE DATOS'!F:K,6,0)</f>
        <v>NO</v>
      </c>
      <c r="J974" s="584">
        <f>+VLOOKUP(Tabla3[[#This Row],[PATENTE]],'BASE DATOS'!F:L,7,0)</f>
        <v>2013</v>
      </c>
      <c r="K974" s="619">
        <f>+VLOOKUP(Tabla3[[#This Row],[PATENTE]],'BASE DATOS'!F:M,8,0)</f>
        <v>12</v>
      </c>
    </row>
    <row r="975" spans="1:11" hidden="1">
      <c r="A975" s="578" t="s">
        <v>917</v>
      </c>
      <c r="B975" s="584">
        <v>2</v>
      </c>
      <c r="C975" s="589">
        <v>45964</v>
      </c>
      <c r="D975" s="582">
        <f t="shared" si="37"/>
        <v>45</v>
      </c>
      <c r="E975" s="618" t="str">
        <f>+VLOOKUP(Tabla3[[#This Row],[PATENTE]],'BASE DATOS'!F:G,2,0)</f>
        <v xml:space="preserve">PRONTOMAR - BUZ242 </v>
      </c>
      <c r="F975" s="584" t="str">
        <f>+VLOOKUP(Tabla3[[#This Row],[PATENTE]],'BASE DATOS'!F:H,3,0)</f>
        <v>16P</v>
      </c>
      <c r="G975" s="584" t="str">
        <f>+VLOOKUP(Tabla3[[#This Row],[PATENTE]],'BASE DATOS'!F:I,4,0)</f>
        <v>NO</v>
      </c>
      <c r="H975" s="584" t="str">
        <f>+VLOOKUP(Tabla3[[#This Row],[PATENTE]],'BASE DATOS'!F:J,5,0)</f>
        <v xml:space="preserve">NO </v>
      </c>
      <c r="I975" s="584" t="str">
        <f>+VLOOKUP(Tabla3[[#This Row],[PATENTE]],'BASE DATOS'!F:K,6,0)</f>
        <v>NO</v>
      </c>
      <c r="J975" s="584">
        <f>+VLOOKUP(Tabla3[[#This Row],[PATENTE]],'BASE DATOS'!F:L,7,0)</f>
        <v>1998</v>
      </c>
      <c r="K975" s="619">
        <f>+VLOOKUP(Tabla3[[#This Row],[PATENTE]],'BASE DATOS'!F:M,8,0)</f>
        <v>27</v>
      </c>
    </row>
    <row r="976" spans="1:11" hidden="1">
      <c r="A976" s="578" t="s">
        <v>1162</v>
      </c>
      <c r="B976" s="584">
        <v>1</v>
      </c>
      <c r="C976" s="589">
        <v>45964</v>
      </c>
      <c r="D976" s="582">
        <f t="shared" si="37"/>
        <v>45</v>
      </c>
      <c r="E976" s="618" t="str">
        <f>+VLOOKUP(Tabla3[[#This Row],[PATENTE]],'BASE DATOS'!F:G,2,0)</f>
        <v>PERLETTI - 8P RETIRA CLIENTE</v>
      </c>
      <c r="F976" s="584" t="str">
        <f>+VLOOKUP(Tabla3[[#This Row],[PATENTE]],'BASE DATOS'!F:H,3,0)</f>
        <v>8P</v>
      </c>
      <c r="G976" s="584" t="str">
        <f>+VLOOKUP(Tabla3[[#This Row],[PATENTE]],'BASE DATOS'!F:I,4,0)</f>
        <v>NO</v>
      </c>
      <c r="H976" s="584" t="str">
        <f>+VLOOKUP(Tabla3[[#This Row],[PATENTE]],'BASE DATOS'!F:J,5,0)</f>
        <v xml:space="preserve">NO </v>
      </c>
      <c r="I976" s="584" t="str">
        <f>+VLOOKUP(Tabla3[[#This Row],[PATENTE]],'BASE DATOS'!F:K,6,0)</f>
        <v>NO</v>
      </c>
      <c r="J976" s="584">
        <f>+VLOOKUP(Tabla3[[#This Row],[PATENTE]],'BASE DATOS'!F:L,7,0)</f>
        <v>0</v>
      </c>
      <c r="K976" s="619">
        <f>+VLOOKUP(Tabla3[[#This Row],[PATENTE]],'BASE DATOS'!F:M,8,0)</f>
        <v>2025</v>
      </c>
    </row>
    <row r="977" spans="1:11" hidden="1">
      <c r="A977" s="578" t="s">
        <v>880</v>
      </c>
      <c r="B977" s="584">
        <v>1</v>
      </c>
      <c r="C977" s="589">
        <v>45964</v>
      </c>
      <c r="D977" s="582">
        <f t="shared" si="37"/>
        <v>45</v>
      </c>
      <c r="E977" s="618" t="str">
        <f>+VLOOKUP(Tabla3[[#This Row],[PATENTE]],'BASE DATOS'!F:G,2,0)</f>
        <v xml:space="preserve">LAURIA (SERVAL) - AD575XK </v>
      </c>
      <c r="F977" s="584" t="str">
        <f>+VLOOKUP(Tabla3[[#This Row],[PATENTE]],'BASE DATOS'!F:H,3,0)</f>
        <v>8P</v>
      </c>
      <c r="G977" s="584" t="str">
        <f>+VLOOKUP(Tabla3[[#This Row],[PATENTE]],'BASE DATOS'!F:I,4,0)</f>
        <v>SI</v>
      </c>
      <c r="H977" s="584" t="str">
        <f>+VLOOKUP(Tabla3[[#This Row],[PATENTE]],'BASE DATOS'!F:J,5,0)</f>
        <v>SI</v>
      </c>
      <c r="I977" s="584" t="str">
        <f>+VLOOKUP(Tabla3[[#This Row],[PATENTE]],'BASE DATOS'!F:K,6,0)</f>
        <v>NO</v>
      </c>
      <c r="J977" s="584">
        <f>+VLOOKUP(Tabla3[[#This Row],[PATENTE]],'BASE DATOS'!F:L,7,0)</f>
        <v>2019</v>
      </c>
      <c r="K977" s="619">
        <f>+VLOOKUP(Tabla3[[#This Row],[PATENTE]],'BASE DATOS'!F:M,8,0)</f>
        <v>6</v>
      </c>
    </row>
    <row r="978" spans="1:11" hidden="1">
      <c r="A978" s="578" t="s">
        <v>942</v>
      </c>
      <c r="B978" s="584">
        <v>1</v>
      </c>
      <c r="C978" s="589">
        <v>45964</v>
      </c>
      <c r="D978" s="582">
        <f t="shared" si="37"/>
        <v>45</v>
      </c>
      <c r="E978" s="618" t="str">
        <f>+VLOOKUP(Tabla3[[#This Row],[PATENTE]],'BASE DATOS'!F:G,2,0)</f>
        <v>GANZINI HUGO - AH599 - 1P</v>
      </c>
      <c r="F978" s="584" t="str">
        <f>+VLOOKUP(Tabla3[[#This Row],[PATENTE]],'BASE DATOS'!F:H,3,0)</f>
        <v>1P</v>
      </c>
      <c r="G978" s="584" t="str">
        <f>+VLOOKUP(Tabla3[[#This Row],[PATENTE]],'BASE DATOS'!F:I,4,0)</f>
        <v>NO</v>
      </c>
      <c r="H978" s="584" t="str">
        <f>+VLOOKUP(Tabla3[[#This Row],[PATENTE]],'BASE DATOS'!F:J,5,0)</f>
        <v>NO</v>
      </c>
      <c r="I978" s="584" t="str">
        <f>+VLOOKUP(Tabla3[[#This Row],[PATENTE]],'BASE DATOS'!F:K,6,0)</f>
        <v>NO</v>
      </c>
      <c r="J978" s="584">
        <f>+VLOOKUP(Tabla3[[#This Row],[PATENTE]],'BASE DATOS'!F:L,7,0)</f>
        <v>2025</v>
      </c>
      <c r="K978" s="619">
        <f>+VLOOKUP(Tabla3[[#This Row],[PATENTE]],'BASE DATOS'!F:M,8,0)</f>
        <v>0</v>
      </c>
    </row>
    <row r="979" spans="1:11" hidden="1">
      <c r="A979" s="578" t="s">
        <v>918</v>
      </c>
      <c r="B979" s="584">
        <v>1</v>
      </c>
      <c r="C979" s="589">
        <v>45964</v>
      </c>
      <c r="D979" s="582">
        <f t="shared" si="37"/>
        <v>45</v>
      </c>
      <c r="E979" s="618" t="str">
        <f>+VLOOKUP(Tabla3[[#This Row],[PATENTE]],'BASE DATOS'!F:G,2,0)</f>
        <v>TRANSPORTE GENA GAIA - DGO507</v>
      </c>
      <c r="F979" s="584" t="str">
        <f>+VLOOKUP(Tabla3[[#This Row],[PATENTE]],'BASE DATOS'!F:H,3,0)</f>
        <v>24P</v>
      </c>
      <c r="G979" s="584" t="str">
        <f>+VLOOKUP(Tabla3[[#This Row],[PATENTE]],'BASE DATOS'!F:I,4,0)</f>
        <v>Gestya</v>
      </c>
      <c r="H979" s="584" t="str">
        <f>+VLOOKUP(Tabla3[[#This Row],[PATENTE]],'BASE DATOS'!F:J,5,0)</f>
        <v xml:space="preserve">NO </v>
      </c>
      <c r="I979" s="584" t="str">
        <f>+VLOOKUP(Tabla3[[#This Row],[PATENTE]],'BASE DATOS'!F:K,6,0)</f>
        <v>NO</v>
      </c>
      <c r="J979" s="584">
        <f>+VLOOKUP(Tabla3[[#This Row],[PATENTE]],'BASE DATOS'!F:L,7,0)</f>
        <v>2001</v>
      </c>
      <c r="K979" s="619">
        <f>+VLOOKUP(Tabla3[[#This Row],[PATENTE]],'BASE DATOS'!F:M,8,0)</f>
        <v>24</v>
      </c>
    </row>
    <row r="980" spans="1:11" hidden="1">
      <c r="A980" s="578" t="s">
        <v>923</v>
      </c>
      <c r="B980" s="584">
        <v>1</v>
      </c>
      <c r="C980" s="589">
        <v>45964</v>
      </c>
      <c r="D980" s="582">
        <f t="shared" si="37"/>
        <v>45</v>
      </c>
      <c r="E980" s="618" t="str">
        <f>+VLOOKUP(Tabla3[[#This Row],[PATENTE]],'BASE DATOS'!F:G,2,0)</f>
        <v xml:space="preserve">TRANSPORTE GENA GAIA - DLP830 </v>
      </c>
      <c r="F980" s="584" t="str">
        <f>+VLOOKUP(Tabla3[[#This Row],[PATENTE]],'BASE DATOS'!F:H,3,0)</f>
        <v>24P</v>
      </c>
      <c r="G980" s="584" t="str">
        <f>+VLOOKUP(Tabla3[[#This Row],[PATENTE]],'BASE DATOS'!F:I,4,0)</f>
        <v>Gestya</v>
      </c>
      <c r="H980" s="584" t="str">
        <f>+VLOOKUP(Tabla3[[#This Row],[PATENTE]],'BASE DATOS'!F:J,5,0)</f>
        <v xml:space="preserve">NO </v>
      </c>
      <c r="I980" s="584" t="str">
        <f>+VLOOKUP(Tabla3[[#This Row],[PATENTE]],'BASE DATOS'!F:K,6,0)</f>
        <v>NO</v>
      </c>
      <c r="J980" s="584">
        <f>+VLOOKUP(Tabla3[[#This Row],[PATENTE]],'BASE DATOS'!F:L,7,0)</f>
        <v>2001</v>
      </c>
      <c r="K980" s="619">
        <f>+VLOOKUP(Tabla3[[#This Row],[PATENTE]],'BASE DATOS'!F:M,8,0)</f>
        <v>24</v>
      </c>
    </row>
    <row r="981" spans="1:11" hidden="1">
      <c r="A981" s="578" t="s">
        <v>926</v>
      </c>
      <c r="B981" s="584">
        <v>1</v>
      </c>
      <c r="C981" s="589">
        <v>45964</v>
      </c>
      <c r="D981" s="582">
        <f t="shared" si="37"/>
        <v>45</v>
      </c>
      <c r="E981" s="618" t="str">
        <f>+VLOOKUP(Tabla3[[#This Row],[PATENTE]],'BASE DATOS'!F:G,2,0)</f>
        <v xml:space="preserve">TRANSPORTE GENA GAIA - DUF042 </v>
      </c>
      <c r="F981" s="584" t="str">
        <f>+VLOOKUP(Tabla3[[#This Row],[PATENTE]],'BASE DATOS'!F:H,3,0)</f>
        <v>24P</v>
      </c>
      <c r="G981" s="584" t="str">
        <f>+VLOOKUP(Tabla3[[#This Row],[PATENTE]],'BASE DATOS'!F:I,4,0)</f>
        <v>Gestya</v>
      </c>
      <c r="H981" s="584" t="str">
        <f>+VLOOKUP(Tabla3[[#This Row],[PATENTE]],'BASE DATOS'!F:J,5,0)</f>
        <v xml:space="preserve">NO </v>
      </c>
      <c r="I981" s="584" t="str">
        <f>+VLOOKUP(Tabla3[[#This Row],[PATENTE]],'BASE DATOS'!F:K,6,0)</f>
        <v>NO</v>
      </c>
      <c r="J981" s="584">
        <f>+VLOOKUP(Tabla3[[#This Row],[PATENTE]],'BASE DATOS'!F:L,7,0)</f>
        <v>2001</v>
      </c>
      <c r="K981" s="619">
        <f>+VLOOKUP(Tabla3[[#This Row],[PATENTE]],'BASE DATOS'!F:M,8,0)</f>
        <v>24</v>
      </c>
    </row>
    <row r="982" spans="1:11" hidden="1">
      <c r="A982" s="578" t="s">
        <v>927</v>
      </c>
      <c r="B982" s="584">
        <v>1</v>
      </c>
      <c r="C982" s="589">
        <v>45964</v>
      </c>
      <c r="D982" s="582">
        <f t="shared" si="37"/>
        <v>45</v>
      </c>
      <c r="E982" s="618" t="str">
        <f>+VLOOKUP(Tabla3[[#This Row],[PATENTE]],'BASE DATOS'!F:G,2,0)</f>
        <v xml:space="preserve">TRANSP MAVIR - EKE275 </v>
      </c>
      <c r="F982" s="584" t="str">
        <f>+VLOOKUP(Tabla3[[#This Row],[PATENTE]],'BASE DATOS'!F:H,3,0)</f>
        <v>11P</v>
      </c>
      <c r="G982" s="584" t="str">
        <f>+VLOOKUP(Tabla3[[#This Row],[PATENTE]],'BASE DATOS'!F:I,4,0)</f>
        <v>NO</v>
      </c>
      <c r="H982" s="584" t="str">
        <f>+VLOOKUP(Tabla3[[#This Row],[PATENTE]],'BASE DATOS'!F:J,5,0)</f>
        <v xml:space="preserve">NO </v>
      </c>
      <c r="I982" s="584" t="str">
        <f>+VLOOKUP(Tabla3[[#This Row],[PATENTE]],'BASE DATOS'!F:K,6,0)</f>
        <v>NO</v>
      </c>
      <c r="J982" s="584">
        <f>+VLOOKUP(Tabla3[[#This Row],[PATENTE]],'BASE DATOS'!F:L,7,0)</f>
        <v>2004</v>
      </c>
      <c r="K982" s="593">
        <v>0</v>
      </c>
    </row>
    <row r="983" spans="1:11" hidden="1">
      <c r="A983" s="578" t="s">
        <v>914</v>
      </c>
      <c r="B983" s="584">
        <v>1</v>
      </c>
      <c r="C983" s="589">
        <v>45964</v>
      </c>
      <c r="D983" s="582">
        <f t="shared" si="37"/>
        <v>45</v>
      </c>
      <c r="E983" s="618" t="str">
        <f>+VLOOKUP(Tabla3[[#This Row],[PATENTE]],'BASE DATOS'!F:G,2,0)</f>
        <v>TRANSP DON NENO - HCP674</v>
      </c>
      <c r="F983" s="584" t="str">
        <f>+VLOOKUP(Tabla3[[#This Row],[PATENTE]],'BASE DATOS'!F:H,3,0)</f>
        <v>2P</v>
      </c>
      <c r="G983" s="584" t="str">
        <f>+VLOOKUP(Tabla3[[#This Row],[PATENTE]],'BASE DATOS'!F:I,4,0)</f>
        <v>NO</v>
      </c>
      <c r="H983" s="584" t="str">
        <f>+VLOOKUP(Tabla3[[#This Row],[PATENTE]],'BASE DATOS'!F:J,5,0)</f>
        <v xml:space="preserve">NO </v>
      </c>
      <c r="I983" s="584" t="str">
        <f>+VLOOKUP(Tabla3[[#This Row],[PATENTE]],'BASE DATOS'!F:K,6,0)</f>
        <v>NO</v>
      </c>
      <c r="J983" s="584">
        <f>+VLOOKUP(Tabla3[[#This Row],[PATENTE]],'BASE DATOS'!F:L,7,0)</f>
        <v>2008</v>
      </c>
      <c r="K983" s="619">
        <f>+VLOOKUP(Tabla3[[#This Row],[PATENTE]],'BASE DATOS'!F:M,8,0)</f>
        <v>17</v>
      </c>
    </row>
    <row r="984" spans="1:11" hidden="1">
      <c r="A984" s="578" t="s">
        <v>948</v>
      </c>
      <c r="B984" s="584">
        <v>1</v>
      </c>
      <c r="C984" s="589">
        <v>45964</v>
      </c>
      <c r="D984" s="582">
        <f t="shared" si="37"/>
        <v>45</v>
      </c>
      <c r="E984" s="618" t="str">
        <f>+VLOOKUP(Tabla3[[#This Row],[PATENTE]],'BASE DATOS'!F:G,2,0)</f>
        <v>CAMILA - 24P RETIRA CLIENTE</v>
      </c>
      <c r="F984" s="584" t="str">
        <f>+VLOOKUP(Tabla3[[#This Row],[PATENTE]],'BASE DATOS'!F:H,3,0)</f>
        <v>24P</v>
      </c>
      <c r="G984" s="584" t="str">
        <f>+VLOOKUP(Tabla3[[#This Row],[PATENTE]],'BASE DATOS'!F:I,4,0)</f>
        <v>NO</v>
      </c>
      <c r="H984" s="584" t="str">
        <f>+VLOOKUP(Tabla3[[#This Row],[PATENTE]],'BASE DATOS'!F:J,5,0)</f>
        <v xml:space="preserve">NO </v>
      </c>
      <c r="I984" s="584" t="str">
        <f>+VLOOKUP(Tabla3[[#This Row],[PATENTE]],'BASE DATOS'!F:K,6,0)</f>
        <v>NO</v>
      </c>
      <c r="J984" s="584">
        <f>+VLOOKUP(Tabla3[[#This Row],[PATENTE]],'BASE DATOS'!F:L,7,0)</f>
        <v>0</v>
      </c>
      <c r="K984" s="619">
        <f>+VLOOKUP(Tabla3[[#This Row],[PATENTE]],'BASE DATOS'!F:M,8,0)</f>
        <v>2025</v>
      </c>
    </row>
    <row r="985" spans="1:11" hidden="1">
      <c r="A985" s="578" t="s">
        <v>884</v>
      </c>
      <c r="B985" s="584">
        <v>6</v>
      </c>
      <c r="C985" s="589">
        <v>45971</v>
      </c>
      <c r="D985" s="582">
        <f t="shared" ref="D985:D1016" si="38">+WEEKNUM(C985)</f>
        <v>46</v>
      </c>
      <c r="E985" s="618" t="str">
        <f>+VLOOKUP(Tabla3[[#This Row],[PATENTE]],'BASE DATOS'!F:G,2,0)</f>
        <v xml:space="preserve">LAURIA (SERVAL) - AB233IT </v>
      </c>
      <c r="F985" s="584" t="str">
        <f>+VLOOKUP(Tabla3[[#This Row],[PATENTE]],'BASE DATOS'!F:H,3,0)</f>
        <v>6P</v>
      </c>
      <c r="G985" s="584" t="str">
        <f>+VLOOKUP(Tabla3[[#This Row],[PATENTE]],'BASE DATOS'!F:I,4,0)</f>
        <v>SI</v>
      </c>
      <c r="H985" s="584" t="str">
        <f>+VLOOKUP(Tabla3[[#This Row],[PATENTE]],'BASE DATOS'!F:J,5,0)</f>
        <v>SI</v>
      </c>
      <c r="I985" s="584" t="str">
        <f>+VLOOKUP(Tabla3[[#This Row],[PATENTE]],'BASE DATOS'!F:K,6,0)</f>
        <v>NO</v>
      </c>
      <c r="J985" s="584">
        <f>+VLOOKUP(Tabla3[[#This Row],[PATENTE]],'BASE DATOS'!F:L,7,0)</f>
        <v>2017</v>
      </c>
      <c r="K985" s="619">
        <f>+VLOOKUP(Tabla3[[#This Row],[PATENTE]],'BASE DATOS'!F:M,8,0)</f>
        <v>8</v>
      </c>
    </row>
    <row r="986" spans="1:11" hidden="1">
      <c r="A986" s="578" t="s">
        <v>888</v>
      </c>
      <c r="B986" s="584">
        <v>6</v>
      </c>
      <c r="C986" s="589">
        <v>45971</v>
      </c>
      <c r="D986" s="582">
        <f t="shared" si="38"/>
        <v>46</v>
      </c>
      <c r="E986" s="618" t="str">
        <f>+VLOOKUP(Tabla3[[#This Row],[PATENTE]],'BASE DATOS'!F:G,2,0)</f>
        <v xml:space="preserve">TRANSP FIRST CLASS - AD535UI </v>
      </c>
      <c r="F986" s="584" t="str">
        <f>+VLOOKUP(Tabla3[[#This Row],[PATENTE]],'BASE DATOS'!F:H,3,0)</f>
        <v>6P</v>
      </c>
      <c r="G986" s="584" t="str">
        <f>+VLOOKUP(Tabla3[[#This Row],[PATENTE]],'BASE DATOS'!F:I,4,0)</f>
        <v>SI</v>
      </c>
      <c r="H986" s="584" t="str">
        <f>+VLOOKUP(Tabla3[[#This Row],[PATENTE]],'BASE DATOS'!F:J,5,0)</f>
        <v>SI</v>
      </c>
      <c r="I986" s="584" t="str">
        <f>+VLOOKUP(Tabla3[[#This Row],[PATENTE]],'BASE DATOS'!F:K,6,0)</f>
        <v>NO</v>
      </c>
      <c r="J986" s="584">
        <f>+VLOOKUP(Tabla3[[#This Row],[PATENTE]],'BASE DATOS'!F:L,7,0)</f>
        <v>2019</v>
      </c>
      <c r="K986" s="619">
        <f>+VLOOKUP(Tabla3[[#This Row],[PATENTE]],'BASE DATOS'!F:M,8,0)</f>
        <v>6</v>
      </c>
    </row>
    <row r="987" spans="1:11" hidden="1">
      <c r="A987" s="578" t="s">
        <v>922</v>
      </c>
      <c r="B987" s="584">
        <v>6</v>
      </c>
      <c r="C987" s="589">
        <v>45971</v>
      </c>
      <c r="D987" s="582">
        <f t="shared" si="38"/>
        <v>46</v>
      </c>
      <c r="E987" s="618" t="str">
        <f>+VLOOKUP(Tabla3[[#This Row],[PATENTE]],'BASE DATOS'!F:G,2,0)</f>
        <v>LAURIA (SERVAL) - AF342ZY</v>
      </c>
      <c r="F987" s="584" t="str">
        <f>+VLOOKUP(Tabla3[[#This Row],[PATENTE]],'BASE DATOS'!F:H,3,0)</f>
        <v>8P</v>
      </c>
      <c r="G987" s="584" t="str">
        <f>+VLOOKUP(Tabla3[[#This Row],[PATENTE]],'BASE DATOS'!F:I,4,0)</f>
        <v>SI</v>
      </c>
      <c r="H987" s="584" t="str">
        <f>+VLOOKUP(Tabla3[[#This Row],[PATENTE]],'BASE DATOS'!F:J,5,0)</f>
        <v>SI</v>
      </c>
      <c r="I987" s="584" t="str">
        <f>+VLOOKUP(Tabla3[[#This Row],[PATENTE]],'BASE DATOS'!F:K,6,0)</f>
        <v>NO</v>
      </c>
      <c r="J987" s="584">
        <f>+VLOOKUP(Tabla3[[#This Row],[PATENTE]],'BASE DATOS'!F:L,7,0)</f>
        <v>2022</v>
      </c>
      <c r="K987" s="619">
        <f>+VLOOKUP(Tabla3[[#This Row],[PATENTE]],'BASE DATOS'!F:M,8,0)</f>
        <v>3</v>
      </c>
    </row>
    <row r="988" spans="1:11" hidden="1">
      <c r="A988" s="578" t="s">
        <v>887</v>
      </c>
      <c r="B988" s="584">
        <v>6</v>
      </c>
      <c r="C988" s="589">
        <v>45971</v>
      </c>
      <c r="D988" s="582">
        <f t="shared" si="38"/>
        <v>46</v>
      </c>
      <c r="E988" s="618" t="str">
        <f>+VLOOKUP(Tabla3[[#This Row],[PATENTE]],'BASE DATOS'!F:G,2,0)</f>
        <v>ENRIQUE ROLLINO - BXB394</v>
      </c>
      <c r="F988" s="584" t="str">
        <f>+VLOOKUP(Tabla3[[#This Row],[PATENTE]],'BASE DATOS'!F:H,3,0)</f>
        <v>2P</v>
      </c>
      <c r="G988" s="584" t="str">
        <f>+VLOOKUP(Tabla3[[#This Row],[PATENTE]],'BASE DATOS'!F:I,4,0)</f>
        <v>SI</v>
      </c>
      <c r="H988" s="584" t="str">
        <f>+VLOOKUP(Tabla3[[#This Row],[PATENTE]],'BASE DATOS'!F:J,5,0)</f>
        <v>SI</v>
      </c>
      <c r="I988" s="584" t="str">
        <f>+VLOOKUP(Tabla3[[#This Row],[PATENTE]],'BASE DATOS'!F:K,6,0)</f>
        <v>NO</v>
      </c>
      <c r="J988" s="584">
        <f>+VLOOKUP(Tabla3[[#This Row],[PATENTE]],'BASE DATOS'!F:L,7,0)</f>
        <v>1998</v>
      </c>
      <c r="K988" s="619">
        <f>+VLOOKUP(Tabla3[[#This Row],[PATENTE]],'BASE DATOS'!F:M,8,0)</f>
        <v>27</v>
      </c>
    </row>
    <row r="989" spans="1:11" hidden="1">
      <c r="A989" s="578" t="s">
        <v>904</v>
      </c>
      <c r="B989" s="584">
        <v>6</v>
      </c>
      <c r="C989" s="589">
        <v>45971</v>
      </c>
      <c r="D989" s="582">
        <f t="shared" si="38"/>
        <v>46</v>
      </c>
      <c r="E989" s="618" t="str">
        <f>+VLOOKUP(Tabla3[[#This Row],[PATENTE]],'BASE DATOS'!F:G,2,0)</f>
        <v xml:space="preserve">ENRIQUE ROLLINO - DFO656 </v>
      </c>
      <c r="F989" s="584" t="str">
        <f>+VLOOKUP(Tabla3[[#This Row],[PATENTE]],'BASE DATOS'!F:H,3,0)</f>
        <v>6P</v>
      </c>
      <c r="G989" s="584" t="str">
        <f>+VLOOKUP(Tabla3[[#This Row],[PATENTE]],'BASE DATOS'!F:I,4,0)</f>
        <v>SI</v>
      </c>
      <c r="H989" s="584" t="str">
        <f>+VLOOKUP(Tabla3[[#This Row],[PATENTE]],'BASE DATOS'!F:J,5,0)</f>
        <v>SI</v>
      </c>
      <c r="I989" s="584" t="str">
        <f>+VLOOKUP(Tabla3[[#This Row],[PATENTE]],'BASE DATOS'!F:K,6,0)</f>
        <v>NO</v>
      </c>
      <c r="J989" s="584">
        <f>+VLOOKUP(Tabla3[[#This Row],[PATENTE]],'BASE DATOS'!F:L,7,0)</f>
        <v>2000</v>
      </c>
      <c r="K989" s="619">
        <f>+VLOOKUP(Tabla3[[#This Row],[PATENTE]],'BASE DATOS'!F:M,8,0)</f>
        <v>25</v>
      </c>
    </row>
    <row r="990" spans="1:11" hidden="1">
      <c r="A990" s="578" t="s">
        <v>881</v>
      </c>
      <c r="B990" s="584">
        <v>6</v>
      </c>
      <c r="C990" s="589">
        <v>45971</v>
      </c>
      <c r="D990" s="582">
        <f t="shared" si="38"/>
        <v>46</v>
      </c>
      <c r="E990" s="618" t="str">
        <f>+VLOOKUP(Tabla3[[#This Row],[PATENTE]],'BASE DATOS'!F:G,2,0)</f>
        <v xml:space="preserve">MAÑAS NORBERTO - DUQ686 </v>
      </c>
      <c r="F990" s="584" t="str">
        <f>+VLOOKUP(Tabla3[[#This Row],[PATENTE]],'BASE DATOS'!F:H,3,0)</f>
        <v>8P</v>
      </c>
      <c r="G990" s="584" t="str">
        <f>+VLOOKUP(Tabla3[[#This Row],[PATENTE]],'BASE DATOS'!F:I,4,0)</f>
        <v>SI</v>
      </c>
      <c r="H990" s="584" t="str">
        <f>+VLOOKUP(Tabla3[[#This Row],[PATENTE]],'BASE DATOS'!F:J,5,0)</f>
        <v>SI</v>
      </c>
      <c r="I990" s="584" t="str">
        <f>+VLOOKUP(Tabla3[[#This Row],[PATENTE]],'BASE DATOS'!F:K,6,0)</f>
        <v>NO</v>
      </c>
      <c r="J990" s="584">
        <f>+VLOOKUP(Tabla3[[#This Row],[PATENTE]],'BASE DATOS'!F:L,7,0)</f>
        <v>2001</v>
      </c>
      <c r="K990" s="619">
        <f>+VLOOKUP(Tabla3[[#This Row],[PATENTE]],'BASE DATOS'!F:M,8,0)</f>
        <v>24</v>
      </c>
    </row>
    <row r="991" spans="1:11" hidden="1">
      <c r="A991" s="578" t="s">
        <v>891</v>
      </c>
      <c r="B991" s="584">
        <v>6</v>
      </c>
      <c r="C991" s="589">
        <v>45971</v>
      </c>
      <c r="D991" s="582">
        <f t="shared" si="38"/>
        <v>46</v>
      </c>
      <c r="E991" s="618" t="str">
        <f>+VLOOKUP(Tabla3[[#This Row],[PATENTE]],'BASE DATOS'!F:G,2,0)</f>
        <v xml:space="preserve">GANZINI HUGO - HHA085 </v>
      </c>
      <c r="F991" s="584" t="str">
        <f>+VLOOKUP(Tabla3[[#This Row],[PATENTE]],'BASE DATOS'!F:H,3,0)</f>
        <v>2P</v>
      </c>
      <c r="G991" s="584" t="str">
        <f>+VLOOKUP(Tabla3[[#This Row],[PATENTE]],'BASE DATOS'!F:I,4,0)</f>
        <v>SI</v>
      </c>
      <c r="H991" s="584" t="str">
        <f>+VLOOKUP(Tabla3[[#This Row],[PATENTE]],'BASE DATOS'!F:J,5,0)</f>
        <v>SI</v>
      </c>
      <c r="I991" s="584" t="str">
        <f>+VLOOKUP(Tabla3[[#This Row],[PATENTE]],'BASE DATOS'!F:K,6,0)</f>
        <v>NO</v>
      </c>
      <c r="J991" s="584">
        <f>+VLOOKUP(Tabla3[[#This Row],[PATENTE]],'BASE DATOS'!F:L,7,0)</f>
        <v>2008</v>
      </c>
      <c r="K991" s="619">
        <f>+VLOOKUP(Tabla3[[#This Row],[PATENTE]],'BASE DATOS'!F:M,8,0)</f>
        <v>17</v>
      </c>
    </row>
    <row r="992" spans="1:11" hidden="1">
      <c r="A992" s="578" t="s">
        <v>885</v>
      </c>
      <c r="B992" s="584">
        <v>6</v>
      </c>
      <c r="C992" s="589">
        <v>45971</v>
      </c>
      <c r="D992" s="582">
        <f t="shared" si="38"/>
        <v>46</v>
      </c>
      <c r="E992" s="618" t="str">
        <f>+VLOOKUP(Tabla3[[#This Row],[PATENTE]],'BASE DATOS'!F:G,2,0)</f>
        <v xml:space="preserve">TRANSP DON NENO - IES288 </v>
      </c>
      <c r="F992" s="584" t="str">
        <f>+VLOOKUP(Tabla3[[#This Row],[PATENTE]],'BASE DATOS'!F:H,3,0)</f>
        <v>2P</v>
      </c>
      <c r="G992" s="584" t="str">
        <f>+VLOOKUP(Tabla3[[#This Row],[PATENTE]],'BASE DATOS'!F:I,4,0)</f>
        <v>SI</v>
      </c>
      <c r="H992" s="584" t="str">
        <f>+VLOOKUP(Tabla3[[#This Row],[PATENTE]],'BASE DATOS'!F:J,5,0)</f>
        <v>SI</v>
      </c>
      <c r="I992" s="584" t="str">
        <f>+VLOOKUP(Tabla3[[#This Row],[PATENTE]],'BASE DATOS'!F:K,6,0)</f>
        <v>NO</v>
      </c>
      <c r="J992" s="584">
        <f>+VLOOKUP(Tabla3[[#This Row],[PATENTE]],'BASE DATOS'!F:L,7,0)</f>
        <v>2009</v>
      </c>
      <c r="K992" s="619">
        <f>+VLOOKUP(Tabla3[[#This Row],[PATENTE]],'BASE DATOS'!F:M,8,0)</f>
        <v>16</v>
      </c>
    </row>
    <row r="993" spans="1:11" hidden="1">
      <c r="A993" s="578" t="s">
        <v>913</v>
      </c>
      <c r="B993" s="584">
        <v>6</v>
      </c>
      <c r="C993" s="589">
        <v>45971</v>
      </c>
      <c r="D993" s="582">
        <f t="shared" si="38"/>
        <v>46</v>
      </c>
      <c r="E993" s="618" t="str">
        <f>+VLOOKUP(Tabla3[[#This Row],[PATENTE]],'BASE DATOS'!F:G,2,0)</f>
        <v xml:space="preserve">TRANSP DON NENO - KSI803 </v>
      </c>
      <c r="F993" s="584" t="str">
        <f>+VLOOKUP(Tabla3[[#This Row],[PATENTE]],'BASE DATOS'!F:H,3,0)</f>
        <v>2P</v>
      </c>
      <c r="G993" s="584" t="str">
        <f>+VLOOKUP(Tabla3[[#This Row],[PATENTE]],'BASE DATOS'!F:I,4,0)</f>
        <v>SI</v>
      </c>
      <c r="H993" s="584" t="str">
        <f>+VLOOKUP(Tabla3[[#This Row],[PATENTE]],'BASE DATOS'!F:J,5,0)</f>
        <v>SI</v>
      </c>
      <c r="I993" s="584" t="str">
        <f>+VLOOKUP(Tabla3[[#This Row],[PATENTE]],'BASE DATOS'!F:K,6,0)</f>
        <v>NO</v>
      </c>
      <c r="J993" s="584">
        <f>+VLOOKUP(Tabla3[[#This Row],[PATENTE]],'BASE DATOS'!F:L,7,0)</f>
        <v>2012</v>
      </c>
      <c r="K993" s="619">
        <f>+VLOOKUP(Tabla3[[#This Row],[PATENTE]],'BASE DATOS'!F:M,8,0)</f>
        <v>13</v>
      </c>
    </row>
    <row r="994" spans="1:11" hidden="1">
      <c r="A994" s="578" t="s">
        <v>902</v>
      </c>
      <c r="B994" s="584">
        <v>6</v>
      </c>
      <c r="C994" s="589">
        <v>45971</v>
      </c>
      <c r="D994" s="582">
        <f t="shared" si="38"/>
        <v>46</v>
      </c>
      <c r="E994" s="618" t="str">
        <f>+VLOOKUP(Tabla3[[#This Row],[PATENTE]],'BASE DATOS'!F:G,2,0)</f>
        <v xml:space="preserve">GUSTAVO CERQUETTA - KZA644 </v>
      </c>
      <c r="F994" s="584" t="str">
        <f>+VLOOKUP(Tabla3[[#This Row],[PATENTE]],'BASE DATOS'!F:H,3,0)</f>
        <v>2P</v>
      </c>
      <c r="G994" s="584" t="str">
        <f>+VLOOKUP(Tabla3[[#This Row],[PATENTE]],'BASE DATOS'!F:I,4,0)</f>
        <v>NO</v>
      </c>
      <c r="H994" s="584" t="str">
        <f>+VLOOKUP(Tabla3[[#This Row],[PATENTE]],'BASE DATOS'!F:J,5,0)</f>
        <v>SI</v>
      </c>
      <c r="I994" s="584" t="str">
        <f>+VLOOKUP(Tabla3[[#This Row],[PATENTE]],'BASE DATOS'!F:K,6,0)</f>
        <v>NO</v>
      </c>
      <c r="J994" s="584">
        <f>+VLOOKUP(Tabla3[[#This Row],[PATENTE]],'BASE DATOS'!F:L,7,0)</f>
        <v>2012</v>
      </c>
      <c r="K994" s="619">
        <f>+VLOOKUP(Tabla3[[#This Row],[PATENTE]],'BASE DATOS'!F:M,8,0)</f>
        <v>13</v>
      </c>
    </row>
    <row r="995" spans="1:11" hidden="1">
      <c r="A995" s="578" t="s">
        <v>897</v>
      </c>
      <c r="B995" s="584">
        <v>6</v>
      </c>
      <c r="C995" s="589">
        <v>45971</v>
      </c>
      <c r="D995" s="582">
        <f t="shared" si="38"/>
        <v>46</v>
      </c>
      <c r="E995" s="618" t="str">
        <f>+VLOOKUP(Tabla3[[#This Row],[PATENTE]],'BASE DATOS'!F:G,2,0)</f>
        <v xml:space="preserve">TRANSP CLAUDIO BUSTOS - LSG801 </v>
      </c>
      <c r="F995" s="584" t="str">
        <f>+VLOOKUP(Tabla3[[#This Row],[PATENTE]],'BASE DATOS'!F:H,3,0)</f>
        <v>2P</v>
      </c>
      <c r="G995" s="584" t="str">
        <f>+VLOOKUP(Tabla3[[#This Row],[PATENTE]],'BASE DATOS'!F:I,4,0)</f>
        <v>SI</v>
      </c>
      <c r="H995" s="584" t="str">
        <f>+VLOOKUP(Tabla3[[#This Row],[PATENTE]],'BASE DATOS'!F:J,5,0)</f>
        <v>SI</v>
      </c>
      <c r="I995" s="584" t="str">
        <f>+VLOOKUP(Tabla3[[#This Row],[PATENTE]],'BASE DATOS'!F:K,6,0)</f>
        <v>NO</v>
      </c>
      <c r="J995" s="584">
        <f>+VLOOKUP(Tabla3[[#This Row],[PATENTE]],'BASE DATOS'!F:L,7,0)</f>
        <v>2013</v>
      </c>
      <c r="K995" s="619">
        <f>+VLOOKUP(Tabla3[[#This Row],[PATENTE]],'BASE DATOS'!F:M,8,0)</f>
        <v>12</v>
      </c>
    </row>
    <row r="996" spans="1:11" hidden="1">
      <c r="A996" s="578" t="s">
        <v>920</v>
      </c>
      <c r="B996" s="584">
        <v>6</v>
      </c>
      <c r="C996" s="589">
        <v>45971</v>
      </c>
      <c r="D996" s="582">
        <f t="shared" si="38"/>
        <v>46</v>
      </c>
      <c r="E996" s="618" t="str">
        <f>+VLOOKUP(Tabla3[[#This Row],[PATENTE]],'BASE DATOS'!F:G,2,0)</f>
        <v xml:space="preserve">TRANSP LAGOS - MRV682 </v>
      </c>
      <c r="F996" s="584" t="str">
        <f>+VLOOKUP(Tabla3[[#This Row],[PATENTE]],'BASE DATOS'!F:H,3,0)</f>
        <v>8P</v>
      </c>
      <c r="G996" s="584" t="str">
        <f>+VLOOKUP(Tabla3[[#This Row],[PATENTE]],'BASE DATOS'!F:I,4,0)</f>
        <v>SI</v>
      </c>
      <c r="H996" s="584" t="str">
        <f>+VLOOKUP(Tabla3[[#This Row],[PATENTE]],'BASE DATOS'!F:J,5,0)</f>
        <v>SI</v>
      </c>
      <c r="I996" s="584" t="str">
        <f>+VLOOKUP(Tabla3[[#This Row],[PATENTE]],'BASE DATOS'!F:K,6,0)</f>
        <v>NO</v>
      </c>
      <c r="J996" s="584">
        <f>+VLOOKUP(Tabla3[[#This Row],[PATENTE]],'BASE DATOS'!F:L,7,0)</f>
        <v>2013</v>
      </c>
      <c r="K996" s="619">
        <f>+VLOOKUP(Tabla3[[#This Row],[PATENTE]],'BASE DATOS'!F:M,8,0)</f>
        <v>12</v>
      </c>
    </row>
    <row r="997" spans="1:11" hidden="1">
      <c r="A997" s="578" t="s">
        <v>909</v>
      </c>
      <c r="B997" s="584">
        <v>6</v>
      </c>
      <c r="C997" s="589">
        <v>45971</v>
      </c>
      <c r="D997" s="582">
        <f t="shared" si="38"/>
        <v>46</v>
      </c>
      <c r="E997" s="618" t="str">
        <f>+VLOOKUP(Tabla3[[#This Row],[PATENTE]],'BASE DATOS'!F:G,2,0)</f>
        <v xml:space="preserve">CRISTIAN MOYA - NHR055 </v>
      </c>
      <c r="F997" s="584" t="str">
        <f>+VLOOKUP(Tabla3[[#This Row],[PATENTE]],'BASE DATOS'!F:H,3,0)</f>
        <v>6P</v>
      </c>
      <c r="G997" s="584" t="str">
        <f>+VLOOKUP(Tabla3[[#This Row],[PATENTE]],'BASE DATOS'!F:I,4,0)</f>
        <v>SI</v>
      </c>
      <c r="H997" s="584" t="str">
        <f>+VLOOKUP(Tabla3[[#This Row],[PATENTE]],'BASE DATOS'!F:J,5,0)</f>
        <v>SI</v>
      </c>
      <c r="I997" s="584" t="str">
        <f>+VLOOKUP(Tabla3[[#This Row],[PATENTE]],'BASE DATOS'!F:K,6,0)</f>
        <v>NO</v>
      </c>
      <c r="J997" s="584">
        <f>+VLOOKUP(Tabla3[[#This Row],[PATENTE]],'BASE DATOS'!F:L,7,0)</f>
        <v>2013</v>
      </c>
      <c r="K997" s="619">
        <f>+VLOOKUP(Tabla3[[#This Row],[PATENTE]],'BASE DATOS'!F:M,8,0)</f>
        <v>12</v>
      </c>
    </row>
    <row r="998" spans="1:11" hidden="1">
      <c r="A998" s="578" t="s">
        <v>886</v>
      </c>
      <c r="B998" s="584">
        <v>6</v>
      </c>
      <c r="C998" s="589">
        <v>45971</v>
      </c>
      <c r="D998" s="582">
        <f t="shared" si="38"/>
        <v>46</v>
      </c>
      <c r="E998" s="618" t="str">
        <f>+VLOOKUP(Tabla3[[#This Row],[PATENTE]],'BASE DATOS'!F:G,2,0)</f>
        <v xml:space="preserve">TRANSP LAGOS - NOO925 </v>
      </c>
      <c r="F998" s="584" t="str">
        <f>+VLOOKUP(Tabla3[[#This Row],[PATENTE]],'BASE DATOS'!F:H,3,0)</f>
        <v>8P</v>
      </c>
      <c r="G998" s="584" t="str">
        <f>+VLOOKUP(Tabla3[[#This Row],[PATENTE]],'BASE DATOS'!F:I,4,0)</f>
        <v>SI</v>
      </c>
      <c r="H998" s="584" t="str">
        <f>+VLOOKUP(Tabla3[[#This Row],[PATENTE]],'BASE DATOS'!F:J,5,0)</f>
        <v>SI</v>
      </c>
      <c r="I998" s="584" t="str">
        <f>+VLOOKUP(Tabla3[[#This Row],[PATENTE]],'BASE DATOS'!F:K,6,0)</f>
        <v>NO</v>
      </c>
      <c r="J998" s="584">
        <f>+VLOOKUP(Tabla3[[#This Row],[PATENTE]],'BASE DATOS'!F:L,7,0)</f>
        <v>2014</v>
      </c>
      <c r="K998" s="619">
        <f>+VLOOKUP(Tabla3[[#This Row],[PATENTE]],'BASE DATOS'!F:M,8,0)</f>
        <v>11</v>
      </c>
    </row>
    <row r="999" spans="1:11" hidden="1">
      <c r="A999" s="578" t="s">
        <v>877</v>
      </c>
      <c r="B999" s="584">
        <v>6</v>
      </c>
      <c r="C999" s="589">
        <v>45971</v>
      </c>
      <c r="D999" s="582">
        <f t="shared" si="38"/>
        <v>46</v>
      </c>
      <c r="E999" s="618" t="str">
        <f>+VLOOKUP(Tabla3[[#This Row],[PATENTE]],'BASE DATOS'!F:G,2,0)</f>
        <v>TRANSP MAIDANA CARLOS - OWA126</v>
      </c>
      <c r="F999" s="584" t="str">
        <f>+VLOOKUP(Tabla3[[#This Row],[PATENTE]],'BASE DATOS'!F:H,3,0)</f>
        <v>4P</v>
      </c>
      <c r="G999" s="584" t="str">
        <f>+VLOOKUP(Tabla3[[#This Row],[PATENTE]],'BASE DATOS'!F:I,4,0)</f>
        <v>SI</v>
      </c>
      <c r="H999" s="584" t="str">
        <f>+VLOOKUP(Tabla3[[#This Row],[PATENTE]],'BASE DATOS'!F:J,5,0)</f>
        <v>SI</v>
      </c>
      <c r="I999" s="584" t="str">
        <f>+VLOOKUP(Tabla3[[#This Row],[PATENTE]],'BASE DATOS'!F:K,6,0)</f>
        <v>NO</v>
      </c>
      <c r="J999" s="584">
        <f>+VLOOKUP(Tabla3[[#This Row],[PATENTE]],'BASE DATOS'!F:L,7,0)</f>
        <v>2015</v>
      </c>
      <c r="K999" s="619">
        <f>+VLOOKUP(Tabla3[[#This Row],[PATENTE]],'BASE DATOS'!F:M,8,0)</f>
        <v>10</v>
      </c>
    </row>
    <row r="1000" spans="1:11" hidden="1">
      <c r="A1000" s="578" t="s">
        <v>919</v>
      </c>
      <c r="B1000" s="584">
        <v>5</v>
      </c>
      <c r="C1000" s="589">
        <v>45971</v>
      </c>
      <c r="D1000" s="582">
        <f t="shared" si="38"/>
        <v>46</v>
      </c>
      <c r="E1000" s="618" t="str">
        <f>+VLOOKUP(Tabla3[[#This Row],[PATENTE]],'BASE DATOS'!F:G,2,0)</f>
        <v xml:space="preserve">GUSTAVO CERQUETTA - AA427LT </v>
      </c>
      <c r="F1000" s="584" t="str">
        <f>+VLOOKUP(Tabla3[[#This Row],[PATENTE]],'BASE DATOS'!F:H,3,0)</f>
        <v>1P</v>
      </c>
      <c r="G1000" s="584" t="str">
        <f>+VLOOKUP(Tabla3[[#This Row],[PATENTE]],'BASE DATOS'!F:I,4,0)</f>
        <v>NO</v>
      </c>
      <c r="H1000" s="584" t="str">
        <f>+VLOOKUP(Tabla3[[#This Row],[PATENTE]],'BASE DATOS'!F:J,5,0)</f>
        <v>SI</v>
      </c>
      <c r="I1000" s="584" t="str">
        <f>+VLOOKUP(Tabla3[[#This Row],[PATENTE]],'BASE DATOS'!F:K,6,0)</f>
        <v>NO</v>
      </c>
      <c r="J1000" s="584">
        <f>+VLOOKUP(Tabla3[[#This Row],[PATENTE]],'BASE DATOS'!F:L,7,0)</f>
        <v>2016</v>
      </c>
      <c r="K1000" s="619">
        <f>+VLOOKUP(Tabla3[[#This Row],[PATENTE]],'BASE DATOS'!F:M,8,0)</f>
        <v>9</v>
      </c>
    </row>
    <row r="1001" spans="1:11" hidden="1">
      <c r="A1001" s="578" t="s">
        <v>878</v>
      </c>
      <c r="B1001" s="584">
        <v>5</v>
      </c>
      <c r="C1001" s="589">
        <v>45971</v>
      </c>
      <c r="D1001" s="582">
        <f t="shared" si="38"/>
        <v>46</v>
      </c>
      <c r="E1001" s="618" t="str">
        <f>+VLOOKUP(Tabla3[[#This Row],[PATENTE]],'BASE DATOS'!F:G,2,0)</f>
        <v xml:space="preserve">PACHECO JULIO - AA854LY </v>
      </c>
      <c r="F1001" s="584" t="str">
        <f>+VLOOKUP(Tabla3[[#This Row],[PATENTE]],'BASE DATOS'!F:H,3,0)</f>
        <v>7P</v>
      </c>
      <c r="G1001" s="584" t="str">
        <f>+VLOOKUP(Tabla3[[#This Row],[PATENTE]],'BASE DATOS'!F:I,4,0)</f>
        <v>SI</v>
      </c>
      <c r="H1001" s="584" t="str">
        <f>+VLOOKUP(Tabla3[[#This Row],[PATENTE]],'BASE DATOS'!F:J,5,0)</f>
        <v>SI</v>
      </c>
      <c r="I1001" s="584" t="str">
        <f>+VLOOKUP(Tabla3[[#This Row],[PATENTE]],'BASE DATOS'!F:K,6,0)</f>
        <v>NO</v>
      </c>
      <c r="J1001" s="584">
        <f>+VLOOKUP(Tabla3[[#This Row],[PATENTE]],'BASE DATOS'!F:L,7,0)</f>
        <v>2016</v>
      </c>
      <c r="K1001" s="619">
        <f>+VLOOKUP(Tabla3[[#This Row],[PATENTE]],'BASE DATOS'!F:M,8,0)</f>
        <v>9</v>
      </c>
    </row>
    <row r="1002" spans="1:11" hidden="1">
      <c r="A1002" s="578" t="s">
        <v>905</v>
      </c>
      <c r="B1002" s="584">
        <v>5</v>
      </c>
      <c r="C1002" s="589">
        <v>45971</v>
      </c>
      <c r="D1002" s="582">
        <f t="shared" si="38"/>
        <v>46</v>
      </c>
      <c r="E1002" s="618" t="str">
        <f>+VLOOKUP(Tabla3[[#This Row],[PATENTE]],'BASE DATOS'!F:G,2,0)</f>
        <v xml:space="preserve">J RIMOLDI - AB312SE </v>
      </c>
      <c r="F1002" s="584" t="str">
        <f>+VLOOKUP(Tabla3[[#This Row],[PATENTE]],'BASE DATOS'!F:H,3,0)</f>
        <v>8P</v>
      </c>
      <c r="G1002" s="584" t="str">
        <f>+VLOOKUP(Tabla3[[#This Row],[PATENTE]],'BASE DATOS'!F:I,4,0)</f>
        <v>SI</v>
      </c>
      <c r="H1002" s="584" t="str">
        <f>+VLOOKUP(Tabla3[[#This Row],[PATENTE]],'BASE DATOS'!F:J,5,0)</f>
        <v>SI</v>
      </c>
      <c r="I1002" s="584" t="str">
        <f>+VLOOKUP(Tabla3[[#This Row],[PATENTE]],'BASE DATOS'!F:K,6,0)</f>
        <v>NO</v>
      </c>
      <c r="J1002" s="584">
        <f>+VLOOKUP(Tabla3[[#This Row],[PATENTE]],'BASE DATOS'!F:L,7,0)</f>
        <v>2017</v>
      </c>
      <c r="K1002" s="619">
        <f>+VLOOKUP(Tabla3[[#This Row],[PATENTE]],'BASE DATOS'!F:M,8,0)</f>
        <v>8</v>
      </c>
    </row>
    <row r="1003" spans="1:11" hidden="1">
      <c r="A1003" s="578" t="s">
        <v>912</v>
      </c>
      <c r="B1003" s="584">
        <v>5</v>
      </c>
      <c r="C1003" s="589">
        <v>45971</v>
      </c>
      <c r="D1003" s="582">
        <f t="shared" si="38"/>
        <v>46</v>
      </c>
      <c r="E1003" s="618" t="str">
        <f>+VLOOKUP(Tabla3[[#This Row],[PATENTE]],'BASE DATOS'!F:G,2,0)</f>
        <v xml:space="preserve">PACHECO JULIO - AC028WN </v>
      </c>
      <c r="F1003" s="584" t="str">
        <f>+VLOOKUP(Tabla3[[#This Row],[PATENTE]],'BASE DATOS'!F:H,3,0)</f>
        <v>8P</v>
      </c>
      <c r="G1003" s="584" t="str">
        <f>+VLOOKUP(Tabla3[[#This Row],[PATENTE]],'BASE DATOS'!F:I,4,0)</f>
        <v>SI</v>
      </c>
      <c r="H1003" s="584" t="str">
        <f>+VLOOKUP(Tabla3[[#This Row],[PATENTE]],'BASE DATOS'!F:J,5,0)</f>
        <v>SI</v>
      </c>
      <c r="I1003" s="584" t="str">
        <f>+VLOOKUP(Tabla3[[#This Row],[PATENTE]],'BASE DATOS'!F:K,6,0)</f>
        <v>SI</v>
      </c>
      <c r="J1003" s="584">
        <f>+VLOOKUP(Tabla3[[#This Row],[PATENTE]],'BASE DATOS'!F:L,7,0)</f>
        <v>2017</v>
      </c>
      <c r="K1003" s="619">
        <f>+VLOOKUP(Tabla3[[#This Row],[PATENTE]],'BASE DATOS'!F:M,8,0)</f>
        <v>8</v>
      </c>
    </row>
    <row r="1004" spans="1:11" hidden="1">
      <c r="A1004" s="578" t="s">
        <v>895</v>
      </c>
      <c r="B1004" s="584">
        <v>5</v>
      </c>
      <c r="C1004" s="589">
        <v>45971</v>
      </c>
      <c r="D1004" s="582">
        <f t="shared" si="38"/>
        <v>46</v>
      </c>
      <c r="E1004" s="618" t="str">
        <f>+VLOOKUP(Tabla3[[#This Row],[PATENTE]],'BASE DATOS'!F:G,2,0)</f>
        <v xml:space="preserve">TRANSPORTE MICAELA </v>
      </c>
      <c r="F1004" s="584" t="str">
        <f>+VLOOKUP(Tabla3[[#This Row],[PATENTE]],'BASE DATOS'!F:H,3,0)</f>
        <v>2P</v>
      </c>
      <c r="G1004" s="584" t="str">
        <f>+VLOOKUP(Tabla3[[#This Row],[PATENTE]],'BASE DATOS'!F:I,4,0)</f>
        <v>NO</v>
      </c>
      <c r="H1004" s="584" t="str">
        <f>+VLOOKUP(Tabla3[[#This Row],[PATENTE]],'BASE DATOS'!F:J,5,0)</f>
        <v>SI</v>
      </c>
      <c r="I1004" s="584" t="str">
        <f>+VLOOKUP(Tabla3[[#This Row],[PATENTE]],'BASE DATOS'!F:K,6,0)</f>
        <v>NO</v>
      </c>
      <c r="J1004" s="584">
        <f>+VLOOKUP(Tabla3[[#This Row],[PATENTE]],'BASE DATOS'!F:L,7,0)</f>
        <v>2024</v>
      </c>
      <c r="K1004" s="619">
        <f>+VLOOKUP(Tabla3[[#This Row],[PATENTE]],'BASE DATOS'!F:M,8,0)</f>
        <v>1</v>
      </c>
    </row>
    <row r="1005" spans="1:11" hidden="1">
      <c r="A1005" s="578" t="s">
        <v>907</v>
      </c>
      <c r="B1005" s="584">
        <v>5</v>
      </c>
      <c r="C1005" s="589">
        <v>45971</v>
      </c>
      <c r="D1005" s="582">
        <f t="shared" si="38"/>
        <v>46</v>
      </c>
      <c r="E1005" s="618" t="str">
        <f>+VLOOKUP(Tabla3[[#This Row],[PATENTE]],'BASE DATOS'!F:G,2,0)</f>
        <v xml:space="preserve">LAURIA (SERVAL) - AH583GW </v>
      </c>
      <c r="F1005" s="584" t="str">
        <f>+VLOOKUP(Tabla3[[#This Row],[PATENTE]],'BASE DATOS'!F:H,3,0)</f>
        <v>8P</v>
      </c>
      <c r="G1005" s="584" t="str">
        <f>+VLOOKUP(Tabla3[[#This Row],[PATENTE]],'BASE DATOS'!F:I,4,0)</f>
        <v>SI</v>
      </c>
      <c r="H1005" s="584" t="str">
        <f>+VLOOKUP(Tabla3[[#This Row],[PATENTE]],'BASE DATOS'!F:J,5,0)</f>
        <v>SI</v>
      </c>
      <c r="I1005" s="584" t="str">
        <f>+VLOOKUP(Tabla3[[#This Row],[PATENTE]],'BASE DATOS'!F:K,6,0)</f>
        <v>NO</v>
      </c>
      <c r="J1005" s="584">
        <f>+VLOOKUP(Tabla3[[#This Row],[PATENTE]],'BASE DATOS'!F:L,7,0)</f>
        <v>2025</v>
      </c>
      <c r="K1005" s="619">
        <f>+VLOOKUP(Tabla3[[#This Row],[PATENTE]],'BASE DATOS'!F:M,8,0)</f>
        <v>0</v>
      </c>
    </row>
    <row r="1006" spans="1:11" hidden="1">
      <c r="A1006" s="578" t="s">
        <v>915</v>
      </c>
      <c r="B1006" s="584">
        <v>5</v>
      </c>
      <c r="C1006" s="589">
        <v>45971</v>
      </c>
      <c r="D1006" s="582">
        <f t="shared" si="38"/>
        <v>46</v>
      </c>
      <c r="E1006" s="618" t="str">
        <f>+VLOOKUP(Tabla3[[#This Row],[PATENTE]],'BASE DATOS'!F:G,2,0)</f>
        <v>TRANSPORTE GRACIELA - FPL254</v>
      </c>
      <c r="F1006" s="584" t="str">
        <f>+VLOOKUP(Tabla3[[#This Row],[PATENTE]],'BASE DATOS'!F:H,3,0)</f>
        <v>2P</v>
      </c>
      <c r="G1006" s="584" t="str">
        <f>+VLOOKUP(Tabla3[[#This Row],[PATENTE]],'BASE DATOS'!F:I,4,0)</f>
        <v>SI</v>
      </c>
      <c r="H1006" s="584" t="str">
        <f>+VLOOKUP(Tabla3[[#This Row],[PATENTE]],'BASE DATOS'!F:J,5,0)</f>
        <v>NO (CAMI)</v>
      </c>
      <c r="I1006" s="584" t="str">
        <f>+VLOOKUP(Tabla3[[#This Row],[PATENTE]],'BASE DATOS'!F:K,6,0)</f>
        <v>NO</v>
      </c>
      <c r="J1006" s="584">
        <f>+VLOOKUP(Tabla3[[#This Row],[PATENTE]],'BASE DATOS'!F:L,7,0)</f>
        <v>2012</v>
      </c>
      <c r="K1006" s="619">
        <f>+VLOOKUP(Tabla3[[#This Row],[PATENTE]],'BASE DATOS'!F:M,8,0)</f>
        <v>13</v>
      </c>
    </row>
    <row r="1007" spans="1:11" hidden="1">
      <c r="A1007" s="578" t="s">
        <v>892</v>
      </c>
      <c r="B1007" s="584">
        <v>5</v>
      </c>
      <c r="C1007" s="589">
        <v>45971</v>
      </c>
      <c r="D1007" s="582">
        <f t="shared" si="38"/>
        <v>46</v>
      </c>
      <c r="E1007" s="618" t="str">
        <f>+VLOOKUP(Tabla3[[#This Row],[PATENTE]],'BASE DATOS'!F:G,2,0)</f>
        <v xml:space="preserve">COLO - FTL525 </v>
      </c>
      <c r="F1007" s="584" t="str">
        <f>+VLOOKUP(Tabla3[[#This Row],[PATENTE]],'BASE DATOS'!F:H,3,0)</f>
        <v>1P</v>
      </c>
      <c r="G1007" s="584" t="str">
        <f>+VLOOKUP(Tabla3[[#This Row],[PATENTE]],'BASE DATOS'!F:I,4,0)</f>
        <v>NO</v>
      </c>
      <c r="H1007" s="584" t="str">
        <f>+VLOOKUP(Tabla3[[#This Row],[PATENTE]],'BASE DATOS'!F:J,5,0)</f>
        <v>SI</v>
      </c>
      <c r="I1007" s="584" t="str">
        <f>+VLOOKUP(Tabla3[[#This Row],[PATENTE]],'BASE DATOS'!F:K,6,0)</f>
        <v>NO</v>
      </c>
      <c r="J1007" s="584">
        <f>+VLOOKUP(Tabla3[[#This Row],[PATENTE]],'BASE DATOS'!F:L,7,0)</f>
        <v>2008</v>
      </c>
      <c r="K1007" s="619">
        <f>+VLOOKUP(Tabla3[[#This Row],[PATENTE]],'BASE DATOS'!F:M,8,0)</f>
        <v>17</v>
      </c>
    </row>
    <row r="1008" spans="1:11" hidden="1">
      <c r="A1008" s="578" t="s">
        <v>889</v>
      </c>
      <c r="B1008" s="584">
        <v>5</v>
      </c>
      <c r="C1008" s="589">
        <v>45971</v>
      </c>
      <c r="D1008" s="582">
        <f t="shared" si="38"/>
        <v>46</v>
      </c>
      <c r="E1008" s="618" t="str">
        <f>+VLOOKUP(Tabla3[[#This Row],[PATENTE]],'BASE DATOS'!F:G,2,0)</f>
        <v xml:space="preserve">COLO - HAW164 </v>
      </c>
      <c r="F1008" s="584" t="str">
        <f>+VLOOKUP(Tabla3[[#This Row],[PATENTE]],'BASE DATOS'!F:H,3,0)</f>
        <v>6P</v>
      </c>
      <c r="G1008" s="584" t="str">
        <f>+VLOOKUP(Tabla3[[#This Row],[PATENTE]],'BASE DATOS'!F:I,4,0)</f>
        <v>NO</v>
      </c>
      <c r="H1008" s="584" t="str">
        <f>+VLOOKUP(Tabla3[[#This Row],[PATENTE]],'BASE DATOS'!F:J,5,0)</f>
        <v>SI</v>
      </c>
      <c r="I1008" s="584" t="str">
        <f>+VLOOKUP(Tabla3[[#This Row],[PATENTE]],'BASE DATOS'!F:K,6,0)</f>
        <v>NO</v>
      </c>
      <c r="J1008" s="584">
        <f>+VLOOKUP(Tabla3[[#This Row],[PATENTE]],'BASE DATOS'!F:L,7,0)</f>
        <v>2009</v>
      </c>
      <c r="K1008" s="619">
        <f>+VLOOKUP(Tabla3[[#This Row],[PATENTE]],'BASE DATOS'!F:M,8,0)</f>
        <v>16</v>
      </c>
    </row>
    <row r="1009" spans="1:11" hidden="1">
      <c r="A1009" s="578" t="s">
        <v>925</v>
      </c>
      <c r="B1009" s="584">
        <v>5</v>
      </c>
      <c r="C1009" s="589">
        <v>45971</v>
      </c>
      <c r="D1009" s="582">
        <f t="shared" si="38"/>
        <v>46</v>
      </c>
      <c r="E1009" s="618" t="str">
        <f>+VLOOKUP(Tabla3[[#This Row],[PATENTE]],'BASE DATOS'!F:G,2,0)</f>
        <v xml:space="preserve">TRANSP MAIDANA FACUNDO - KOW745 </v>
      </c>
      <c r="F1009" s="584" t="str">
        <f>+VLOOKUP(Tabla3[[#This Row],[PATENTE]],'BASE DATOS'!F:H,3,0)</f>
        <v>8P</v>
      </c>
      <c r="G1009" s="584" t="str">
        <f>+VLOOKUP(Tabla3[[#This Row],[PATENTE]],'BASE DATOS'!F:I,4,0)</f>
        <v>SI</v>
      </c>
      <c r="H1009" s="584" t="str">
        <f>+VLOOKUP(Tabla3[[#This Row],[PATENTE]],'BASE DATOS'!F:J,5,0)</f>
        <v>SI</v>
      </c>
      <c r="I1009" s="584" t="str">
        <f>+VLOOKUP(Tabla3[[#This Row],[PATENTE]],'BASE DATOS'!F:K,6,0)</f>
        <v>NO</v>
      </c>
      <c r="J1009" s="584">
        <f>+VLOOKUP(Tabla3[[#This Row],[PATENTE]],'BASE DATOS'!F:L,7,0)</f>
        <v>2012</v>
      </c>
      <c r="K1009" s="619">
        <f>+VLOOKUP(Tabla3[[#This Row],[PATENTE]],'BASE DATOS'!F:M,8,0)</f>
        <v>13</v>
      </c>
    </row>
    <row r="1010" spans="1:11" hidden="1">
      <c r="A1010" s="578" t="s">
        <v>898</v>
      </c>
      <c r="B1010" s="584">
        <v>5</v>
      </c>
      <c r="C1010" s="589">
        <v>45971</v>
      </c>
      <c r="D1010" s="582">
        <f t="shared" si="38"/>
        <v>46</v>
      </c>
      <c r="E1010" s="618" t="str">
        <f>+VLOOKUP(Tabla3[[#This Row],[PATENTE]],'BASE DATOS'!F:G,2,0)</f>
        <v xml:space="preserve">TRANSP BERMEJO - NXP980 </v>
      </c>
      <c r="F1010" s="584" t="str">
        <f>+VLOOKUP(Tabla3[[#This Row],[PATENTE]],'BASE DATOS'!F:H,3,0)</f>
        <v>12P</v>
      </c>
      <c r="G1010" s="584" t="str">
        <f>+VLOOKUP(Tabla3[[#This Row],[PATENTE]],'BASE DATOS'!F:I,4,0)</f>
        <v>SI</v>
      </c>
      <c r="H1010" s="584" t="str">
        <f>+VLOOKUP(Tabla3[[#This Row],[PATENTE]],'BASE DATOS'!F:J,5,0)</f>
        <v>SI</v>
      </c>
      <c r="I1010" s="584" t="str">
        <f>+VLOOKUP(Tabla3[[#This Row],[PATENTE]],'BASE DATOS'!F:K,6,0)</f>
        <v>SI</v>
      </c>
      <c r="J1010" s="584">
        <f>+VLOOKUP(Tabla3[[#This Row],[PATENTE]],'BASE DATOS'!F:L,7,0)</f>
        <v>2015</v>
      </c>
      <c r="K1010" s="619">
        <f>+VLOOKUP(Tabla3[[#This Row],[PATENTE]],'BASE DATOS'!F:M,8,0)</f>
        <v>10</v>
      </c>
    </row>
    <row r="1011" spans="1:11" hidden="1">
      <c r="A1011" s="578" t="s">
        <v>879</v>
      </c>
      <c r="B1011" s="584">
        <v>5</v>
      </c>
      <c r="C1011" s="589">
        <v>45971</v>
      </c>
      <c r="D1011" s="582">
        <f t="shared" si="38"/>
        <v>46</v>
      </c>
      <c r="E1011" s="618" t="str">
        <f>+VLOOKUP(Tabla3[[#This Row],[PATENTE]],'BASE DATOS'!F:G,2,0)</f>
        <v xml:space="preserve">TRANSP JP - OYP470 </v>
      </c>
      <c r="F1011" s="584" t="str">
        <f>+VLOOKUP(Tabla3[[#This Row],[PATENTE]],'BASE DATOS'!F:H,3,0)</f>
        <v>8P</v>
      </c>
      <c r="G1011" s="584" t="str">
        <f>+VLOOKUP(Tabla3[[#This Row],[PATENTE]],'BASE DATOS'!F:I,4,0)</f>
        <v>SI</v>
      </c>
      <c r="H1011" s="584" t="str">
        <f>+VLOOKUP(Tabla3[[#This Row],[PATENTE]],'BASE DATOS'!F:J,5,0)</f>
        <v>SI</v>
      </c>
      <c r="I1011" s="584" t="str">
        <f>+VLOOKUP(Tabla3[[#This Row],[PATENTE]],'BASE DATOS'!F:K,6,0)</f>
        <v>NO</v>
      </c>
      <c r="J1011" s="584">
        <f>+VLOOKUP(Tabla3[[#This Row],[PATENTE]],'BASE DATOS'!F:L,7,0)</f>
        <v>2011</v>
      </c>
      <c r="K1011" s="619">
        <f>+VLOOKUP(Tabla3[[#This Row],[PATENTE]],'BASE DATOS'!F:M,8,0)</f>
        <v>14</v>
      </c>
    </row>
    <row r="1012" spans="1:11" hidden="1">
      <c r="A1012" s="578" t="s">
        <v>883</v>
      </c>
      <c r="B1012" s="584">
        <v>4</v>
      </c>
      <c r="C1012" s="589">
        <v>45971</v>
      </c>
      <c r="D1012" s="582">
        <f t="shared" si="38"/>
        <v>46</v>
      </c>
      <c r="E1012" s="618" t="str">
        <f>+VLOOKUP(Tabla3[[#This Row],[PATENTE]],'BASE DATOS'!F:G,2,0)</f>
        <v xml:space="preserve">PACHECO JULIO - ACI503 </v>
      </c>
      <c r="F1012" s="584" t="str">
        <f>+VLOOKUP(Tabla3[[#This Row],[PATENTE]],'BASE DATOS'!F:H,3,0)</f>
        <v>12P</v>
      </c>
      <c r="G1012" s="584" t="str">
        <f>+VLOOKUP(Tabla3[[#This Row],[PATENTE]],'BASE DATOS'!F:I,4,0)</f>
        <v>NO</v>
      </c>
      <c r="H1012" s="584" t="str">
        <f>+VLOOKUP(Tabla3[[#This Row],[PATENTE]],'BASE DATOS'!F:J,5,0)</f>
        <v>SI</v>
      </c>
      <c r="I1012" s="584" t="str">
        <f>+VLOOKUP(Tabla3[[#This Row],[PATENTE]],'BASE DATOS'!F:K,6,0)</f>
        <v>SI</v>
      </c>
      <c r="J1012" s="584">
        <f>+VLOOKUP(Tabla3[[#This Row],[PATENTE]],'BASE DATOS'!F:L,7,0)</f>
        <v>2000</v>
      </c>
      <c r="K1012" s="619">
        <f>+VLOOKUP(Tabla3[[#This Row],[PATENTE]],'BASE DATOS'!F:M,8,0)</f>
        <v>25</v>
      </c>
    </row>
    <row r="1013" spans="1:11" hidden="1">
      <c r="A1013" s="578" t="s">
        <v>903</v>
      </c>
      <c r="B1013" s="584">
        <v>4</v>
      </c>
      <c r="C1013" s="589">
        <v>45971</v>
      </c>
      <c r="D1013" s="582">
        <f t="shared" si="38"/>
        <v>46</v>
      </c>
      <c r="E1013" s="618" t="str">
        <f>+VLOOKUP(Tabla3[[#This Row],[PATENTE]],'BASE DATOS'!F:G,2,0)</f>
        <v xml:space="preserve">TRANSP CLAUDIO BUSTOS - AG243PE </v>
      </c>
      <c r="F1013" s="584" t="str">
        <f>+VLOOKUP(Tabla3[[#This Row],[PATENTE]],'BASE DATOS'!F:H,3,0)</f>
        <v>1P</v>
      </c>
      <c r="G1013" s="584" t="str">
        <f>+VLOOKUP(Tabla3[[#This Row],[PATENTE]],'BASE DATOS'!F:I,4,0)</f>
        <v>SI</v>
      </c>
      <c r="H1013" s="584" t="str">
        <f>+VLOOKUP(Tabla3[[#This Row],[PATENTE]],'BASE DATOS'!F:J,5,0)</f>
        <v>SI</v>
      </c>
      <c r="I1013" s="584" t="str">
        <f>+VLOOKUP(Tabla3[[#This Row],[PATENTE]],'BASE DATOS'!F:K,6,0)</f>
        <v>NO</v>
      </c>
      <c r="J1013" s="584">
        <f>+VLOOKUP(Tabla3[[#This Row],[PATENTE]],'BASE DATOS'!F:L,7,0)</f>
        <v>2024</v>
      </c>
      <c r="K1013" s="619">
        <f>+VLOOKUP(Tabla3[[#This Row],[PATENTE]],'BASE DATOS'!F:M,8,0)</f>
        <v>1</v>
      </c>
    </row>
    <row r="1014" spans="1:11" hidden="1">
      <c r="A1014" s="578" t="s">
        <v>893</v>
      </c>
      <c r="B1014" s="584">
        <v>4</v>
      </c>
      <c r="C1014" s="589">
        <v>45971</v>
      </c>
      <c r="D1014" s="582">
        <f t="shared" si="38"/>
        <v>46</v>
      </c>
      <c r="E1014" s="618" t="str">
        <f>+VLOOKUP(Tabla3[[#This Row],[PATENTE]],'BASE DATOS'!F:G,2,0)</f>
        <v xml:space="preserve">GANZINI HUGO - CFF038 </v>
      </c>
      <c r="F1014" s="584" t="str">
        <f>+VLOOKUP(Tabla3[[#This Row],[PATENTE]],'BASE DATOS'!F:H,3,0)</f>
        <v>2P</v>
      </c>
      <c r="G1014" s="584" t="str">
        <f>+VLOOKUP(Tabla3[[#This Row],[PATENTE]],'BASE DATOS'!F:I,4,0)</f>
        <v>SI</v>
      </c>
      <c r="H1014" s="584" t="str">
        <f>+VLOOKUP(Tabla3[[#This Row],[PATENTE]],'BASE DATOS'!F:J,5,0)</f>
        <v>SI</v>
      </c>
      <c r="I1014" s="584" t="str">
        <f>+VLOOKUP(Tabla3[[#This Row],[PATENTE]],'BASE DATOS'!F:K,6,0)</f>
        <v>NO</v>
      </c>
      <c r="J1014" s="584">
        <f>+VLOOKUP(Tabla3[[#This Row],[PATENTE]],'BASE DATOS'!F:L,7,0)</f>
        <v>1999</v>
      </c>
      <c r="K1014" s="619">
        <f>+VLOOKUP(Tabla3[[#This Row],[PATENTE]],'BASE DATOS'!F:M,8,0)</f>
        <v>26</v>
      </c>
    </row>
    <row r="1015" spans="1:11" hidden="1">
      <c r="A1015" s="578" t="s">
        <v>921</v>
      </c>
      <c r="B1015" s="584">
        <v>4</v>
      </c>
      <c r="C1015" s="589">
        <v>45971</v>
      </c>
      <c r="D1015" s="582">
        <f t="shared" si="38"/>
        <v>46</v>
      </c>
      <c r="E1015" s="618" t="str">
        <f>+VLOOKUP(Tabla3[[#This Row],[PATENTE]],'BASE DATOS'!F:G,2,0)</f>
        <v xml:space="preserve">MAÑAS NORBERTO - CQQ304 </v>
      </c>
      <c r="F1015" s="584" t="str">
        <f>+VLOOKUP(Tabla3[[#This Row],[PATENTE]],'BASE DATOS'!F:H,3,0)</f>
        <v>11P</v>
      </c>
      <c r="G1015" s="584" t="str">
        <f>+VLOOKUP(Tabla3[[#This Row],[PATENTE]],'BASE DATOS'!F:I,4,0)</f>
        <v>SI</v>
      </c>
      <c r="H1015" s="584" t="str">
        <f>+VLOOKUP(Tabla3[[#This Row],[PATENTE]],'BASE DATOS'!F:J,5,0)</f>
        <v>SI</v>
      </c>
      <c r="I1015" s="584" t="str">
        <f>+VLOOKUP(Tabla3[[#This Row],[PATENTE]],'BASE DATOS'!F:K,6,0)</f>
        <v>NO</v>
      </c>
      <c r="J1015" s="584">
        <f>+VLOOKUP(Tabla3[[#This Row],[PATENTE]],'BASE DATOS'!F:L,7,0)</f>
        <v>2000</v>
      </c>
      <c r="K1015" s="619">
        <f>+VLOOKUP(Tabla3[[#This Row],[PATENTE]],'BASE DATOS'!F:M,8,0)</f>
        <v>25</v>
      </c>
    </row>
    <row r="1016" spans="1:11" hidden="1">
      <c r="A1016" s="578" t="s">
        <v>899</v>
      </c>
      <c r="B1016" s="584">
        <v>3</v>
      </c>
      <c r="C1016" s="589">
        <v>45971</v>
      </c>
      <c r="D1016" s="582">
        <f t="shared" si="38"/>
        <v>46</v>
      </c>
      <c r="E1016" s="618" t="str">
        <f>+VLOOKUP(Tabla3[[#This Row],[PATENTE]],'BASE DATOS'!F:G,2,0)</f>
        <v xml:space="preserve">VAZQUEZ (TRV SRL) - AB176KN </v>
      </c>
      <c r="F1016" s="584" t="str">
        <f>+VLOOKUP(Tabla3[[#This Row],[PATENTE]],'BASE DATOS'!F:H,3,0)</f>
        <v>8P</v>
      </c>
      <c r="G1016" s="584" t="str">
        <f>+VLOOKUP(Tabla3[[#This Row],[PATENTE]],'BASE DATOS'!F:I,4,0)</f>
        <v>SI</v>
      </c>
      <c r="H1016" s="584" t="str">
        <f>+VLOOKUP(Tabla3[[#This Row],[PATENTE]],'BASE DATOS'!F:J,5,0)</f>
        <v>SI</v>
      </c>
      <c r="I1016" s="584" t="str">
        <f>+VLOOKUP(Tabla3[[#This Row],[PATENTE]],'BASE DATOS'!F:K,6,0)</f>
        <v>SI</v>
      </c>
      <c r="J1016" s="584">
        <f>+VLOOKUP(Tabla3[[#This Row],[PATENTE]],'BASE DATOS'!F:L,7,0)</f>
        <v>2017</v>
      </c>
      <c r="K1016" s="619">
        <f>+VLOOKUP(Tabla3[[#This Row],[PATENTE]],'BASE DATOS'!F:M,8,0)</f>
        <v>8</v>
      </c>
    </row>
    <row r="1017" spans="1:11" hidden="1">
      <c r="A1017" s="578" t="s">
        <v>1133</v>
      </c>
      <c r="B1017" s="584">
        <v>3</v>
      </c>
      <c r="C1017" s="589">
        <v>45971</v>
      </c>
      <c r="D1017" s="582">
        <f t="shared" ref="D1017:D1037" si="39">+WEEKNUM(C1017)</f>
        <v>46</v>
      </c>
      <c r="E1017" s="618" t="str">
        <f>+VLOOKUP(Tabla3[[#This Row],[PATENTE]],'BASE DATOS'!F:G,2,0)</f>
        <v xml:space="preserve">BELLIMAR SRL - AB787MT </v>
      </c>
      <c r="F1017" s="584" t="str">
        <f>+VLOOKUP(Tabla3[[#This Row],[PATENTE]],'BASE DATOS'!F:H,3,0)</f>
        <v>28P</v>
      </c>
      <c r="G1017" s="584" t="str">
        <f>+VLOOKUP(Tabla3[[#This Row],[PATENTE]],'BASE DATOS'!F:I,4,0)</f>
        <v>NO</v>
      </c>
      <c r="H1017" s="584" t="str">
        <f>+VLOOKUP(Tabla3[[#This Row],[PATENTE]],'BASE DATOS'!F:J,5,0)</f>
        <v xml:space="preserve">NO </v>
      </c>
      <c r="I1017" s="584" t="str">
        <f>+VLOOKUP(Tabla3[[#This Row],[PATENTE]],'BASE DATOS'!F:K,6,0)</f>
        <v>NO</v>
      </c>
      <c r="J1017" s="584">
        <f>+VLOOKUP(Tabla3[[#This Row],[PATENTE]],'BASE DATOS'!F:L,7,0)</f>
        <v>2017</v>
      </c>
      <c r="K1017" s="619">
        <f>+VLOOKUP(Tabla3[[#This Row],[PATENTE]],'BASE DATOS'!F:M,8,0)</f>
        <v>8</v>
      </c>
    </row>
    <row r="1018" spans="1:11" hidden="1">
      <c r="A1018" s="578" t="s">
        <v>906</v>
      </c>
      <c r="B1018" s="584">
        <v>3</v>
      </c>
      <c r="C1018" s="589">
        <v>45971</v>
      </c>
      <c r="D1018" s="582">
        <f t="shared" si="39"/>
        <v>46</v>
      </c>
      <c r="E1018" s="618" t="str">
        <f>+VLOOKUP(Tabla3[[#This Row],[PATENTE]],'BASE DATOS'!F:G,2,0)</f>
        <v xml:space="preserve">VAZQUEZ (TRV SRL) - AD472GK </v>
      </c>
      <c r="F1018" s="584" t="str">
        <f>+VLOOKUP(Tabla3[[#This Row],[PATENTE]],'BASE DATOS'!F:H,3,0)</f>
        <v>8P</v>
      </c>
      <c r="G1018" s="584" t="str">
        <f>+VLOOKUP(Tabla3[[#This Row],[PATENTE]],'BASE DATOS'!F:I,4,0)</f>
        <v>NO</v>
      </c>
      <c r="H1018" s="584" t="str">
        <f>+VLOOKUP(Tabla3[[#This Row],[PATENTE]],'BASE DATOS'!F:J,5,0)</f>
        <v>NO</v>
      </c>
      <c r="I1018" s="584" t="str">
        <f>+VLOOKUP(Tabla3[[#This Row],[PATENTE]],'BASE DATOS'!F:K,6,0)</f>
        <v>SI</v>
      </c>
      <c r="J1018" s="584">
        <f>+VLOOKUP(Tabla3[[#This Row],[PATENTE]],'BASE DATOS'!F:L,7,0)</f>
        <v>2019</v>
      </c>
      <c r="K1018" s="619">
        <f>+VLOOKUP(Tabla3[[#This Row],[PATENTE]],'BASE DATOS'!F:M,8,0)</f>
        <v>6</v>
      </c>
    </row>
    <row r="1019" spans="1:11" hidden="1">
      <c r="A1019" s="578" t="s">
        <v>880</v>
      </c>
      <c r="B1019" s="584">
        <v>3</v>
      </c>
      <c r="C1019" s="589">
        <v>45971</v>
      </c>
      <c r="D1019" s="582">
        <f t="shared" si="39"/>
        <v>46</v>
      </c>
      <c r="E1019" s="618" t="str">
        <f>+VLOOKUP(Tabla3[[#This Row],[PATENTE]],'BASE DATOS'!F:G,2,0)</f>
        <v xml:space="preserve">LAURIA (SERVAL) - AD575XK </v>
      </c>
      <c r="F1019" s="584" t="str">
        <f>+VLOOKUP(Tabla3[[#This Row],[PATENTE]],'BASE DATOS'!F:H,3,0)</f>
        <v>8P</v>
      </c>
      <c r="G1019" s="584" t="str">
        <f>+VLOOKUP(Tabla3[[#This Row],[PATENTE]],'BASE DATOS'!F:I,4,0)</f>
        <v>SI</v>
      </c>
      <c r="H1019" s="584" t="str">
        <f>+VLOOKUP(Tabla3[[#This Row],[PATENTE]],'BASE DATOS'!F:J,5,0)</f>
        <v>SI</v>
      </c>
      <c r="I1019" s="584" t="str">
        <f>+VLOOKUP(Tabla3[[#This Row],[PATENTE]],'BASE DATOS'!F:K,6,0)</f>
        <v>NO</v>
      </c>
      <c r="J1019" s="584">
        <f>+VLOOKUP(Tabla3[[#This Row],[PATENTE]],'BASE DATOS'!F:L,7,0)</f>
        <v>2019</v>
      </c>
      <c r="K1019" s="619">
        <f>+VLOOKUP(Tabla3[[#This Row],[PATENTE]],'BASE DATOS'!F:M,8,0)</f>
        <v>6</v>
      </c>
    </row>
    <row r="1020" spans="1:11" hidden="1">
      <c r="A1020" s="578" t="s">
        <v>1128</v>
      </c>
      <c r="B1020" s="584">
        <v>3</v>
      </c>
      <c r="C1020" s="589">
        <v>45971</v>
      </c>
      <c r="D1020" s="582">
        <f t="shared" si="39"/>
        <v>46</v>
      </c>
      <c r="E1020" s="618" t="str">
        <f>+VLOOKUP(Tabla3[[#This Row],[PATENTE]],'BASE DATOS'!F:G,2,0)</f>
        <v xml:space="preserve">PRONTOMAR - EDW922 </v>
      </c>
      <c r="F1020" s="584" t="str">
        <f>+VLOOKUP(Tabla3[[#This Row],[PATENTE]],'BASE DATOS'!F:H,3,0)</f>
        <v>14P</v>
      </c>
      <c r="G1020" s="584" t="str">
        <f>+VLOOKUP(Tabla3[[#This Row],[PATENTE]],'BASE DATOS'!F:I,4,0)</f>
        <v>NO</v>
      </c>
      <c r="H1020" s="584" t="str">
        <f>+VLOOKUP(Tabla3[[#This Row],[PATENTE]],'BASE DATOS'!F:J,5,0)</f>
        <v xml:space="preserve">NO </v>
      </c>
      <c r="I1020" s="584" t="str">
        <f>+VLOOKUP(Tabla3[[#This Row],[PATENTE]],'BASE DATOS'!F:K,6,0)</f>
        <v>NO</v>
      </c>
      <c r="J1020" s="584">
        <f>+VLOOKUP(Tabla3[[#This Row],[PATENTE]],'BASE DATOS'!F:L,7,0)</f>
        <v>2003</v>
      </c>
      <c r="K1020" s="619">
        <f>+VLOOKUP(Tabla3[[#This Row],[PATENTE]],'BASE DATOS'!F:M,8,0)</f>
        <v>22</v>
      </c>
    </row>
    <row r="1021" spans="1:11" hidden="1">
      <c r="A1021" s="578" t="s">
        <v>932</v>
      </c>
      <c r="B1021" s="584">
        <v>3</v>
      </c>
      <c r="C1021" s="589">
        <v>45971</v>
      </c>
      <c r="D1021" s="582">
        <f t="shared" si="39"/>
        <v>46</v>
      </c>
      <c r="E1021" s="618" t="str">
        <f>+VLOOKUP(Tabla3[[#This Row],[PATENTE]],'BASE DATOS'!F:G,2,0)</f>
        <v xml:space="preserve">TRANSP MAVIR - EFL176 </v>
      </c>
      <c r="F1021" s="584" t="str">
        <f>+VLOOKUP(Tabla3[[#This Row],[PATENTE]],'BASE DATOS'!F:H,3,0)</f>
        <v>12P</v>
      </c>
      <c r="G1021" s="584" t="str">
        <f>+VLOOKUP(Tabla3[[#This Row],[PATENTE]],'BASE DATOS'!F:I,4,0)</f>
        <v>SI</v>
      </c>
      <c r="H1021" s="584" t="str">
        <f>+VLOOKUP(Tabla3[[#This Row],[PATENTE]],'BASE DATOS'!F:J,5,0)</f>
        <v>SI</v>
      </c>
      <c r="I1021" s="584" t="str">
        <f>+VLOOKUP(Tabla3[[#This Row],[PATENTE]],'BASE DATOS'!F:K,6,0)</f>
        <v>NO</v>
      </c>
      <c r="J1021" s="584">
        <f>+VLOOKUP(Tabla3[[#This Row],[PATENTE]],'BASE DATOS'!F:L,7,0)</f>
        <v>1998</v>
      </c>
      <c r="K1021" s="619">
        <f>+VLOOKUP(Tabla3[[#This Row],[PATENTE]],'BASE DATOS'!F:M,8,0)</f>
        <v>27</v>
      </c>
    </row>
    <row r="1022" spans="1:11" hidden="1">
      <c r="A1022" s="578" t="s">
        <v>916</v>
      </c>
      <c r="B1022" s="584">
        <v>3</v>
      </c>
      <c r="C1022" s="589">
        <v>45971</v>
      </c>
      <c r="D1022" s="582">
        <f t="shared" si="39"/>
        <v>46</v>
      </c>
      <c r="E1022" s="618" t="str">
        <f>+VLOOKUP(Tabla3[[#This Row],[PATENTE]],'BASE DATOS'!F:G,2,0)</f>
        <v xml:space="preserve">TRANSP MAIDANA CARLOS - EYP088 </v>
      </c>
      <c r="F1022" s="584" t="str">
        <f>+VLOOKUP(Tabla3[[#This Row],[PATENTE]],'BASE DATOS'!F:H,3,0)</f>
        <v>6P</v>
      </c>
      <c r="G1022" s="584" t="str">
        <f>+VLOOKUP(Tabla3[[#This Row],[PATENTE]],'BASE DATOS'!F:I,4,0)</f>
        <v>SI</v>
      </c>
      <c r="H1022" s="584" t="str">
        <f>+VLOOKUP(Tabla3[[#This Row],[PATENTE]],'BASE DATOS'!F:J,5,0)</f>
        <v>SI</v>
      </c>
      <c r="I1022" s="584" t="str">
        <f>+VLOOKUP(Tabla3[[#This Row],[PATENTE]],'BASE DATOS'!F:K,6,0)</f>
        <v>NO</v>
      </c>
      <c r="J1022" s="584">
        <f>+VLOOKUP(Tabla3[[#This Row],[PATENTE]],'BASE DATOS'!F:L,7,0)</f>
        <v>2006</v>
      </c>
      <c r="K1022" s="619">
        <f>+VLOOKUP(Tabla3[[#This Row],[PATENTE]],'BASE DATOS'!F:M,8,0)</f>
        <v>19</v>
      </c>
    </row>
    <row r="1023" spans="1:11" hidden="1">
      <c r="A1023" s="578" t="s">
        <v>901</v>
      </c>
      <c r="B1023" s="584">
        <v>3</v>
      </c>
      <c r="C1023" s="589">
        <v>45971</v>
      </c>
      <c r="D1023" s="582">
        <f t="shared" si="39"/>
        <v>46</v>
      </c>
      <c r="E1023" s="618" t="str">
        <f>+VLOOKUP(Tabla3[[#This Row],[PATENTE]],'BASE DATOS'!F:G,2,0)</f>
        <v xml:space="preserve">TRANSPORTE  GRACIELA - IYE750 </v>
      </c>
      <c r="F1023" s="584" t="str">
        <f>+VLOOKUP(Tabla3[[#This Row],[PATENTE]],'BASE DATOS'!F:H,3,0)</f>
        <v>1P</v>
      </c>
      <c r="G1023" s="584" t="str">
        <f>+VLOOKUP(Tabla3[[#This Row],[PATENTE]],'BASE DATOS'!F:I,4,0)</f>
        <v>NO</v>
      </c>
      <c r="H1023" s="584" t="str">
        <f>+VLOOKUP(Tabla3[[#This Row],[PATENTE]],'BASE DATOS'!F:J,5,0)</f>
        <v>SI</v>
      </c>
      <c r="I1023" s="584" t="str">
        <f>+VLOOKUP(Tabla3[[#This Row],[PATENTE]],'BASE DATOS'!F:K,6,0)</f>
        <v>NO</v>
      </c>
      <c r="J1023" s="584">
        <f>+VLOOKUP(Tabla3[[#This Row],[PATENTE]],'BASE DATOS'!F:L,7,0)</f>
        <v>2009</v>
      </c>
      <c r="K1023" s="619">
        <f>+VLOOKUP(Tabla3[[#This Row],[PATENTE]],'BASE DATOS'!F:M,8,0)</f>
        <v>16</v>
      </c>
    </row>
    <row r="1024" spans="1:11" hidden="1">
      <c r="A1024" s="578" t="s">
        <v>882</v>
      </c>
      <c r="B1024" s="584">
        <v>3</v>
      </c>
      <c r="C1024" s="589">
        <v>45971</v>
      </c>
      <c r="D1024" s="582">
        <f t="shared" si="39"/>
        <v>46</v>
      </c>
      <c r="E1024" s="618" t="str">
        <f>+VLOOKUP(Tabla3[[#This Row],[PATENTE]],'BASE DATOS'!F:G,2,0)</f>
        <v xml:space="preserve">MAÑAS - JWN279 </v>
      </c>
      <c r="F1024" s="584" t="str">
        <f>+VLOOKUP(Tabla3[[#This Row],[PATENTE]],'BASE DATOS'!F:H,3,0)</f>
        <v>7P</v>
      </c>
      <c r="G1024" s="584" t="str">
        <f>+VLOOKUP(Tabla3[[#This Row],[PATENTE]],'BASE DATOS'!F:I,4,0)</f>
        <v>SI</v>
      </c>
      <c r="H1024" s="584" t="str">
        <f>+VLOOKUP(Tabla3[[#This Row],[PATENTE]],'BASE DATOS'!F:J,5,0)</f>
        <v>SI</v>
      </c>
      <c r="I1024" s="584" t="str">
        <f>+VLOOKUP(Tabla3[[#This Row],[PATENTE]],'BASE DATOS'!F:K,6,0)</f>
        <v>NO</v>
      </c>
      <c r="J1024" s="584">
        <f>+VLOOKUP(Tabla3[[#This Row],[PATENTE]],'BASE DATOS'!F:L,7,0)</f>
        <v>2011</v>
      </c>
      <c r="K1024" s="619">
        <f>+VLOOKUP(Tabla3[[#This Row],[PATENTE]],'BASE DATOS'!F:M,8,0)</f>
        <v>14</v>
      </c>
    </row>
    <row r="1025" spans="1:11" hidden="1">
      <c r="A1025" s="578" t="s">
        <v>896</v>
      </c>
      <c r="B1025" s="584">
        <v>3</v>
      </c>
      <c r="C1025" s="589">
        <v>45971</v>
      </c>
      <c r="D1025" s="582">
        <f t="shared" si="39"/>
        <v>46</v>
      </c>
      <c r="E1025" s="618" t="str">
        <f>+VLOOKUP(Tabla3[[#This Row],[PATENTE]],'BASE DATOS'!F:G,2,0)</f>
        <v xml:space="preserve">TRANSP MAVIR - RHQ609 </v>
      </c>
      <c r="F1025" s="584" t="str">
        <f>+VLOOKUP(Tabla3[[#This Row],[PATENTE]],'BASE DATOS'!F:H,3,0)</f>
        <v>10P</v>
      </c>
      <c r="G1025" s="584" t="str">
        <f>+VLOOKUP(Tabla3[[#This Row],[PATENTE]],'BASE DATOS'!F:I,4,0)</f>
        <v>NO</v>
      </c>
      <c r="H1025" s="584" t="str">
        <f>+VLOOKUP(Tabla3[[#This Row],[PATENTE]],'BASE DATOS'!F:J,5,0)</f>
        <v xml:space="preserve">NO </v>
      </c>
      <c r="I1025" s="584" t="str">
        <f>+VLOOKUP(Tabla3[[#This Row],[PATENTE]],'BASE DATOS'!F:K,6,0)</f>
        <v>NO</v>
      </c>
      <c r="J1025" s="584">
        <f>+VLOOKUP(Tabla3[[#This Row],[PATENTE]],'BASE DATOS'!F:L,7,0)</f>
        <v>1995</v>
      </c>
      <c r="K1025" s="593">
        <v>0</v>
      </c>
    </row>
    <row r="1026" spans="1:11" hidden="1">
      <c r="A1026" s="578" t="s">
        <v>890</v>
      </c>
      <c r="B1026" s="584">
        <v>2</v>
      </c>
      <c r="C1026" s="589">
        <v>45971</v>
      </c>
      <c r="D1026" s="582">
        <f t="shared" si="39"/>
        <v>46</v>
      </c>
      <c r="E1026" s="618" t="str">
        <f>+VLOOKUP(Tabla3[[#This Row],[PATENTE]],'BASE DATOS'!F:G,2,0)</f>
        <v xml:space="preserve">TRANSPORTE GRACIELA - AC040RO </v>
      </c>
      <c r="F1026" s="584" t="str">
        <f>+VLOOKUP(Tabla3[[#This Row],[PATENTE]],'BASE DATOS'!F:H,3,0)</f>
        <v>1P</v>
      </c>
      <c r="G1026" s="584" t="str">
        <f>+VLOOKUP(Tabla3[[#This Row],[PATENTE]],'BASE DATOS'!F:I,4,0)</f>
        <v>SI</v>
      </c>
      <c r="H1026" s="584" t="str">
        <f>+VLOOKUP(Tabla3[[#This Row],[PATENTE]],'BASE DATOS'!F:J,5,0)</f>
        <v>ACEPTA( VER CAMI)</v>
      </c>
      <c r="I1026" s="584" t="str">
        <f>+VLOOKUP(Tabla3[[#This Row],[PATENTE]],'BASE DATOS'!F:K,6,0)</f>
        <v>NO</v>
      </c>
      <c r="J1026" s="584">
        <f>+VLOOKUP(Tabla3[[#This Row],[PATENTE]],'BASE DATOS'!F:L,7,0)</f>
        <v>2017</v>
      </c>
      <c r="K1026" s="619">
        <f>+VLOOKUP(Tabla3[[#This Row],[PATENTE]],'BASE DATOS'!F:M,8,0)</f>
        <v>8</v>
      </c>
    </row>
    <row r="1027" spans="1:11" hidden="1">
      <c r="A1027" s="578" t="s">
        <v>929</v>
      </c>
      <c r="B1027" s="584">
        <v>2</v>
      </c>
      <c r="C1027" s="589">
        <v>45971</v>
      </c>
      <c r="D1027" s="582">
        <f t="shared" si="39"/>
        <v>46</v>
      </c>
      <c r="E1027" s="618" t="str">
        <f>+VLOOKUP(Tabla3[[#This Row],[PATENTE]],'BASE DATOS'!F:G,2,0)</f>
        <v xml:space="preserve">PRONTOMAR - BAI674 </v>
      </c>
      <c r="F1027" s="584" t="str">
        <f>+VLOOKUP(Tabla3[[#This Row],[PATENTE]],'BASE DATOS'!F:H,3,0)</f>
        <v>14P</v>
      </c>
      <c r="G1027" s="584" t="str">
        <f>+VLOOKUP(Tabla3[[#This Row],[PATENTE]],'BASE DATOS'!F:I,4,0)</f>
        <v>NO</v>
      </c>
      <c r="H1027" s="584" t="str">
        <f>+VLOOKUP(Tabla3[[#This Row],[PATENTE]],'BASE DATOS'!F:J,5,0)</f>
        <v xml:space="preserve">NO </v>
      </c>
      <c r="I1027" s="584" t="str">
        <f>+VLOOKUP(Tabla3[[#This Row],[PATENTE]],'BASE DATOS'!F:K,6,0)</f>
        <v>NO</v>
      </c>
      <c r="J1027" s="584">
        <f>+VLOOKUP(Tabla3[[#This Row],[PATENTE]],'BASE DATOS'!F:L,7,0)</f>
        <v>1996</v>
      </c>
      <c r="K1027" s="619">
        <f>+VLOOKUP(Tabla3[[#This Row],[PATENTE]],'BASE DATOS'!F:M,8,0)</f>
        <v>29</v>
      </c>
    </row>
    <row r="1028" spans="1:11" hidden="1">
      <c r="A1028" s="578" t="s">
        <v>933</v>
      </c>
      <c r="B1028" s="584">
        <v>2</v>
      </c>
      <c r="C1028" s="589">
        <v>45971</v>
      </c>
      <c r="D1028" s="582">
        <f t="shared" si="39"/>
        <v>46</v>
      </c>
      <c r="E1028" s="618" t="str">
        <f>+VLOOKUP(Tabla3[[#This Row],[PATENTE]],'BASE DATOS'!F:G,2,0)</f>
        <v xml:space="preserve">TRANSPORTE GENA GAIA - IKE806 </v>
      </c>
      <c r="F1028" s="584" t="str">
        <f>+VLOOKUP(Tabla3[[#This Row],[PATENTE]],'BASE DATOS'!F:H,3,0)</f>
        <v>24P</v>
      </c>
      <c r="G1028" s="584" t="str">
        <f>+VLOOKUP(Tabla3[[#This Row],[PATENTE]],'BASE DATOS'!F:I,4,0)</f>
        <v>Gestya</v>
      </c>
      <c r="H1028" s="584" t="str">
        <f>+VLOOKUP(Tabla3[[#This Row],[PATENTE]],'BASE DATOS'!F:J,5,0)</f>
        <v xml:space="preserve">NO </v>
      </c>
      <c r="I1028" s="584" t="str">
        <f>+VLOOKUP(Tabla3[[#This Row],[PATENTE]],'BASE DATOS'!F:K,6,0)</f>
        <v>NO</v>
      </c>
      <c r="J1028" s="584">
        <f>+VLOOKUP(Tabla3[[#This Row],[PATENTE]],'BASE DATOS'!F:L,7,0)</f>
        <v>2010</v>
      </c>
      <c r="K1028" s="619">
        <f>+VLOOKUP(Tabla3[[#This Row],[PATENTE]],'BASE DATOS'!F:M,8,0)</f>
        <v>15</v>
      </c>
    </row>
    <row r="1029" spans="1:11" hidden="1">
      <c r="A1029" s="578" t="s">
        <v>931</v>
      </c>
      <c r="B1029" s="584">
        <v>1</v>
      </c>
      <c r="C1029" s="589">
        <v>45971</v>
      </c>
      <c r="D1029" s="582">
        <f t="shared" si="39"/>
        <v>46</v>
      </c>
      <c r="E1029" s="618" t="str">
        <f>+VLOOKUP(Tabla3[[#This Row],[PATENTE]],'BASE DATOS'!F:G,2,0)</f>
        <v xml:space="preserve">BELLIMAR SRL - AG314VN </v>
      </c>
      <c r="F1029" s="584" t="str">
        <f>+VLOOKUP(Tabla3[[#This Row],[PATENTE]],'BASE DATOS'!F:H,3,0)</f>
        <v>8P</v>
      </c>
      <c r="G1029" s="584" t="str">
        <f>+VLOOKUP(Tabla3[[#This Row],[PATENTE]],'BASE DATOS'!F:I,4,0)</f>
        <v>NO</v>
      </c>
      <c r="H1029" s="584" t="str">
        <f>+VLOOKUP(Tabla3[[#This Row],[PATENTE]],'BASE DATOS'!F:J,5,0)</f>
        <v xml:space="preserve">NO </v>
      </c>
      <c r="I1029" s="584" t="str">
        <f>+VLOOKUP(Tabla3[[#This Row],[PATENTE]],'BASE DATOS'!F:K,6,0)</f>
        <v>NO</v>
      </c>
      <c r="J1029" s="584">
        <f>+VLOOKUP(Tabla3[[#This Row],[PATENTE]],'BASE DATOS'!F:L,7,0)</f>
        <v>2024</v>
      </c>
      <c r="K1029" s="619">
        <f>+VLOOKUP(Tabla3[[#This Row],[PATENTE]],'BASE DATOS'!F:M,8,0)</f>
        <v>1</v>
      </c>
    </row>
    <row r="1030" spans="1:11" hidden="1">
      <c r="A1030" s="578" t="s">
        <v>935</v>
      </c>
      <c r="B1030" s="584">
        <v>1</v>
      </c>
      <c r="C1030" s="589">
        <v>45971</v>
      </c>
      <c r="D1030" s="582">
        <f t="shared" si="39"/>
        <v>46</v>
      </c>
      <c r="E1030" s="618" t="str">
        <f>+VLOOKUP(Tabla3[[#This Row],[PATENTE]],'BASE DATOS'!F:G,2,0)</f>
        <v>GANZINI HUGO -DMP850</v>
      </c>
      <c r="F1030" s="584" t="str">
        <f>+VLOOKUP(Tabla3[[#This Row],[PATENTE]],'BASE DATOS'!F:H,3,0)</f>
        <v>2P</v>
      </c>
      <c r="G1030" s="584" t="str">
        <f>+VLOOKUP(Tabla3[[#This Row],[PATENTE]],'BASE DATOS'!F:I,4,0)</f>
        <v>NO</v>
      </c>
      <c r="H1030" s="584" t="str">
        <f>+VLOOKUP(Tabla3[[#This Row],[PATENTE]],'BASE DATOS'!F:J,5,0)</f>
        <v xml:space="preserve">NO </v>
      </c>
      <c r="I1030" s="584" t="str">
        <f>+VLOOKUP(Tabla3[[#This Row],[PATENTE]],'BASE DATOS'!F:K,6,0)</f>
        <v>NO</v>
      </c>
      <c r="J1030" s="584">
        <f>+VLOOKUP(Tabla3[[#This Row],[PATENTE]],'BASE DATOS'!F:L,7,0)</f>
        <v>2000</v>
      </c>
      <c r="K1030" s="619">
        <f>+VLOOKUP(Tabla3[[#This Row],[PATENTE]],'BASE DATOS'!F:M,8,0)</f>
        <v>25</v>
      </c>
    </row>
    <row r="1031" spans="1:11" hidden="1">
      <c r="A1031" s="578" t="s">
        <v>927</v>
      </c>
      <c r="B1031" s="584">
        <v>1</v>
      </c>
      <c r="C1031" s="589">
        <v>45971</v>
      </c>
      <c r="D1031" s="582">
        <f t="shared" si="39"/>
        <v>46</v>
      </c>
      <c r="E1031" s="618" t="str">
        <f>+VLOOKUP(Tabla3[[#This Row],[PATENTE]],'BASE DATOS'!F:G,2,0)</f>
        <v xml:space="preserve">TRANSP MAVIR - EKE275 </v>
      </c>
      <c r="F1031" s="584" t="str">
        <f>+VLOOKUP(Tabla3[[#This Row],[PATENTE]],'BASE DATOS'!F:H,3,0)</f>
        <v>11P</v>
      </c>
      <c r="G1031" s="584" t="str">
        <f>+VLOOKUP(Tabla3[[#This Row],[PATENTE]],'BASE DATOS'!F:I,4,0)</f>
        <v>NO</v>
      </c>
      <c r="H1031" s="584" t="str">
        <f>+VLOOKUP(Tabla3[[#This Row],[PATENTE]],'BASE DATOS'!F:J,5,0)</f>
        <v xml:space="preserve">NO </v>
      </c>
      <c r="I1031" s="584" t="str">
        <f>+VLOOKUP(Tabla3[[#This Row],[PATENTE]],'BASE DATOS'!F:K,6,0)</f>
        <v>NO</v>
      </c>
      <c r="J1031" s="584">
        <f>+VLOOKUP(Tabla3[[#This Row],[PATENTE]],'BASE DATOS'!F:L,7,0)</f>
        <v>2004</v>
      </c>
      <c r="K1031" s="593">
        <v>0</v>
      </c>
    </row>
    <row r="1032" spans="1:11" hidden="1">
      <c r="A1032" s="578" t="s">
        <v>934</v>
      </c>
      <c r="B1032" s="584">
        <v>1</v>
      </c>
      <c r="C1032" s="589">
        <v>45971</v>
      </c>
      <c r="D1032" s="582">
        <f t="shared" si="39"/>
        <v>46</v>
      </c>
      <c r="E1032" s="618" t="str">
        <f>+VLOOKUP(Tabla3[[#This Row],[PATENTE]],'BASE DATOS'!F:G,2,0)</f>
        <v>PALADINI - FQN744 RETIRA CLIENTE</v>
      </c>
      <c r="F1032" s="584" t="str">
        <f>+VLOOKUP(Tabla3[[#This Row],[PATENTE]],'BASE DATOS'!F:H,3,0)</f>
        <v>26P</v>
      </c>
      <c r="G1032" s="584" t="str">
        <f>+VLOOKUP(Tabla3[[#This Row],[PATENTE]],'BASE DATOS'!F:I,4,0)</f>
        <v>NO</v>
      </c>
      <c r="H1032" s="584" t="str">
        <f>+VLOOKUP(Tabla3[[#This Row],[PATENTE]],'BASE DATOS'!F:J,5,0)</f>
        <v xml:space="preserve">NO </v>
      </c>
      <c r="I1032" s="584" t="str">
        <f>+VLOOKUP(Tabla3[[#This Row],[PATENTE]],'BASE DATOS'!F:K,6,0)</f>
        <v>NO</v>
      </c>
      <c r="J1032" s="584">
        <f>+VLOOKUP(Tabla3[[#This Row],[PATENTE]],'BASE DATOS'!F:L,7,0)</f>
        <v>0</v>
      </c>
      <c r="K1032" s="619">
        <f>+VLOOKUP(Tabla3[[#This Row],[PATENTE]],'BASE DATOS'!F:M,8,0)</f>
        <v>0</v>
      </c>
    </row>
    <row r="1033" spans="1:11" hidden="1">
      <c r="A1033" s="578" t="s">
        <v>938</v>
      </c>
      <c r="B1033" s="584">
        <v>1</v>
      </c>
      <c r="C1033" s="589">
        <v>45971</v>
      </c>
      <c r="D1033" s="582">
        <f t="shared" si="39"/>
        <v>46</v>
      </c>
      <c r="E1033" s="618" t="str">
        <f>+VLOOKUP(Tabla3[[#This Row],[PATENTE]],'BASE DATOS'!F:G,2,0)</f>
        <v>TRANSPORTE GENA GAIA - GYH519  - 26P</v>
      </c>
      <c r="F1033" s="584" t="str">
        <f>+VLOOKUP(Tabla3[[#This Row],[PATENTE]],'BASE DATOS'!F:H,3,0)</f>
        <v>26P</v>
      </c>
      <c r="G1033" s="584" t="str">
        <f>+VLOOKUP(Tabla3[[#This Row],[PATENTE]],'BASE DATOS'!F:I,4,0)</f>
        <v>GESTYA</v>
      </c>
      <c r="H1033" s="584" t="str">
        <f>+VLOOKUP(Tabla3[[#This Row],[PATENTE]],'BASE DATOS'!F:J,5,0)</f>
        <v xml:space="preserve">NO </v>
      </c>
      <c r="I1033" s="584" t="str">
        <f>+VLOOKUP(Tabla3[[#This Row],[PATENTE]],'BASE DATOS'!F:K,6,0)</f>
        <v>NO</v>
      </c>
      <c r="J1033" s="584">
        <f>+VLOOKUP(Tabla3[[#This Row],[PATENTE]],'BASE DATOS'!F:L,7,0)</f>
        <v>2008</v>
      </c>
      <c r="K1033" s="619">
        <f>+VLOOKUP(Tabla3[[#This Row],[PATENTE]],'BASE DATOS'!F:M,8,0)</f>
        <v>17</v>
      </c>
    </row>
    <row r="1034" spans="1:11" hidden="1">
      <c r="A1034" s="578" t="s">
        <v>928</v>
      </c>
      <c r="B1034" s="584">
        <v>1</v>
      </c>
      <c r="C1034" s="589">
        <v>45971</v>
      </c>
      <c r="D1034" s="582">
        <f t="shared" si="39"/>
        <v>46</v>
      </c>
      <c r="E1034" s="618" t="str">
        <f>+VLOOKUP(Tabla3[[#This Row],[PATENTE]],'BASE DATOS'!F:G,2,0)</f>
        <v xml:space="preserve">GANZINI HUGO - HEF181 </v>
      </c>
      <c r="F1034" s="584" t="str">
        <f>+VLOOKUP(Tabla3[[#This Row],[PATENTE]],'BASE DATOS'!F:H,3,0)</f>
        <v>12P</v>
      </c>
      <c r="G1034" s="584" t="str">
        <f>+VLOOKUP(Tabla3[[#This Row],[PATENTE]],'BASE DATOS'!F:I,4,0)</f>
        <v>NO</v>
      </c>
      <c r="H1034" s="584" t="str">
        <f>+VLOOKUP(Tabla3[[#This Row],[PATENTE]],'BASE DATOS'!F:J,5,0)</f>
        <v xml:space="preserve">NO </v>
      </c>
      <c r="I1034" s="584" t="str">
        <f>+VLOOKUP(Tabla3[[#This Row],[PATENTE]],'BASE DATOS'!F:K,6,0)</f>
        <v>NO</v>
      </c>
      <c r="J1034" s="584">
        <f>+VLOOKUP(Tabla3[[#This Row],[PATENTE]],'BASE DATOS'!F:L,7,0)</f>
        <v>2008</v>
      </c>
      <c r="K1034" s="619">
        <f>+VLOOKUP(Tabla3[[#This Row],[PATENTE]],'BASE DATOS'!F:M,8,0)</f>
        <v>17</v>
      </c>
    </row>
    <row r="1035" spans="1:11" hidden="1">
      <c r="A1035" s="578" t="s">
        <v>924</v>
      </c>
      <c r="B1035" s="584">
        <v>1</v>
      </c>
      <c r="C1035" s="589">
        <v>45971</v>
      </c>
      <c r="D1035" s="582">
        <f t="shared" si="39"/>
        <v>46</v>
      </c>
      <c r="E1035" s="618" t="str">
        <f>+VLOOKUP(Tabla3[[#This Row],[PATENTE]],'BASE DATOS'!F:G,2,0)</f>
        <v>TRANSP MAVIR - HRZ429 -16P</v>
      </c>
      <c r="F1035" s="584" t="str">
        <f>+VLOOKUP(Tabla3[[#This Row],[PATENTE]],'BASE DATOS'!F:H,3,0)</f>
        <v>16P</v>
      </c>
      <c r="G1035" s="584" t="str">
        <f>+VLOOKUP(Tabla3[[#This Row],[PATENTE]],'BASE DATOS'!F:I,4,0)</f>
        <v>SI</v>
      </c>
      <c r="H1035" s="584" t="str">
        <f>+VLOOKUP(Tabla3[[#This Row],[PATENTE]],'BASE DATOS'!F:J,5,0)</f>
        <v xml:space="preserve">NO </v>
      </c>
      <c r="I1035" s="584" t="str">
        <f>+VLOOKUP(Tabla3[[#This Row],[PATENTE]],'BASE DATOS'!F:K,6,0)</f>
        <v>NO</v>
      </c>
      <c r="J1035" s="584">
        <f>+VLOOKUP(Tabla3[[#This Row],[PATENTE]],'BASE DATOS'!F:L,7,0)</f>
        <v>2008</v>
      </c>
      <c r="K1035" s="619">
        <f>+VLOOKUP(Tabla3[[#This Row],[PATENTE]],'BASE DATOS'!F:M,8,0)</f>
        <v>17</v>
      </c>
    </row>
    <row r="1036" spans="1:11" hidden="1">
      <c r="A1036" s="578" t="s">
        <v>900</v>
      </c>
      <c r="B1036" s="584">
        <v>1</v>
      </c>
      <c r="C1036" s="589">
        <v>45971</v>
      </c>
      <c r="D1036" s="582">
        <f t="shared" si="39"/>
        <v>46</v>
      </c>
      <c r="E1036" s="618" t="str">
        <f>+VLOOKUP(Tabla3[[#This Row],[PATENTE]],'BASE DATOS'!F:G,2,0)</f>
        <v>TRANSPORTE GENA GAIA - IMO939</v>
      </c>
      <c r="F1036" s="584" t="str">
        <f>+VLOOKUP(Tabla3[[#This Row],[PATENTE]],'BASE DATOS'!F:H,3,0)</f>
        <v>24P</v>
      </c>
      <c r="G1036" s="584" t="str">
        <f>+VLOOKUP(Tabla3[[#This Row],[PATENTE]],'BASE DATOS'!F:I,4,0)</f>
        <v>Gestya</v>
      </c>
      <c r="H1036" s="584" t="str">
        <f>+VLOOKUP(Tabla3[[#This Row],[PATENTE]],'BASE DATOS'!F:J,5,0)</f>
        <v xml:space="preserve">NO </v>
      </c>
      <c r="I1036" s="584" t="str">
        <f>+VLOOKUP(Tabla3[[#This Row],[PATENTE]],'BASE DATOS'!F:K,6,0)</f>
        <v>NO</v>
      </c>
      <c r="J1036" s="584">
        <f>+VLOOKUP(Tabla3[[#This Row],[PATENTE]],'BASE DATOS'!F:L,7,0)</f>
        <v>2010</v>
      </c>
      <c r="K1036" s="619">
        <f>+VLOOKUP(Tabla3[[#This Row],[PATENTE]],'BASE DATOS'!F:M,8,0)</f>
        <v>15</v>
      </c>
    </row>
    <row r="1037" spans="1:11" hidden="1">
      <c r="A1037" s="581" t="s">
        <v>930</v>
      </c>
      <c r="B1037" s="587">
        <v>1</v>
      </c>
      <c r="C1037" s="589">
        <v>45971</v>
      </c>
      <c r="D1037" s="583">
        <f t="shared" si="39"/>
        <v>46</v>
      </c>
      <c r="E1037" s="620" t="str">
        <f>+VLOOKUP(Tabla3[[#This Row],[PATENTE]],'BASE DATOS'!F:G,2,0)</f>
        <v xml:space="preserve">GANZINI HUGO - JJF375 </v>
      </c>
      <c r="F1037" s="587" t="str">
        <f>+VLOOKUP(Tabla3[[#This Row],[PATENTE]],'BASE DATOS'!F:H,3,0)</f>
        <v>14P</v>
      </c>
      <c r="G1037" s="587" t="str">
        <f>+VLOOKUP(Tabla3[[#This Row],[PATENTE]],'BASE DATOS'!F:I,4,0)</f>
        <v>SI</v>
      </c>
      <c r="H1037" s="587" t="str">
        <f>+VLOOKUP(Tabla3[[#This Row],[PATENTE]],'BASE DATOS'!F:J,5,0)</f>
        <v xml:space="preserve">NO </v>
      </c>
      <c r="I1037" s="587" t="str">
        <f>+VLOOKUP(Tabla3[[#This Row],[PATENTE]],'BASE DATOS'!F:K,6,0)</f>
        <v>NO</v>
      </c>
      <c r="J1037" s="587">
        <f>+VLOOKUP(Tabla3[[#This Row],[PATENTE]],'BASE DATOS'!F:L,7,0)</f>
        <v>2011</v>
      </c>
      <c r="K1037" s="621">
        <f>+VLOOKUP(Tabla3[[#This Row],[PATENTE]],'BASE DATOS'!F:M,8,0)</f>
        <v>14</v>
      </c>
    </row>
    <row r="1038" spans="1:11" hidden="1">
      <c r="A1038" s="578" t="s">
        <v>905</v>
      </c>
      <c r="B1038" s="584">
        <v>6</v>
      </c>
      <c r="C1038" s="589">
        <v>45978</v>
      </c>
      <c r="D1038" s="582">
        <f t="shared" ref="D1038:D1069" si="40">+WEEKNUM(C1038)</f>
        <v>47</v>
      </c>
      <c r="E1038" s="618" t="str">
        <f>+VLOOKUP(Tabla3[[#This Row],[PATENTE]],'BASE DATOS'!F:G,2,0)</f>
        <v xml:space="preserve">J RIMOLDI - AB312SE </v>
      </c>
      <c r="F1038" s="584" t="str">
        <f>+VLOOKUP(Tabla3[[#This Row],[PATENTE]],'BASE DATOS'!F:H,3,0)</f>
        <v>8P</v>
      </c>
      <c r="G1038" s="584" t="str">
        <f>+VLOOKUP(Tabla3[[#This Row],[PATENTE]],'BASE DATOS'!F:I,4,0)</f>
        <v>SI</v>
      </c>
      <c r="H1038" s="584" t="str">
        <f>+VLOOKUP(Tabla3[[#This Row],[PATENTE]],'BASE DATOS'!F:J,5,0)</f>
        <v>SI</v>
      </c>
      <c r="I1038" s="584" t="str">
        <f>+VLOOKUP(Tabla3[[#This Row],[PATENTE]],'BASE DATOS'!F:K,6,0)</f>
        <v>NO</v>
      </c>
      <c r="J1038" s="584">
        <f>+VLOOKUP(Tabla3[[#This Row],[PATENTE]],'BASE DATOS'!F:L,7,0)</f>
        <v>2017</v>
      </c>
      <c r="K1038" s="619">
        <f>+VLOOKUP(Tabla3[[#This Row],[PATENTE]],'BASE DATOS'!F:M,8,0)</f>
        <v>8</v>
      </c>
    </row>
    <row r="1039" spans="1:11" hidden="1">
      <c r="A1039" s="578" t="s">
        <v>922</v>
      </c>
      <c r="B1039" s="584">
        <v>6</v>
      </c>
      <c r="C1039" s="589">
        <v>45978</v>
      </c>
      <c r="D1039" s="582">
        <f t="shared" si="40"/>
        <v>47</v>
      </c>
      <c r="E1039" s="618" t="str">
        <f>+VLOOKUP(Tabla3[[#This Row],[PATENTE]],'BASE DATOS'!F:G,2,0)</f>
        <v>LAURIA (SERVAL) - AF342ZY</v>
      </c>
      <c r="F1039" s="584" t="str">
        <f>+VLOOKUP(Tabla3[[#This Row],[PATENTE]],'BASE DATOS'!F:H,3,0)</f>
        <v>8P</v>
      </c>
      <c r="G1039" s="584" t="str">
        <f>+VLOOKUP(Tabla3[[#This Row],[PATENTE]],'BASE DATOS'!F:I,4,0)</f>
        <v>SI</v>
      </c>
      <c r="H1039" s="584" t="str">
        <f>+VLOOKUP(Tabla3[[#This Row],[PATENTE]],'BASE DATOS'!F:J,5,0)</f>
        <v>SI</v>
      </c>
      <c r="I1039" s="584" t="str">
        <f>+VLOOKUP(Tabla3[[#This Row],[PATENTE]],'BASE DATOS'!F:K,6,0)</f>
        <v>NO</v>
      </c>
      <c r="J1039" s="584">
        <f>+VLOOKUP(Tabla3[[#This Row],[PATENTE]],'BASE DATOS'!F:L,7,0)</f>
        <v>2022</v>
      </c>
      <c r="K1039" s="619">
        <f>+VLOOKUP(Tabla3[[#This Row],[PATENTE]],'BASE DATOS'!F:M,8,0)</f>
        <v>3</v>
      </c>
    </row>
    <row r="1040" spans="1:11" hidden="1">
      <c r="A1040" s="578" t="s">
        <v>907</v>
      </c>
      <c r="B1040" s="584">
        <v>6</v>
      </c>
      <c r="C1040" s="589">
        <v>45978</v>
      </c>
      <c r="D1040" s="582">
        <f t="shared" si="40"/>
        <v>47</v>
      </c>
      <c r="E1040" s="618" t="str">
        <f>+VLOOKUP(Tabla3[[#This Row],[PATENTE]],'BASE DATOS'!F:G,2,0)</f>
        <v xml:space="preserve">LAURIA (SERVAL) - AH583GW </v>
      </c>
      <c r="F1040" s="584" t="str">
        <f>+VLOOKUP(Tabla3[[#This Row],[PATENTE]],'BASE DATOS'!F:H,3,0)</f>
        <v>8P</v>
      </c>
      <c r="G1040" s="584" t="str">
        <f>+VLOOKUP(Tabla3[[#This Row],[PATENTE]],'BASE DATOS'!F:I,4,0)</f>
        <v>SI</v>
      </c>
      <c r="H1040" s="584" t="str">
        <f>+VLOOKUP(Tabla3[[#This Row],[PATENTE]],'BASE DATOS'!F:J,5,0)</f>
        <v>SI</v>
      </c>
      <c r="I1040" s="584" t="str">
        <f>+VLOOKUP(Tabla3[[#This Row],[PATENTE]],'BASE DATOS'!F:K,6,0)</f>
        <v>NO</v>
      </c>
      <c r="J1040" s="584">
        <f>+VLOOKUP(Tabla3[[#This Row],[PATENTE]],'BASE DATOS'!F:L,7,0)</f>
        <v>2025</v>
      </c>
      <c r="K1040" s="619">
        <f>+VLOOKUP(Tabla3[[#This Row],[PATENTE]],'BASE DATOS'!F:M,8,0)</f>
        <v>0</v>
      </c>
    </row>
    <row r="1041" spans="1:11" hidden="1">
      <c r="A1041" s="578" t="s">
        <v>921</v>
      </c>
      <c r="B1041" s="584">
        <v>6</v>
      </c>
      <c r="C1041" s="589">
        <v>45978</v>
      </c>
      <c r="D1041" s="582">
        <f t="shared" si="40"/>
        <v>47</v>
      </c>
      <c r="E1041" s="618" t="str">
        <f>+VLOOKUP(Tabla3[[#This Row],[PATENTE]],'BASE DATOS'!F:G,2,0)</f>
        <v xml:space="preserve">MAÑAS NORBERTO - CQQ304 </v>
      </c>
      <c r="F1041" s="584" t="str">
        <f>+VLOOKUP(Tabla3[[#This Row],[PATENTE]],'BASE DATOS'!F:H,3,0)</f>
        <v>11P</v>
      </c>
      <c r="G1041" s="584" t="str">
        <f>+VLOOKUP(Tabla3[[#This Row],[PATENTE]],'BASE DATOS'!F:I,4,0)</f>
        <v>SI</v>
      </c>
      <c r="H1041" s="584" t="str">
        <f>+VLOOKUP(Tabla3[[#This Row],[PATENTE]],'BASE DATOS'!F:J,5,0)</f>
        <v>SI</v>
      </c>
      <c r="I1041" s="584" t="str">
        <f>+VLOOKUP(Tabla3[[#This Row],[PATENTE]],'BASE DATOS'!F:K,6,0)</f>
        <v>NO</v>
      </c>
      <c r="J1041" s="584">
        <f>+VLOOKUP(Tabla3[[#This Row],[PATENTE]],'BASE DATOS'!F:L,7,0)</f>
        <v>2000</v>
      </c>
      <c r="K1041" s="619">
        <f>+VLOOKUP(Tabla3[[#This Row],[PATENTE]],'BASE DATOS'!F:M,8,0)</f>
        <v>25</v>
      </c>
    </row>
    <row r="1042" spans="1:11" hidden="1">
      <c r="A1042" s="578" t="s">
        <v>904</v>
      </c>
      <c r="B1042" s="584">
        <v>6</v>
      </c>
      <c r="C1042" s="589">
        <v>45978</v>
      </c>
      <c r="D1042" s="582">
        <f t="shared" si="40"/>
        <v>47</v>
      </c>
      <c r="E1042" s="618" t="str">
        <f>+VLOOKUP(Tabla3[[#This Row],[PATENTE]],'BASE DATOS'!F:G,2,0)</f>
        <v xml:space="preserve">ENRIQUE ROLLINO - DFO656 </v>
      </c>
      <c r="F1042" s="584" t="str">
        <f>+VLOOKUP(Tabla3[[#This Row],[PATENTE]],'BASE DATOS'!F:H,3,0)</f>
        <v>6P</v>
      </c>
      <c r="G1042" s="584" t="str">
        <f>+VLOOKUP(Tabla3[[#This Row],[PATENTE]],'BASE DATOS'!F:I,4,0)</f>
        <v>SI</v>
      </c>
      <c r="H1042" s="584" t="str">
        <f>+VLOOKUP(Tabla3[[#This Row],[PATENTE]],'BASE DATOS'!F:J,5,0)</f>
        <v>SI</v>
      </c>
      <c r="I1042" s="584" t="str">
        <f>+VLOOKUP(Tabla3[[#This Row],[PATENTE]],'BASE DATOS'!F:K,6,0)</f>
        <v>NO</v>
      </c>
      <c r="J1042" s="584">
        <f>+VLOOKUP(Tabla3[[#This Row],[PATENTE]],'BASE DATOS'!F:L,7,0)</f>
        <v>2000</v>
      </c>
      <c r="K1042" s="619">
        <f>+VLOOKUP(Tabla3[[#This Row],[PATENTE]],'BASE DATOS'!F:M,8,0)</f>
        <v>25</v>
      </c>
    </row>
    <row r="1043" spans="1:11" hidden="1">
      <c r="A1043" s="578" t="s">
        <v>916</v>
      </c>
      <c r="B1043" s="584">
        <v>6</v>
      </c>
      <c r="C1043" s="589">
        <v>45978</v>
      </c>
      <c r="D1043" s="582">
        <f t="shared" si="40"/>
        <v>47</v>
      </c>
      <c r="E1043" s="618" t="str">
        <f>+VLOOKUP(Tabla3[[#This Row],[PATENTE]],'BASE DATOS'!F:G,2,0)</f>
        <v xml:space="preserve">TRANSP MAIDANA CARLOS - EYP088 </v>
      </c>
      <c r="F1043" s="584" t="str">
        <f>+VLOOKUP(Tabla3[[#This Row],[PATENTE]],'BASE DATOS'!F:H,3,0)</f>
        <v>6P</v>
      </c>
      <c r="G1043" s="584" t="str">
        <f>+VLOOKUP(Tabla3[[#This Row],[PATENTE]],'BASE DATOS'!F:I,4,0)</f>
        <v>SI</v>
      </c>
      <c r="H1043" s="584" t="str">
        <f>+VLOOKUP(Tabla3[[#This Row],[PATENTE]],'BASE DATOS'!F:J,5,0)</f>
        <v>SI</v>
      </c>
      <c r="I1043" s="584" t="str">
        <f>+VLOOKUP(Tabla3[[#This Row],[PATENTE]],'BASE DATOS'!F:K,6,0)</f>
        <v>NO</v>
      </c>
      <c r="J1043" s="584">
        <f>+VLOOKUP(Tabla3[[#This Row],[PATENTE]],'BASE DATOS'!F:L,7,0)</f>
        <v>2006</v>
      </c>
      <c r="K1043" s="619">
        <f>+VLOOKUP(Tabla3[[#This Row],[PATENTE]],'BASE DATOS'!F:M,8,0)</f>
        <v>19</v>
      </c>
    </row>
    <row r="1044" spans="1:11" hidden="1">
      <c r="A1044" s="578" t="s">
        <v>892</v>
      </c>
      <c r="B1044" s="584">
        <v>6</v>
      </c>
      <c r="C1044" s="589">
        <v>45978</v>
      </c>
      <c r="D1044" s="582">
        <f t="shared" si="40"/>
        <v>47</v>
      </c>
      <c r="E1044" s="618" t="str">
        <f>+VLOOKUP(Tabla3[[#This Row],[PATENTE]],'BASE DATOS'!F:G,2,0)</f>
        <v xml:space="preserve">COLO - FTL525 </v>
      </c>
      <c r="F1044" s="584" t="str">
        <f>+VLOOKUP(Tabla3[[#This Row],[PATENTE]],'BASE DATOS'!F:H,3,0)</f>
        <v>1P</v>
      </c>
      <c r="G1044" s="584" t="str">
        <f>+VLOOKUP(Tabla3[[#This Row],[PATENTE]],'BASE DATOS'!F:I,4,0)</f>
        <v>NO</v>
      </c>
      <c r="H1044" s="584" t="str">
        <f>+VLOOKUP(Tabla3[[#This Row],[PATENTE]],'BASE DATOS'!F:J,5,0)</f>
        <v>SI</v>
      </c>
      <c r="I1044" s="584" t="str">
        <f>+VLOOKUP(Tabla3[[#This Row],[PATENTE]],'BASE DATOS'!F:K,6,0)</f>
        <v>NO</v>
      </c>
      <c r="J1044" s="584">
        <f>+VLOOKUP(Tabla3[[#This Row],[PATENTE]],'BASE DATOS'!F:L,7,0)</f>
        <v>2008</v>
      </c>
      <c r="K1044" s="619">
        <f>+VLOOKUP(Tabla3[[#This Row],[PATENTE]],'BASE DATOS'!F:M,8,0)</f>
        <v>17</v>
      </c>
    </row>
    <row r="1045" spans="1:11" hidden="1">
      <c r="A1045" s="578" t="s">
        <v>891</v>
      </c>
      <c r="B1045" s="584">
        <v>6</v>
      </c>
      <c r="C1045" s="589">
        <v>45978</v>
      </c>
      <c r="D1045" s="582">
        <f t="shared" si="40"/>
        <v>47</v>
      </c>
      <c r="E1045" s="618" t="str">
        <f>+VLOOKUP(Tabla3[[#This Row],[PATENTE]],'BASE DATOS'!F:G,2,0)</f>
        <v xml:space="preserve">GANZINI HUGO - HHA085 </v>
      </c>
      <c r="F1045" s="584" t="str">
        <f>+VLOOKUP(Tabla3[[#This Row],[PATENTE]],'BASE DATOS'!F:H,3,0)</f>
        <v>2P</v>
      </c>
      <c r="G1045" s="584" t="str">
        <f>+VLOOKUP(Tabla3[[#This Row],[PATENTE]],'BASE DATOS'!F:I,4,0)</f>
        <v>SI</v>
      </c>
      <c r="H1045" s="584" t="str">
        <f>+VLOOKUP(Tabla3[[#This Row],[PATENTE]],'BASE DATOS'!F:J,5,0)</f>
        <v>SI</v>
      </c>
      <c r="I1045" s="584" t="str">
        <f>+VLOOKUP(Tabla3[[#This Row],[PATENTE]],'BASE DATOS'!F:K,6,0)</f>
        <v>NO</v>
      </c>
      <c r="J1045" s="584">
        <f>+VLOOKUP(Tabla3[[#This Row],[PATENTE]],'BASE DATOS'!F:L,7,0)</f>
        <v>2008</v>
      </c>
      <c r="K1045" s="619">
        <f>+VLOOKUP(Tabla3[[#This Row],[PATENTE]],'BASE DATOS'!F:M,8,0)</f>
        <v>17</v>
      </c>
    </row>
    <row r="1046" spans="1:11" hidden="1">
      <c r="A1046" s="578" t="s">
        <v>913</v>
      </c>
      <c r="B1046" s="584">
        <v>6</v>
      </c>
      <c r="C1046" s="589">
        <v>45978</v>
      </c>
      <c r="D1046" s="582">
        <f t="shared" si="40"/>
        <v>47</v>
      </c>
      <c r="E1046" s="618" t="str">
        <f>+VLOOKUP(Tabla3[[#This Row],[PATENTE]],'BASE DATOS'!F:G,2,0)</f>
        <v xml:space="preserve">TRANSP DON NENO - KSI803 </v>
      </c>
      <c r="F1046" s="584" t="str">
        <f>+VLOOKUP(Tabla3[[#This Row],[PATENTE]],'BASE DATOS'!F:H,3,0)</f>
        <v>2P</v>
      </c>
      <c r="G1046" s="584" t="str">
        <f>+VLOOKUP(Tabla3[[#This Row],[PATENTE]],'BASE DATOS'!F:I,4,0)</f>
        <v>SI</v>
      </c>
      <c r="H1046" s="584" t="str">
        <f>+VLOOKUP(Tabla3[[#This Row],[PATENTE]],'BASE DATOS'!F:J,5,0)</f>
        <v>SI</v>
      </c>
      <c r="I1046" s="584" t="str">
        <f>+VLOOKUP(Tabla3[[#This Row],[PATENTE]],'BASE DATOS'!F:K,6,0)</f>
        <v>NO</v>
      </c>
      <c r="J1046" s="584">
        <f>+VLOOKUP(Tabla3[[#This Row],[PATENTE]],'BASE DATOS'!F:L,7,0)</f>
        <v>2012</v>
      </c>
      <c r="K1046" s="619">
        <f>+VLOOKUP(Tabla3[[#This Row],[PATENTE]],'BASE DATOS'!F:M,8,0)</f>
        <v>13</v>
      </c>
    </row>
    <row r="1047" spans="1:11" hidden="1">
      <c r="A1047" s="578" t="s">
        <v>902</v>
      </c>
      <c r="B1047" s="584">
        <v>6</v>
      </c>
      <c r="C1047" s="589">
        <v>45978</v>
      </c>
      <c r="D1047" s="582">
        <f t="shared" si="40"/>
        <v>47</v>
      </c>
      <c r="E1047" s="618" t="str">
        <f>+VLOOKUP(Tabla3[[#This Row],[PATENTE]],'BASE DATOS'!F:G,2,0)</f>
        <v xml:space="preserve">GUSTAVO CERQUETTA - KZA644 </v>
      </c>
      <c r="F1047" s="584" t="str">
        <f>+VLOOKUP(Tabla3[[#This Row],[PATENTE]],'BASE DATOS'!F:H,3,0)</f>
        <v>2P</v>
      </c>
      <c r="G1047" s="584" t="str">
        <f>+VLOOKUP(Tabla3[[#This Row],[PATENTE]],'BASE DATOS'!F:I,4,0)</f>
        <v>NO</v>
      </c>
      <c r="H1047" s="584" t="str">
        <f>+VLOOKUP(Tabla3[[#This Row],[PATENTE]],'BASE DATOS'!F:J,5,0)</f>
        <v>SI</v>
      </c>
      <c r="I1047" s="584" t="str">
        <f>+VLOOKUP(Tabla3[[#This Row],[PATENTE]],'BASE DATOS'!F:K,6,0)</f>
        <v>NO</v>
      </c>
      <c r="J1047" s="584">
        <f>+VLOOKUP(Tabla3[[#This Row],[PATENTE]],'BASE DATOS'!F:L,7,0)</f>
        <v>2012</v>
      </c>
      <c r="K1047" s="619">
        <f>+VLOOKUP(Tabla3[[#This Row],[PATENTE]],'BASE DATOS'!F:M,8,0)</f>
        <v>13</v>
      </c>
    </row>
    <row r="1048" spans="1:11" hidden="1">
      <c r="A1048" s="578" t="s">
        <v>909</v>
      </c>
      <c r="B1048" s="584">
        <v>6</v>
      </c>
      <c r="C1048" s="589">
        <v>45978</v>
      </c>
      <c r="D1048" s="582">
        <f t="shared" si="40"/>
        <v>47</v>
      </c>
      <c r="E1048" s="618" t="str">
        <f>+VLOOKUP(Tabla3[[#This Row],[PATENTE]],'BASE DATOS'!F:G,2,0)</f>
        <v xml:space="preserve">CRISTIAN MOYA - NHR055 </v>
      </c>
      <c r="F1048" s="584" t="str">
        <f>+VLOOKUP(Tabla3[[#This Row],[PATENTE]],'BASE DATOS'!F:H,3,0)</f>
        <v>6P</v>
      </c>
      <c r="G1048" s="584" t="str">
        <f>+VLOOKUP(Tabla3[[#This Row],[PATENTE]],'BASE DATOS'!F:I,4,0)</f>
        <v>SI</v>
      </c>
      <c r="H1048" s="584" t="str">
        <f>+VLOOKUP(Tabla3[[#This Row],[PATENTE]],'BASE DATOS'!F:J,5,0)</f>
        <v>SI</v>
      </c>
      <c r="I1048" s="584" t="str">
        <f>+VLOOKUP(Tabla3[[#This Row],[PATENTE]],'BASE DATOS'!F:K,6,0)</f>
        <v>NO</v>
      </c>
      <c r="J1048" s="584">
        <f>+VLOOKUP(Tabla3[[#This Row],[PATENTE]],'BASE DATOS'!F:L,7,0)</f>
        <v>2013</v>
      </c>
      <c r="K1048" s="619">
        <f>+VLOOKUP(Tabla3[[#This Row],[PATENTE]],'BASE DATOS'!F:M,8,0)</f>
        <v>12</v>
      </c>
    </row>
    <row r="1049" spans="1:11" hidden="1">
      <c r="A1049" s="578" t="s">
        <v>886</v>
      </c>
      <c r="B1049" s="584">
        <v>6</v>
      </c>
      <c r="C1049" s="589">
        <v>45978</v>
      </c>
      <c r="D1049" s="582">
        <f t="shared" si="40"/>
        <v>47</v>
      </c>
      <c r="E1049" s="618" t="str">
        <f>+VLOOKUP(Tabla3[[#This Row],[PATENTE]],'BASE DATOS'!F:G,2,0)</f>
        <v xml:space="preserve">TRANSP LAGOS - NOO925 </v>
      </c>
      <c r="F1049" s="584" t="str">
        <f>+VLOOKUP(Tabla3[[#This Row],[PATENTE]],'BASE DATOS'!F:H,3,0)</f>
        <v>8P</v>
      </c>
      <c r="G1049" s="584" t="str">
        <f>+VLOOKUP(Tabla3[[#This Row],[PATENTE]],'BASE DATOS'!F:I,4,0)</f>
        <v>SI</v>
      </c>
      <c r="H1049" s="584" t="str">
        <f>+VLOOKUP(Tabla3[[#This Row],[PATENTE]],'BASE DATOS'!F:J,5,0)</f>
        <v>SI</v>
      </c>
      <c r="I1049" s="584" t="str">
        <f>+VLOOKUP(Tabla3[[#This Row],[PATENTE]],'BASE DATOS'!F:K,6,0)</f>
        <v>NO</v>
      </c>
      <c r="J1049" s="584">
        <f>+VLOOKUP(Tabla3[[#This Row],[PATENTE]],'BASE DATOS'!F:L,7,0)</f>
        <v>2014</v>
      </c>
      <c r="K1049" s="619">
        <f>+VLOOKUP(Tabla3[[#This Row],[PATENTE]],'BASE DATOS'!F:M,8,0)</f>
        <v>11</v>
      </c>
    </row>
    <row r="1050" spans="1:11" hidden="1">
      <c r="A1050" s="578" t="s">
        <v>878</v>
      </c>
      <c r="B1050" s="584">
        <v>5</v>
      </c>
      <c r="C1050" s="589">
        <v>45978</v>
      </c>
      <c r="D1050" s="582">
        <f t="shared" si="40"/>
        <v>47</v>
      </c>
      <c r="E1050" s="618" t="str">
        <f>+VLOOKUP(Tabla3[[#This Row],[PATENTE]],'BASE DATOS'!F:G,2,0)</f>
        <v xml:space="preserve">PACHECO JULIO - AA854LY </v>
      </c>
      <c r="F1050" s="584" t="str">
        <f>+VLOOKUP(Tabla3[[#This Row],[PATENTE]],'BASE DATOS'!F:H,3,0)</f>
        <v>7P</v>
      </c>
      <c r="G1050" s="584" t="str">
        <f>+VLOOKUP(Tabla3[[#This Row],[PATENTE]],'BASE DATOS'!F:I,4,0)</f>
        <v>SI</v>
      </c>
      <c r="H1050" s="584" t="str">
        <f>+VLOOKUP(Tabla3[[#This Row],[PATENTE]],'BASE DATOS'!F:J,5,0)</f>
        <v>SI</v>
      </c>
      <c r="I1050" s="584" t="str">
        <f>+VLOOKUP(Tabla3[[#This Row],[PATENTE]],'BASE DATOS'!F:K,6,0)</f>
        <v>NO</v>
      </c>
      <c r="J1050" s="584">
        <f>+VLOOKUP(Tabla3[[#This Row],[PATENTE]],'BASE DATOS'!F:L,7,0)</f>
        <v>2016</v>
      </c>
      <c r="K1050" s="619">
        <f>+VLOOKUP(Tabla3[[#This Row],[PATENTE]],'BASE DATOS'!F:M,8,0)</f>
        <v>9</v>
      </c>
    </row>
    <row r="1051" spans="1:11" hidden="1">
      <c r="A1051" s="578" t="s">
        <v>899</v>
      </c>
      <c r="B1051" s="584">
        <v>5</v>
      </c>
      <c r="C1051" s="589">
        <v>45978</v>
      </c>
      <c r="D1051" s="582">
        <f t="shared" si="40"/>
        <v>47</v>
      </c>
      <c r="E1051" s="618" t="str">
        <f>+VLOOKUP(Tabla3[[#This Row],[PATENTE]],'BASE DATOS'!F:G,2,0)</f>
        <v xml:space="preserve">VAZQUEZ (TRV SRL) - AB176KN </v>
      </c>
      <c r="F1051" s="584" t="str">
        <f>+VLOOKUP(Tabla3[[#This Row],[PATENTE]],'BASE DATOS'!F:H,3,0)</f>
        <v>8P</v>
      </c>
      <c r="G1051" s="584" t="str">
        <f>+VLOOKUP(Tabla3[[#This Row],[PATENTE]],'BASE DATOS'!F:I,4,0)</f>
        <v>SI</v>
      </c>
      <c r="H1051" s="584" t="str">
        <f>+VLOOKUP(Tabla3[[#This Row],[PATENTE]],'BASE DATOS'!F:J,5,0)</f>
        <v>SI</v>
      </c>
      <c r="I1051" s="584" t="str">
        <f>+VLOOKUP(Tabla3[[#This Row],[PATENTE]],'BASE DATOS'!F:K,6,0)</f>
        <v>SI</v>
      </c>
      <c r="J1051" s="584">
        <f>+VLOOKUP(Tabla3[[#This Row],[PATENTE]],'BASE DATOS'!F:L,7,0)</f>
        <v>2017</v>
      </c>
      <c r="K1051" s="619">
        <f>+VLOOKUP(Tabla3[[#This Row],[PATENTE]],'BASE DATOS'!F:M,8,0)</f>
        <v>8</v>
      </c>
    </row>
    <row r="1052" spans="1:11" hidden="1">
      <c r="A1052" s="578" t="s">
        <v>884</v>
      </c>
      <c r="B1052" s="584">
        <v>5</v>
      </c>
      <c r="C1052" s="589">
        <v>45978</v>
      </c>
      <c r="D1052" s="582">
        <f t="shared" si="40"/>
        <v>47</v>
      </c>
      <c r="E1052" s="618" t="str">
        <f>+VLOOKUP(Tabla3[[#This Row],[PATENTE]],'BASE DATOS'!F:G,2,0)</f>
        <v xml:space="preserve">LAURIA (SERVAL) - AB233IT </v>
      </c>
      <c r="F1052" s="584" t="str">
        <f>+VLOOKUP(Tabla3[[#This Row],[PATENTE]],'BASE DATOS'!F:H,3,0)</f>
        <v>6P</v>
      </c>
      <c r="G1052" s="584" t="str">
        <f>+VLOOKUP(Tabla3[[#This Row],[PATENTE]],'BASE DATOS'!F:I,4,0)</f>
        <v>SI</v>
      </c>
      <c r="H1052" s="584" t="str">
        <f>+VLOOKUP(Tabla3[[#This Row],[PATENTE]],'BASE DATOS'!F:J,5,0)</f>
        <v>SI</v>
      </c>
      <c r="I1052" s="584" t="str">
        <f>+VLOOKUP(Tabla3[[#This Row],[PATENTE]],'BASE DATOS'!F:K,6,0)</f>
        <v>NO</v>
      </c>
      <c r="J1052" s="584">
        <f>+VLOOKUP(Tabla3[[#This Row],[PATENTE]],'BASE DATOS'!F:L,7,0)</f>
        <v>2017</v>
      </c>
      <c r="K1052" s="619">
        <f>+VLOOKUP(Tabla3[[#This Row],[PATENTE]],'BASE DATOS'!F:M,8,0)</f>
        <v>8</v>
      </c>
    </row>
    <row r="1053" spans="1:11" hidden="1">
      <c r="A1053" s="578" t="s">
        <v>1133</v>
      </c>
      <c r="B1053" s="584">
        <v>5</v>
      </c>
      <c r="C1053" s="589">
        <v>45978</v>
      </c>
      <c r="D1053" s="582">
        <f t="shared" si="40"/>
        <v>47</v>
      </c>
      <c r="E1053" s="618" t="str">
        <f>+VLOOKUP(Tabla3[[#This Row],[PATENTE]],'BASE DATOS'!F:G,2,0)</f>
        <v xml:space="preserve">BELLIMAR SRL - AB787MT </v>
      </c>
      <c r="F1053" s="584" t="str">
        <f>+VLOOKUP(Tabla3[[#This Row],[PATENTE]],'BASE DATOS'!F:H,3,0)</f>
        <v>28P</v>
      </c>
      <c r="G1053" s="584" t="str">
        <f>+VLOOKUP(Tabla3[[#This Row],[PATENTE]],'BASE DATOS'!F:I,4,0)</f>
        <v>NO</v>
      </c>
      <c r="H1053" s="584" t="str">
        <f>+VLOOKUP(Tabla3[[#This Row],[PATENTE]],'BASE DATOS'!F:J,5,0)</f>
        <v xml:space="preserve">NO </v>
      </c>
      <c r="I1053" s="584" t="str">
        <f>+VLOOKUP(Tabla3[[#This Row],[PATENTE]],'BASE DATOS'!F:K,6,0)</f>
        <v>NO</v>
      </c>
      <c r="J1053" s="584">
        <f>+VLOOKUP(Tabla3[[#This Row],[PATENTE]],'BASE DATOS'!F:L,7,0)</f>
        <v>2017</v>
      </c>
      <c r="K1053" s="619">
        <f>+VLOOKUP(Tabla3[[#This Row],[PATENTE]],'BASE DATOS'!F:M,8,0)</f>
        <v>8</v>
      </c>
    </row>
    <row r="1054" spans="1:11" hidden="1">
      <c r="A1054" s="578" t="s">
        <v>912</v>
      </c>
      <c r="B1054" s="584">
        <v>5</v>
      </c>
      <c r="C1054" s="589">
        <v>45978</v>
      </c>
      <c r="D1054" s="582">
        <f t="shared" si="40"/>
        <v>47</v>
      </c>
      <c r="E1054" s="618" t="str">
        <f>+VLOOKUP(Tabla3[[#This Row],[PATENTE]],'BASE DATOS'!F:G,2,0)</f>
        <v xml:space="preserve">PACHECO JULIO - AC028WN </v>
      </c>
      <c r="F1054" s="584" t="str">
        <f>+VLOOKUP(Tabla3[[#This Row],[PATENTE]],'BASE DATOS'!F:H,3,0)</f>
        <v>8P</v>
      </c>
      <c r="G1054" s="584" t="str">
        <f>+VLOOKUP(Tabla3[[#This Row],[PATENTE]],'BASE DATOS'!F:I,4,0)</f>
        <v>SI</v>
      </c>
      <c r="H1054" s="584" t="str">
        <f>+VLOOKUP(Tabla3[[#This Row],[PATENTE]],'BASE DATOS'!F:J,5,0)</f>
        <v>SI</v>
      </c>
      <c r="I1054" s="584" t="str">
        <f>+VLOOKUP(Tabla3[[#This Row],[PATENTE]],'BASE DATOS'!F:K,6,0)</f>
        <v>SI</v>
      </c>
      <c r="J1054" s="584">
        <f>+VLOOKUP(Tabla3[[#This Row],[PATENTE]],'BASE DATOS'!F:L,7,0)</f>
        <v>2017</v>
      </c>
      <c r="K1054" s="619">
        <f>+VLOOKUP(Tabla3[[#This Row],[PATENTE]],'BASE DATOS'!F:M,8,0)</f>
        <v>8</v>
      </c>
    </row>
    <row r="1055" spans="1:11" hidden="1">
      <c r="A1055" s="578" t="s">
        <v>883</v>
      </c>
      <c r="B1055" s="584">
        <v>5</v>
      </c>
      <c r="C1055" s="589">
        <v>45978</v>
      </c>
      <c r="D1055" s="582">
        <f t="shared" si="40"/>
        <v>47</v>
      </c>
      <c r="E1055" s="618" t="str">
        <f>+VLOOKUP(Tabla3[[#This Row],[PATENTE]],'BASE DATOS'!F:G,2,0)</f>
        <v xml:space="preserve">PACHECO JULIO - ACI503 </v>
      </c>
      <c r="F1055" s="584" t="str">
        <f>+VLOOKUP(Tabla3[[#This Row],[PATENTE]],'BASE DATOS'!F:H,3,0)</f>
        <v>12P</v>
      </c>
      <c r="G1055" s="584" t="str">
        <f>+VLOOKUP(Tabla3[[#This Row],[PATENTE]],'BASE DATOS'!F:I,4,0)</f>
        <v>NO</v>
      </c>
      <c r="H1055" s="584" t="str">
        <f>+VLOOKUP(Tabla3[[#This Row],[PATENTE]],'BASE DATOS'!F:J,5,0)</f>
        <v>SI</v>
      </c>
      <c r="I1055" s="584" t="str">
        <f>+VLOOKUP(Tabla3[[#This Row],[PATENTE]],'BASE DATOS'!F:K,6,0)</f>
        <v>SI</v>
      </c>
      <c r="J1055" s="584">
        <f>+VLOOKUP(Tabla3[[#This Row],[PATENTE]],'BASE DATOS'!F:L,7,0)</f>
        <v>2000</v>
      </c>
      <c r="K1055" s="619">
        <f>+VLOOKUP(Tabla3[[#This Row],[PATENTE]],'BASE DATOS'!F:M,8,0)</f>
        <v>25</v>
      </c>
    </row>
    <row r="1056" spans="1:11" hidden="1">
      <c r="A1056" s="578" t="s">
        <v>880</v>
      </c>
      <c r="B1056" s="584">
        <v>5</v>
      </c>
      <c r="C1056" s="589">
        <v>45978</v>
      </c>
      <c r="D1056" s="582">
        <f t="shared" si="40"/>
        <v>47</v>
      </c>
      <c r="E1056" s="618" t="str">
        <f>+VLOOKUP(Tabla3[[#This Row],[PATENTE]],'BASE DATOS'!F:G,2,0)</f>
        <v xml:space="preserve">LAURIA (SERVAL) - AD575XK </v>
      </c>
      <c r="F1056" s="584" t="str">
        <f>+VLOOKUP(Tabla3[[#This Row],[PATENTE]],'BASE DATOS'!F:H,3,0)</f>
        <v>8P</v>
      </c>
      <c r="G1056" s="584" t="str">
        <f>+VLOOKUP(Tabla3[[#This Row],[PATENTE]],'BASE DATOS'!F:I,4,0)</f>
        <v>SI</v>
      </c>
      <c r="H1056" s="584" t="str">
        <f>+VLOOKUP(Tabla3[[#This Row],[PATENTE]],'BASE DATOS'!F:J,5,0)</f>
        <v>SI</v>
      </c>
      <c r="I1056" s="584" t="str">
        <f>+VLOOKUP(Tabla3[[#This Row],[PATENTE]],'BASE DATOS'!F:K,6,0)</f>
        <v>NO</v>
      </c>
      <c r="J1056" s="584">
        <f>+VLOOKUP(Tabla3[[#This Row],[PATENTE]],'BASE DATOS'!F:L,7,0)</f>
        <v>2019</v>
      </c>
      <c r="K1056" s="619">
        <f>+VLOOKUP(Tabla3[[#This Row],[PATENTE]],'BASE DATOS'!F:M,8,0)</f>
        <v>6</v>
      </c>
    </row>
    <row r="1057" spans="1:11" hidden="1">
      <c r="A1057" s="578" t="s">
        <v>887</v>
      </c>
      <c r="B1057" s="584">
        <v>5</v>
      </c>
      <c r="C1057" s="589">
        <v>45978</v>
      </c>
      <c r="D1057" s="582">
        <f t="shared" si="40"/>
        <v>47</v>
      </c>
      <c r="E1057" s="618" t="str">
        <f>+VLOOKUP(Tabla3[[#This Row],[PATENTE]],'BASE DATOS'!F:G,2,0)</f>
        <v>ENRIQUE ROLLINO - BXB394</v>
      </c>
      <c r="F1057" s="584" t="str">
        <f>+VLOOKUP(Tabla3[[#This Row],[PATENTE]],'BASE DATOS'!F:H,3,0)</f>
        <v>2P</v>
      </c>
      <c r="G1057" s="584" t="str">
        <f>+VLOOKUP(Tabla3[[#This Row],[PATENTE]],'BASE DATOS'!F:I,4,0)</f>
        <v>SI</v>
      </c>
      <c r="H1057" s="584" t="str">
        <f>+VLOOKUP(Tabla3[[#This Row],[PATENTE]],'BASE DATOS'!F:J,5,0)</f>
        <v>SI</v>
      </c>
      <c r="I1057" s="584" t="str">
        <f>+VLOOKUP(Tabla3[[#This Row],[PATENTE]],'BASE DATOS'!F:K,6,0)</f>
        <v>NO</v>
      </c>
      <c r="J1057" s="584">
        <f>+VLOOKUP(Tabla3[[#This Row],[PATENTE]],'BASE DATOS'!F:L,7,0)</f>
        <v>1998</v>
      </c>
      <c r="K1057" s="619">
        <f>+VLOOKUP(Tabla3[[#This Row],[PATENTE]],'BASE DATOS'!F:M,8,0)</f>
        <v>27</v>
      </c>
    </row>
    <row r="1058" spans="1:11" hidden="1">
      <c r="A1058" s="578" t="s">
        <v>881</v>
      </c>
      <c r="B1058" s="584">
        <v>5</v>
      </c>
      <c r="C1058" s="589">
        <v>45978</v>
      </c>
      <c r="D1058" s="582">
        <f t="shared" si="40"/>
        <v>47</v>
      </c>
      <c r="E1058" s="618" t="str">
        <f>+VLOOKUP(Tabla3[[#This Row],[PATENTE]],'BASE DATOS'!F:G,2,0)</f>
        <v xml:space="preserve">MAÑAS NORBERTO - DUQ686 </v>
      </c>
      <c r="F1058" s="584" t="str">
        <f>+VLOOKUP(Tabla3[[#This Row],[PATENTE]],'BASE DATOS'!F:H,3,0)</f>
        <v>8P</v>
      </c>
      <c r="G1058" s="584" t="str">
        <f>+VLOOKUP(Tabla3[[#This Row],[PATENTE]],'BASE DATOS'!F:I,4,0)</f>
        <v>SI</v>
      </c>
      <c r="H1058" s="584" t="str">
        <f>+VLOOKUP(Tabla3[[#This Row],[PATENTE]],'BASE DATOS'!F:J,5,0)</f>
        <v>SI</v>
      </c>
      <c r="I1058" s="584" t="str">
        <f>+VLOOKUP(Tabla3[[#This Row],[PATENTE]],'BASE DATOS'!F:K,6,0)</f>
        <v>NO</v>
      </c>
      <c r="J1058" s="584">
        <f>+VLOOKUP(Tabla3[[#This Row],[PATENTE]],'BASE DATOS'!F:L,7,0)</f>
        <v>2001</v>
      </c>
      <c r="K1058" s="619">
        <f>+VLOOKUP(Tabla3[[#This Row],[PATENTE]],'BASE DATOS'!F:M,8,0)</f>
        <v>24</v>
      </c>
    </row>
    <row r="1059" spans="1:11" hidden="1">
      <c r="A1059" s="578" t="s">
        <v>932</v>
      </c>
      <c r="B1059" s="584">
        <v>5</v>
      </c>
      <c r="C1059" s="589">
        <v>45978</v>
      </c>
      <c r="D1059" s="582">
        <f t="shared" si="40"/>
        <v>47</v>
      </c>
      <c r="E1059" s="618" t="str">
        <f>+VLOOKUP(Tabla3[[#This Row],[PATENTE]],'BASE DATOS'!F:G,2,0)</f>
        <v xml:space="preserve">TRANSP MAVIR - EFL176 </v>
      </c>
      <c r="F1059" s="584" t="str">
        <f>+VLOOKUP(Tabla3[[#This Row],[PATENTE]],'BASE DATOS'!F:H,3,0)</f>
        <v>12P</v>
      </c>
      <c r="G1059" s="584" t="str">
        <f>+VLOOKUP(Tabla3[[#This Row],[PATENTE]],'BASE DATOS'!F:I,4,0)</f>
        <v>SI</v>
      </c>
      <c r="H1059" s="584" t="str">
        <f>+VLOOKUP(Tabla3[[#This Row],[PATENTE]],'BASE DATOS'!F:J,5,0)</f>
        <v>SI</v>
      </c>
      <c r="I1059" s="584" t="str">
        <f>+VLOOKUP(Tabla3[[#This Row],[PATENTE]],'BASE DATOS'!F:K,6,0)</f>
        <v>NO</v>
      </c>
      <c r="J1059" s="584">
        <f>+VLOOKUP(Tabla3[[#This Row],[PATENTE]],'BASE DATOS'!F:L,7,0)</f>
        <v>1998</v>
      </c>
      <c r="K1059" s="619">
        <f>+VLOOKUP(Tabla3[[#This Row],[PATENTE]],'BASE DATOS'!F:M,8,0)</f>
        <v>27</v>
      </c>
    </row>
    <row r="1060" spans="1:11" hidden="1">
      <c r="A1060" s="578" t="s">
        <v>882</v>
      </c>
      <c r="B1060" s="584">
        <v>5</v>
      </c>
      <c r="C1060" s="589">
        <v>45978</v>
      </c>
      <c r="D1060" s="582">
        <f t="shared" si="40"/>
        <v>47</v>
      </c>
      <c r="E1060" s="618" t="str">
        <f>+VLOOKUP(Tabla3[[#This Row],[PATENTE]],'BASE DATOS'!F:G,2,0)</f>
        <v xml:space="preserve">MAÑAS - JWN279 </v>
      </c>
      <c r="F1060" s="584" t="str">
        <f>+VLOOKUP(Tabla3[[#This Row],[PATENTE]],'BASE DATOS'!F:H,3,0)</f>
        <v>7P</v>
      </c>
      <c r="G1060" s="584" t="str">
        <f>+VLOOKUP(Tabla3[[#This Row],[PATENTE]],'BASE DATOS'!F:I,4,0)</f>
        <v>SI</v>
      </c>
      <c r="H1060" s="584" t="str">
        <f>+VLOOKUP(Tabla3[[#This Row],[PATENTE]],'BASE DATOS'!F:J,5,0)</f>
        <v>SI</v>
      </c>
      <c r="I1060" s="584" t="str">
        <f>+VLOOKUP(Tabla3[[#This Row],[PATENTE]],'BASE DATOS'!F:K,6,0)</f>
        <v>NO</v>
      </c>
      <c r="J1060" s="584">
        <f>+VLOOKUP(Tabla3[[#This Row],[PATENTE]],'BASE DATOS'!F:L,7,0)</f>
        <v>2011</v>
      </c>
      <c r="K1060" s="619">
        <f>+VLOOKUP(Tabla3[[#This Row],[PATENTE]],'BASE DATOS'!F:M,8,0)</f>
        <v>14</v>
      </c>
    </row>
    <row r="1061" spans="1:11" hidden="1">
      <c r="A1061" s="578" t="s">
        <v>897</v>
      </c>
      <c r="B1061" s="584">
        <v>5</v>
      </c>
      <c r="C1061" s="589">
        <v>45978</v>
      </c>
      <c r="D1061" s="582">
        <f t="shared" si="40"/>
        <v>47</v>
      </c>
      <c r="E1061" s="618" t="str">
        <f>+VLOOKUP(Tabla3[[#This Row],[PATENTE]],'BASE DATOS'!F:G,2,0)</f>
        <v xml:space="preserve">TRANSP CLAUDIO BUSTOS - LSG801 </v>
      </c>
      <c r="F1061" s="584" t="str">
        <f>+VLOOKUP(Tabla3[[#This Row],[PATENTE]],'BASE DATOS'!F:H,3,0)</f>
        <v>2P</v>
      </c>
      <c r="G1061" s="584" t="str">
        <f>+VLOOKUP(Tabla3[[#This Row],[PATENTE]],'BASE DATOS'!F:I,4,0)</f>
        <v>SI</v>
      </c>
      <c r="H1061" s="584" t="str">
        <f>+VLOOKUP(Tabla3[[#This Row],[PATENTE]],'BASE DATOS'!F:J,5,0)</f>
        <v>SI</v>
      </c>
      <c r="I1061" s="584" t="str">
        <f>+VLOOKUP(Tabla3[[#This Row],[PATENTE]],'BASE DATOS'!F:K,6,0)</f>
        <v>NO</v>
      </c>
      <c r="J1061" s="584">
        <f>+VLOOKUP(Tabla3[[#This Row],[PATENTE]],'BASE DATOS'!F:L,7,0)</f>
        <v>2013</v>
      </c>
      <c r="K1061" s="619">
        <f>+VLOOKUP(Tabla3[[#This Row],[PATENTE]],'BASE DATOS'!F:M,8,0)</f>
        <v>12</v>
      </c>
    </row>
    <row r="1062" spans="1:11" hidden="1">
      <c r="A1062" s="578" t="s">
        <v>920</v>
      </c>
      <c r="B1062" s="584">
        <v>5</v>
      </c>
      <c r="C1062" s="589">
        <v>45978</v>
      </c>
      <c r="D1062" s="582">
        <f t="shared" si="40"/>
        <v>47</v>
      </c>
      <c r="E1062" s="618" t="str">
        <f>+VLOOKUP(Tabla3[[#This Row],[PATENTE]],'BASE DATOS'!F:G,2,0)</f>
        <v xml:space="preserve">TRANSP LAGOS - MRV682 </v>
      </c>
      <c r="F1062" s="584" t="str">
        <f>+VLOOKUP(Tabla3[[#This Row],[PATENTE]],'BASE DATOS'!F:H,3,0)</f>
        <v>8P</v>
      </c>
      <c r="G1062" s="584" t="str">
        <f>+VLOOKUP(Tabla3[[#This Row],[PATENTE]],'BASE DATOS'!F:I,4,0)</f>
        <v>SI</v>
      </c>
      <c r="H1062" s="584" t="str">
        <f>+VLOOKUP(Tabla3[[#This Row],[PATENTE]],'BASE DATOS'!F:J,5,0)</f>
        <v>SI</v>
      </c>
      <c r="I1062" s="584" t="str">
        <f>+VLOOKUP(Tabla3[[#This Row],[PATENTE]],'BASE DATOS'!F:K,6,0)</f>
        <v>NO</v>
      </c>
      <c r="J1062" s="584">
        <f>+VLOOKUP(Tabla3[[#This Row],[PATENTE]],'BASE DATOS'!F:L,7,0)</f>
        <v>2013</v>
      </c>
      <c r="K1062" s="619">
        <f>+VLOOKUP(Tabla3[[#This Row],[PATENTE]],'BASE DATOS'!F:M,8,0)</f>
        <v>12</v>
      </c>
    </row>
    <row r="1063" spans="1:11" hidden="1">
      <c r="A1063" s="578" t="s">
        <v>898</v>
      </c>
      <c r="B1063" s="584">
        <v>5</v>
      </c>
      <c r="C1063" s="589">
        <v>45978</v>
      </c>
      <c r="D1063" s="582">
        <f t="shared" si="40"/>
        <v>47</v>
      </c>
      <c r="E1063" s="618" t="str">
        <f>+VLOOKUP(Tabla3[[#This Row],[PATENTE]],'BASE DATOS'!F:G,2,0)</f>
        <v xml:space="preserve">TRANSP BERMEJO - NXP980 </v>
      </c>
      <c r="F1063" s="584" t="str">
        <f>+VLOOKUP(Tabla3[[#This Row],[PATENTE]],'BASE DATOS'!F:H,3,0)</f>
        <v>12P</v>
      </c>
      <c r="G1063" s="584" t="str">
        <f>+VLOOKUP(Tabla3[[#This Row],[PATENTE]],'BASE DATOS'!F:I,4,0)</f>
        <v>SI</v>
      </c>
      <c r="H1063" s="584" t="str">
        <f>+VLOOKUP(Tabla3[[#This Row],[PATENTE]],'BASE DATOS'!F:J,5,0)</f>
        <v>SI</v>
      </c>
      <c r="I1063" s="584" t="str">
        <f>+VLOOKUP(Tabla3[[#This Row],[PATENTE]],'BASE DATOS'!F:K,6,0)</f>
        <v>SI</v>
      </c>
      <c r="J1063" s="584">
        <f>+VLOOKUP(Tabla3[[#This Row],[PATENTE]],'BASE DATOS'!F:L,7,0)</f>
        <v>2015</v>
      </c>
      <c r="K1063" s="619">
        <f>+VLOOKUP(Tabla3[[#This Row],[PATENTE]],'BASE DATOS'!F:M,8,0)</f>
        <v>10</v>
      </c>
    </row>
    <row r="1064" spans="1:11" hidden="1">
      <c r="A1064" s="578" t="s">
        <v>877</v>
      </c>
      <c r="B1064" s="584">
        <v>5</v>
      </c>
      <c r="C1064" s="589">
        <v>45978</v>
      </c>
      <c r="D1064" s="582">
        <f t="shared" si="40"/>
        <v>47</v>
      </c>
      <c r="E1064" s="618" t="str">
        <f>+VLOOKUP(Tabla3[[#This Row],[PATENTE]],'BASE DATOS'!F:G,2,0)</f>
        <v>TRANSP MAIDANA CARLOS - OWA126</v>
      </c>
      <c r="F1064" s="584" t="str">
        <f>+VLOOKUP(Tabla3[[#This Row],[PATENTE]],'BASE DATOS'!F:H,3,0)</f>
        <v>4P</v>
      </c>
      <c r="G1064" s="584" t="str">
        <f>+VLOOKUP(Tabla3[[#This Row],[PATENTE]],'BASE DATOS'!F:I,4,0)</f>
        <v>SI</v>
      </c>
      <c r="H1064" s="584" t="str">
        <f>+VLOOKUP(Tabla3[[#This Row],[PATENTE]],'BASE DATOS'!F:J,5,0)</f>
        <v>SI</v>
      </c>
      <c r="I1064" s="584" t="str">
        <f>+VLOOKUP(Tabla3[[#This Row],[PATENTE]],'BASE DATOS'!F:K,6,0)</f>
        <v>NO</v>
      </c>
      <c r="J1064" s="584">
        <f>+VLOOKUP(Tabla3[[#This Row],[PATENTE]],'BASE DATOS'!F:L,7,0)</f>
        <v>2015</v>
      </c>
      <c r="K1064" s="619">
        <f>+VLOOKUP(Tabla3[[#This Row],[PATENTE]],'BASE DATOS'!F:M,8,0)</f>
        <v>10</v>
      </c>
    </row>
    <row r="1065" spans="1:11" hidden="1">
      <c r="A1065" s="578" t="s">
        <v>879</v>
      </c>
      <c r="B1065" s="584">
        <v>5</v>
      </c>
      <c r="C1065" s="589">
        <v>45978</v>
      </c>
      <c r="D1065" s="582">
        <f t="shared" si="40"/>
        <v>47</v>
      </c>
      <c r="E1065" s="618" t="str">
        <f>+VLOOKUP(Tabla3[[#This Row],[PATENTE]],'BASE DATOS'!F:G,2,0)</f>
        <v xml:space="preserve">TRANSP JP - OYP470 </v>
      </c>
      <c r="F1065" s="584" t="str">
        <f>+VLOOKUP(Tabla3[[#This Row],[PATENTE]],'BASE DATOS'!F:H,3,0)</f>
        <v>8P</v>
      </c>
      <c r="G1065" s="584" t="str">
        <f>+VLOOKUP(Tabla3[[#This Row],[PATENTE]],'BASE DATOS'!F:I,4,0)</f>
        <v>SI</v>
      </c>
      <c r="H1065" s="584" t="str">
        <f>+VLOOKUP(Tabla3[[#This Row],[PATENTE]],'BASE DATOS'!F:J,5,0)</f>
        <v>SI</v>
      </c>
      <c r="I1065" s="584" t="str">
        <f>+VLOOKUP(Tabla3[[#This Row],[PATENTE]],'BASE DATOS'!F:K,6,0)</f>
        <v>NO</v>
      </c>
      <c r="J1065" s="584">
        <f>+VLOOKUP(Tabla3[[#This Row],[PATENTE]],'BASE DATOS'!F:L,7,0)</f>
        <v>2011</v>
      </c>
      <c r="K1065" s="619">
        <f>+VLOOKUP(Tabla3[[#This Row],[PATENTE]],'BASE DATOS'!F:M,8,0)</f>
        <v>14</v>
      </c>
    </row>
    <row r="1066" spans="1:11" hidden="1">
      <c r="A1066" s="578" t="s">
        <v>890</v>
      </c>
      <c r="B1066" s="584">
        <v>4</v>
      </c>
      <c r="C1066" s="589">
        <v>45978</v>
      </c>
      <c r="D1066" s="582">
        <f t="shared" si="40"/>
        <v>47</v>
      </c>
      <c r="E1066" s="618" t="str">
        <f>+VLOOKUP(Tabla3[[#This Row],[PATENTE]],'BASE DATOS'!F:G,2,0)</f>
        <v xml:space="preserve">TRANSPORTE GRACIELA - AC040RO </v>
      </c>
      <c r="F1066" s="584" t="str">
        <f>+VLOOKUP(Tabla3[[#This Row],[PATENTE]],'BASE DATOS'!F:H,3,0)</f>
        <v>1P</v>
      </c>
      <c r="G1066" s="584" t="str">
        <f>+VLOOKUP(Tabla3[[#This Row],[PATENTE]],'BASE DATOS'!F:I,4,0)</f>
        <v>SI</v>
      </c>
      <c r="H1066" s="584" t="str">
        <f>+VLOOKUP(Tabla3[[#This Row],[PATENTE]],'BASE DATOS'!F:J,5,0)</f>
        <v>ACEPTA( VER CAMI)</v>
      </c>
      <c r="I1066" s="584" t="str">
        <f>+VLOOKUP(Tabla3[[#This Row],[PATENTE]],'BASE DATOS'!F:K,6,0)</f>
        <v>NO</v>
      </c>
      <c r="J1066" s="584">
        <f>+VLOOKUP(Tabla3[[#This Row],[PATENTE]],'BASE DATOS'!F:L,7,0)</f>
        <v>2017</v>
      </c>
      <c r="K1066" s="619">
        <f>+VLOOKUP(Tabla3[[#This Row],[PATENTE]],'BASE DATOS'!F:M,8,0)</f>
        <v>8</v>
      </c>
    </row>
    <row r="1067" spans="1:11" hidden="1">
      <c r="A1067" s="578" t="s">
        <v>888</v>
      </c>
      <c r="B1067" s="584">
        <v>4</v>
      </c>
      <c r="C1067" s="589">
        <v>45978</v>
      </c>
      <c r="D1067" s="582">
        <f t="shared" si="40"/>
        <v>47</v>
      </c>
      <c r="E1067" s="618" t="str">
        <f>+VLOOKUP(Tabla3[[#This Row],[PATENTE]],'BASE DATOS'!F:G,2,0)</f>
        <v xml:space="preserve">TRANSP FIRST CLASS - AD535UI </v>
      </c>
      <c r="F1067" s="584" t="str">
        <f>+VLOOKUP(Tabla3[[#This Row],[PATENTE]],'BASE DATOS'!F:H,3,0)</f>
        <v>6P</v>
      </c>
      <c r="G1067" s="584" t="str">
        <f>+VLOOKUP(Tabla3[[#This Row],[PATENTE]],'BASE DATOS'!F:I,4,0)</f>
        <v>SI</v>
      </c>
      <c r="H1067" s="584" t="str">
        <f>+VLOOKUP(Tabla3[[#This Row],[PATENTE]],'BASE DATOS'!F:J,5,0)</f>
        <v>SI</v>
      </c>
      <c r="I1067" s="584" t="str">
        <f>+VLOOKUP(Tabla3[[#This Row],[PATENTE]],'BASE DATOS'!F:K,6,0)</f>
        <v>NO</v>
      </c>
      <c r="J1067" s="584">
        <f>+VLOOKUP(Tabla3[[#This Row],[PATENTE]],'BASE DATOS'!F:L,7,0)</f>
        <v>2019</v>
      </c>
      <c r="K1067" s="619">
        <f>+VLOOKUP(Tabla3[[#This Row],[PATENTE]],'BASE DATOS'!F:M,8,0)</f>
        <v>6</v>
      </c>
    </row>
    <row r="1068" spans="1:11" hidden="1">
      <c r="A1068" s="578" t="s">
        <v>895</v>
      </c>
      <c r="B1068" s="584">
        <v>4</v>
      </c>
      <c r="C1068" s="589">
        <v>45978</v>
      </c>
      <c r="D1068" s="582">
        <f t="shared" si="40"/>
        <v>47</v>
      </c>
      <c r="E1068" s="618" t="str">
        <f>+VLOOKUP(Tabla3[[#This Row],[PATENTE]],'BASE DATOS'!F:G,2,0)</f>
        <v xml:space="preserve">TRANSPORTE MICAELA </v>
      </c>
      <c r="F1068" s="584" t="str">
        <f>+VLOOKUP(Tabla3[[#This Row],[PATENTE]],'BASE DATOS'!F:H,3,0)</f>
        <v>2P</v>
      </c>
      <c r="G1068" s="584" t="str">
        <f>+VLOOKUP(Tabla3[[#This Row],[PATENTE]],'BASE DATOS'!F:I,4,0)</f>
        <v>NO</v>
      </c>
      <c r="H1068" s="584" t="str">
        <f>+VLOOKUP(Tabla3[[#This Row],[PATENTE]],'BASE DATOS'!F:J,5,0)</f>
        <v>SI</v>
      </c>
      <c r="I1068" s="584" t="str">
        <f>+VLOOKUP(Tabla3[[#This Row],[PATENTE]],'BASE DATOS'!F:K,6,0)</f>
        <v>NO</v>
      </c>
      <c r="J1068" s="584">
        <f>+VLOOKUP(Tabla3[[#This Row],[PATENTE]],'BASE DATOS'!F:L,7,0)</f>
        <v>2024</v>
      </c>
      <c r="K1068" s="619">
        <f>+VLOOKUP(Tabla3[[#This Row],[PATENTE]],'BASE DATOS'!F:M,8,0)</f>
        <v>1</v>
      </c>
    </row>
    <row r="1069" spans="1:11" hidden="1">
      <c r="A1069" s="578" t="s">
        <v>903</v>
      </c>
      <c r="B1069" s="584">
        <v>4</v>
      </c>
      <c r="C1069" s="589">
        <v>45978</v>
      </c>
      <c r="D1069" s="582">
        <f t="shared" si="40"/>
        <v>47</v>
      </c>
      <c r="E1069" s="618" t="str">
        <f>+VLOOKUP(Tabla3[[#This Row],[PATENTE]],'BASE DATOS'!F:G,2,0)</f>
        <v xml:space="preserve">TRANSP CLAUDIO BUSTOS - AG243PE </v>
      </c>
      <c r="F1069" s="584" t="str">
        <f>+VLOOKUP(Tabla3[[#This Row],[PATENTE]],'BASE DATOS'!F:H,3,0)</f>
        <v>1P</v>
      </c>
      <c r="G1069" s="584" t="str">
        <f>+VLOOKUP(Tabla3[[#This Row],[PATENTE]],'BASE DATOS'!F:I,4,0)</f>
        <v>SI</v>
      </c>
      <c r="H1069" s="584" t="str">
        <f>+VLOOKUP(Tabla3[[#This Row],[PATENTE]],'BASE DATOS'!F:J,5,0)</f>
        <v>SI</v>
      </c>
      <c r="I1069" s="584" t="str">
        <f>+VLOOKUP(Tabla3[[#This Row],[PATENTE]],'BASE DATOS'!F:K,6,0)</f>
        <v>NO</v>
      </c>
      <c r="J1069" s="584">
        <f>+VLOOKUP(Tabla3[[#This Row],[PATENTE]],'BASE DATOS'!F:L,7,0)</f>
        <v>2024</v>
      </c>
      <c r="K1069" s="619">
        <f>+VLOOKUP(Tabla3[[#This Row],[PATENTE]],'BASE DATOS'!F:M,8,0)</f>
        <v>1</v>
      </c>
    </row>
    <row r="1070" spans="1:11" hidden="1">
      <c r="A1070" s="578" t="s">
        <v>885</v>
      </c>
      <c r="B1070" s="584">
        <v>4</v>
      </c>
      <c r="C1070" s="589">
        <v>45978</v>
      </c>
      <c r="D1070" s="582">
        <f t="shared" ref="D1070:D1089" si="41">+WEEKNUM(C1070)</f>
        <v>47</v>
      </c>
      <c r="E1070" s="618" t="str">
        <f>+VLOOKUP(Tabla3[[#This Row],[PATENTE]],'BASE DATOS'!F:G,2,0)</f>
        <v xml:space="preserve">TRANSP DON NENO - IES288 </v>
      </c>
      <c r="F1070" s="584" t="str">
        <f>+VLOOKUP(Tabla3[[#This Row],[PATENTE]],'BASE DATOS'!F:H,3,0)</f>
        <v>2P</v>
      </c>
      <c r="G1070" s="584" t="str">
        <f>+VLOOKUP(Tabla3[[#This Row],[PATENTE]],'BASE DATOS'!F:I,4,0)</f>
        <v>SI</v>
      </c>
      <c r="H1070" s="584" t="str">
        <f>+VLOOKUP(Tabla3[[#This Row],[PATENTE]],'BASE DATOS'!F:J,5,0)</f>
        <v>SI</v>
      </c>
      <c r="I1070" s="584" t="str">
        <f>+VLOOKUP(Tabla3[[#This Row],[PATENTE]],'BASE DATOS'!F:K,6,0)</f>
        <v>NO</v>
      </c>
      <c r="J1070" s="584">
        <f>+VLOOKUP(Tabla3[[#This Row],[PATENTE]],'BASE DATOS'!F:L,7,0)</f>
        <v>2009</v>
      </c>
      <c r="K1070" s="619">
        <f>+VLOOKUP(Tabla3[[#This Row],[PATENTE]],'BASE DATOS'!F:M,8,0)</f>
        <v>16</v>
      </c>
    </row>
    <row r="1071" spans="1:11" hidden="1">
      <c r="A1071" s="578" t="s">
        <v>925</v>
      </c>
      <c r="B1071" s="584">
        <v>4</v>
      </c>
      <c r="C1071" s="589">
        <v>45978</v>
      </c>
      <c r="D1071" s="582">
        <f t="shared" si="41"/>
        <v>47</v>
      </c>
      <c r="E1071" s="618" t="str">
        <f>+VLOOKUP(Tabla3[[#This Row],[PATENTE]],'BASE DATOS'!F:G,2,0)</f>
        <v xml:space="preserve">TRANSP MAIDANA FACUNDO - KOW745 </v>
      </c>
      <c r="F1071" s="584" t="str">
        <f>+VLOOKUP(Tabla3[[#This Row],[PATENTE]],'BASE DATOS'!F:H,3,0)</f>
        <v>8P</v>
      </c>
      <c r="G1071" s="584" t="str">
        <f>+VLOOKUP(Tabla3[[#This Row],[PATENTE]],'BASE DATOS'!F:I,4,0)</f>
        <v>SI</v>
      </c>
      <c r="H1071" s="584" t="str">
        <f>+VLOOKUP(Tabla3[[#This Row],[PATENTE]],'BASE DATOS'!F:J,5,0)</f>
        <v>SI</v>
      </c>
      <c r="I1071" s="584" t="str">
        <f>+VLOOKUP(Tabla3[[#This Row],[PATENTE]],'BASE DATOS'!F:K,6,0)</f>
        <v>NO</v>
      </c>
      <c r="J1071" s="584">
        <f>+VLOOKUP(Tabla3[[#This Row],[PATENTE]],'BASE DATOS'!F:L,7,0)</f>
        <v>2012</v>
      </c>
      <c r="K1071" s="619">
        <f>+VLOOKUP(Tabla3[[#This Row],[PATENTE]],'BASE DATOS'!F:M,8,0)</f>
        <v>13</v>
      </c>
    </row>
    <row r="1072" spans="1:11" hidden="1">
      <c r="A1072" s="578" t="s">
        <v>936</v>
      </c>
      <c r="B1072" s="584">
        <v>3</v>
      </c>
      <c r="C1072" s="589">
        <v>45978</v>
      </c>
      <c r="D1072" s="582">
        <f t="shared" si="41"/>
        <v>47</v>
      </c>
      <c r="E1072" s="618" t="str">
        <f>+VLOOKUP(Tabla3[[#This Row],[PATENTE]],'BASE DATOS'!F:G,2,0)</f>
        <v>TRANSP YANINA  LUONGO - AA050HC</v>
      </c>
      <c r="F1072" s="584" t="str">
        <f>+VLOOKUP(Tabla3[[#This Row],[PATENTE]],'BASE DATOS'!F:H,3,0)</f>
        <v>1.5P</v>
      </c>
      <c r="G1072" s="584" t="str">
        <f>+VLOOKUP(Tabla3[[#This Row],[PATENTE]],'BASE DATOS'!F:I,4,0)</f>
        <v>NO</v>
      </c>
      <c r="H1072" s="584" t="str">
        <f>+VLOOKUP(Tabla3[[#This Row],[PATENTE]],'BASE DATOS'!F:J,5,0)</f>
        <v>SI</v>
      </c>
      <c r="I1072" s="584" t="str">
        <f>+VLOOKUP(Tabla3[[#This Row],[PATENTE]],'BASE DATOS'!F:K,6,0)</f>
        <v>NO</v>
      </c>
      <c r="J1072" s="584">
        <f>+VLOOKUP(Tabla3[[#This Row],[PATENTE]],'BASE DATOS'!F:L,7,0)</f>
        <v>2016</v>
      </c>
      <c r="K1072" s="619">
        <f>+VLOOKUP(Tabla3[[#This Row],[PATENTE]],'BASE DATOS'!F:M,8,0)</f>
        <v>9</v>
      </c>
    </row>
    <row r="1073" spans="1:11" hidden="1">
      <c r="A1073" s="578" t="s">
        <v>919</v>
      </c>
      <c r="B1073" s="584">
        <v>3</v>
      </c>
      <c r="C1073" s="589">
        <v>45978</v>
      </c>
      <c r="D1073" s="582">
        <f t="shared" si="41"/>
        <v>47</v>
      </c>
      <c r="E1073" s="618" t="str">
        <f>+VLOOKUP(Tabla3[[#This Row],[PATENTE]],'BASE DATOS'!F:G,2,0)</f>
        <v xml:space="preserve">GUSTAVO CERQUETTA - AA427LT </v>
      </c>
      <c r="F1073" s="584" t="str">
        <f>+VLOOKUP(Tabla3[[#This Row],[PATENTE]],'BASE DATOS'!F:H,3,0)</f>
        <v>1P</v>
      </c>
      <c r="G1073" s="584" t="str">
        <f>+VLOOKUP(Tabla3[[#This Row],[PATENTE]],'BASE DATOS'!F:I,4,0)</f>
        <v>NO</v>
      </c>
      <c r="H1073" s="584" t="str">
        <f>+VLOOKUP(Tabla3[[#This Row],[PATENTE]],'BASE DATOS'!F:J,5,0)</f>
        <v>SI</v>
      </c>
      <c r="I1073" s="584" t="str">
        <f>+VLOOKUP(Tabla3[[#This Row],[PATENTE]],'BASE DATOS'!F:K,6,0)</f>
        <v>NO</v>
      </c>
      <c r="J1073" s="584">
        <f>+VLOOKUP(Tabla3[[#This Row],[PATENTE]],'BASE DATOS'!F:L,7,0)</f>
        <v>2016</v>
      </c>
      <c r="K1073" s="619">
        <f>+VLOOKUP(Tabla3[[#This Row],[PATENTE]],'BASE DATOS'!F:M,8,0)</f>
        <v>9</v>
      </c>
    </row>
    <row r="1074" spans="1:11" hidden="1">
      <c r="A1074" s="578" t="s">
        <v>893</v>
      </c>
      <c r="B1074" s="584">
        <v>3</v>
      </c>
      <c r="C1074" s="589">
        <v>45978</v>
      </c>
      <c r="D1074" s="582">
        <f t="shared" si="41"/>
        <v>47</v>
      </c>
      <c r="E1074" s="618" t="str">
        <f>+VLOOKUP(Tabla3[[#This Row],[PATENTE]],'BASE DATOS'!F:G,2,0)</f>
        <v xml:space="preserve">GANZINI HUGO - CFF038 </v>
      </c>
      <c r="F1074" s="584" t="str">
        <f>+VLOOKUP(Tabla3[[#This Row],[PATENTE]],'BASE DATOS'!F:H,3,0)</f>
        <v>2P</v>
      </c>
      <c r="G1074" s="584" t="str">
        <f>+VLOOKUP(Tabla3[[#This Row],[PATENTE]],'BASE DATOS'!F:I,4,0)</f>
        <v>SI</v>
      </c>
      <c r="H1074" s="584" t="str">
        <f>+VLOOKUP(Tabla3[[#This Row],[PATENTE]],'BASE DATOS'!F:J,5,0)</f>
        <v>SI</v>
      </c>
      <c r="I1074" s="584" t="str">
        <f>+VLOOKUP(Tabla3[[#This Row],[PATENTE]],'BASE DATOS'!F:K,6,0)</f>
        <v>NO</v>
      </c>
      <c r="J1074" s="584">
        <f>+VLOOKUP(Tabla3[[#This Row],[PATENTE]],'BASE DATOS'!F:L,7,0)</f>
        <v>1999</v>
      </c>
      <c r="K1074" s="619">
        <f>+VLOOKUP(Tabla3[[#This Row],[PATENTE]],'BASE DATOS'!F:M,8,0)</f>
        <v>26</v>
      </c>
    </row>
    <row r="1075" spans="1:11" hidden="1">
      <c r="A1075" s="578" t="s">
        <v>915</v>
      </c>
      <c r="B1075" s="584">
        <v>3</v>
      </c>
      <c r="C1075" s="589">
        <v>45978</v>
      </c>
      <c r="D1075" s="582">
        <f t="shared" si="41"/>
        <v>47</v>
      </c>
      <c r="E1075" s="618" t="str">
        <f>+VLOOKUP(Tabla3[[#This Row],[PATENTE]],'BASE DATOS'!F:G,2,0)</f>
        <v>TRANSPORTE GRACIELA - FPL254</v>
      </c>
      <c r="F1075" s="584" t="str">
        <f>+VLOOKUP(Tabla3[[#This Row],[PATENTE]],'BASE DATOS'!F:H,3,0)</f>
        <v>2P</v>
      </c>
      <c r="G1075" s="584" t="str">
        <f>+VLOOKUP(Tabla3[[#This Row],[PATENTE]],'BASE DATOS'!F:I,4,0)</f>
        <v>SI</v>
      </c>
      <c r="H1075" s="584" t="str">
        <f>+VLOOKUP(Tabla3[[#This Row],[PATENTE]],'BASE DATOS'!F:J,5,0)</f>
        <v>NO (CAMI)</v>
      </c>
      <c r="I1075" s="584" t="str">
        <f>+VLOOKUP(Tabla3[[#This Row],[PATENTE]],'BASE DATOS'!F:K,6,0)</f>
        <v>NO</v>
      </c>
      <c r="J1075" s="584">
        <f>+VLOOKUP(Tabla3[[#This Row],[PATENTE]],'BASE DATOS'!F:L,7,0)</f>
        <v>2012</v>
      </c>
      <c r="K1075" s="619">
        <f>+VLOOKUP(Tabla3[[#This Row],[PATENTE]],'BASE DATOS'!F:M,8,0)</f>
        <v>13</v>
      </c>
    </row>
    <row r="1076" spans="1:11" hidden="1">
      <c r="A1076" s="578" t="s">
        <v>889</v>
      </c>
      <c r="B1076" s="584">
        <v>3</v>
      </c>
      <c r="C1076" s="589">
        <v>45978</v>
      </c>
      <c r="D1076" s="582">
        <f t="shared" si="41"/>
        <v>47</v>
      </c>
      <c r="E1076" s="618" t="str">
        <f>+VLOOKUP(Tabla3[[#This Row],[PATENTE]],'BASE DATOS'!F:G,2,0)</f>
        <v xml:space="preserve">COLO - HAW164 </v>
      </c>
      <c r="F1076" s="584" t="str">
        <f>+VLOOKUP(Tabla3[[#This Row],[PATENTE]],'BASE DATOS'!F:H,3,0)</f>
        <v>6P</v>
      </c>
      <c r="G1076" s="584" t="str">
        <f>+VLOOKUP(Tabla3[[#This Row],[PATENTE]],'BASE DATOS'!F:I,4,0)</f>
        <v>NO</v>
      </c>
      <c r="H1076" s="584" t="str">
        <f>+VLOOKUP(Tabla3[[#This Row],[PATENTE]],'BASE DATOS'!F:J,5,0)</f>
        <v>SI</v>
      </c>
      <c r="I1076" s="584" t="str">
        <f>+VLOOKUP(Tabla3[[#This Row],[PATENTE]],'BASE DATOS'!F:K,6,0)</f>
        <v>NO</v>
      </c>
      <c r="J1076" s="584">
        <f>+VLOOKUP(Tabla3[[#This Row],[PATENTE]],'BASE DATOS'!F:L,7,0)</f>
        <v>2009</v>
      </c>
      <c r="K1076" s="619">
        <f>+VLOOKUP(Tabla3[[#This Row],[PATENTE]],'BASE DATOS'!F:M,8,0)</f>
        <v>16</v>
      </c>
    </row>
    <row r="1077" spans="1:11" hidden="1">
      <c r="A1077" s="578" t="s">
        <v>933</v>
      </c>
      <c r="B1077" s="584">
        <v>3</v>
      </c>
      <c r="C1077" s="589">
        <v>45978</v>
      </c>
      <c r="D1077" s="582">
        <f t="shared" si="41"/>
        <v>47</v>
      </c>
      <c r="E1077" s="618" t="str">
        <f>+VLOOKUP(Tabla3[[#This Row],[PATENTE]],'BASE DATOS'!F:G,2,0)</f>
        <v xml:space="preserve">TRANSPORTE GENA GAIA - IKE806 </v>
      </c>
      <c r="F1077" s="584" t="str">
        <f>+VLOOKUP(Tabla3[[#This Row],[PATENTE]],'BASE DATOS'!F:H,3,0)</f>
        <v>24P</v>
      </c>
      <c r="G1077" s="584" t="str">
        <f>+VLOOKUP(Tabla3[[#This Row],[PATENTE]],'BASE DATOS'!F:I,4,0)</f>
        <v>Gestya</v>
      </c>
      <c r="H1077" s="584" t="str">
        <f>+VLOOKUP(Tabla3[[#This Row],[PATENTE]],'BASE DATOS'!F:J,5,0)</f>
        <v xml:space="preserve">NO </v>
      </c>
      <c r="I1077" s="584" t="str">
        <f>+VLOOKUP(Tabla3[[#This Row],[PATENTE]],'BASE DATOS'!F:K,6,0)</f>
        <v>NO</v>
      </c>
      <c r="J1077" s="584">
        <f>+VLOOKUP(Tabla3[[#This Row],[PATENTE]],'BASE DATOS'!F:L,7,0)</f>
        <v>2010</v>
      </c>
      <c r="K1077" s="619">
        <f>+VLOOKUP(Tabla3[[#This Row],[PATENTE]],'BASE DATOS'!F:M,8,0)</f>
        <v>15</v>
      </c>
    </row>
    <row r="1078" spans="1:11" hidden="1">
      <c r="A1078" s="578" t="s">
        <v>901</v>
      </c>
      <c r="B1078" s="584">
        <v>3</v>
      </c>
      <c r="C1078" s="589">
        <v>45978</v>
      </c>
      <c r="D1078" s="582">
        <f t="shared" si="41"/>
        <v>47</v>
      </c>
      <c r="E1078" s="618" t="str">
        <f>+VLOOKUP(Tabla3[[#This Row],[PATENTE]],'BASE DATOS'!F:G,2,0)</f>
        <v xml:space="preserve">TRANSPORTE  GRACIELA - IYE750 </v>
      </c>
      <c r="F1078" s="584" t="str">
        <f>+VLOOKUP(Tabla3[[#This Row],[PATENTE]],'BASE DATOS'!F:H,3,0)</f>
        <v>1P</v>
      </c>
      <c r="G1078" s="584" t="str">
        <f>+VLOOKUP(Tabla3[[#This Row],[PATENTE]],'BASE DATOS'!F:I,4,0)</f>
        <v>NO</v>
      </c>
      <c r="H1078" s="584" t="str">
        <f>+VLOOKUP(Tabla3[[#This Row],[PATENTE]],'BASE DATOS'!F:J,5,0)</f>
        <v>SI</v>
      </c>
      <c r="I1078" s="584" t="str">
        <f>+VLOOKUP(Tabla3[[#This Row],[PATENTE]],'BASE DATOS'!F:K,6,0)</f>
        <v>NO</v>
      </c>
      <c r="J1078" s="584">
        <f>+VLOOKUP(Tabla3[[#This Row],[PATENTE]],'BASE DATOS'!F:L,7,0)</f>
        <v>2009</v>
      </c>
      <c r="K1078" s="619">
        <f>+VLOOKUP(Tabla3[[#This Row],[PATENTE]],'BASE DATOS'!F:M,8,0)</f>
        <v>16</v>
      </c>
    </row>
    <row r="1079" spans="1:11" hidden="1">
      <c r="A1079" s="578" t="s">
        <v>906</v>
      </c>
      <c r="B1079" s="584">
        <v>2</v>
      </c>
      <c r="C1079" s="589">
        <v>45978</v>
      </c>
      <c r="D1079" s="582">
        <f t="shared" si="41"/>
        <v>47</v>
      </c>
      <c r="E1079" s="618" t="str">
        <f>+VLOOKUP(Tabla3[[#This Row],[PATENTE]],'BASE DATOS'!F:G,2,0)</f>
        <v xml:space="preserve">VAZQUEZ (TRV SRL) - AD472GK </v>
      </c>
      <c r="F1079" s="584" t="str">
        <f>+VLOOKUP(Tabla3[[#This Row],[PATENTE]],'BASE DATOS'!F:H,3,0)</f>
        <v>8P</v>
      </c>
      <c r="G1079" s="584" t="str">
        <f>+VLOOKUP(Tabla3[[#This Row],[PATENTE]],'BASE DATOS'!F:I,4,0)</f>
        <v>NO</v>
      </c>
      <c r="H1079" s="584" t="str">
        <f>+VLOOKUP(Tabla3[[#This Row],[PATENTE]],'BASE DATOS'!F:J,5,0)</f>
        <v>NO</v>
      </c>
      <c r="I1079" s="584" t="str">
        <f>+VLOOKUP(Tabla3[[#This Row],[PATENTE]],'BASE DATOS'!F:K,6,0)</f>
        <v>SI</v>
      </c>
      <c r="J1079" s="584">
        <f>+VLOOKUP(Tabla3[[#This Row],[PATENTE]],'BASE DATOS'!F:L,7,0)</f>
        <v>2019</v>
      </c>
      <c r="K1079" s="619">
        <f>+VLOOKUP(Tabla3[[#This Row],[PATENTE]],'BASE DATOS'!F:M,8,0)</f>
        <v>6</v>
      </c>
    </row>
    <row r="1080" spans="1:11" hidden="1">
      <c r="A1080" s="578" t="s">
        <v>926</v>
      </c>
      <c r="B1080" s="584">
        <v>2</v>
      </c>
      <c r="C1080" s="589">
        <v>45978</v>
      </c>
      <c r="D1080" s="582">
        <f t="shared" si="41"/>
        <v>47</v>
      </c>
      <c r="E1080" s="618" t="str">
        <f>+VLOOKUP(Tabla3[[#This Row],[PATENTE]],'BASE DATOS'!F:G,2,0)</f>
        <v xml:space="preserve">TRANSPORTE GENA GAIA - DUF042 </v>
      </c>
      <c r="F1080" s="584" t="str">
        <f>+VLOOKUP(Tabla3[[#This Row],[PATENTE]],'BASE DATOS'!F:H,3,0)</f>
        <v>24P</v>
      </c>
      <c r="G1080" s="584" t="str">
        <f>+VLOOKUP(Tabla3[[#This Row],[PATENTE]],'BASE DATOS'!F:I,4,0)</f>
        <v>Gestya</v>
      </c>
      <c r="H1080" s="584" t="str">
        <f>+VLOOKUP(Tabla3[[#This Row],[PATENTE]],'BASE DATOS'!F:J,5,0)</f>
        <v xml:space="preserve">NO </v>
      </c>
      <c r="I1080" s="584" t="str">
        <f>+VLOOKUP(Tabla3[[#This Row],[PATENTE]],'BASE DATOS'!F:K,6,0)</f>
        <v>NO</v>
      </c>
      <c r="J1080" s="584">
        <f>+VLOOKUP(Tabla3[[#This Row],[PATENTE]],'BASE DATOS'!F:L,7,0)</f>
        <v>2001</v>
      </c>
      <c r="K1080" s="619">
        <f>+VLOOKUP(Tabla3[[#This Row],[PATENTE]],'BASE DATOS'!F:M,8,0)</f>
        <v>24</v>
      </c>
    </row>
    <row r="1081" spans="1:11" hidden="1">
      <c r="A1081" s="578" t="s">
        <v>914</v>
      </c>
      <c r="B1081" s="584">
        <v>2</v>
      </c>
      <c r="C1081" s="589">
        <v>45978</v>
      </c>
      <c r="D1081" s="582">
        <f t="shared" si="41"/>
        <v>47</v>
      </c>
      <c r="E1081" s="618" t="str">
        <f>+VLOOKUP(Tabla3[[#This Row],[PATENTE]],'BASE DATOS'!F:G,2,0)</f>
        <v>TRANSP DON NENO - HCP674</v>
      </c>
      <c r="F1081" s="584" t="str">
        <f>+VLOOKUP(Tabla3[[#This Row],[PATENTE]],'BASE DATOS'!F:H,3,0)</f>
        <v>2P</v>
      </c>
      <c r="G1081" s="584" t="str">
        <f>+VLOOKUP(Tabla3[[#This Row],[PATENTE]],'BASE DATOS'!F:I,4,0)</f>
        <v>NO</v>
      </c>
      <c r="H1081" s="584" t="str">
        <f>+VLOOKUP(Tabla3[[#This Row],[PATENTE]],'BASE DATOS'!F:J,5,0)</f>
        <v xml:space="preserve">NO </v>
      </c>
      <c r="I1081" s="584" t="str">
        <f>+VLOOKUP(Tabla3[[#This Row],[PATENTE]],'BASE DATOS'!F:K,6,0)</f>
        <v>NO</v>
      </c>
      <c r="J1081" s="584">
        <f>+VLOOKUP(Tabla3[[#This Row],[PATENTE]],'BASE DATOS'!F:L,7,0)</f>
        <v>2008</v>
      </c>
      <c r="K1081" s="619">
        <f>+VLOOKUP(Tabla3[[#This Row],[PATENTE]],'BASE DATOS'!F:M,8,0)</f>
        <v>17</v>
      </c>
    </row>
    <row r="1082" spans="1:11" hidden="1">
      <c r="A1082" s="578" t="s">
        <v>924</v>
      </c>
      <c r="B1082" s="584">
        <v>2</v>
      </c>
      <c r="C1082" s="589">
        <v>45978</v>
      </c>
      <c r="D1082" s="582">
        <f t="shared" si="41"/>
        <v>47</v>
      </c>
      <c r="E1082" s="618" t="str">
        <f>+VLOOKUP(Tabla3[[#This Row],[PATENTE]],'BASE DATOS'!F:G,2,0)</f>
        <v>TRANSP MAVIR - HRZ429 -16P</v>
      </c>
      <c r="F1082" s="584" t="str">
        <f>+VLOOKUP(Tabla3[[#This Row],[PATENTE]],'BASE DATOS'!F:H,3,0)</f>
        <v>16P</v>
      </c>
      <c r="G1082" s="584" t="str">
        <f>+VLOOKUP(Tabla3[[#This Row],[PATENTE]],'BASE DATOS'!F:I,4,0)</f>
        <v>SI</v>
      </c>
      <c r="H1082" s="584" t="str">
        <f>+VLOOKUP(Tabla3[[#This Row],[PATENTE]],'BASE DATOS'!F:J,5,0)</f>
        <v xml:space="preserve">NO </v>
      </c>
      <c r="I1082" s="584" t="str">
        <f>+VLOOKUP(Tabla3[[#This Row],[PATENTE]],'BASE DATOS'!F:K,6,0)</f>
        <v>NO</v>
      </c>
      <c r="J1082" s="584">
        <f>+VLOOKUP(Tabla3[[#This Row],[PATENTE]],'BASE DATOS'!F:L,7,0)</f>
        <v>2008</v>
      </c>
      <c r="K1082" s="619">
        <f>+VLOOKUP(Tabla3[[#This Row],[PATENTE]],'BASE DATOS'!F:M,8,0)</f>
        <v>17</v>
      </c>
    </row>
    <row r="1083" spans="1:11" hidden="1">
      <c r="A1083" s="578" t="s">
        <v>900</v>
      </c>
      <c r="B1083" s="584">
        <v>2</v>
      </c>
      <c r="C1083" s="589">
        <v>45978</v>
      </c>
      <c r="D1083" s="582">
        <f t="shared" si="41"/>
        <v>47</v>
      </c>
      <c r="E1083" s="618" t="str">
        <f>+VLOOKUP(Tabla3[[#This Row],[PATENTE]],'BASE DATOS'!F:G,2,0)</f>
        <v>TRANSPORTE GENA GAIA - IMO939</v>
      </c>
      <c r="F1083" s="584" t="str">
        <f>+VLOOKUP(Tabla3[[#This Row],[PATENTE]],'BASE DATOS'!F:H,3,0)</f>
        <v>24P</v>
      </c>
      <c r="G1083" s="584" t="str">
        <f>+VLOOKUP(Tabla3[[#This Row],[PATENTE]],'BASE DATOS'!F:I,4,0)</f>
        <v>Gestya</v>
      </c>
      <c r="H1083" s="584" t="str">
        <f>+VLOOKUP(Tabla3[[#This Row],[PATENTE]],'BASE DATOS'!F:J,5,0)</f>
        <v xml:space="preserve">NO </v>
      </c>
      <c r="I1083" s="584" t="str">
        <f>+VLOOKUP(Tabla3[[#This Row],[PATENTE]],'BASE DATOS'!F:K,6,0)</f>
        <v>NO</v>
      </c>
      <c r="J1083" s="584">
        <f>+VLOOKUP(Tabla3[[#This Row],[PATENTE]],'BASE DATOS'!F:L,7,0)</f>
        <v>2010</v>
      </c>
      <c r="K1083" s="619">
        <f>+VLOOKUP(Tabla3[[#This Row],[PATENTE]],'BASE DATOS'!F:M,8,0)</f>
        <v>15</v>
      </c>
    </row>
    <row r="1084" spans="1:11" hidden="1">
      <c r="A1084" s="578" t="s">
        <v>896</v>
      </c>
      <c r="B1084" s="584">
        <v>2</v>
      </c>
      <c r="C1084" s="589">
        <v>45978</v>
      </c>
      <c r="D1084" s="582">
        <f t="shared" si="41"/>
        <v>47</v>
      </c>
      <c r="E1084" s="618" t="str">
        <f>+VLOOKUP(Tabla3[[#This Row],[PATENTE]],'BASE DATOS'!F:G,2,0)</f>
        <v xml:space="preserve">TRANSP MAVIR - RHQ609 </v>
      </c>
      <c r="F1084" s="584" t="str">
        <f>+VLOOKUP(Tabla3[[#This Row],[PATENTE]],'BASE DATOS'!F:H,3,0)</f>
        <v>10P</v>
      </c>
      <c r="G1084" s="584" t="str">
        <f>+VLOOKUP(Tabla3[[#This Row],[PATENTE]],'BASE DATOS'!F:I,4,0)</f>
        <v>NO</v>
      </c>
      <c r="H1084" s="584" t="str">
        <f>+VLOOKUP(Tabla3[[#This Row],[PATENTE]],'BASE DATOS'!F:J,5,0)</f>
        <v xml:space="preserve">NO </v>
      </c>
      <c r="I1084" s="584" t="str">
        <f>+VLOOKUP(Tabla3[[#This Row],[PATENTE]],'BASE DATOS'!F:K,6,0)</f>
        <v>NO</v>
      </c>
      <c r="J1084" s="584">
        <f>+VLOOKUP(Tabla3[[#This Row],[PATENTE]],'BASE DATOS'!F:L,7,0)</f>
        <v>1995</v>
      </c>
      <c r="K1084" s="593">
        <v>0</v>
      </c>
    </row>
    <row r="1085" spans="1:11" hidden="1">
      <c r="A1085" s="578" t="s">
        <v>1162</v>
      </c>
      <c r="B1085" s="584">
        <v>1</v>
      </c>
      <c r="C1085" s="589">
        <v>45978</v>
      </c>
      <c r="D1085" s="582">
        <f t="shared" si="41"/>
        <v>47</v>
      </c>
      <c r="E1085" s="618" t="str">
        <f>+VLOOKUP(Tabla3[[#This Row],[PATENTE]],'BASE DATOS'!F:G,2,0)</f>
        <v>PERLETTI - 8P RETIRA CLIENTE</v>
      </c>
      <c r="F1085" s="584" t="str">
        <f>+VLOOKUP(Tabla3[[#This Row],[PATENTE]],'BASE DATOS'!F:H,3,0)</f>
        <v>8P</v>
      </c>
      <c r="G1085" s="584" t="str">
        <f>+VLOOKUP(Tabla3[[#This Row],[PATENTE]],'BASE DATOS'!F:I,4,0)</f>
        <v>NO</v>
      </c>
      <c r="H1085" s="584" t="str">
        <f>+VLOOKUP(Tabla3[[#This Row],[PATENTE]],'BASE DATOS'!F:J,5,0)</f>
        <v xml:space="preserve">NO </v>
      </c>
      <c r="I1085" s="584" t="str">
        <f>+VLOOKUP(Tabla3[[#This Row],[PATENTE]],'BASE DATOS'!F:K,6,0)</f>
        <v>NO</v>
      </c>
      <c r="J1085" s="584">
        <f>+VLOOKUP(Tabla3[[#This Row],[PATENTE]],'BASE DATOS'!F:L,7,0)</f>
        <v>0</v>
      </c>
      <c r="K1085" s="619">
        <f>+VLOOKUP(Tabla3[[#This Row],[PATENTE]],'BASE DATOS'!F:M,8,0)</f>
        <v>2025</v>
      </c>
    </row>
    <row r="1086" spans="1:11" hidden="1">
      <c r="A1086" s="578" t="s">
        <v>937</v>
      </c>
      <c r="B1086" s="584">
        <v>1</v>
      </c>
      <c r="C1086" s="589">
        <v>45978</v>
      </c>
      <c r="D1086" s="582">
        <f t="shared" si="41"/>
        <v>47</v>
      </c>
      <c r="E1086" s="618" t="str">
        <f>+VLOOKUP(Tabla3[[#This Row],[PATENTE]],'BASE DATOS'!F:G,2,0)</f>
        <v>TRANSP. CM TRANZ - AC049FP CALZIA RETIRA CLIENTE</v>
      </c>
      <c r="F1086" s="584" t="str">
        <f>+VLOOKUP(Tabla3[[#This Row],[PATENTE]],'BASE DATOS'!F:H,3,0)</f>
        <v>24P</v>
      </c>
      <c r="G1086" s="584" t="str">
        <f>+VLOOKUP(Tabla3[[#This Row],[PATENTE]],'BASE DATOS'!F:I,4,0)</f>
        <v>NO</v>
      </c>
      <c r="H1086" s="584" t="str">
        <f>+VLOOKUP(Tabla3[[#This Row],[PATENTE]],'BASE DATOS'!F:J,5,0)</f>
        <v xml:space="preserve">NO </v>
      </c>
      <c r="I1086" s="584" t="str">
        <f>+VLOOKUP(Tabla3[[#This Row],[PATENTE]],'BASE DATOS'!F:K,6,0)</f>
        <v>NO</v>
      </c>
      <c r="J1086" s="584">
        <f>+VLOOKUP(Tabla3[[#This Row],[PATENTE]],'BASE DATOS'!F:L,7,0)</f>
        <v>0</v>
      </c>
      <c r="K1086" s="619">
        <f>+VLOOKUP(Tabla3[[#This Row],[PATENTE]],'BASE DATOS'!F:M,8,0)</f>
        <v>0</v>
      </c>
    </row>
    <row r="1087" spans="1:11" hidden="1">
      <c r="A1087" s="578" t="s">
        <v>935</v>
      </c>
      <c r="B1087" s="584">
        <v>1</v>
      </c>
      <c r="C1087" s="589">
        <v>45978</v>
      </c>
      <c r="D1087" s="582">
        <f t="shared" si="41"/>
        <v>47</v>
      </c>
      <c r="E1087" s="618" t="str">
        <f>+VLOOKUP(Tabla3[[#This Row],[PATENTE]],'BASE DATOS'!F:G,2,0)</f>
        <v>GANZINI HUGO -DMP850</v>
      </c>
      <c r="F1087" s="584" t="str">
        <f>+VLOOKUP(Tabla3[[#This Row],[PATENTE]],'BASE DATOS'!F:H,3,0)</f>
        <v>2P</v>
      </c>
      <c r="G1087" s="584" t="str">
        <f>+VLOOKUP(Tabla3[[#This Row],[PATENTE]],'BASE DATOS'!F:I,4,0)</f>
        <v>NO</v>
      </c>
      <c r="H1087" s="584" t="str">
        <f>+VLOOKUP(Tabla3[[#This Row],[PATENTE]],'BASE DATOS'!F:J,5,0)</f>
        <v xml:space="preserve">NO </v>
      </c>
      <c r="I1087" s="584" t="str">
        <f>+VLOOKUP(Tabla3[[#This Row],[PATENTE]],'BASE DATOS'!F:K,6,0)</f>
        <v>NO</v>
      </c>
      <c r="J1087" s="584">
        <f>+VLOOKUP(Tabla3[[#This Row],[PATENTE]],'BASE DATOS'!F:L,7,0)</f>
        <v>2000</v>
      </c>
      <c r="K1087" s="619">
        <f>+VLOOKUP(Tabla3[[#This Row],[PATENTE]],'BASE DATOS'!F:M,8,0)</f>
        <v>25</v>
      </c>
    </row>
    <row r="1088" spans="1:11" hidden="1">
      <c r="A1088" s="578" t="s">
        <v>938</v>
      </c>
      <c r="B1088" s="584">
        <v>1</v>
      </c>
      <c r="C1088" s="589">
        <v>45978</v>
      </c>
      <c r="D1088" s="582">
        <f t="shared" si="41"/>
        <v>47</v>
      </c>
      <c r="E1088" s="618" t="str">
        <f>+VLOOKUP(Tabla3[[#This Row],[PATENTE]],'BASE DATOS'!F:G,2,0)</f>
        <v>TRANSPORTE GENA GAIA - GYH519  - 26P</v>
      </c>
      <c r="F1088" s="584" t="str">
        <f>+VLOOKUP(Tabla3[[#This Row],[PATENTE]],'BASE DATOS'!F:H,3,0)</f>
        <v>26P</v>
      </c>
      <c r="G1088" s="584" t="str">
        <f>+VLOOKUP(Tabla3[[#This Row],[PATENTE]],'BASE DATOS'!F:I,4,0)</f>
        <v>GESTYA</v>
      </c>
      <c r="H1088" s="584" t="str">
        <f>+VLOOKUP(Tabla3[[#This Row],[PATENTE]],'BASE DATOS'!F:J,5,0)</f>
        <v xml:space="preserve">NO </v>
      </c>
      <c r="I1088" s="584" t="str">
        <f>+VLOOKUP(Tabla3[[#This Row],[PATENTE]],'BASE DATOS'!F:K,6,0)</f>
        <v>NO</v>
      </c>
      <c r="J1088" s="584">
        <f>+VLOOKUP(Tabla3[[#This Row],[PATENTE]],'BASE DATOS'!F:L,7,0)</f>
        <v>2008</v>
      </c>
      <c r="K1088" s="619">
        <f>+VLOOKUP(Tabla3[[#This Row],[PATENTE]],'BASE DATOS'!F:M,8,0)</f>
        <v>17</v>
      </c>
    </row>
    <row r="1089" spans="1:11" hidden="1">
      <c r="A1089" s="581" t="s">
        <v>930</v>
      </c>
      <c r="B1089" s="587">
        <v>1</v>
      </c>
      <c r="C1089" s="589">
        <v>45978</v>
      </c>
      <c r="D1089" s="583">
        <f t="shared" si="41"/>
        <v>47</v>
      </c>
      <c r="E1089" s="620" t="str">
        <f>+VLOOKUP(Tabla3[[#This Row],[PATENTE]],'BASE DATOS'!F:G,2,0)</f>
        <v xml:space="preserve">GANZINI HUGO - JJF375 </v>
      </c>
      <c r="F1089" s="587" t="str">
        <f>+VLOOKUP(Tabla3[[#This Row],[PATENTE]],'BASE DATOS'!F:H,3,0)</f>
        <v>14P</v>
      </c>
      <c r="G1089" s="587" t="str">
        <f>+VLOOKUP(Tabla3[[#This Row],[PATENTE]],'BASE DATOS'!F:I,4,0)</f>
        <v>SI</v>
      </c>
      <c r="H1089" s="587" t="str">
        <f>+VLOOKUP(Tabla3[[#This Row],[PATENTE]],'BASE DATOS'!F:J,5,0)</f>
        <v xml:space="preserve">NO </v>
      </c>
      <c r="I1089" s="587" t="str">
        <f>+VLOOKUP(Tabla3[[#This Row],[PATENTE]],'BASE DATOS'!F:K,6,0)</f>
        <v>NO</v>
      </c>
      <c r="J1089" s="587">
        <f>+VLOOKUP(Tabla3[[#This Row],[PATENTE]],'BASE DATOS'!F:L,7,0)</f>
        <v>2011</v>
      </c>
      <c r="K1089" s="621">
        <f>+VLOOKUP(Tabla3[[#This Row],[PATENTE]],'BASE DATOS'!F:M,8,0)</f>
        <v>14</v>
      </c>
    </row>
    <row r="1090" spans="1:11" hidden="1">
      <c r="A1090" s="578" t="s">
        <v>922</v>
      </c>
      <c r="B1090" s="584">
        <v>7</v>
      </c>
      <c r="C1090" s="589">
        <v>45985</v>
      </c>
      <c r="D1090" s="582">
        <f t="shared" ref="D1090:D1121" si="42">+WEEKNUM(C1090)</f>
        <v>48</v>
      </c>
      <c r="E1090" s="618" t="str">
        <f>+VLOOKUP(Tabla3[[#This Row],[PATENTE]],'BASE DATOS'!F:G,2,0)</f>
        <v>LAURIA (SERVAL) - AF342ZY</v>
      </c>
      <c r="F1090" s="584" t="str">
        <f>+VLOOKUP(Tabla3[[#This Row],[PATENTE]],'BASE DATOS'!F:H,3,0)</f>
        <v>8P</v>
      </c>
      <c r="G1090" s="584" t="str">
        <f>+VLOOKUP(Tabla3[[#This Row],[PATENTE]],'BASE DATOS'!F:I,4,0)</f>
        <v>SI</v>
      </c>
      <c r="H1090" s="584" t="str">
        <f>+VLOOKUP(Tabla3[[#This Row],[PATENTE]],'BASE DATOS'!F:J,5,0)</f>
        <v>SI</v>
      </c>
      <c r="I1090" s="584" t="str">
        <f>+VLOOKUP(Tabla3[[#This Row],[PATENTE]],'BASE DATOS'!F:K,6,0)</f>
        <v>NO</v>
      </c>
      <c r="J1090" s="584">
        <f>+VLOOKUP(Tabla3[[#This Row],[PATENTE]],'BASE DATOS'!F:L,7,0)</f>
        <v>2022</v>
      </c>
      <c r="K1090" s="619">
        <f>+VLOOKUP(Tabla3[[#This Row],[PATENTE]],'BASE DATOS'!F:M,8,0)</f>
        <v>3</v>
      </c>
    </row>
    <row r="1091" spans="1:11" hidden="1">
      <c r="A1091" s="578" t="s">
        <v>884</v>
      </c>
      <c r="B1091" s="584">
        <v>5</v>
      </c>
      <c r="C1091" s="589">
        <v>45985</v>
      </c>
      <c r="D1091" s="582">
        <f t="shared" si="42"/>
        <v>48</v>
      </c>
      <c r="E1091" s="618" t="str">
        <f>+VLOOKUP(Tabla3[[#This Row],[PATENTE]],'BASE DATOS'!F:G,2,0)</f>
        <v xml:space="preserve">LAURIA (SERVAL) - AB233IT </v>
      </c>
      <c r="F1091" s="584" t="str">
        <f>+VLOOKUP(Tabla3[[#This Row],[PATENTE]],'BASE DATOS'!F:H,3,0)</f>
        <v>6P</v>
      </c>
      <c r="G1091" s="584" t="str">
        <f>+VLOOKUP(Tabla3[[#This Row],[PATENTE]],'BASE DATOS'!F:I,4,0)</f>
        <v>SI</v>
      </c>
      <c r="H1091" s="584" t="str">
        <f>+VLOOKUP(Tabla3[[#This Row],[PATENTE]],'BASE DATOS'!F:J,5,0)</f>
        <v>SI</v>
      </c>
      <c r="I1091" s="584" t="str">
        <f>+VLOOKUP(Tabla3[[#This Row],[PATENTE]],'BASE DATOS'!F:K,6,0)</f>
        <v>NO</v>
      </c>
      <c r="J1091" s="584">
        <f>+VLOOKUP(Tabla3[[#This Row],[PATENTE]],'BASE DATOS'!F:L,7,0)</f>
        <v>2017</v>
      </c>
      <c r="K1091" s="619">
        <f>+VLOOKUP(Tabla3[[#This Row],[PATENTE]],'BASE DATOS'!F:M,8,0)</f>
        <v>8</v>
      </c>
    </row>
    <row r="1092" spans="1:11" hidden="1">
      <c r="A1092" s="578" t="s">
        <v>888</v>
      </c>
      <c r="B1092" s="584">
        <v>5</v>
      </c>
      <c r="C1092" s="589">
        <v>45985</v>
      </c>
      <c r="D1092" s="582">
        <f t="shared" si="42"/>
        <v>48</v>
      </c>
      <c r="E1092" s="618" t="str">
        <f>+VLOOKUP(Tabla3[[#This Row],[PATENTE]],'BASE DATOS'!F:G,2,0)</f>
        <v xml:space="preserve">TRANSP FIRST CLASS - AD535UI </v>
      </c>
      <c r="F1092" s="584" t="str">
        <f>+VLOOKUP(Tabla3[[#This Row],[PATENTE]],'BASE DATOS'!F:H,3,0)</f>
        <v>6P</v>
      </c>
      <c r="G1092" s="584" t="str">
        <f>+VLOOKUP(Tabla3[[#This Row],[PATENTE]],'BASE DATOS'!F:I,4,0)</f>
        <v>SI</v>
      </c>
      <c r="H1092" s="584" t="str">
        <f>+VLOOKUP(Tabla3[[#This Row],[PATENTE]],'BASE DATOS'!F:J,5,0)</f>
        <v>SI</v>
      </c>
      <c r="I1092" s="584" t="str">
        <f>+VLOOKUP(Tabla3[[#This Row],[PATENTE]],'BASE DATOS'!F:K,6,0)</f>
        <v>NO</v>
      </c>
      <c r="J1092" s="584">
        <f>+VLOOKUP(Tabla3[[#This Row],[PATENTE]],'BASE DATOS'!F:L,7,0)</f>
        <v>2019</v>
      </c>
      <c r="K1092" s="619">
        <f>+VLOOKUP(Tabla3[[#This Row],[PATENTE]],'BASE DATOS'!F:M,8,0)</f>
        <v>6</v>
      </c>
    </row>
    <row r="1093" spans="1:11" hidden="1">
      <c r="A1093" s="578" t="s">
        <v>895</v>
      </c>
      <c r="B1093" s="584">
        <v>5</v>
      </c>
      <c r="C1093" s="589">
        <v>45985</v>
      </c>
      <c r="D1093" s="582">
        <f t="shared" si="42"/>
        <v>48</v>
      </c>
      <c r="E1093" s="618" t="str">
        <f>+VLOOKUP(Tabla3[[#This Row],[PATENTE]],'BASE DATOS'!F:G,2,0)</f>
        <v xml:space="preserve">TRANSPORTE MICAELA </v>
      </c>
      <c r="F1093" s="584" t="str">
        <f>+VLOOKUP(Tabla3[[#This Row],[PATENTE]],'BASE DATOS'!F:H,3,0)</f>
        <v>2P</v>
      </c>
      <c r="G1093" s="584" t="str">
        <f>+VLOOKUP(Tabla3[[#This Row],[PATENTE]],'BASE DATOS'!F:I,4,0)</f>
        <v>NO</v>
      </c>
      <c r="H1093" s="584" t="str">
        <f>+VLOOKUP(Tabla3[[#This Row],[PATENTE]],'BASE DATOS'!F:J,5,0)</f>
        <v>SI</v>
      </c>
      <c r="I1093" s="584" t="str">
        <f>+VLOOKUP(Tabla3[[#This Row],[PATENTE]],'BASE DATOS'!F:K,6,0)</f>
        <v>NO</v>
      </c>
      <c r="J1093" s="584">
        <f>+VLOOKUP(Tabla3[[#This Row],[PATENTE]],'BASE DATOS'!F:L,7,0)</f>
        <v>2024</v>
      </c>
      <c r="K1093" s="619">
        <f>+VLOOKUP(Tabla3[[#This Row],[PATENTE]],'BASE DATOS'!F:M,8,0)</f>
        <v>1</v>
      </c>
    </row>
    <row r="1094" spans="1:11" hidden="1">
      <c r="A1094" s="578" t="s">
        <v>907</v>
      </c>
      <c r="B1094" s="584">
        <v>5</v>
      </c>
      <c r="C1094" s="589">
        <v>45985</v>
      </c>
      <c r="D1094" s="582">
        <f t="shared" si="42"/>
        <v>48</v>
      </c>
      <c r="E1094" s="618" t="str">
        <f>+VLOOKUP(Tabla3[[#This Row],[PATENTE]],'BASE DATOS'!F:G,2,0)</f>
        <v xml:space="preserve">LAURIA (SERVAL) - AH583GW </v>
      </c>
      <c r="F1094" s="584" t="str">
        <f>+VLOOKUP(Tabla3[[#This Row],[PATENTE]],'BASE DATOS'!F:H,3,0)</f>
        <v>8P</v>
      </c>
      <c r="G1094" s="584" t="str">
        <f>+VLOOKUP(Tabla3[[#This Row],[PATENTE]],'BASE DATOS'!F:I,4,0)</f>
        <v>SI</v>
      </c>
      <c r="H1094" s="584" t="str">
        <f>+VLOOKUP(Tabla3[[#This Row],[PATENTE]],'BASE DATOS'!F:J,5,0)</f>
        <v>SI</v>
      </c>
      <c r="I1094" s="584" t="str">
        <f>+VLOOKUP(Tabla3[[#This Row],[PATENTE]],'BASE DATOS'!F:K,6,0)</f>
        <v>NO</v>
      </c>
      <c r="J1094" s="584">
        <f>+VLOOKUP(Tabla3[[#This Row],[PATENTE]],'BASE DATOS'!F:L,7,0)</f>
        <v>2025</v>
      </c>
      <c r="K1094" s="619">
        <f>+VLOOKUP(Tabla3[[#This Row],[PATENTE]],'BASE DATOS'!F:M,8,0)</f>
        <v>0</v>
      </c>
    </row>
    <row r="1095" spans="1:11" hidden="1">
      <c r="A1095" s="578" t="s">
        <v>887</v>
      </c>
      <c r="B1095" s="584">
        <v>5</v>
      </c>
      <c r="C1095" s="589">
        <v>45985</v>
      </c>
      <c r="D1095" s="582">
        <f t="shared" si="42"/>
        <v>48</v>
      </c>
      <c r="E1095" s="618" t="str">
        <f>+VLOOKUP(Tabla3[[#This Row],[PATENTE]],'BASE DATOS'!F:G,2,0)</f>
        <v>ENRIQUE ROLLINO - BXB394</v>
      </c>
      <c r="F1095" s="584" t="str">
        <f>+VLOOKUP(Tabla3[[#This Row],[PATENTE]],'BASE DATOS'!F:H,3,0)</f>
        <v>2P</v>
      </c>
      <c r="G1095" s="584" t="str">
        <f>+VLOOKUP(Tabla3[[#This Row],[PATENTE]],'BASE DATOS'!F:I,4,0)</f>
        <v>SI</v>
      </c>
      <c r="H1095" s="584" t="str">
        <f>+VLOOKUP(Tabla3[[#This Row],[PATENTE]],'BASE DATOS'!F:J,5,0)</f>
        <v>SI</v>
      </c>
      <c r="I1095" s="584" t="str">
        <f>+VLOOKUP(Tabla3[[#This Row],[PATENTE]],'BASE DATOS'!F:K,6,0)</f>
        <v>NO</v>
      </c>
      <c r="J1095" s="584">
        <f>+VLOOKUP(Tabla3[[#This Row],[PATENTE]],'BASE DATOS'!F:L,7,0)</f>
        <v>1998</v>
      </c>
      <c r="K1095" s="619">
        <f>+VLOOKUP(Tabla3[[#This Row],[PATENTE]],'BASE DATOS'!F:M,8,0)</f>
        <v>27</v>
      </c>
    </row>
    <row r="1096" spans="1:11" hidden="1">
      <c r="A1096" s="578" t="s">
        <v>920</v>
      </c>
      <c r="B1096" s="584">
        <v>5</v>
      </c>
      <c r="C1096" s="589">
        <v>45985</v>
      </c>
      <c r="D1096" s="582">
        <f t="shared" si="42"/>
        <v>48</v>
      </c>
      <c r="E1096" s="618" t="str">
        <f>+VLOOKUP(Tabla3[[#This Row],[PATENTE]],'BASE DATOS'!F:G,2,0)</f>
        <v xml:space="preserve">TRANSP LAGOS - MRV682 </v>
      </c>
      <c r="F1096" s="584" t="str">
        <f>+VLOOKUP(Tabla3[[#This Row],[PATENTE]],'BASE DATOS'!F:H,3,0)</f>
        <v>8P</v>
      </c>
      <c r="G1096" s="584" t="str">
        <f>+VLOOKUP(Tabla3[[#This Row],[PATENTE]],'BASE DATOS'!F:I,4,0)</f>
        <v>SI</v>
      </c>
      <c r="H1096" s="584" t="str">
        <f>+VLOOKUP(Tabla3[[#This Row],[PATENTE]],'BASE DATOS'!F:J,5,0)</f>
        <v>SI</v>
      </c>
      <c r="I1096" s="584" t="str">
        <f>+VLOOKUP(Tabla3[[#This Row],[PATENTE]],'BASE DATOS'!F:K,6,0)</f>
        <v>NO</v>
      </c>
      <c r="J1096" s="584">
        <f>+VLOOKUP(Tabla3[[#This Row],[PATENTE]],'BASE DATOS'!F:L,7,0)</f>
        <v>2013</v>
      </c>
      <c r="K1096" s="619">
        <f>+VLOOKUP(Tabla3[[#This Row],[PATENTE]],'BASE DATOS'!F:M,8,0)</f>
        <v>12</v>
      </c>
    </row>
    <row r="1097" spans="1:11" hidden="1">
      <c r="A1097" s="578" t="s">
        <v>898</v>
      </c>
      <c r="B1097" s="584">
        <v>5</v>
      </c>
      <c r="C1097" s="589">
        <v>45985</v>
      </c>
      <c r="D1097" s="582">
        <f t="shared" si="42"/>
        <v>48</v>
      </c>
      <c r="E1097" s="618" t="str">
        <f>+VLOOKUP(Tabla3[[#This Row],[PATENTE]],'BASE DATOS'!F:G,2,0)</f>
        <v xml:space="preserve">TRANSP BERMEJO - NXP980 </v>
      </c>
      <c r="F1097" s="584" t="str">
        <f>+VLOOKUP(Tabla3[[#This Row],[PATENTE]],'BASE DATOS'!F:H,3,0)</f>
        <v>12P</v>
      </c>
      <c r="G1097" s="584" t="str">
        <f>+VLOOKUP(Tabla3[[#This Row],[PATENTE]],'BASE DATOS'!F:I,4,0)</f>
        <v>SI</v>
      </c>
      <c r="H1097" s="584" t="str">
        <f>+VLOOKUP(Tabla3[[#This Row],[PATENTE]],'BASE DATOS'!F:J,5,0)</f>
        <v>SI</v>
      </c>
      <c r="I1097" s="584" t="str">
        <f>+VLOOKUP(Tabla3[[#This Row],[PATENTE]],'BASE DATOS'!F:K,6,0)</f>
        <v>SI</v>
      </c>
      <c r="J1097" s="584">
        <f>+VLOOKUP(Tabla3[[#This Row],[PATENTE]],'BASE DATOS'!F:L,7,0)</f>
        <v>2015</v>
      </c>
      <c r="K1097" s="619">
        <f>+VLOOKUP(Tabla3[[#This Row],[PATENTE]],'BASE DATOS'!F:M,8,0)</f>
        <v>10</v>
      </c>
    </row>
    <row r="1098" spans="1:11" hidden="1">
      <c r="A1098" s="578" t="s">
        <v>877</v>
      </c>
      <c r="B1098" s="584">
        <v>5</v>
      </c>
      <c r="C1098" s="589">
        <v>45985</v>
      </c>
      <c r="D1098" s="582">
        <f t="shared" si="42"/>
        <v>48</v>
      </c>
      <c r="E1098" s="618" t="str">
        <f>+VLOOKUP(Tabla3[[#This Row],[PATENTE]],'BASE DATOS'!F:G,2,0)</f>
        <v>TRANSP MAIDANA CARLOS - OWA126</v>
      </c>
      <c r="F1098" s="584" t="str">
        <f>+VLOOKUP(Tabla3[[#This Row],[PATENTE]],'BASE DATOS'!F:H,3,0)</f>
        <v>4P</v>
      </c>
      <c r="G1098" s="584" t="str">
        <f>+VLOOKUP(Tabla3[[#This Row],[PATENTE]],'BASE DATOS'!F:I,4,0)</f>
        <v>SI</v>
      </c>
      <c r="H1098" s="584" t="str">
        <f>+VLOOKUP(Tabla3[[#This Row],[PATENTE]],'BASE DATOS'!F:J,5,0)</f>
        <v>SI</v>
      </c>
      <c r="I1098" s="584" t="str">
        <f>+VLOOKUP(Tabla3[[#This Row],[PATENTE]],'BASE DATOS'!F:K,6,0)</f>
        <v>NO</v>
      </c>
      <c r="J1098" s="584">
        <f>+VLOOKUP(Tabla3[[#This Row],[PATENTE]],'BASE DATOS'!F:L,7,0)</f>
        <v>2015</v>
      </c>
      <c r="K1098" s="619">
        <f>+VLOOKUP(Tabla3[[#This Row],[PATENTE]],'BASE DATOS'!F:M,8,0)</f>
        <v>10</v>
      </c>
    </row>
    <row r="1099" spans="1:11" hidden="1">
      <c r="A1099" s="578" t="s">
        <v>936</v>
      </c>
      <c r="B1099" s="584">
        <v>4</v>
      </c>
      <c r="C1099" s="589">
        <v>45985</v>
      </c>
      <c r="D1099" s="582">
        <f t="shared" si="42"/>
        <v>48</v>
      </c>
      <c r="E1099" s="618" t="str">
        <f>+VLOOKUP(Tabla3[[#This Row],[PATENTE]],'BASE DATOS'!F:G,2,0)</f>
        <v>TRANSP YANINA  LUONGO - AA050HC</v>
      </c>
      <c r="F1099" s="584" t="str">
        <f>+VLOOKUP(Tabla3[[#This Row],[PATENTE]],'BASE DATOS'!F:H,3,0)</f>
        <v>1.5P</v>
      </c>
      <c r="G1099" s="584" t="str">
        <f>+VLOOKUP(Tabla3[[#This Row],[PATENTE]],'BASE DATOS'!F:I,4,0)</f>
        <v>NO</v>
      </c>
      <c r="H1099" s="584" t="str">
        <f>+VLOOKUP(Tabla3[[#This Row],[PATENTE]],'BASE DATOS'!F:J,5,0)</f>
        <v>SI</v>
      </c>
      <c r="I1099" s="584" t="str">
        <f>+VLOOKUP(Tabla3[[#This Row],[PATENTE]],'BASE DATOS'!F:K,6,0)</f>
        <v>NO</v>
      </c>
      <c r="J1099" s="584">
        <f>+VLOOKUP(Tabla3[[#This Row],[PATENTE]],'BASE DATOS'!F:L,7,0)</f>
        <v>2016</v>
      </c>
      <c r="K1099" s="619">
        <f>+VLOOKUP(Tabla3[[#This Row],[PATENTE]],'BASE DATOS'!F:M,8,0)</f>
        <v>9</v>
      </c>
    </row>
    <row r="1100" spans="1:11" hidden="1">
      <c r="A1100" s="578" t="s">
        <v>919</v>
      </c>
      <c r="B1100" s="584">
        <v>4</v>
      </c>
      <c r="C1100" s="589">
        <v>45985</v>
      </c>
      <c r="D1100" s="582">
        <f t="shared" si="42"/>
        <v>48</v>
      </c>
      <c r="E1100" s="618" t="str">
        <f>+VLOOKUP(Tabla3[[#This Row],[PATENTE]],'BASE DATOS'!F:G,2,0)</f>
        <v xml:space="preserve">GUSTAVO CERQUETTA - AA427LT </v>
      </c>
      <c r="F1100" s="584" t="str">
        <f>+VLOOKUP(Tabla3[[#This Row],[PATENTE]],'BASE DATOS'!F:H,3,0)</f>
        <v>1P</v>
      </c>
      <c r="G1100" s="584" t="str">
        <f>+VLOOKUP(Tabla3[[#This Row],[PATENTE]],'BASE DATOS'!F:I,4,0)</f>
        <v>NO</v>
      </c>
      <c r="H1100" s="584" t="str">
        <f>+VLOOKUP(Tabla3[[#This Row],[PATENTE]],'BASE DATOS'!F:J,5,0)</f>
        <v>SI</v>
      </c>
      <c r="I1100" s="584" t="str">
        <f>+VLOOKUP(Tabla3[[#This Row],[PATENTE]],'BASE DATOS'!F:K,6,0)</f>
        <v>NO</v>
      </c>
      <c r="J1100" s="584">
        <f>+VLOOKUP(Tabla3[[#This Row],[PATENTE]],'BASE DATOS'!F:L,7,0)</f>
        <v>2016</v>
      </c>
      <c r="K1100" s="619">
        <f>+VLOOKUP(Tabla3[[#This Row],[PATENTE]],'BASE DATOS'!F:M,8,0)</f>
        <v>9</v>
      </c>
    </row>
    <row r="1101" spans="1:11" hidden="1">
      <c r="A1101" s="578" t="s">
        <v>878</v>
      </c>
      <c r="B1101" s="584">
        <v>4</v>
      </c>
      <c r="C1101" s="589">
        <v>45985</v>
      </c>
      <c r="D1101" s="582">
        <f t="shared" si="42"/>
        <v>48</v>
      </c>
      <c r="E1101" s="618" t="str">
        <f>+VLOOKUP(Tabla3[[#This Row],[PATENTE]],'BASE DATOS'!F:G,2,0)</f>
        <v xml:space="preserve">PACHECO JULIO - AA854LY </v>
      </c>
      <c r="F1101" s="584" t="str">
        <f>+VLOOKUP(Tabla3[[#This Row],[PATENTE]],'BASE DATOS'!F:H,3,0)</f>
        <v>7P</v>
      </c>
      <c r="G1101" s="584" t="str">
        <f>+VLOOKUP(Tabla3[[#This Row],[PATENTE]],'BASE DATOS'!F:I,4,0)</f>
        <v>SI</v>
      </c>
      <c r="H1101" s="584" t="str">
        <f>+VLOOKUP(Tabla3[[#This Row],[PATENTE]],'BASE DATOS'!F:J,5,0)</f>
        <v>SI</v>
      </c>
      <c r="I1101" s="584" t="str">
        <f>+VLOOKUP(Tabla3[[#This Row],[PATENTE]],'BASE DATOS'!F:K,6,0)</f>
        <v>NO</v>
      </c>
      <c r="J1101" s="584">
        <f>+VLOOKUP(Tabla3[[#This Row],[PATENTE]],'BASE DATOS'!F:L,7,0)</f>
        <v>2016</v>
      </c>
      <c r="K1101" s="619">
        <f>+VLOOKUP(Tabla3[[#This Row],[PATENTE]],'BASE DATOS'!F:M,8,0)</f>
        <v>9</v>
      </c>
    </row>
    <row r="1102" spans="1:11" hidden="1">
      <c r="A1102" s="578" t="s">
        <v>905</v>
      </c>
      <c r="B1102" s="584">
        <v>4</v>
      </c>
      <c r="C1102" s="589">
        <v>45985</v>
      </c>
      <c r="D1102" s="582">
        <f t="shared" si="42"/>
        <v>48</v>
      </c>
      <c r="E1102" s="618" t="str">
        <f>+VLOOKUP(Tabla3[[#This Row],[PATENTE]],'BASE DATOS'!F:G,2,0)</f>
        <v xml:space="preserve">J RIMOLDI - AB312SE </v>
      </c>
      <c r="F1102" s="584" t="str">
        <f>+VLOOKUP(Tabla3[[#This Row],[PATENTE]],'BASE DATOS'!F:H,3,0)</f>
        <v>8P</v>
      </c>
      <c r="G1102" s="584" t="str">
        <f>+VLOOKUP(Tabla3[[#This Row],[PATENTE]],'BASE DATOS'!F:I,4,0)</f>
        <v>SI</v>
      </c>
      <c r="H1102" s="584" t="str">
        <f>+VLOOKUP(Tabla3[[#This Row],[PATENTE]],'BASE DATOS'!F:J,5,0)</f>
        <v>SI</v>
      </c>
      <c r="I1102" s="584" t="str">
        <f>+VLOOKUP(Tabla3[[#This Row],[PATENTE]],'BASE DATOS'!F:K,6,0)</f>
        <v>NO</v>
      </c>
      <c r="J1102" s="584">
        <f>+VLOOKUP(Tabla3[[#This Row],[PATENTE]],'BASE DATOS'!F:L,7,0)</f>
        <v>2017</v>
      </c>
      <c r="K1102" s="619">
        <f>+VLOOKUP(Tabla3[[#This Row],[PATENTE]],'BASE DATOS'!F:M,8,0)</f>
        <v>8</v>
      </c>
    </row>
    <row r="1103" spans="1:11" hidden="1">
      <c r="A1103" s="578" t="s">
        <v>912</v>
      </c>
      <c r="B1103" s="584">
        <v>4</v>
      </c>
      <c r="C1103" s="589">
        <v>45985</v>
      </c>
      <c r="D1103" s="582">
        <f t="shared" si="42"/>
        <v>48</v>
      </c>
      <c r="E1103" s="618" t="str">
        <f>+VLOOKUP(Tabla3[[#This Row],[PATENTE]],'BASE DATOS'!F:G,2,0)</f>
        <v xml:space="preserve">PACHECO JULIO - AC028WN </v>
      </c>
      <c r="F1103" s="584" t="str">
        <f>+VLOOKUP(Tabla3[[#This Row],[PATENTE]],'BASE DATOS'!F:H,3,0)</f>
        <v>8P</v>
      </c>
      <c r="G1103" s="584" t="str">
        <f>+VLOOKUP(Tabla3[[#This Row],[PATENTE]],'BASE DATOS'!F:I,4,0)</f>
        <v>SI</v>
      </c>
      <c r="H1103" s="584" t="str">
        <f>+VLOOKUP(Tabla3[[#This Row],[PATENTE]],'BASE DATOS'!F:J,5,0)</f>
        <v>SI</v>
      </c>
      <c r="I1103" s="584" t="str">
        <f>+VLOOKUP(Tabla3[[#This Row],[PATENTE]],'BASE DATOS'!F:K,6,0)</f>
        <v>SI</v>
      </c>
      <c r="J1103" s="584">
        <f>+VLOOKUP(Tabla3[[#This Row],[PATENTE]],'BASE DATOS'!F:L,7,0)</f>
        <v>2017</v>
      </c>
      <c r="K1103" s="619">
        <f>+VLOOKUP(Tabla3[[#This Row],[PATENTE]],'BASE DATOS'!F:M,8,0)</f>
        <v>8</v>
      </c>
    </row>
    <row r="1104" spans="1:11" hidden="1">
      <c r="A1104" s="578" t="s">
        <v>890</v>
      </c>
      <c r="B1104" s="584">
        <v>4</v>
      </c>
      <c r="C1104" s="589">
        <v>45985</v>
      </c>
      <c r="D1104" s="582">
        <f t="shared" si="42"/>
        <v>48</v>
      </c>
      <c r="E1104" s="618" t="str">
        <f>+VLOOKUP(Tabla3[[#This Row],[PATENTE]],'BASE DATOS'!F:G,2,0)</f>
        <v xml:space="preserve">TRANSPORTE GRACIELA - AC040RO </v>
      </c>
      <c r="F1104" s="584" t="str">
        <f>+VLOOKUP(Tabla3[[#This Row],[PATENTE]],'BASE DATOS'!F:H,3,0)</f>
        <v>1P</v>
      </c>
      <c r="G1104" s="584" t="str">
        <f>+VLOOKUP(Tabla3[[#This Row],[PATENTE]],'BASE DATOS'!F:I,4,0)</f>
        <v>SI</v>
      </c>
      <c r="H1104" s="584" t="str">
        <f>+VLOOKUP(Tabla3[[#This Row],[PATENTE]],'BASE DATOS'!F:J,5,0)</f>
        <v>ACEPTA( VER CAMI)</v>
      </c>
      <c r="I1104" s="584" t="str">
        <f>+VLOOKUP(Tabla3[[#This Row],[PATENTE]],'BASE DATOS'!F:K,6,0)</f>
        <v>NO</v>
      </c>
      <c r="J1104" s="584">
        <f>+VLOOKUP(Tabla3[[#This Row],[PATENTE]],'BASE DATOS'!F:L,7,0)</f>
        <v>2017</v>
      </c>
      <c r="K1104" s="619">
        <f>+VLOOKUP(Tabla3[[#This Row],[PATENTE]],'BASE DATOS'!F:M,8,0)</f>
        <v>8</v>
      </c>
    </row>
    <row r="1105" spans="1:11" hidden="1">
      <c r="A1105" s="578" t="s">
        <v>903</v>
      </c>
      <c r="B1105" s="584">
        <v>4</v>
      </c>
      <c r="C1105" s="589">
        <v>45985</v>
      </c>
      <c r="D1105" s="582">
        <f t="shared" si="42"/>
        <v>48</v>
      </c>
      <c r="E1105" s="618" t="str">
        <f>+VLOOKUP(Tabla3[[#This Row],[PATENTE]],'BASE DATOS'!F:G,2,0)</f>
        <v xml:space="preserve">TRANSP CLAUDIO BUSTOS - AG243PE </v>
      </c>
      <c r="F1105" s="584" t="str">
        <f>+VLOOKUP(Tabla3[[#This Row],[PATENTE]],'BASE DATOS'!F:H,3,0)</f>
        <v>1P</v>
      </c>
      <c r="G1105" s="584" t="str">
        <f>+VLOOKUP(Tabla3[[#This Row],[PATENTE]],'BASE DATOS'!F:I,4,0)</f>
        <v>SI</v>
      </c>
      <c r="H1105" s="584" t="str">
        <f>+VLOOKUP(Tabla3[[#This Row],[PATENTE]],'BASE DATOS'!F:J,5,0)</f>
        <v>SI</v>
      </c>
      <c r="I1105" s="584" t="str">
        <f>+VLOOKUP(Tabla3[[#This Row],[PATENTE]],'BASE DATOS'!F:K,6,0)</f>
        <v>NO</v>
      </c>
      <c r="J1105" s="584">
        <f>+VLOOKUP(Tabla3[[#This Row],[PATENTE]],'BASE DATOS'!F:L,7,0)</f>
        <v>2024</v>
      </c>
      <c r="K1105" s="619">
        <f>+VLOOKUP(Tabla3[[#This Row],[PATENTE]],'BASE DATOS'!F:M,8,0)</f>
        <v>1</v>
      </c>
    </row>
    <row r="1106" spans="1:11" hidden="1">
      <c r="A1106" s="578" t="s">
        <v>921</v>
      </c>
      <c r="B1106" s="584">
        <v>4</v>
      </c>
      <c r="C1106" s="589">
        <v>45985</v>
      </c>
      <c r="D1106" s="582">
        <f t="shared" si="42"/>
        <v>48</v>
      </c>
      <c r="E1106" s="618" t="str">
        <f>+VLOOKUP(Tabla3[[#This Row],[PATENTE]],'BASE DATOS'!F:G,2,0)</f>
        <v xml:space="preserve">MAÑAS NORBERTO - CQQ304 </v>
      </c>
      <c r="F1106" s="584" t="str">
        <f>+VLOOKUP(Tabla3[[#This Row],[PATENTE]],'BASE DATOS'!F:H,3,0)</f>
        <v>11P</v>
      </c>
      <c r="G1106" s="584" t="str">
        <f>+VLOOKUP(Tabla3[[#This Row],[PATENTE]],'BASE DATOS'!F:I,4,0)</f>
        <v>SI</v>
      </c>
      <c r="H1106" s="584" t="str">
        <f>+VLOOKUP(Tabla3[[#This Row],[PATENTE]],'BASE DATOS'!F:J,5,0)</f>
        <v>SI</v>
      </c>
      <c r="I1106" s="584" t="str">
        <f>+VLOOKUP(Tabla3[[#This Row],[PATENTE]],'BASE DATOS'!F:K,6,0)</f>
        <v>NO</v>
      </c>
      <c r="J1106" s="584">
        <f>+VLOOKUP(Tabla3[[#This Row],[PATENTE]],'BASE DATOS'!F:L,7,0)</f>
        <v>2000</v>
      </c>
      <c r="K1106" s="619">
        <f>+VLOOKUP(Tabla3[[#This Row],[PATENTE]],'BASE DATOS'!F:M,8,0)</f>
        <v>25</v>
      </c>
    </row>
    <row r="1107" spans="1:11" hidden="1">
      <c r="A1107" s="578" t="s">
        <v>904</v>
      </c>
      <c r="B1107" s="584">
        <v>4</v>
      </c>
      <c r="C1107" s="589">
        <v>45985</v>
      </c>
      <c r="D1107" s="582">
        <f t="shared" si="42"/>
        <v>48</v>
      </c>
      <c r="E1107" s="618" t="str">
        <f>+VLOOKUP(Tabla3[[#This Row],[PATENTE]],'BASE DATOS'!F:G,2,0)</f>
        <v xml:space="preserve">ENRIQUE ROLLINO - DFO656 </v>
      </c>
      <c r="F1107" s="584" t="str">
        <f>+VLOOKUP(Tabla3[[#This Row],[PATENTE]],'BASE DATOS'!F:H,3,0)</f>
        <v>6P</v>
      </c>
      <c r="G1107" s="584" t="str">
        <f>+VLOOKUP(Tabla3[[#This Row],[PATENTE]],'BASE DATOS'!F:I,4,0)</f>
        <v>SI</v>
      </c>
      <c r="H1107" s="584" t="str">
        <f>+VLOOKUP(Tabla3[[#This Row],[PATENTE]],'BASE DATOS'!F:J,5,0)</f>
        <v>SI</v>
      </c>
      <c r="I1107" s="584" t="str">
        <f>+VLOOKUP(Tabla3[[#This Row],[PATENTE]],'BASE DATOS'!F:K,6,0)</f>
        <v>NO</v>
      </c>
      <c r="J1107" s="584">
        <f>+VLOOKUP(Tabla3[[#This Row],[PATENTE]],'BASE DATOS'!F:L,7,0)</f>
        <v>2000</v>
      </c>
      <c r="K1107" s="619">
        <f>+VLOOKUP(Tabla3[[#This Row],[PATENTE]],'BASE DATOS'!F:M,8,0)</f>
        <v>25</v>
      </c>
    </row>
    <row r="1108" spans="1:11" hidden="1">
      <c r="A1108" s="578" t="s">
        <v>881</v>
      </c>
      <c r="B1108" s="584">
        <v>4</v>
      </c>
      <c r="C1108" s="589">
        <v>45985</v>
      </c>
      <c r="D1108" s="582">
        <f t="shared" si="42"/>
        <v>48</v>
      </c>
      <c r="E1108" s="618" t="str">
        <f>+VLOOKUP(Tabla3[[#This Row],[PATENTE]],'BASE DATOS'!F:G,2,0)</f>
        <v xml:space="preserve">MAÑAS NORBERTO - DUQ686 </v>
      </c>
      <c r="F1108" s="584" t="str">
        <f>+VLOOKUP(Tabla3[[#This Row],[PATENTE]],'BASE DATOS'!F:H,3,0)</f>
        <v>8P</v>
      </c>
      <c r="G1108" s="584" t="str">
        <f>+VLOOKUP(Tabla3[[#This Row],[PATENTE]],'BASE DATOS'!F:I,4,0)</f>
        <v>SI</v>
      </c>
      <c r="H1108" s="584" t="str">
        <f>+VLOOKUP(Tabla3[[#This Row],[PATENTE]],'BASE DATOS'!F:J,5,0)</f>
        <v>SI</v>
      </c>
      <c r="I1108" s="584" t="str">
        <f>+VLOOKUP(Tabla3[[#This Row],[PATENTE]],'BASE DATOS'!F:K,6,0)</f>
        <v>NO</v>
      </c>
      <c r="J1108" s="584">
        <f>+VLOOKUP(Tabla3[[#This Row],[PATENTE]],'BASE DATOS'!F:L,7,0)</f>
        <v>2001</v>
      </c>
      <c r="K1108" s="619">
        <f>+VLOOKUP(Tabla3[[#This Row],[PATENTE]],'BASE DATOS'!F:M,8,0)</f>
        <v>24</v>
      </c>
    </row>
    <row r="1109" spans="1:11" hidden="1">
      <c r="A1109" s="578" t="s">
        <v>916</v>
      </c>
      <c r="B1109" s="584">
        <v>4</v>
      </c>
      <c r="C1109" s="589">
        <v>45985</v>
      </c>
      <c r="D1109" s="582">
        <f t="shared" si="42"/>
        <v>48</v>
      </c>
      <c r="E1109" s="618" t="str">
        <f>+VLOOKUP(Tabla3[[#This Row],[PATENTE]],'BASE DATOS'!F:G,2,0)</f>
        <v xml:space="preserve">TRANSP MAIDANA CARLOS - EYP088 </v>
      </c>
      <c r="F1109" s="584" t="str">
        <f>+VLOOKUP(Tabla3[[#This Row],[PATENTE]],'BASE DATOS'!F:H,3,0)</f>
        <v>6P</v>
      </c>
      <c r="G1109" s="584" t="str">
        <f>+VLOOKUP(Tabla3[[#This Row],[PATENTE]],'BASE DATOS'!F:I,4,0)</f>
        <v>SI</v>
      </c>
      <c r="H1109" s="584" t="str">
        <f>+VLOOKUP(Tabla3[[#This Row],[PATENTE]],'BASE DATOS'!F:J,5,0)</f>
        <v>SI</v>
      </c>
      <c r="I1109" s="584" t="str">
        <f>+VLOOKUP(Tabla3[[#This Row],[PATENTE]],'BASE DATOS'!F:K,6,0)</f>
        <v>NO</v>
      </c>
      <c r="J1109" s="584">
        <f>+VLOOKUP(Tabla3[[#This Row],[PATENTE]],'BASE DATOS'!F:L,7,0)</f>
        <v>2006</v>
      </c>
      <c r="K1109" s="619">
        <f>+VLOOKUP(Tabla3[[#This Row],[PATENTE]],'BASE DATOS'!F:M,8,0)</f>
        <v>19</v>
      </c>
    </row>
    <row r="1110" spans="1:11" hidden="1">
      <c r="A1110" s="578" t="s">
        <v>892</v>
      </c>
      <c r="B1110" s="584">
        <v>4</v>
      </c>
      <c r="C1110" s="589">
        <v>45985</v>
      </c>
      <c r="D1110" s="582">
        <f t="shared" si="42"/>
        <v>48</v>
      </c>
      <c r="E1110" s="618" t="str">
        <f>+VLOOKUP(Tabla3[[#This Row],[PATENTE]],'BASE DATOS'!F:G,2,0)</f>
        <v xml:space="preserve">COLO - FTL525 </v>
      </c>
      <c r="F1110" s="584" t="str">
        <f>+VLOOKUP(Tabla3[[#This Row],[PATENTE]],'BASE DATOS'!F:H,3,0)</f>
        <v>1P</v>
      </c>
      <c r="G1110" s="584" t="str">
        <f>+VLOOKUP(Tabla3[[#This Row],[PATENTE]],'BASE DATOS'!F:I,4,0)</f>
        <v>NO</v>
      </c>
      <c r="H1110" s="584" t="str">
        <f>+VLOOKUP(Tabla3[[#This Row],[PATENTE]],'BASE DATOS'!F:J,5,0)</f>
        <v>SI</v>
      </c>
      <c r="I1110" s="584" t="str">
        <f>+VLOOKUP(Tabla3[[#This Row],[PATENTE]],'BASE DATOS'!F:K,6,0)</f>
        <v>NO</v>
      </c>
      <c r="J1110" s="584">
        <f>+VLOOKUP(Tabla3[[#This Row],[PATENTE]],'BASE DATOS'!F:L,7,0)</f>
        <v>2008</v>
      </c>
      <c r="K1110" s="619">
        <f>+VLOOKUP(Tabla3[[#This Row],[PATENTE]],'BASE DATOS'!F:M,8,0)</f>
        <v>17</v>
      </c>
    </row>
    <row r="1111" spans="1:11" hidden="1">
      <c r="A1111" s="578" t="s">
        <v>889</v>
      </c>
      <c r="B1111" s="584">
        <v>4</v>
      </c>
      <c r="C1111" s="589">
        <v>45985</v>
      </c>
      <c r="D1111" s="582">
        <f t="shared" si="42"/>
        <v>48</v>
      </c>
      <c r="E1111" s="618" t="str">
        <f>+VLOOKUP(Tabla3[[#This Row],[PATENTE]],'BASE DATOS'!F:G,2,0)</f>
        <v xml:space="preserve">COLO - HAW164 </v>
      </c>
      <c r="F1111" s="584" t="str">
        <f>+VLOOKUP(Tabla3[[#This Row],[PATENTE]],'BASE DATOS'!F:H,3,0)</f>
        <v>6P</v>
      </c>
      <c r="G1111" s="584" t="str">
        <f>+VLOOKUP(Tabla3[[#This Row],[PATENTE]],'BASE DATOS'!F:I,4,0)</f>
        <v>NO</v>
      </c>
      <c r="H1111" s="584" t="str">
        <f>+VLOOKUP(Tabla3[[#This Row],[PATENTE]],'BASE DATOS'!F:J,5,0)</f>
        <v>SI</v>
      </c>
      <c r="I1111" s="584" t="str">
        <f>+VLOOKUP(Tabla3[[#This Row],[PATENTE]],'BASE DATOS'!F:K,6,0)</f>
        <v>NO</v>
      </c>
      <c r="J1111" s="584">
        <f>+VLOOKUP(Tabla3[[#This Row],[PATENTE]],'BASE DATOS'!F:L,7,0)</f>
        <v>2009</v>
      </c>
      <c r="K1111" s="619">
        <f>+VLOOKUP(Tabla3[[#This Row],[PATENTE]],'BASE DATOS'!F:M,8,0)</f>
        <v>16</v>
      </c>
    </row>
    <row r="1112" spans="1:11" hidden="1">
      <c r="A1112" s="578" t="s">
        <v>891</v>
      </c>
      <c r="B1112" s="584">
        <v>4</v>
      </c>
      <c r="C1112" s="589">
        <v>45985</v>
      </c>
      <c r="D1112" s="582">
        <f t="shared" si="42"/>
        <v>48</v>
      </c>
      <c r="E1112" s="618" t="str">
        <f>+VLOOKUP(Tabla3[[#This Row],[PATENTE]],'BASE DATOS'!F:G,2,0)</f>
        <v xml:space="preserve">GANZINI HUGO - HHA085 </v>
      </c>
      <c r="F1112" s="584" t="str">
        <f>+VLOOKUP(Tabla3[[#This Row],[PATENTE]],'BASE DATOS'!F:H,3,0)</f>
        <v>2P</v>
      </c>
      <c r="G1112" s="584" t="str">
        <f>+VLOOKUP(Tabla3[[#This Row],[PATENTE]],'BASE DATOS'!F:I,4,0)</f>
        <v>SI</v>
      </c>
      <c r="H1112" s="584" t="str">
        <f>+VLOOKUP(Tabla3[[#This Row],[PATENTE]],'BASE DATOS'!F:J,5,0)</f>
        <v>SI</v>
      </c>
      <c r="I1112" s="584" t="str">
        <f>+VLOOKUP(Tabla3[[#This Row],[PATENTE]],'BASE DATOS'!F:K,6,0)</f>
        <v>NO</v>
      </c>
      <c r="J1112" s="584">
        <f>+VLOOKUP(Tabla3[[#This Row],[PATENTE]],'BASE DATOS'!F:L,7,0)</f>
        <v>2008</v>
      </c>
      <c r="K1112" s="619">
        <f>+VLOOKUP(Tabla3[[#This Row],[PATENTE]],'BASE DATOS'!F:M,8,0)</f>
        <v>17</v>
      </c>
    </row>
    <row r="1113" spans="1:11" hidden="1">
      <c r="A1113" s="578" t="s">
        <v>885</v>
      </c>
      <c r="B1113" s="584">
        <v>4</v>
      </c>
      <c r="C1113" s="589">
        <v>45985</v>
      </c>
      <c r="D1113" s="582">
        <f t="shared" si="42"/>
        <v>48</v>
      </c>
      <c r="E1113" s="618" t="str">
        <f>+VLOOKUP(Tabla3[[#This Row],[PATENTE]],'BASE DATOS'!F:G,2,0)</f>
        <v xml:space="preserve">TRANSP DON NENO - IES288 </v>
      </c>
      <c r="F1113" s="584" t="str">
        <f>+VLOOKUP(Tabla3[[#This Row],[PATENTE]],'BASE DATOS'!F:H,3,0)</f>
        <v>2P</v>
      </c>
      <c r="G1113" s="584" t="str">
        <f>+VLOOKUP(Tabla3[[#This Row],[PATENTE]],'BASE DATOS'!F:I,4,0)</f>
        <v>SI</v>
      </c>
      <c r="H1113" s="584" t="str">
        <f>+VLOOKUP(Tabla3[[#This Row],[PATENTE]],'BASE DATOS'!F:J,5,0)</f>
        <v>SI</v>
      </c>
      <c r="I1113" s="584" t="str">
        <f>+VLOOKUP(Tabla3[[#This Row],[PATENTE]],'BASE DATOS'!F:K,6,0)</f>
        <v>NO</v>
      </c>
      <c r="J1113" s="584">
        <f>+VLOOKUP(Tabla3[[#This Row],[PATENTE]],'BASE DATOS'!F:L,7,0)</f>
        <v>2009</v>
      </c>
      <c r="K1113" s="619">
        <f>+VLOOKUP(Tabla3[[#This Row],[PATENTE]],'BASE DATOS'!F:M,8,0)</f>
        <v>16</v>
      </c>
    </row>
    <row r="1114" spans="1:11" hidden="1">
      <c r="A1114" s="578" t="s">
        <v>882</v>
      </c>
      <c r="B1114" s="584">
        <v>4</v>
      </c>
      <c r="C1114" s="589">
        <v>45985</v>
      </c>
      <c r="D1114" s="582">
        <f t="shared" si="42"/>
        <v>48</v>
      </c>
      <c r="E1114" s="618" t="str">
        <f>+VLOOKUP(Tabla3[[#This Row],[PATENTE]],'BASE DATOS'!F:G,2,0)</f>
        <v xml:space="preserve">MAÑAS - JWN279 </v>
      </c>
      <c r="F1114" s="584" t="str">
        <f>+VLOOKUP(Tabla3[[#This Row],[PATENTE]],'BASE DATOS'!F:H,3,0)</f>
        <v>7P</v>
      </c>
      <c r="G1114" s="584" t="str">
        <f>+VLOOKUP(Tabla3[[#This Row],[PATENTE]],'BASE DATOS'!F:I,4,0)</f>
        <v>SI</v>
      </c>
      <c r="H1114" s="584" t="str">
        <f>+VLOOKUP(Tabla3[[#This Row],[PATENTE]],'BASE DATOS'!F:J,5,0)</f>
        <v>SI</v>
      </c>
      <c r="I1114" s="584" t="str">
        <f>+VLOOKUP(Tabla3[[#This Row],[PATENTE]],'BASE DATOS'!F:K,6,0)</f>
        <v>NO</v>
      </c>
      <c r="J1114" s="584">
        <f>+VLOOKUP(Tabla3[[#This Row],[PATENTE]],'BASE DATOS'!F:L,7,0)</f>
        <v>2011</v>
      </c>
      <c r="K1114" s="619">
        <f>+VLOOKUP(Tabla3[[#This Row],[PATENTE]],'BASE DATOS'!F:M,8,0)</f>
        <v>14</v>
      </c>
    </row>
    <row r="1115" spans="1:11" hidden="1">
      <c r="A1115" s="578" t="s">
        <v>913</v>
      </c>
      <c r="B1115" s="584">
        <v>4</v>
      </c>
      <c r="C1115" s="589">
        <v>45985</v>
      </c>
      <c r="D1115" s="582">
        <f t="shared" si="42"/>
        <v>48</v>
      </c>
      <c r="E1115" s="618" t="str">
        <f>+VLOOKUP(Tabla3[[#This Row],[PATENTE]],'BASE DATOS'!F:G,2,0)</f>
        <v xml:space="preserve">TRANSP DON NENO - KSI803 </v>
      </c>
      <c r="F1115" s="584" t="str">
        <f>+VLOOKUP(Tabla3[[#This Row],[PATENTE]],'BASE DATOS'!F:H,3,0)</f>
        <v>2P</v>
      </c>
      <c r="G1115" s="584" t="str">
        <f>+VLOOKUP(Tabla3[[#This Row],[PATENTE]],'BASE DATOS'!F:I,4,0)</f>
        <v>SI</v>
      </c>
      <c r="H1115" s="584" t="str">
        <f>+VLOOKUP(Tabla3[[#This Row],[PATENTE]],'BASE DATOS'!F:J,5,0)</f>
        <v>SI</v>
      </c>
      <c r="I1115" s="584" t="str">
        <f>+VLOOKUP(Tabla3[[#This Row],[PATENTE]],'BASE DATOS'!F:K,6,0)</f>
        <v>NO</v>
      </c>
      <c r="J1115" s="584">
        <f>+VLOOKUP(Tabla3[[#This Row],[PATENTE]],'BASE DATOS'!F:L,7,0)</f>
        <v>2012</v>
      </c>
      <c r="K1115" s="619">
        <f>+VLOOKUP(Tabla3[[#This Row],[PATENTE]],'BASE DATOS'!F:M,8,0)</f>
        <v>13</v>
      </c>
    </row>
    <row r="1116" spans="1:11" hidden="1">
      <c r="A1116" s="578" t="s">
        <v>897</v>
      </c>
      <c r="B1116" s="584">
        <v>4</v>
      </c>
      <c r="C1116" s="589">
        <v>45985</v>
      </c>
      <c r="D1116" s="582">
        <f t="shared" si="42"/>
        <v>48</v>
      </c>
      <c r="E1116" s="618" t="str">
        <f>+VLOOKUP(Tabla3[[#This Row],[PATENTE]],'BASE DATOS'!F:G,2,0)</f>
        <v xml:space="preserve">TRANSP CLAUDIO BUSTOS - LSG801 </v>
      </c>
      <c r="F1116" s="584" t="str">
        <f>+VLOOKUP(Tabla3[[#This Row],[PATENTE]],'BASE DATOS'!F:H,3,0)</f>
        <v>2P</v>
      </c>
      <c r="G1116" s="584" t="str">
        <f>+VLOOKUP(Tabla3[[#This Row],[PATENTE]],'BASE DATOS'!F:I,4,0)</f>
        <v>SI</v>
      </c>
      <c r="H1116" s="584" t="str">
        <f>+VLOOKUP(Tabla3[[#This Row],[PATENTE]],'BASE DATOS'!F:J,5,0)</f>
        <v>SI</v>
      </c>
      <c r="I1116" s="584" t="str">
        <f>+VLOOKUP(Tabla3[[#This Row],[PATENTE]],'BASE DATOS'!F:K,6,0)</f>
        <v>NO</v>
      </c>
      <c r="J1116" s="584">
        <f>+VLOOKUP(Tabla3[[#This Row],[PATENTE]],'BASE DATOS'!F:L,7,0)</f>
        <v>2013</v>
      </c>
      <c r="K1116" s="619">
        <f>+VLOOKUP(Tabla3[[#This Row],[PATENTE]],'BASE DATOS'!F:M,8,0)</f>
        <v>12</v>
      </c>
    </row>
    <row r="1117" spans="1:11" hidden="1">
      <c r="A1117" s="578" t="s">
        <v>886</v>
      </c>
      <c r="B1117" s="584">
        <v>4</v>
      </c>
      <c r="C1117" s="589">
        <v>45985</v>
      </c>
      <c r="D1117" s="582">
        <f t="shared" si="42"/>
        <v>48</v>
      </c>
      <c r="E1117" s="618" t="str">
        <f>+VLOOKUP(Tabla3[[#This Row],[PATENTE]],'BASE DATOS'!F:G,2,0)</f>
        <v xml:space="preserve">TRANSP LAGOS - NOO925 </v>
      </c>
      <c r="F1117" s="584" t="str">
        <f>+VLOOKUP(Tabla3[[#This Row],[PATENTE]],'BASE DATOS'!F:H,3,0)</f>
        <v>8P</v>
      </c>
      <c r="G1117" s="584" t="str">
        <f>+VLOOKUP(Tabla3[[#This Row],[PATENTE]],'BASE DATOS'!F:I,4,0)</f>
        <v>SI</v>
      </c>
      <c r="H1117" s="584" t="str">
        <f>+VLOOKUP(Tabla3[[#This Row],[PATENTE]],'BASE DATOS'!F:J,5,0)</f>
        <v>SI</v>
      </c>
      <c r="I1117" s="584" t="str">
        <f>+VLOOKUP(Tabla3[[#This Row],[PATENTE]],'BASE DATOS'!F:K,6,0)</f>
        <v>NO</v>
      </c>
      <c r="J1117" s="584">
        <f>+VLOOKUP(Tabla3[[#This Row],[PATENTE]],'BASE DATOS'!F:L,7,0)</f>
        <v>2014</v>
      </c>
      <c r="K1117" s="619">
        <f>+VLOOKUP(Tabla3[[#This Row],[PATENTE]],'BASE DATOS'!F:M,8,0)</f>
        <v>11</v>
      </c>
    </row>
    <row r="1118" spans="1:11" hidden="1">
      <c r="A1118" s="578" t="s">
        <v>879</v>
      </c>
      <c r="B1118" s="584">
        <v>4</v>
      </c>
      <c r="C1118" s="589">
        <v>45985</v>
      </c>
      <c r="D1118" s="582">
        <f t="shared" si="42"/>
        <v>48</v>
      </c>
      <c r="E1118" s="618" t="str">
        <f>+VLOOKUP(Tabla3[[#This Row],[PATENTE]],'BASE DATOS'!F:G,2,0)</f>
        <v xml:space="preserve">TRANSP JP - OYP470 </v>
      </c>
      <c r="F1118" s="584" t="str">
        <f>+VLOOKUP(Tabla3[[#This Row],[PATENTE]],'BASE DATOS'!F:H,3,0)</f>
        <v>8P</v>
      </c>
      <c r="G1118" s="584" t="str">
        <f>+VLOOKUP(Tabla3[[#This Row],[PATENTE]],'BASE DATOS'!F:I,4,0)</f>
        <v>SI</v>
      </c>
      <c r="H1118" s="584" t="str">
        <f>+VLOOKUP(Tabla3[[#This Row],[PATENTE]],'BASE DATOS'!F:J,5,0)</f>
        <v>SI</v>
      </c>
      <c r="I1118" s="584" t="str">
        <f>+VLOOKUP(Tabla3[[#This Row],[PATENTE]],'BASE DATOS'!F:K,6,0)</f>
        <v>NO</v>
      </c>
      <c r="J1118" s="584">
        <f>+VLOOKUP(Tabla3[[#This Row],[PATENTE]],'BASE DATOS'!F:L,7,0)</f>
        <v>2011</v>
      </c>
      <c r="K1118" s="619">
        <f>+VLOOKUP(Tabla3[[#This Row],[PATENTE]],'BASE DATOS'!F:M,8,0)</f>
        <v>14</v>
      </c>
    </row>
    <row r="1119" spans="1:11" hidden="1">
      <c r="A1119" s="578" t="s">
        <v>899</v>
      </c>
      <c r="B1119" s="584">
        <v>3</v>
      </c>
      <c r="C1119" s="589">
        <v>45985</v>
      </c>
      <c r="D1119" s="582">
        <f t="shared" si="42"/>
        <v>48</v>
      </c>
      <c r="E1119" s="618" t="str">
        <f>+VLOOKUP(Tabla3[[#This Row],[PATENTE]],'BASE DATOS'!F:G,2,0)</f>
        <v xml:space="preserve">VAZQUEZ (TRV SRL) - AB176KN </v>
      </c>
      <c r="F1119" s="584" t="str">
        <f>+VLOOKUP(Tabla3[[#This Row],[PATENTE]],'BASE DATOS'!F:H,3,0)</f>
        <v>8P</v>
      </c>
      <c r="G1119" s="584" t="str">
        <f>+VLOOKUP(Tabla3[[#This Row],[PATENTE]],'BASE DATOS'!F:I,4,0)</f>
        <v>SI</v>
      </c>
      <c r="H1119" s="584" t="str">
        <f>+VLOOKUP(Tabla3[[#This Row],[PATENTE]],'BASE DATOS'!F:J,5,0)</f>
        <v>SI</v>
      </c>
      <c r="I1119" s="584" t="str">
        <f>+VLOOKUP(Tabla3[[#This Row],[PATENTE]],'BASE DATOS'!F:K,6,0)</f>
        <v>SI</v>
      </c>
      <c r="J1119" s="584">
        <f>+VLOOKUP(Tabla3[[#This Row],[PATENTE]],'BASE DATOS'!F:L,7,0)</f>
        <v>2017</v>
      </c>
      <c r="K1119" s="619">
        <f>+VLOOKUP(Tabla3[[#This Row],[PATENTE]],'BASE DATOS'!F:M,8,0)</f>
        <v>8</v>
      </c>
    </row>
    <row r="1120" spans="1:11" hidden="1">
      <c r="A1120" s="578" t="s">
        <v>880</v>
      </c>
      <c r="B1120" s="584">
        <v>3</v>
      </c>
      <c r="C1120" s="589">
        <v>45985</v>
      </c>
      <c r="D1120" s="582">
        <f t="shared" si="42"/>
        <v>48</v>
      </c>
      <c r="E1120" s="618" t="str">
        <f>+VLOOKUP(Tabla3[[#This Row],[PATENTE]],'BASE DATOS'!F:G,2,0)</f>
        <v xml:space="preserve">LAURIA (SERVAL) - AD575XK </v>
      </c>
      <c r="F1120" s="584" t="str">
        <f>+VLOOKUP(Tabla3[[#This Row],[PATENTE]],'BASE DATOS'!F:H,3,0)</f>
        <v>8P</v>
      </c>
      <c r="G1120" s="584" t="str">
        <f>+VLOOKUP(Tabla3[[#This Row],[PATENTE]],'BASE DATOS'!F:I,4,0)</f>
        <v>SI</v>
      </c>
      <c r="H1120" s="584" t="str">
        <f>+VLOOKUP(Tabla3[[#This Row],[PATENTE]],'BASE DATOS'!F:J,5,0)</f>
        <v>SI</v>
      </c>
      <c r="I1120" s="584" t="str">
        <f>+VLOOKUP(Tabla3[[#This Row],[PATENTE]],'BASE DATOS'!F:K,6,0)</f>
        <v>NO</v>
      </c>
      <c r="J1120" s="584">
        <f>+VLOOKUP(Tabla3[[#This Row],[PATENTE]],'BASE DATOS'!F:L,7,0)</f>
        <v>2019</v>
      </c>
      <c r="K1120" s="619">
        <f>+VLOOKUP(Tabla3[[#This Row],[PATENTE]],'BASE DATOS'!F:M,8,0)</f>
        <v>6</v>
      </c>
    </row>
    <row r="1121" spans="1:11" hidden="1">
      <c r="A1121" s="578" t="s">
        <v>893</v>
      </c>
      <c r="B1121" s="584">
        <v>3</v>
      </c>
      <c r="C1121" s="589">
        <v>45985</v>
      </c>
      <c r="D1121" s="582">
        <f t="shared" si="42"/>
        <v>48</v>
      </c>
      <c r="E1121" s="618" t="str">
        <f>+VLOOKUP(Tabla3[[#This Row],[PATENTE]],'BASE DATOS'!F:G,2,0)</f>
        <v xml:space="preserve">GANZINI HUGO - CFF038 </v>
      </c>
      <c r="F1121" s="584" t="str">
        <f>+VLOOKUP(Tabla3[[#This Row],[PATENTE]],'BASE DATOS'!F:H,3,0)</f>
        <v>2P</v>
      </c>
      <c r="G1121" s="584" t="str">
        <f>+VLOOKUP(Tabla3[[#This Row],[PATENTE]],'BASE DATOS'!F:I,4,0)</f>
        <v>SI</v>
      </c>
      <c r="H1121" s="584" t="str">
        <f>+VLOOKUP(Tabla3[[#This Row],[PATENTE]],'BASE DATOS'!F:J,5,0)</f>
        <v>SI</v>
      </c>
      <c r="I1121" s="584" t="str">
        <f>+VLOOKUP(Tabla3[[#This Row],[PATENTE]],'BASE DATOS'!F:K,6,0)</f>
        <v>NO</v>
      </c>
      <c r="J1121" s="584">
        <f>+VLOOKUP(Tabla3[[#This Row],[PATENTE]],'BASE DATOS'!F:L,7,0)</f>
        <v>1999</v>
      </c>
      <c r="K1121" s="619">
        <f>+VLOOKUP(Tabla3[[#This Row],[PATENTE]],'BASE DATOS'!F:M,8,0)</f>
        <v>26</v>
      </c>
    </row>
    <row r="1122" spans="1:11" hidden="1">
      <c r="A1122" s="578" t="s">
        <v>918</v>
      </c>
      <c r="B1122" s="584">
        <v>3</v>
      </c>
      <c r="C1122" s="589">
        <v>45985</v>
      </c>
      <c r="D1122" s="582">
        <f t="shared" ref="D1122:D1144" si="43">+WEEKNUM(C1122)</f>
        <v>48</v>
      </c>
      <c r="E1122" s="618" t="str">
        <f>+VLOOKUP(Tabla3[[#This Row],[PATENTE]],'BASE DATOS'!F:G,2,0)</f>
        <v>TRANSPORTE GENA GAIA - DGO507</v>
      </c>
      <c r="F1122" s="584" t="str">
        <f>+VLOOKUP(Tabla3[[#This Row],[PATENTE]],'BASE DATOS'!F:H,3,0)</f>
        <v>24P</v>
      </c>
      <c r="G1122" s="584" t="str">
        <f>+VLOOKUP(Tabla3[[#This Row],[PATENTE]],'BASE DATOS'!F:I,4,0)</f>
        <v>Gestya</v>
      </c>
      <c r="H1122" s="584" t="str">
        <f>+VLOOKUP(Tabla3[[#This Row],[PATENTE]],'BASE DATOS'!F:J,5,0)</f>
        <v xml:space="preserve">NO </v>
      </c>
      <c r="I1122" s="584" t="str">
        <f>+VLOOKUP(Tabla3[[#This Row],[PATENTE]],'BASE DATOS'!F:K,6,0)</f>
        <v>NO</v>
      </c>
      <c r="J1122" s="584">
        <f>+VLOOKUP(Tabla3[[#This Row],[PATENTE]],'BASE DATOS'!F:L,7,0)</f>
        <v>2001</v>
      </c>
      <c r="K1122" s="619">
        <f>+VLOOKUP(Tabla3[[#This Row],[PATENTE]],'BASE DATOS'!F:M,8,0)</f>
        <v>24</v>
      </c>
    </row>
    <row r="1123" spans="1:11" hidden="1">
      <c r="A1123" s="578" t="s">
        <v>900</v>
      </c>
      <c r="B1123" s="584">
        <v>3</v>
      </c>
      <c r="C1123" s="589">
        <v>45985</v>
      </c>
      <c r="D1123" s="582">
        <f t="shared" si="43"/>
        <v>48</v>
      </c>
      <c r="E1123" s="618" t="str">
        <f>+VLOOKUP(Tabla3[[#This Row],[PATENTE]],'BASE DATOS'!F:G,2,0)</f>
        <v>TRANSPORTE GENA GAIA - IMO939</v>
      </c>
      <c r="F1123" s="584" t="str">
        <f>+VLOOKUP(Tabla3[[#This Row],[PATENTE]],'BASE DATOS'!F:H,3,0)</f>
        <v>24P</v>
      </c>
      <c r="G1123" s="584" t="str">
        <f>+VLOOKUP(Tabla3[[#This Row],[PATENTE]],'BASE DATOS'!F:I,4,0)</f>
        <v>Gestya</v>
      </c>
      <c r="H1123" s="584" t="str">
        <f>+VLOOKUP(Tabla3[[#This Row],[PATENTE]],'BASE DATOS'!F:J,5,0)</f>
        <v xml:space="preserve">NO </v>
      </c>
      <c r="I1123" s="584" t="str">
        <f>+VLOOKUP(Tabla3[[#This Row],[PATENTE]],'BASE DATOS'!F:K,6,0)</f>
        <v>NO</v>
      </c>
      <c r="J1123" s="584">
        <f>+VLOOKUP(Tabla3[[#This Row],[PATENTE]],'BASE DATOS'!F:L,7,0)</f>
        <v>2010</v>
      </c>
      <c r="K1123" s="619">
        <f>+VLOOKUP(Tabla3[[#This Row],[PATENTE]],'BASE DATOS'!F:M,8,0)</f>
        <v>15</v>
      </c>
    </row>
    <row r="1124" spans="1:11" hidden="1">
      <c r="A1124" s="578" t="s">
        <v>901</v>
      </c>
      <c r="B1124" s="584">
        <v>3</v>
      </c>
      <c r="C1124" s="589">
        <v>45985</v>
      </c>
      <c r="D1124" s="582">
        <f t="shared" si="43"/>
        <v>48</v>
      </c>
      <c r="E1124" s="618" t="str">
        <f>+VLOOKUP(Tabla3[[#This Row],[PATENTE]],'BASE DATOS'!F:G,2,0)</f>
        <v xml:space="preserve">TRANSPORTE  GRACIELA - IYE750 </v>
      </c>
      <c r="F1124" s="584" t="str">
        <f>+VLOOKUP(Tabla3[[#This Row],[PATENTE]],'BASE DATOS'!F:H,3,0)</f>
        <v>1P</v>
      </c>
      <c r="G1124" s="584" t="str">
        <f>+VLOOKUP(Tabla3[[#This Row],[PATENTE]],'BASE DATOS'!F:I,4,0)</f>
        <v>NO</v>
      </c>
      <c r="H1124" s="584" t="str">
        <f>+VLOOKUP(Tabla3[[#This Row],[PATENTE]],'BASE DATOS'!F:J,5,0)</f>
        <v>SI</v>
      </c>
      <c r="I1124" s="584" t="str">
        <f>+VLOOKUP(Tabla3[[#This Row],[PATENTE]],'BASE DATOS'!F:K,6,0)</f>
        <v>NO</v>
      </c>
      <c r="J1124" s="584">
        <f>+VLOOKUP(Tabla3[[#This Row],[PATENTE]],'BASE DATOS'!F:L,7,0)</f>
        <v>2009</v>
      </c>
      <c r="K1124" s="619">
        <f>+VLOOKUP(Tabla3[[#This Row],[PATENTE]],'BASE DATOS'!F:M,8,0)</f>
        <v>16</v>
      </c>
    </row>
    <row r="1125" spans="1:11" hidden="1">
      <c r="A1125" s="578" t="s">
        <v>939</v>
      </c>
      <c r="B1125" s="584">
        <v>3</v>
      </c>
      <c r="C1125" s="589">
        <v>45985</v>
      </c>
      <c r="D1125" s="582">
        <f t="shared" si="43"/>
        <v>48</v>
      </c>
      <c r="E1125" s="618" t="str">
        <f>+VLOOKUP(Tabla3[[#This Row],[PATENTE]],'BASE DATOS'!F:G,2,0)</f>
        <v>TRANSP CLAUDIO BUSTOS - JOQ178</v>
      </c>
      <c r="F1125" s="584" t="str">
        <f>+VLOOKUP(Tabla3[[#This Row],[PATENTE]],'BASE DATOS'!F:H,3,0)</f>
        <v>1P</v>
      </c>
      <c r="G1125" s="584" t="str">
        <f>+VLOOKUP(Tabla3[[#This Row],[PATENTE]],'BASE DATOS'!F:I,4,0)</f>
        <v>NO</v>
      </c>
      <c r="H1125" s="584" t="str">
        <f>+VLOOKUP(Tabla3[[#This Row],[PATENTE]],'BASE DATOS'!F:J,5,0)</f>
        <v>SI</v>
      </c>
      <c r="I1125" s="584" t="str">
        <f>+VLOOKUP(Tabla3[[#This Row],[PATENTE]],'BASE DATOS'!F:K,6,0)</f>
        <v>NO</v>
      </c>
      <c r="J1125" s="584">
        <f>+VLOOKUP(Tabla3[[#This Row],[PATENTE]],'BASE DATOS'!F:L,7,0)</f>
        <v>2010</v>
      </c>
      <c r="K1125" s="619">
        <f>+VLOOKUP(Tabla3[[#This Row],[PATENTE]],'BASE DATOS'!F:M,8,0)</f>
        <v>15</v>
      </c>
    </row>
    <row r="1126" spans="1:11" hidden="1">
      <c r="A1126" s="578" t="s">
        <v>909</v>
      </c>
      <c r="B1126" s="584">
        <v>3</v>
      </c>
      <c r="C1126" s="589">
        <v>45985</v>
      </c>
      <c r="D1126" s="582">
        <f t="shared" si="43"/>
        <v>48</v>
      </c>
      <c r="E1126" s="618" t="str">
        <f>+VLOOKUP(Tabla3[[#This Row],[PATENTE]],'BASE DATOS'!F:G,2,0)</f>
        <v xml:space="preserve">CRISTIAN MOYA - NHR055 </v>
      </c>
      <c r="F1126" s="584" t="str">
        <f>+VLOOKUP(Tabla3[[#This Row],[PATENTE]],'BASE DATOS'!F:H,3,0)</f>
        <v>6P</v>
      </c>
      <c r="G1126" s="584" t="str">
        <f>+VLOOKUP(Tabla3[[#This Row],[PATENTE]],'BASE DATOS'!F:I,4,0)</f>
        <v>SI</v>
      </c>
      <c r="H1126" s="584" t="str">
        <f>+VLOOKUP(Tabla3[[#This Row],[PATENTE]],'BASE DATOS'!F:J,5,0)</f>
        <v>SI</v>
      </c>
      <c r="I1126" s="584" t="str">
        <f>+VLOOKUP(Tabla3[[#This Row],[PATENTE]],'BASE DATOS'!F:K,6,0)</f>
        <v>NO</v>
      </c>
      <c r="J1126" s="584">
        <f>+VLOOKUP(Tabla3[[#This Row],[PATENTE]],'BASE DATOS'!F:L,7,0)</f>
        <v>2013</v>
      </c>
      <c r="K1126" s="619">
        <f>+VLOOKUP(Tabla3[[#This Row],[PATENTE]],'BASE DATOS'!F:M,8,0)</f>
        <v>12</v>
      </c>
    </row>
    <row r="1127" spans="1:11" hidden="1">
      <c r="A1127" s="578" t="s">
        <v>896</v>
      </c>
      <c r="B1127" s="584">
        <v>3</v>
      </c>
      <c r="C1127" s="589">
        <v>45985</v>
      </c>
      <c r="D1127" s="582">
        <f t="shared" si="43"/>
        <v>48</v>
      </c>
      <c r="E1127" s="618" t="str">
        <f>+VLOOKUP(Tabla3[[#This Row],[PATENTE]],'BASE DATOS'!F:G,2,0)</f>
        <v xml:space="preserve">TRANSP MAVIR - RHQ609 </v>
      </c>
      <c r="F1127" s="584" t="str">
        <f>+VLOOKUP(Tabla3[[#This Row],[PATENTE]],'BASE DATOS'!F:H,3,0)</f>
        <v>10P</v>
      </c>
      <c r="G1127" s="584" t="str">
        <f>+VLOOKUP(Tabla3[[#This Row],[PATENTE]],'BASE DATOS'!F:I,4,0)</f>
        <v>NO</v>
      </c>
      <c r="H1127" s="584" t="str">
        <f>+VLOOKUP(Tabla3[[#This Row],[PATENTE]],'BASE DATOS'!F:J,5,0)</f>
        <v xml:space="preserve">NO </v>
      </c>
      <c r="I1127" s="584" t="str">
        <f>+VLOOKUP(Tabla3[[#This Row],[PATENTE]],'BASE DATOS'!F:K,6,0)</f>
        <v>NO</v>
      </c>
      <c r="J1127" s="584">
        <f>+VLOOKUP(Tabla3[[#This Row],[PATENTE]],'BASE DATOS'!F:L,7,0)</f>
        <v>1995</v>
      </c>
      <c r="K1127" s="593">
        <v>0</v>
      </c>
    </row>
    <row r="1128" spans="1:11" hidden="1">
      <c r="A1128" s="578" t="s">
        <v>883</v>
      </c>
      <c r="B1128" s="584">
        <v>2</v>
      </c>
      <c r="C1128" s="589">
        <v>45985</v>
      </c>
      <c r="D1128" s="582">
        <f t="shared" si="43"/>
        <v>48</v>
      </c>
      <c r="E1128" s="618" t="str">
        <f>+VLOOKUP(Tabla3[[#This Row],[PATENTE]],'BASE DATOS'!F:G,2,0)</f>
        <v xml:space="preserve">PACHECO JULIO - ACI503 </v>
      </c>
      <c r="F1128" s="584" t="str">
        <f>+VLOOKUP(Tabla3[[#This Row],[PATENTE]],'BASE DATOS'!F:H,3,0)</f>
        <v>12P</v>
      </c>
      <c r="G1128" s="584" t="str">
        <f>+VLOOKUP(Tabla3[[#This Row],[PATENTE]],'BASE DATOS'!F:I,4,0)</f>
        <v>NO</v>
      </c>
      <c r="H1128" s="584" t="str">
        <f>+VLOOKUP(Tabla3[[#This Row],[PATENTE]],'BASE DATOS'!F:J,5,0)</f>
        <v>SI</v>
      </c>
      <c r="I1128" s="584" t="str">
        <f>+VLOOKUP(Tabla3[[#This Row],[PATENTE]],'BASE DATOS'!F:K,6,0)</f>
        <v>SI</v>
      </c>
      <c r="J1128" s="584">
        <f>+VLOOKUP(Tabla3[[#This Row],[PATENTE]],'BASE DATOS'!F:L,7,0)</f>
        <v>2000</v>
      </c>
      <c r="K1128" s="619">
        <f>+VLOOKUP(Tabla3[[#This Row],[PATENTE]],'BASE DATOS'!F:M,8,0)</f>
        <v>25</v>
      </c>
    </row>
    <row r="1129" spans="1:11" hidden="1">
      <c r="A1129" s="578" t="s">
        <v>906</v>
      </c>
      <c r="B1129" s="584">
        <v>2</v>
      </c>
      <c r="C1129" s="589">
        <v>45985</v>
      </c>
      <c r="D1129" s="582">
        <f t="shared" si="43"/>
        <v>48</v>
      </c>
      <c r="E1129" s="618" t="str">
        <f>+VLOOKUP(Tabla3[[#This Row],[PATENTE]],'BASE DATOS'!F:G,2,0)</f>
        <v xml:space="preserve">VAZQUEZ (TRV SRL) - AD472GK </v>
      </c>
      <c r="F1129" s="584" t="str">
        <f>+VLOOKUP(Tabla3[[#This Row],[PATENTE]],'BASE DATOS'!F:H,3,0)</f>
        <v>8P</v>
      </c>
      <c r="G1129" s="584" t="str">
        <f>+VLOOKUP(Tabla3[[#This Row],[PATENTE]],'BASE DATOS'!F:I,4,0)</f>
        <v>NO</v>
      </c>
      <c r="H1129" s="584" t="str">
        <f>+VLOOKUP(Tabla3[[#This Row],[PATENTE]],'BASE DATOS'!F:J,5,0)</f>
        <v>NO</v>
      </c>
      <c r="I1129" s="584" t="str">
        <f>+VLOOKUP(Tabla3[[#This Row],[PATENTE]],'BASE DATOS'!F:K,6,0)</f>
        <v>SI</v>
      </c>
      <c r="J1129" s="584">
        <f>+VLOOKUP(Tabla3[[#This Row],[PATENTE]],'BASE DATOS'!F:L,7,0)</f>
        <v>2019</v>
      </c>
      <c r="K1129" s="619">
        <f>+VLOOKUP(Tabla3[[#This Row],[PATENTE]],'BASE DATOS'!F:M,8,0)</f>
        <v>6</v>
      </c>
    </row>
    <row r="1130" spans="1:11" hidden="1">
      <c r="A1130" s="578" t="s">
        <v>926</v>
      </c>
      <c r="B1130" s="584">
        <v>2</v>
      </c>
      <c r="C1130" s="589">
        <v>45985</v>
      </c>
      <c r="D1130" s="582">
        <f t="shared" si="43"/>
        <v>48</v>
      </c>
      <c r="E1130" s="618" t="str">
        <f>+VLOOKUP(Tabla3[[#This Row],[PATENTE]],'BASE DATOS'!F:G,2,0)</f>
        <v xml:space="preserve">TRANSPORTE GENA GAIA - DUF042 </v>
      </c>
      <c r="F1130" s="584" t="str">
        <f>+VLOOKUP(Tabla3[[#This Row],[PATENTE]],'BASE DATOS'!F:H,3,0)</f>
        <v>24P</v>
      </c>
      <c r="G1130" s="584" t="str">
        <f>+VLOOKUP(Tabla3[[#This Row],[PATENTE]],'BASE DATOS'!F:I,4,0)</f>
        <v>Gestya</v>
      </c>
      <c r="H1130" s="584" t="str">
        <f>+VLOOKUP(Tabla3[[#This Row],[PATENTE]],'BASE DATOS'!F:J,5,0)</f>
        <v xml:space="preserve">NO </v>
      </c>
      <c r="I1130" s="584" t="str">
        <f>+VLOOKUP(Tabla3[[#This Row],[PATENTE]],'BASE DATOS'!F:K,6,0)</f>
        <v>NO</v>
      </c>
      <c r="J1130" s="584">
        <f>+VLOOKUP(Tabla3[[#This Row],[PATENTE]],'BASE DATOS'!F:L,7,0)</f>
        <v>2001</v>
      </c>
      <c r="K1130" s="619">
        <f>+VLOOKUP(Tabla3[[#This Row],[PATENTE]],'BASE DATOS'!F:M,8,0)</f>
        <v>24</v>
      </c>
    </row>
    <row r="1131" spans="1:11" hidden="1">
      <c r="A1131" s="578" t="s">
        <v>932</v>
      </c>
      <c r="B1131" s="584">
        <v>2</v>
      </c>
      <c r="C1131" s="589">
        <v>45985</v>
      </c>
      <c r="D1131" s="582">
        <f t="shared" si="43"/>
        <v>48</v>
      </c>
      <c r="E1131" s="618" t="str">
        <f>+VLOOKUP(Tabla3[[#This Row],[PATENTE]],'BASE DATOS'!F:G,2,0)</f>
        <v xml:space="preserve">TRANSP MAVIR - EFL176 </v>
      </c>
      <c r="F1131" s="584" t="str">
        <f>+VLOOKUP(Tabla3[[#This Row],[PATENTE]],'BASE DATOS'!F:H,3,0)</f>
        <v>12P</v>
      </c>
      <c r="G1131" s="584" t="str">
        <f>+VLOOKUP(Tabla3[[#This Row],[PATENTE]],'BASE DATOS'!F:I,4,0)</f>
        <v>SI</v>
      </c>
      <c r="H1131" s="584" t="str">
        <f>+VLOOKUP(Tabla3[[#This Row],[PATENTE]],'BASE DATOS'!F:J,5,0)</f>
        <v>SI</v>
      </c>
      <c r="I1131" s="584" t="str">
        <f>+VLOOKUP(Tabla3[[#This Row],[PATENTE]],'BASE DATOS'!F:K,6,0)</f>
        <v>NO</v>
      </c>
      <c r="J1131" s="584">
        <f>+VLOOKUP(Tabla3[[#This Row],[PATENTE]],'BASE DATOS'!F:L,7,0)</f>
        <v>1998</v>
      </c>
      <c r="K1131" s="619">
        <f>+VLOOKUP(Tabla3[[#This Row],[PATENTE]],'BASE DATOS'!F:M,8,0)</f>
        <v>27</v>
      </c>
    </row>
    <row r="1132" spans="1:11" hidden="1">
      <c r="A1132" s="578" t="s">
        <v>915</v>
      </c>
      <c r="B1132" s="584">
        <v>2</v>
      </c>
      <c r="C1132" s="589">
        <v>45985</v>
      </c>
      <c r="D1132" s="582">
        <f t="shared" si="43"/>
        <v>48</v>
      </c>
      <c r="E1132" s="618" t="str">
        <f>+VLOOKUP(Tabla3[[#This Row],[PATENTE]],'BASE DATOS'!F:G,2,0)</f>
        <v>TRANSPORTE GRACIELA - FPL254</v>
      </c>
      <c r="F1132" s="584" t="str">
        <f>+VLOOKUP(Tabla3[[#This Row],[PATENTE]],'BASE DATOS'!F:H,3,0)</f>
        <v>2P</v>
      </c>
      <c r="G1132" s="584" t="str">
        <f>+VLOOKUP(Tabla3[[#This Row],[PATENTE]],'BASE DATOS'!F:I,4,0)</f>
        <v>SI</v>
      </c>
      <c r="H1132" s="584" t="str">
        <f>+VLOOKUP(Tabla3[[#This Row],[PATENTE]],'BASE DATOS'!F:J,5,0)</f>
        <v>NO (CAMI)</v>
      </c>
      <c r="I1132" s="584" t="str">
        <f>+VLOOKUP(Tabla3[[#This Row],[PATENTE]],'BASE DATOS'!F:K,6,0)</f>
        <v>NO</v>
      </c>
      <c r="J1132" s="584">
        <f>+VLOOKUP(Tabla3[[#This Row],[PATENTE]],'BASE DATOS'!F:L,7,0)</f>
        <v>2012</v>
      </c>
      <c r="K1132" s="619">
        <f>+VLOOKUP(Tabla3[[#This Row],[PATENTE]],'BASE DATOS'!F:M,8,0)</f>
        <v>13</v>
      </c>
    </row>
    <row r="1133" spans="1:11" hidden="1">
      <c r="A1133" s="578" t="s">
        <v>930</v>
      </c>
      <c r="B1133" s="584">
        <v>2</v>
      </c>
      <c r="C1133" s="589">
        <v>45985</v>
      </c>
      <c r="D1133" s="582">
        <f t="shared" si="43"/>
        <v>48</v>
      </c>
      <c r="E1133" s="618" t="str">
        <f>+VLOOKUP(Tabla3[[#This Row],[PATENTE]],'BASE DATOS'!F:G,2,0)</f>
        <v xml:space="preserve">GANZINI HUGO - JJF375 </v>
      </c>
      <c r="F1133" s="584" t="str">
        <f>+VLOOKUP(Tabla3[[#This Row],[PATENTE]],'BASE DATOS'!F:H,3,0)</f>
        <v>14P</v>
      </c>
      <c r="G1133" s="584" t="str">
        <f>+VLOOKUP(Tabla3[[#This Row],[PATENTE]],'BASE DATOS'!F:I,4,0)</f>
        <v>SI</v>
      </c>
      <c r="H1133" s="584" t="str">
        <f>+VLOOKUP(Tabla3[[#This Row],[PATENTE]],'BASE DATOS'!F:J,5,0)</f>
        <v xml:space="preserve">NO </v>
      </c>
      <c r="I1133" s="584" t="str">
        <f>+VLOOKUP(Tabla3[[#This Row],[PATENTE]],'BASE DATOS'!F:K,6,0)</f>
        <v>NO</v>
      </c>
      <c r="J1133" s="584">
        <f>+VLOOKUP(Tabla3[[#This Row],[PATENTE]],'BASE DATOS'!F:L,7,0)</f>
        <v>2011</v>
      </c>
      <c r="K1133" s="619">
        <f>+VLOOKUP(Tabla3[[#This Row],[PATENTE]],'BASE DATOS'!F:M,8,0)</f>
        <v>14</v>
      </c>
    </row>
    <row r="1134" spans="1:11" hidden="1">
      <c r="A1134" s="578" t="s">
        <v>925</v>
      </c>
      <c r="B1134" s="584">
        <v>2</v>
      </c>
      <c r="C1134" s="589">
        <v>45985</v>
      </c>
      <c r="D1134" s="582">
        <f t="shared" si="43"/>
        <v>48</v>
      </c>
      <c r="E1134" s="618" t="str">
        <f>+VLOOKUP(Tabla3[[#This Row],[PATENTE]],'BASE DATOS'!F:G,2,0)</f>
        <v xml:space="preserve">TRANSP MAIDANA FACUNDO - KOW745 </v>
      </c>
      <c r="F1134" s="584" t="str">
        <f>+VLOOKUP(Tabla3[[#This Row],[PATENTE]],'BASE DATOS'!F:H,3,0)</f>
        <v>8P</v>
      </c>
      <c r="G1134" s="584" t="str">
        <f>+VLOOKUP(Tabla3[[#This Row],[PATENTE]],'BASE DATOS'!F:I,4,0)</f>
        <v>SI</v>
      </c>
      <c r="H1134" s="584" t="str">
        <f>+VLOOKUP(Tabla3[[#This Row],[PATENTE]],'BASE DATOS'!F:J,5,0)</f>
        <v>SI</v>
      </c>
      <c r="I1134" s="584" t="str">
        <f>+VLOOKUP(Tabla3[[#This Row],[PATENTE]],'BASE DATOS'!F:K,6,0)</f>
        <v>NO</v>
      </c>
      <c r="J1134" s="584">
        <f>+VLOOKUP(Tabla3[[#This Row],[PATENTE]],'BASE DATOS'!F:L,7,0)</f>
        <v>2012</v>
      </c>
      <c r="K1134" s="619">
        <f>+VLOOKUP(Tabla3[[#This Row],[PATENTE]],'BASE DATOS'!F:M,8,0)</f>
        <v>13</v>
      </c>
    </row>
    <row r="1135" spans="1:11" hidden="1">
      <c r="A1135" s="578" t="s">
        <v>940</v>
      </c>
      <c r="B1135" s="584">
        <v>1</v>
      </c>
      <c r="C1135" s="589">
        <v>45985</v>
      </c>
      <c r="D1135" s="582">
        <f t="shared" si="43"/>
        <v>48</v>
      </c>
      <c r="E1135" s="618" t="str">
        <f>+VLOOKUP(Tabla3[[#This Row],[PATENTE]],'BASE DATOS'!F:G,2,0)</f>
        <v xml:space="preserve">BELLIMAR SRL - AA358EQ </v>
      </c>
      <c r="F1135" s="584" t="str">
        <f>+VLOOKUP(Tabla3[[#This Row],[PATENTE]],'BASE DATOS'!F:H,3,0)</f>
        <v>8P</v>
      </c>
      <c r="G1135" s="584" t="str">
        <f>+VLOOKUP(Tabla3[[#This Row],[PATENTE]],'BASE DATOS'!F:I,4,0)</f>
        <v>NO</v>
      </c>
      <c r="H1135" s="584" t="str">
        <f>+VLOOKUP(Tabla3[[#This Row],[PATENTE]],'BASE DATOS'!F:J,5,0)</f>
        <v xml:space="preserve">NO </v>
      </c>
      <c r="I1135" s="584" t="str">
        <f>+VLOOKUP(Tabla3[[#This Row],[PATENTE]],'BASE DATOS'!F:K,6,0)</f>
        <v>NO</v>
      </c>
      <c r="J1135" s="584">
        <f>+VLOOKUP(Tabla3[[#This Row],[PATENTE]],'BASE DATOS'!F:L,7,0)</f>
        <v>2016</v>
      </c>
      <c r="K1135" s="619">
        <f>+VLOOKUP(Tabla3[[#This Row],[PATENTE]],'BASE DATOS'!F:M,8,0)</f>
        <v>9</v>
      </c>
    </row>
    <row r="1136" spans="1:11" hidden="1">
      <c r="A1136" s="578" t="s">
        <v>1133</v>
      </c>
      <c r="B1136" s="584">
        <v>1</v>
      </c>
      <c r="C1136" s="589">
        <v>45985</v>
      </c>
      <c r="D1136" s="582">
        <f t="shared" si="43"/>
        <v>48</v>
      </c>
      <c r="E1136" s="618" t="str">
        <f>+VLOOKUP(Tabla3[[#This Row],[PATENTE]],'BASE DATOS'!F:G,2,0)</f>
        <v xml:space="preserve">BELLIMAR SRL - AB787MT </v>
      </c>
      <c r="F1136" s="584" t="str">
        <f>+VLOOKUP(Tabla3[[#This Row],[PATENTE]],'BASE DATOS'!F:H,3,0)</f>
        <v>28P</v>
      </c>
      <c r="G1136" s="584" t="str">
        <f>+VLOOKUP(Tabla3[[#This Row],[PATENTE]],'BASE DATOS'!F:I,4,0)</f>
        <v>NO</v>
      </c>
      <c r="H1136" s="584" t="str">
        <f>+VLOOKUP(Tabla3[[#This Row],[PATENTE]],'BASE DATOS'!F:J,5,0)</f>
        <v xml:space="preserve">NO </v>
      </c>
      <c r="I1136" s="584" t="str">
        <f>+VLOOKUP(Tabla3[[#This Row],[PATENTE]],'BASE DATOS'!F:K,6,0)</f>
        <v>NO</v>
      </c>
      <c r="J1136" s="584">
        <f>+VLOOKUP(Tabla3[[#This Row],[PATENTE]],'BASE DATOS'!F:L,7,0)</f>
        <v>2017</v>
      </c>
      <c r="K1136" s="619">
        <f>+VLOOKUP(Tabla3[[#This Row],[PATENTE]],'BASE DATOS'!F:M,8,0)</f>
        <v>8</v>
      </c>
    </row>
    <row r="1137" spans="1:11" hidden="1">
      <c r="A1137" s="578" t="s">
        <v>1168</v>
      </c>
      <c r="B1137" s="584">
        <v>1</v>
      </c>
      <c r="C1137" s="589">
        <v>45985</v>
      </c>
      <c r="D1137" s="582">
        <f t="shared" si="43"/>
        <v>48</v>
      </c>
      <c r="E1137" s="618" t="str">
        <f>+VLOOKUP(Tabla3[[#This Row],[PATENTE]],'BASE DATOS'!F:G,2,0)</f>
        <v>BELLIMAR SRL - AH493TR - 24P</v>
      </c>
      <c r="F1137" s="584" t="str">
        <f>+VLOOKUP(Tabla3[[#This Row],[PATENTE]],'BASE DATOS'!F:H,3,0)</f>
        <v>24P</v>
      </c>
      <c r="G1137" s="584" t="str">
        <f>+VLOOKUP(Tabla3[[#This Row],[PATENTE]],'BASE DATOS'!F:I,4,0)</f>
        <v>SI</v>
      </c>
      <c r="H1137" s="584" t="str">
        <f>+VLOOKUP(Tabla3[[#This Row],[PATENTE]],'BASE DATOS'!F:J,5,0)</f>
        <v xml:space="preserve">NO </v>
      </c>
      <c r="I1137" s="584" t="str">
        <f>+VLOOKUP(Tabla3[[#This Row],[PATENTE]],'BASE DATOS'!F:K,6,0)</f>
        <v>NO</v>
      </c>
      <c r="J1137" s="584">
        <f>+VLOOKUP(Tabla3[[#This Row],[PATENTE]],'BASE DATOS'!F:L,7,0)</f>
        <v>2025</v>
      </c>
      <c r="K1137" s="619">
        <f>+VLOOKUP(Tabla3[[#This Row],[PATENTE]],'BASE DATOS'!F:M,8,0)</f>
        <v>0</v>
      </c>
    </row>
    <row r="1138" spans="1:11" hidden="1">
      <c r="A1138" s="578" t="s">
        <v>929</v>
      </c>
      <c r="B1138" s="584">
        <v>1</v>
      </c>
      <c r="C1138" s="589">
        <v>45985</v>
      </c>
      <c r="D1138" s="582">
        <f t="shared" si="43"/>
        <v>48</v>
      </c>
      <c r="E1138" s="618" t="str">
        <f>+VLOOKUP(Tabla3[[#This Row],[PATENTE]],'BASE DATOS'!F:G,2,0)</f>
        <v xml:space="preserve">PRONTOMAR - BAI674 </v>
      </c>
      <c r="F1138" s="584" t="str">
        <f>+VLOOKUP(Tabla3[[#This Row],[PATENTE]],'BASE DATOS'!F:H,3,0)</f>
        <v>14P</v>
      </c>
      <c r="G1138" s="584" t="str">
        <f>+VLOOKUP(Tabla3[[#This Row],[PATENTE]],'BASE DATOS'!F:I,4,0)</f>
        <v>NO</v>
      </c>
      <c r="H1138" s="584" t="str">
        <f>+VLOOKUP(Tabla3[[#This Row],[PATENTE]],'BASE DATOS'!F:J,5,0)</f>
        <v xml:space="preserve">NO </v>
      </c>
      <c r="I1138" s="584" t="str">
        <f>+VLOOKUP(Tabla3[[#This Row],[PATENTE]],'BASE DATOS'!F:K,6,0)</f>
        <v>NO</v>
      </c>
      <c r="J1138" s="584">
        <f>+VLOOKUP(Tabla3[[#This Row],[PATENTE]],'BASE DATOS'!F:L,7,0)</f>
        <v>1996</v>
      </c>
      <c r="K1138" s="619">
        <f>+VLOOKUP(Tabla3[[#This Row],[PATENTE]],'BASE DATOS'!F:M,8,0)</f>
        <v>29</v>
      </c>
    </row>
    <row r="1139" spans="1:11" hidden="1">
      <c r="A1139" s="578" t="s">
        <v>944</v>
      </c>
      <c r="B1139" s="584">
        <v>1</v>
      </c>
      <c r="C1139" s="589">
        <v>45985</v>
      </c>
      <c r="D1139" s="582">
        <f t="shared" si="43"/>
        <v>48</v>
      </c>
      <c r="E1139" s="618" t="str">
        <f>+VLOOKUP(Tabla3[[#This Row],[PATENTE]],'BASE DATOS'!F:G,2,0)</f>
        <v xml:space="preserve">TRANSPORTE GENA GAIA - BHG261 </v>
      </c>
      <c r="F1139" s="584" t="str">
        <f>+VLOOKUP(Tabla3[[#This Row],[PATENTE]],'BASE DATOS'!F:H,3,0)</f>
        <v>26P</v>
      </c>
      <c r="G1139" s="584" t="str">
        <f>+VLOOKUP(Tabla3[[#This Row],[PATENTE]],'BASE DATOS'!F:I,4,0)</f>
        <v>Gestya</v>
      </c>
      <c r="H1139" s="584" t="str">
        <f>+VLOOKUP(Tabla3[[#This Row],[PATENTE]],'BASE DATOS'!F:J,5,0)</f>
        <v xml:space="preserve">NO </v>
      </c>
      <c r="I1139" s="584" t="str">
        <f>+VLOOKUP(Tabla3[[#This Row],[PATENTE]],'BASE DATOS'!F:K,6,0)</f>
        <v>NO</v>
      </c>
      <c r="J1139" s="584">
        <f>+VLOOKUP(Tabla3[[#This Row],[PATENTE]],'BASE DATOS'!F:L,7,0)</f>
        <v>1997</v>
      </c>
      <c r="K1139" s="619">
        <f>+VLOOKUP(Tabla3[[#This Row],[PATENTE]],'BASE DATOS'!F:M,8,0)</f>
        <v>28</v>
      </c>
    </row>
    <row r="1140" spans="1:11" hidden="1">
      <c r="A1140" s="578" t="s">
        <v>935</v>
      </c>
      <c r="B1140" s="584">
        <v>1</v>
      </c>
      <c r="C1140" s="589">
        <v>45985</v>
      </c>
      <c r="D1140" s="582">
        <f t="shared" si="43"/>
        <v>48</v>
      </c>
      <c r="E1140" s="618" t="str">
        <f>+VLOOKUP(Tabla3[[#This Row],[PATENTE]],'BASE DATOS'!F:G,2,0)</f>
        <v>GANZINI HUGO -DMP850</v>
      </c>
      <c r="F1140" s="584" t="str">
        <f>+VLOOKUP(Tabla3[[#This Row],[PATENTE]],'BASE DATOS'!F:H,3,0)</f>
        <v>2P</v>
      </c>
      <c r="G1140" s="584" t="str">
        <f>+VLOOKUP(Tabla3[[#This Row],[PATENTE]],'BASE DATOS'!F:I,4,0)</f>
        <v>NO</v>
      </c>
      <c r="H1140" s="584" t="str">
        <f>+VLOOKUP(Tabla3[[#This Row],[PATENTE]],'BASE DATOS'!F:J,5,0)</f>
        <v xml:space="preserve">NO </v>
      </c>
      <c r="I1140" s="584" t="str">
        <f>+VLOOKUP(Tabla3[[#This Row],[PATENTE]],'BASE DATOS'!F:K,6,0)</f>
        <v>NO</v>
      </c>
      <c r="J1140" s="584">
        <f>+VLOOKUP(Tabla3[[#This Row],[PATENTE]],'BASE DATOS'!F:L,7,0)</f>
        <v>2000</v>
      </c>
      <c r="K1140" s="619">
        <f>+VLOOKUP(Tabla3[[#This Row],[PATENTE]],'BASE DATOS'!F:M,8,0)</f>
        <v>25</v>
      </c>
    </row>
    <row r="1141" spans="1:11" hidden="1">
      <c r="A1141" s="578" t="s">
        <v>927</v>
      </c>
      <c r="B1141" s="584">
        <v>1</v>
      </c>
      <c r="C1141" s="589">
        <v>45985</v>
      </c>
      <c r="D1141" s="582">
        <f t="shared" si="43"/>
        <v>48</v>
      </c>
      <c r="E1141" s="618" t="str">
        <f>+VLOOKUP(Tabla3[[#This Row],[PATENTE]],'BASE DATOS'!F:G,2,0)</f>
        <v xml:space="preserve">TRANSP MAVIR - EKE275 </v>
      </c>
      <c r="F1141" s="584" t="str">
        <f>+VLOOKUP(Tabla3[[#This Row],[PATENTE]],'BASE DATOS'!F:H,3,0)</f>
        <v>11P</v>
      </c>
      <c r="G1141" s="584" t="str">
        <f>+VLOOKUP(Tabla3[[#This Row],[PATENTE]],'BASE DATOS'!F:I,4,0)</f>
        <v>NO</v>
      </c>
      <c r="H1141" s="584" t="str">
        <f>+VLOOKUP(Tabla3[[#This Row],[PATENTE]],'BASE DATOS'!F:J,5,0)</f>
        <v xml:space="preserve">NO </v>
      </c>
      <c r="I1141" s="584" t="str">
        <f>+VLOOKUP(Tabla3[[#This Row],[PATENTE]],'BASE DATOS'!F:K,6,0)</f>
        <v>NO</v>
      </c>
      <c r="J1141" s="584">
        <f>+VLOOKUP(Tabla3[[#This Row],[PATENTE]],'BASE DATOS'!F:L,7,0)</f>
        <v>2004</v>
      </c>
      <c r="K1141" s="593">
        <v>0</v>
      </c>
    </row>
    <row r="1142" spans="1:11" hidden="1">
      <c r="A1142" s="578" t="s">
        <v>938</v>
      </c>
      <c r="B1142" s="584">
        <v>1</v>
      </c>
      <c r="C1142" s="589">
        <v>45985</v>
      </c>
      <c r="D1142" s="582">
        <f t="shared" si="43"/>
        <v>48</v>
      </c>
      <c r="E1142" s="618" t="str">
        <f>+VLOOKUP(Tabla3[[#This Row],[PATENTE]],'BASE DATOS'!F:G,2,0)</f>
        <v>TRANSPORTE GENA GAIA - GYH519  - 26P</v>
      </c>
      <c r="F1142" s="584" t="str">
        <f>+VLOOKUP(Tabla3[[#This Row],[PATENTE]],'BASE DATOS'!F:H,3,0)</f>
        <v>26P</v>
      </c>
      <c r="G1142" s="584" t="str">
        <f>+VLOOKUP(Tabla3[[#This Row],[PATENTE]],'BASE DATOS'!F:I,4,0)</f>
        <v>GESTYA</v>
      </c>
      <c r="H1142" s="584" t="str">
        <f>+VLOOKUP(Tabla3[[#This Row],[PATENTE]],'BASE DATOS'!F:J,5,0)</f>
        <v xml:space="preserve">NO </v>
      </c>
      <c r="I1142" s="584" t="str">
        <f>+VLOOKUP(Tabla3[[#This Row],[PATENTE]],'BASE DATOS'!F:K,6,0)</f>
        <v>NO</v>
      </c>
      <c r="J1142" s="584">
        <f>+VLOOKUP(Tabla3[[#This Row],[PATENTE]],'BASE DATOS'!F:L,7,0)</f>
        <v>2008</v>
      </c>
      <c r="K1142" s="619">
        <f>+VLOOKUP(Tabla3[[#This Row],[PATENTE]],'BASE DATOS'!F:M,8,0)</f>
        <v>17</v>
      </c>
    </row>
    <row r="1143" spans="1:11" hidden="1">
      <c r="A1143" s="578" t="s">
        <v>924</v>
      </c>
      <c r="B1143" s="584">
        <v>1</v>
      </c>
      <c r="C1143" s="589">
        <v>45985</v>
      </c>
      <c r="D1143" s="582">
        <f t="shared" si="43"/>
        <v>48</v>
      </c>
      <c r="E1143" s="618" t="str">
        <f>+VLOOKUP(Tabla3[[#This Row],[PATENTE]],'BASE DATOS'!F:G,2,0)</f>
        <v>TRANSP MAVIR - HRZ429 -16P</v>
      </c>
      <c r="F1143" s="584" t="str">
        <f>+VLOOKUP(Tabla3[[#This Row],[PATENTE]],'BASE DATOS'!F:H,3,0)</f>
        <v>16P</v>
      </c>
      <c r="G1143" s="584" t="str">
        <f>+VLOOKUP(Tabla3[[#This Row],[PATENTE]],'BASE DATOS'!F:I,4,0)</f>
        <v>SI</v>
      </c>
      <c r="H1143" s="584" t="str">
        <f>+VLOOKUP(Tabla3[[#This Row],[PATENTE]],'BASE DATOS'!F:J,5,0)</f>
        <v xml:space="preserve">NO </v>
      </c>
      <c r="I1143" s="584" t="str">
        <f>+VLOOKUP(Tabla3[[#This Row],[PATENTE]],'BASE DATOS'!F:K,6,0)</f>
        <v>NO</v>
      </c>
      <c r="J1143" s="584">
        <f>+VLOOKUP(Tabla3[[#This Row],[PATENTE]],'BASE DATOS'!F:L,7,0)</f>
        <v>2008</v>
      </c>
      <c r="K1143" s="619">
        <f>+VLOOKUP(Tabla3[[#This Row],[PATENTE]],'BASE DATOS'!F:M,8,0)</f>
        <v>17</v>
      </c>
    </row>
    <row r="1144" spans="1:11" hidden="1">
      <c r="A1144" s="581" t="s">
        <v>902</v>
      </c>
      <c r="B1144" s="587">
        <v>1</v>
      </c>
      <c r="C1144" s="589">
        <v>45985</v>
      </c>
      <c r="D1144" s="583">
        <f t="shared" si="43"/>
        <v>48</v>
      </c>
      <c r="E1144" s="620" t="str">
        <f>+VLOOKUP(Tabla3[[#This Row],[PATENTE]],'BASE DATOS'!F:G,2,0)</f>
        <v xml:space="preserve">GUSTAVO CERQUETTA - KZA644 </v>
      </c>
      <c r="F1144" s="587" t="str">
        <f>+VLOOKUP(Tabla3[[#This Row],[PATENTE]],'BASE DATOS'!F:H,3,0)</f>
        <v>2P</v>
      </c>
      <c r="G1144" s="587" t="str">
        <f>+VLOOKUP(Tabla3[[#This Row],[PATENTE]],'BASE DATOS'!F:I,4,0)</f>
        <v>NO</v>
      </c>
      <c r="H1144" s="587" t="str">
        <f>+VLOOKUP(Tabla3[[#This Row],[PATENTE]],'BASE DATOS'!F:J,5,0)</f>
        <v>SI</v>
      </c>
      <c r="I1144" s="587" t="str">
        <f>+VLOOKUP(Tabla3[[#This Row],[PATENTE]],'BASE DATOS'!F:K,6,0)</f>
        <v>NO</v>
      </c>
      <c r="J1144" s="587">
        <f>+VLOOKUP(Tabla3[[#This Row],[PATENTE]],'BASE DATOS'!F:L,7,0)</f>
        <v>2012</v>
      </c>
      <c r="K1144" s="621">
        <f>+VLOOKUP(Tabla3[[#This Row],[PATENTE]],'BASE DATOS'!F:M,8,0)</f>
        <v>13</v>
      </c>
    </row>
    <row r="1145" spans="1:11" hidden="1">
      <c r="A1145" s="578" t="s">
        <v>912</v>
      </c>
      <c r="B1145" s="584">
        <v>8</v>
      </c>
      <c r="C1145" s="589">
        <v>45992</v>
      </c>
      <c r="D1145" s="582">
        <f t="shared" ref="D1145:D1176" si="44">+WEEKNUM(C1145)</f>
        <v>49</v>
      </c>
      <c r="E1145" s="618" t="str">
        <f>+VLOOKUP(Tabla3[[#This Row],[PATENTE]],'BASE DATOS'!F:G,2,0)</f>
        <v xml:space="preserve">PACHECO JULIO - AC028WN </v>
      </c>
      <c r="F1145" s="584" t="str">
        <f>+VLOOKUP(Tabla3[[#This Row],[PATENTE]],'BASE DATOS'!F:H,3,0)</f>
        <v>8P</v>
      </c>
      <c r="G1145" s="584" t="str">
        <f>+VLOOKUP(Tabla3[[#This Row],[PATENTE]],'BASE DATOS'!F:I,4,0)</f>
        <v>SI</v>
      </c>
      <c r="H1145" s="584" t="str">
        <f>+VLOOKUP(Tabla3[[#This Row],[PATENTE]],'BASE DATOS'!F:J,5,0)</f>
        <v>SI</v>
      </c>
      <c r="I1145" s="584" t="str">
        <f>+VLOOKUP(Tabla3[[#This Row],[PATENTE]],'BASE DATOS'!F:K,6,0)</f>
        <v>SI</v>
      </c>
      <c r="J1145" s="584">
        <f>+VLOOKUP(Tabla3[[#This Row],[PATENTE]],'BASE DATOS'!F:L,7,0)</f>
        <v>2017</v>
      </c>
      <c r="K1145" s="619">
        <f>+VLOOKUP(Tabla3[[#This Row],[PATENTE]],'BASE DATOS'!F:M,8,0)</f>
        <v>8</v>
      </c>
    </row>
    <row r="1146" spans="1:11" hidden="1">
      <c r="A1146" s="578" t="s">
        <v>884</v>
      </c>
      <c r="B1146" s="584">
        <v>6</v>
      </c>
      <c r="C1146" s="589">
        <v>45992</v>
      </c>
      <c r="D1146" s="582">
        <f t="shared" si="44"/>
        <v>49</v>
      </c>
      <c r="E1146" s="618" t="str">
        <f>+VLOOKUP(Tabla3[[#This Row],[PATENTE]],'BASE DATOS'!F:G,2,0)</f>
        <v xml:space="preserve">LAURIA (SERVAL) - AB233IT </v>
      </c>
      <c r="F1146" s="584" t="str">
        <f>+VLOOKUP(Tabla3[[#This Row],[PATENTE]],'BASE DATOS'!F:H,3,0)</f>
        <v>6P</v>
      </c>
      <c r="G1146" s="584" t="str">
        <f>+VLOOKUP(Tabla3[[#This Row],[PATENTE]],'BASE DATOS'!F:I,4,0)</f>
        <v>SI</v>
      </c>
      <c r="H1146" s="584" t="str">
        <f>+VLOOKUP(Tabla3[[#This Row],[PATENTE]],'BASE DATOS'!F:J,5,0)</f>
        <v>SI</v>
      </c>
      <c r="I1146" s="584" t="str">
        <f>+VLOOKUP(Tabla3[[#This Row],[PATENTE]],'BASE DATOS'!F:K,6,0)</f>
        <v>NO</v>
      </c>
      <c r="J1146" s="584">
        <f>+VLOOKUP(Tabla3[[#This Row],[PATENTE]],'BASE DATOS'!F:L,7,0)</f>
        <v>2017</v>
      </c>
      <c r="K1146" s="619">
        <f>+VLOOKUP(Tabla3[[#This Row],[PATENTE]],'BASE DATOS'!F:M,8,0)</f>
        <v>8</v>
      </c>
    </row>
    <row r="1147" spans="1:11" hidden="1">
      <c r="A1147" s="578" t="s">
        <v>888</v>
      </c>
      <c r="B1147" s="584">
        <v>6</v>
      </c>
      <c r="C1147" s="589">
        <v>45992</v>
      </c>
      <c r="D1147" s="582">
        <f t="shared" si="44"/>
        <v>49</v>
      </c>
      <c r="E1147" s="618" t="str">
        <f>+VLOOKUP(Tabla3[[#This Row],[PATENTE]],'BASE DATOS'!F:G,2,0)</f>
        <v xml:space="preserve">TRANSP FIRST CLASS - AD535UI </v>
      </c>
      <c r="F1147" s="584" t="str">
        <f>+VLOOKUP(Tabla3[[#This Row],[PATENTE]],'BASE DATOS'!F:H,3,0)</f>
        <v>6P</v>
      </c>
      <c r="G1147" s="584" t="str">
        <f>+VLOOKUP(Tabla3[[#This Row],[PATENTE]],'BASE DATOS'!F:I,4,0)</f>
        <v>SI</v>
      </c>
      <c r="H1147" s="584" t="str">
        <f>+VLOOKUP(Tabla3[[#This Row],[PATENTE]],'BASE DATOS'!F:J,5,0)</f>
        <v>SI</v>
      </c>
      <c r="I1147" s="584" t="str">
        <f>+VLOOKUP(Tabla3[[#This Row],[PATENTE]],'BASE DATOS'!F:K,6,0)</f>
        <v>NO</v>
      </c>
      <c r="J1147" s="584">
        <f>+VLOOKUP(Tabla3[[#This Row],[PATENTE]],'BASE DATOS'!F:L,7,0)</f>
        <v>2019</v>
      </c>
      <c r="K1147" s="619">
        <f>+VLOOKUP(Tabla3[[#This Row],[PATENTE]],'BASE DATOS'!F:M,8,0)</f>
        <v>6</v>
      </c>
    </row>
    <row r="1148" spans="1:11" hidden="1">
      <c r="A1148" s="578" t="s">
        <v>889</v>
      </c>
      <c r="B1148" s="584">
        <v>6</v>
      </c>
      <c r="C1148" s="589">
        <v>45992</v>
      </c>
      <c r="D1148" s="582">
        <f t="shared" si="44"/>
        <v>49</v>
      </c>
      <c r="E1148" s="618" t="str">
        <f>+VLOOKUP(Tabla3[[#This Row],[PATENTE]],'BASE DATOS'!F:G,2,0)</f>
        <v xml:space="preserve">COLO - HAW164 </v>
      </c>
      <c r="F1148" s="584" t="str">
        <f>+VLOOKUP(Tabla3[[#This Row],[PATENTE]],'BASE DATOS'!F:H,3,0)</f>
        <v>6P</v>
      </c>
      <c r="G1148" s="584" t="str">
        <f>+VLOOKUP(Tabla3[[#This Row],[PATENTE]],'BASE DATOS'!F:I,4,0)</f>
        <v>NO</v>
      </c>
      <c r="H1148" s="584" t="str">
        <f>+VLOOKUP(Tabla3[[#This Row],[PATENTE]],'BASE DATOS'!F:J,5,0)</f>
        <v>SI</v>
      </c>
      <c r="I1148" s="584" t="str">
        <f>+VLOOKUP(Tabla3[[#This Row],[PATENTE]],'BASE DATOS'!F:K,6,0)</f>
        <v>NO</v>
      </c>
      <c r="J1148" s="584">
        <f>+VLOOKUP(Tabla3[[#This Row],[PATENTE]],'BASE DATOS'!F:L,7,0)</f>
        <v>2009</v>
      </c>
      <c r="K1148" s="619">
        <f>+VLOOKUP(Tabla3[[#This Row],[PATENTE]],'BASE DATOS'!F:M,8,0)</f>
        <v>16</v>
      </c>
    </row>
    <row r="1149" spans="1:11" hidden="1">
      <c r="A1149" s="578" t="s">
        <v>882</v>
      </c>
      <c r="B1149" s="584">
        <v>6</v>
      </c>
      <c r="C1149" s="589">
        <v>45992</v>
      </c>
      <c r="D1149" s="582">
        <f t="shared" si="44"/>
        <v>49</v>
      </c>
      <c r="E1149" s="618" t="str">
        <f>+VLOOKUP(Tabla3[[#This Row],[PATENTE]],'BASE DATOS'!F:G,2,0)</f>
        <v xml:space="preserve">MAÑAS - JWN279 </v>
      </c>
      <c r="F1149" s="584" t="str">
        <f>+VLOOKUP(Tabla3[[#This Row],[PATENTE]],'BASE DATOS'!F:H,3,0)</f>
        <v>7P</v>
      </c>
      <c r="G1149" s="584" t="str">
        <f>+VLOOKUP(Tabla3[[#This Row],[PATENTE]],'BASE DATOS'!F:I,4,0)</f>
        <v>SI</v>
      </c>
      <c r="H1149" s="584" t="str">
        <f>+VLOOKUP(Tabla3[[#This Row],[PATENTE]],'BASE DATOS'!F:J,5,0)</f>
        <v>SI</v>
      </c>
      <c r="I1149" s="584" t="str">
        <f>+VLOOKUP(Tabla3[[#This Row],[PATENTE]],'BASE DATOS'!F:K,6,0)</f>
        <v>NO</v>
      </c>
      <c r="J1149" s="584">
        <f>+VLOOKUP(Tabla3[[#This Row],[PATENTE]],'BASE DATOS'!F:L,7,0)</f>
        <v>2011</v>
      </c>
      <c r="K1149" s="619">
        <f>+VLOOKUP(Tabla3[[#This Row],[PATENTE]],'BASE DATOS'!F:M,8,0)</f>
        <v>14</v>
      </c>
    </row>
    <row r="1150" spans="1:11" hidden="1">
      <c r="A1150" s="578" t="s">
        <v>897</v>
      </c>
      <c r="B1150" s="584">
        <v>6</v>
      </c>
      <c r="C1150" s="589">
        <v>45992</v>
      </c>
      <c r="D1150" s="582">
        <f t="shared" si="44"/>
        <v>49</v>
      </c>
      <c r="E1150" s="618" t="str">
        <f>+VLOOKUP(Tabla3[[#This Row],[PATENTE]],'BASE DATOS'!F:G,2,0)</f>
        <v xml:space="preserve">TRANSP CLAUDIO BUSTOS - LSG801 </v>
      </c>
      <c r="F1150" s="584" t="str">
        <f>+VLOOKUP(Tabla3[[#This Row],[PATENTE]],'BASE DATOS'!F:H,3,0)</f>
        <v>2P</v>
      </c>
      <c r="G1150" s="584" t="str">
        <f>+VLOOKUP(Tabla3[[#This Row],[PATENTE]],'BASE DATOS'!F:I,4,0)</f>
        <v>SI</v>
      </c>
      <c r="H1150" s="584" t="str">
        <f>+VLOOKUP(Tabla3[[#This Row],[PATENTE]],'BASE DATOS'!F:J,5,0)</f>
        <v>SI</v>
      </c>
      <c r="I1150" s="584" t="str">
        <f>+VLOOKUP(Tabla3[[#This Row],[PATENTE]],'BASE DATOS'!F:K,6,0)</f>
        <v>NO</v>
      </c>
      <c r="J1150" s="584">
        <f>+VLOOKUP(Tabla3[[#This Row],[PATENTE]],'BASE DATOS'!F:L,7,0)</f>
        <v>2013</v>
      </c>
      <c r="K1150" s="619">
        <f>+VLOOKUP(Tabla3[[#This Row],[PATENTE]],'BASE DATOS'!F:M,8,0)</f>
        <v>12</v>
      </c>
    </row>
    <row r="1151" spans="1:11" hidden="1">
      <c r="A1151" s="578" t="s">
        <v>886</v>
      </c>
      <c r="B1151" s="584">
        <v>6</v>
      </c>
      <c r="C1151" s="589">
        <v>45992</v>
      </c>
      <c r="D1151" s="582">
        <f t="shared" si="44"/>
        <v>49</v>
      </c>
      <c r="E1151" s="618" t="str">
        <f>+VLOOKUP(Tabla3[[#This Row],[PATENTE]],'BASE DATOS'!F:G,2,0)</f>
        <v xml:space="preserve">TRANSP LAGOS - NOO925 </v>
      </c>
      <c r="F1151" s="584" t="str">
        <f>+VLOOKUP(Tabla3[[#This Row],[PATENTE]],'BASE DATOS'!F:H,3,0)</f>
        <v>8P</v>
      </c>
      <c r="G1151" s="584" t="str">
        <f>+VLOOKUP(Tabla3[[#This Row],[PATENTE]],'BASE DATOS'!F:I,4,0)</f>
        <v>SI</v>
      </c>
      <c r="H1151" s="584" t="str">
        <f>+VLOOKUP(Tabla3[[#This Row],[PATENTE]],'BASE DATOS'!F:J,5,0)</f>
        <v>SI</v>
      </c>
      <c r="I1151" s="584" t="str">
        <f>+VLOOKUP(Tabla3[[#This Row],[PATENTE]],'BASE DATOS'!F:K,6,0)</f>
        <v>NO</v>
      </c>
      <c r="J1151" s="584">
        <f>+VLOOKUP(Tabla3[[#This Row],[PATENTE]],'BASE DATOS'!F:L,7,0)</f>
        <v>2014</v>
      </c>
      <c r="K1151" s="619">
        <f>+VLOOKUP(Tabla3[[#This Row],[PATENTE]],'BASE DATOS'!F:M,8,0)</f>
        <v>11</v>
      </c>
    </row>
    <row r="1152" spans="1:11" hidden="1">
      <c r="A1152" s="578" t="s">
        <v>898</v>
      </c>
      <c r="B1152" s="584">
        <v>6</v>
      </c>
      <c r="C1152" s="589">
        <v>45992</v>
      </c>
      <c r="D1152" s="582">
        <f t="shared" si="44"/>
        <v>49</v>
      </c>
      <c r="E1152" s="618" t="str">
        <f>+VLOOKUP(Tabla3[[#This Row],[PATENTE]],'BASE DATOS'!F:G,2,0)</f>
        <v xml:space="preserve">TRANSP BERMEJO - NXP980 </v>
      </c>
      <c r="F1152" s="584" t="str">
        <f>+VLOOKUP(Tabla3[[#This Row],[PATENTE]],'BASE DATOS'!F:H,3,0)</f>
        <v>12P</v>
      </c>
      <c r="G1152" s="584" t="str">
        <f>+VLOOKUP(Tabla3[[#This Row],[PATENTE]],'BASE DATOS'!F:I,4,0)</f>
        <v>SI</v>
      </c>
      <c r="H1152" s="584" t="str">
        <f>+VLOOKUP(Tabla3[[#This Row],[PATENTE]],'BASE DATOS'!F:J,5,0)</f>
        <v>SI</v>
      </c>
      <c r="I1152" s="584" t="str">
        <f>+VLOOKUP(Tabla3[[#This Row],[PATENTE]],'BASE DATOS'!F:K,6,0)</f>
        <v>SI</v>
      </c>
      <c r="J1152" s="584">
        <f>+VLOOKUP(Tabla3[[#This Row],[PATENTE]],'BASE DATOS'!F:L,7,0)</f>
        <v>2015</v>
      </c>
      <c r="K1152" s="619">
        <f>+VLOOKUP(Tabla3[[#This Row],[PATENTE]],'BASE DATOS'!F:M,8,0)</f>
        <v>10</v>
      </c>
    </row>
    <row r="1153" spans="1:11" hidden="1">
      <c r="A1153" s="578" t="s">
        <v>877</v>
      </c>
      <c r="B1153" s="584">
        <v>6</v>
      </c>
      <c r="C1153" s="589">
        <v>45992</v>
      </c>
      <c r="D1153" s="582">
        <f t="shared" si="44"/>
        <v>49</v>
      </c>
      <c r="E1153" s="618" t="str">
        <f>+VLOOKUP(Tabla3[[#This Row],[PATENTE]],'BASE DATOS'!F:G,2,0)</f>
        <v>TRANSP MAIDANA CARLOS - OWA126</v>
      </c>
      <c r="F1153" s="584" t="str">
        <f>+VLOOKUP(Tabla3[[#This Row],[PATENTE]],'BASE DATOS'!F:H,3,0)</f>
        <v>4P</v>
      </c>
      <c r="G1153" s="584" t="str">
        <f>+VLOOKUP(Tabla3[[#This Row],[PATENTE]],'BASE DATOS'!F:I,4,0)</f>
        <v>SI</v>
      </c>
      <c r="H1153" s="584" t="str">
        <f>+VLOOKUP(Tabla3[[#This Row],[PATENTE]],'BASE DATOS'!F:J,5,0)</f>
        <v>SI</v>
      </c>
      <c r="I1153" s="584" t="str">
        <f>+VLOOKUP(Tabla3[[#This Row],[PATENTE]],'BASE DATOS'!F:K,6,0)</f>
        <v>NO</v>
      </c>
      <c r="J1153" s="584">
        <f>+VLOOKUP(Tabla3[[#This Row],[PATENTE]],'BASE DATOS'!F:L,7,0)</f>
        <v>2015</v>
      </c>
      <c r="K1153" s="619">
        <f>+VLOOKUP(Tabla3[[#This Row],[PATENTE]],'BASE DATOS'!F:M,8,0)</f>
        <v>10</v>
      </c>
    </row>
    <row r="1154" spans="1:11" hidden="1">
      <c r="A1154" s="578" t="s">
        <v>936</v>
      </c>
      <c r="B1154" s="584">
        <v>5</v>
      </c>
      <c r="C1154" s="589">
        <v>45992</v>
      </c>
      <c r="D1154" s="582">
        <f t="shared" si="44"/>
        <v>49</v>
      </c>
      <c r="E1154" s="618" t="str">
        <f>+VLOOKUP(Tabla3[[#This Row],[PATENTE]],'BASE DATOS'!F:G,2,0)</f>
        <v>TRANSP YANINA  LUONGO - AA050HC</v>
      </c>
      <c r="F1154" s="584" t="str">
        <f>+VLOOKUP(Tabla3[[#This Row],[PATENTE]],'BASE DATOS'!F:H,3,0)</f>
        <v>1.5P</v>
      </c>
      <c r="G1154" s="584" t="str">
        <f>+VLOOKUP(Tabla3[[#This Row],[PATENTE]],'BASE DATOS'!F:I,4,0)</f>
        <v>NO</v>
      </c>
      <c r="H1154" s="584" t="str">
        <f>+VLOOKUP(Tabla3[[#This Row],[PATENTE]],'BASE DATOS'!F:J,5,0)</f>
        <v>SI</v>
      </c>
      <c r="I1154" s="584" t="str">
        <f>+VLOOKUP(Tabla3[[#This Row],[PATENTE]],'BASE DATOS'!F:K,6,0)</f>
        <v>NO</v>
      </c>
      <c r="J1154" s="584">
        <f>+VLOOKUP(Tabla3[[#This Row],[PATENTE]],'BASE DATOS'!F:L,7,0)</f>
        <v>2016</v>
      </c>
      <c r="K1154" s="619">
        <f>+VLOOKUP(Tabla3[[#This Row],[PATENTE]],'BASE DATOS'!F:M,8,0)</f>
        <v>9</v>
      </c>
    </row>
    <row r="1155" spans="1:11" hidden="1">
      <c r="A1155" s="578" t="s">
        <v>878</v>
      </c>
      <c r="B1155" s="584">
        <v>5</v>
      </c>
      <c r="C1155" s="589">
        <v>45992</v>
      </c>
      <c r="D1155" s="582">
        <f t="shared" si="44"/>
        <v>49</v>
      </c>
      <c r="E1155" s="618" t="str">
        <f>+VLOOKUP(Tabla3[[#This Row],[PATENTE]],'BASE DATOS'!F:G,2,0)</f>
        <v xml:space="preserve">PACHECO JULIO - AA854LY </v>
      </c>
      <c r="F1155" s="584" t="str">
        <f>+VLOOKUP(Tabla3[[#This Row],[PATENTE]],'BASE DATOS'!F:H,3,0)</f>
        <v>7P</v>
      </c>
      <c r="G1155" s="584" t="str">
        <f>+VLOOKUP(Tabla3[[#This Row],[PATENTE]],'BASE DATOS'!F:I,4,0)</f>
        <v>SI</v>
      </c>
      <c r="H1155" s="584" t="str">
        <f>+VLOOKUP(Tabla3[[#This Row],[PATENTE]],'BASE DATOS'!F:J,5,0)</f>
        <v>SI</v>
      </c>
      <c r="I1155" s="584" t="str">
        <f>+VLOOKUP(Tabla3[[#This Row],[PATENTE]],'BASE DATOS'!F:K,6,0)</f>
        <v>NO</v>
      </c>
      <c r="J1155" s="584">
        <f>+VLOOKUP(Tabla3[[#This Row],[PATENTE]],'BASE DATOS'!F:L,7,0)</f>
        <v>2016</v>
      </c>
      <c r="K1155" s="619">
        <f>+VLOOKUP(Tabla3[[#This Row],[PATENTE]],'BASE DATOS'!F:M,8,0)</f>
        <v>9</v>
      </c>
    </row>
    <row r="1156" spans="1:11" hidden="1">
      <c r="A1156" s="578" t="s">
        <v>905</v>
      </c>
      <c r="B1156" s="584">
        <v>5</v>
      </c>
      <c r="C1156" s="589">
        <v>45992</v>
      </c>
      <c r="D1156" s="582">
        <f t="shared" si="44"/>
        <v>49</v>
      </c>
      <c r="E1156" s="618" t="str">
        <f>+VLOOKUP(Tabla3[[#This Row],[PATENTE]],'BASE DATOS'!F:G,2,0)</f>
        <v xml:space="preserve">J RIMOLDI - AB312SE </v>
      </c>
      <c r="F1156" s="584" t="str">
        <f>+VLOOKUP(Tabla3[[#This Row],[PATENTE]],'BASE DATOS'!F:H,3,0)</f>
        <v>8P</v>
      </c>
      <c r="G1156" s="584" t="str">
        <f>+VLOOKUP(Tabla3[[#This Row],[PATENTE]],'BASE DATOS'!F:I,4,0)</f>
        <v>SI</v>
      </c>
      <c r="H1156" s="584" t="str">
        <f>+VLOOKUP(Tabla3[[#This Row],[PATENTE]],'BASE DATOS'!F:J,5,0)</f>
        <v>SI</v>
      </c>
      <c r="I1156" s="584" t="str">
        <f>+VLOOKUP(Tabla3[[#This Row],[PATENTE]],'BASE DATOS'!F:K,6,0)</f>
        <v>NO</v>
      </c>
      <c r="J1156" s="584">
        <f>+VLOOKUP(Tabla3[[#This Row],[PATENTE]],'BASE DATOS'!F:L,7,0)</f>
        <v>2017</v>
      </c>
      <c r="K1156" s="619">
        <f>+VLOOKUP(Tabla3[[#This Row],[PATENTE]],'BASE DATOS'!F:M,8,0)</f>
        <v>8</v>
      </c>
    </row>
    <row r="1157" spans="1:11" hidden="1">
      <c r="A1157" s="578" t="s">
        <v>895</v>
      </c>
      <c r="B1157" s="584">
        <v>5</v>
      </c>
      <c r="C1157" s="589">
        <v>45992</v>
      </c>
      <c r="D1157" s="582">
        <f t="shared" si="44"/>
        <v>49</v>
      </c>
      <c r="E1157" s="618" t="str">
        <f>+VLOOKUP(Tabla3[[#This Row],[PATENTE]],'BASE DATOS'!F:G,2,0)</f>
        <v xml:space="preserve">TRANSPORTE MICAELA </v>
      </c>
      <c r="F1157" s="584" t="str">
        <f>+VLOOKUP(Tabla3[[#This Row],[PATENTE]],'BASE DATOS'!F:H,3,0)</f>
        <v>2P</v>
      </c>
      <c r="G1157" s="584" t="str">
        <f>+VLOOKUP(Tabla3[[#This Row],[PATENTE]],'BASE DATOS'!F:I,4,0)</f>
        <v>NO</v>
      </c>
      <c r="H1157" s="584" t="str">
        <f>+VLOOKUP(Tabla3[[#This Row],[PATENTE]],'BASE DATOS'!F:J,5,0)</f>
        <v>SI</v>
      </c>
      <c r="I1157" s="584" t="str">
        <f>+VLOOKUP(Tabla3[[#This Row],[PATENTE]],'BASE DATOS'!F:K,6,0)</f>
        <v>NO</v>
      </c>
      <c r="J1157" s="584">
        <f>+VLOOKUP(Tabla3[[#This Row],[PATENTE]],'BASE DATOS'!F:L,7,0)</f>
        <v>2024</v>
      </c>
      <c r="K1157" s="619">
        <f>+VLOOKUP(Tabla3[[#This Row],[PATENTE]],'BASE DATOS'!F:M,8,0)</f>
        <v>1</v>
      </c>
    </row>
    <row r="1158" spans="1:11" hidden="1">
      <c r="A1158" s="578" t="s">
        <v>907</v>
      </c>
      <c r="B1158" s="584">
        <v>5</v>
      </c>
      <c r="C1158" s="589">
        <v>45992</v>
      </c>
      <c r="D1158" s="582">
        <f t="shared" si="44"/>
        <v>49</v>
      </c>
      <c r="E1158" s="618" t="str">
        <f>+VLOOKUP(Tabla3[[#This Row],[PATENTE]],'BASE DATOS'!F:G,2,0)</f>
        <v xml:space="preserve">LAURIA (SERVAL) - AH583GW </v>
      </c>
      <c r="F1158" s="584" t="str">
        <f>+VLOOKUP(Tabla3[[#This Row],[PATENTE]],'BASE DATOS'!F:H,3,0)</f>
        <v>8P</v>
      </c>
      <c r="G1158" s="584" t="str">
        <f>+VLOOKUP(Tabla3[[#This Row],[PATENTE]],'BASE DATOS'!F:I,4,0)</f>
        <v>SI</v>
      </c>
      <c r="H1158" s="584" t="str">
        <f>+VLOOKUP(Tabla3[[#This Row],[PATENTE]],'BASE DATOS'!F:J,5,0)</f>
        <v>SI</v>
      </c>
      <c r="I1158" s="584" t="str">
        <f>+VLOOKUP(Tabla3[[#This Row],[PATENTE]],'BASE DATOS'!F:K,6,0)</f>
        <v>NO</v>
      </c>
      <c r="J1158" s="584">
        <f>+VLOOKUP(Tabla3[[#This Row],[PATENTE]],'BASE DATOS'!F:L,7,0)</f>
        <v>2025</v>
      </c>
      <c r="K1158" s="619">
        <f>+VLOOKUP(Tabla3[[#This Row],[PATENTE]],'BASE DATOS'!F:M,8,0)</f>
        <v>0</v>
      </c>
    </row>
    <row r="1159" spans="1:11" hidden="1">
      <c r="A1159" s="578" t="s">
        <v>904</v>
      </c>
      <c r="B1159" s="584">
        <v>5</v>
      </c>
      <c r="C1159" s="589">
        <v>45992</v>
      </c>
      <c r="D1159" s="582">
        <f t="shared" si="44"/>
        <v>49</v>
      </c>
      <c r="E1159" s="618" t="str">
        <f>+VLOOKUP(Tabla3[[#This Row],[PATENTE]],'BASE DATOS'!F:G,2,0)</f>
        <v xml:space="preserve">ENRIQUE ROLLINO - DFO656 </v>
      </c>
      <c r="F1159" s="584" t="str">
        <f>+VLOOKUP(Tabla3[[#This Row],[PATENTE]],'BASE DATOS'!F:H,3,0)</f>
        <v>6P</v>
      </c>
      <c r="G1159" s="584" t="str">
        <f>+VLOOKUP(Tabla3[[#This Row],[PATENTE]],'BASE DATOS'!F:I,4,0)</f>
        <v>SI</v>
      </c>
      <c r="H1159" s="584" t="str">
        <f>+VLOOKUP(Tabla3[[#This Row],[PATENTE]],'BASE DATOS'!F:J,5,0)</f>
        <v>SI</v>
      </c>
      <c r="I1159" s="584" t="str">
        <f>+VLOOKUP(Tabla3[[#This Row],[PATENTE]],'BASE DATOS'!F:K,6,0)</f>
        <v>NO</v>
      </c>
      <c r="J1159" s="584">
        <f>+VLOOKUP(Tabla3[[#This Row],[PATENTE]],'BASE DATOS'!F:L,7,0)</f>
        <v>2000</v>
      </c>
      <c r="K1159" s="619">
        <f>+VLOOKUP(Tabla3[[#This Row],[PATENTE]],'BASE DATOS'!F:M,8,0)</f>
        <v>25</v>
      </c>
    </row>
    <row r="1160" spans="1:11" hidden="1">
      <c r="A1160" s="578" t="s">
        <v>881</v>
      </c>
      <c r="B1160" s="584">
        <v>5</v>
      </c>
      <c r="C1160" s="589">
        <v>45992</v>
      </c>
      <c r="D1160" s="582">
        <f t="shared" si="44"/>
        <v>49</v>
      </c>
      <c r="E1160" s="618" t="str">
        <f>+VLOOKUP(Tabla3[[#This Row],[PATENTE]],'BASE DATOS'!F:G,2,0)</f>
        <v xml:space="preserve">MAÑAS NORBERTO - DUQ686 </v>
      </c>
      <c r="F1160" s="584" t="str">
        <f>+VLOOKUP(Tabla3[[#This Row],[PATENTE]],'BASE DATOS'!F:H,3,0)</f>
        <v>8P</v>
      </c>
      <c r="G1160" s="584" t="str">
        <f>+VLOOKUP(Tabla3[[#This Row],[PATENTE]],'BASE DATOS'!F:I,4,0)</f>
        <v>SI</v>
      </c>
      <c r="H1160" s="584" t="str">
        <f>+VLOOKUP(Tabla3[[#This Row],[PATENTE]],'BASE DATOS'!F:J,5,0)</f>
        <v>SI</v>
      </c>
      <c r="I1160" s="584" t="str">
        <f>+VLOOKUP(Tabla3[[#This Row],[PATENTE]],'BASE DATOS'!F:K,6,0)</f>
        <v>NO</v>
      </c>
      <c r="J1160" s="584">
        <f>+VLOOKUP(Tabla3[[#This Row],[PATENTE]],'BASE DATOS'!F:L,7,0)</f>
        <v>2001</v>
      </c>
      <c r="K1160" s="619">
        <f>+VLOOKUP(Tabla3[[#This Row],[PATENTE]],'BASE DATOS'!F:M,8,0)</f>
        <v>24</v>
      </c>
    </row>
    <row r="1161" spans="1:11" hidden="1">
      <c r="A1161" s="578" t="s">
        <v>916</v>
      </c>
      <c r="B1161" s="584">
        <v>5</v>
      </c>
      <c r="C1161" s="589">
        <v>45992</v>
      </c>
      <c r="D1161" s="582">
        <f t="shared" si="44"/>
        <v>49</v>
      </c>
      <c r="E1161" s="618" t="str">
        <f>+VLOOKUP(Tabla3[[#This Row],[PATENTE]],'BASE DATOS'!F:G,2,0)</f>
        <v xml:space="preserve">TRANSP MAIDANA CARLOS - EYP088 </v>
      </c>
      <c r="F1161" s="584" t="str">
        <f>+VLOOKUP(Tabla3[[#This Row],[PATENTE]],'BASE DATOS'!F:H,3,0)</f>
        <v>6P</v>
      </c>
      <c r="G1161" s="584" t="str">
        <f>+VLOOKUP(Tabla3[[#This Row],[PATENTE]],'BASE DATOS'!F:I,4,0)</f>
        <v>SI</v>
      </c>
      <c r="H1161" s="584" t="str">
        <f>+VLOOKUP(Tabla3[[#This Row],[PATENTE]],'BASE DATOS'!F:J,5,0)</f>
        <v>SI</v>
      </c>
      <c r="I1161" s="584" t="str">
        <f>+VLOOKUP(Tabla3[[#This Row],[PATENTE]],'BASE DATOS'!F:K,6,0)</f>
        <v>NO</v>
      </c>
      <c r="J1161" s="584">
        <f>+VLOOKUP(Tabla3[[#This Row],[PATENTE]],'BASE DATOS'!F:L,7,0)</f>
        <v>2006</v>
      </c>
      <c r="K1161" s="619">
        <f>+VLOOKUP(Tabla3[[#This Row],[PATENTE]],'BASE DATOS'!F:M,8,0)</f>
        <v>19</v>
      </c>
    </row>
    <row r="1162" spans="1:11" hidden="1">
      <c r="A1162" s="578" t="s">
        <v>892</v>
      </c>
      <c r="B1162" s="584">
        <v>5</v>
      </c>
      <c r="C1162" s="589">
        <v>45992</v>
      </c>
      <c r="D1162" s="582">
        <f t="shared" si="44"/>
        <v>49</v>
      </c>
      <c r="E1162" s="618" t="str">
        <f>+VLOOKUP(Tabla3[[#This Row],[PATENTE]],'BASE DATOS'!F:G,2,0)</f>
        <v xml:space="preserve">COLO - FTL525 </v>
      </c>
      <c r="F1162" s="584" t="str">
        <f>+VLOOKUP(Tabla3[[#This Row],[PATENTE]],'BASE DATOS'!F:H,3,0)</f>
        <v>1P</v>
      </c>
      <c r="G1162" s="584" t="str">
        <f>+VLOOKUP(Tabla3[[#This Row],[PATENTE]],'BASE DATOS'!F:I,4,0)</f>
        <v>NO</v>
      </c>
      <c r="H1162" s="584" t="str">
        <f>+VLOOKUP(Tabla3[[#This Row],[PATENTE]],'BASE DATOS'!F:J,5,0)</f>
        <v>SI</v>
      </c>
      <c r="I1162" s="584" t="str">
        <f>+VLOOKUP(Tabla3[[#This Row],[PATENTE]],'BASE DATOS'!F:K,6,0)</f>
        <v>NO</v>
      </c>
      <c r="J1162" s="584">
        <f>+VLOOKUP(Tabla3[[#This Row],[PATENTE]],'BASE DATOS'!F:L,7,0)</f>
        <v>2008</v>
      </c>
      <c r="K1162" s="619">
        <f>+VLOOKUP(Tabla3[[#This Row],[PATENTE]],'BASE DATOS'!F:M,8,0)</f>
        <v>17</v>
      </c>
    </row>
    <row r="1163" spans="1:11" hidden="1">
      <c r="A1163" s="578" t="s">
        <v>885</v>
      </c>
      <c r="B1163" s="584">
        <v>5</v>
      </c>
      <c r="C1163" s="589">
        <v>45992</v>
      </c>
      <c r="D1163" s="582">
        <f t="shared" si="44"/>
        <v>49</v>
      </c>
      <c r="E1163" s="618" t="str">
        <f>+VLOOKUP(Tabla3[[#This Row],[PATENTE]],'BASE DATOS'!F:G,2,0)</f>
        <v xml:space="preserve">TRANSP DON NENO - IES288 </v>
      </c>
      <c r="F1163" s="584" t="str">
        <f>+VLOOKUP(Tabla3[[#This Row],[PATENTE]],'BASE DATOS'!F:H,3,0)</f>
        <v>2P</v>
      </c>
      <c r="G1163" s="584" t="str">
        <f>+VLOOKUP(Tabla3[[#This Row],[PATENTE]],'BASE DATOS'!F:I,4,0)</f>
        <v>SI</v>
      </c>
      <c r="H1163" s="584" t="str">
        <f>+VLOOKUP(Tabla3[[#This Row],[PATENTE]],'BASE DATOS'!F:J,5,0)</f>
        <v>SI</v>
      </c>
      <c r="I1163" s="584" t="str">
        <f>+VLOOKUP(Tabla3[[#This Row],[PATENTE]],'BASE DATOS'!F:K,6,0)</f>
        <v>NO</v>
      </c>
      <c r="J1163" s="584">
        <f>+VLOOKUP(Tabla3[[#This Row],[PATENTE]],'BASE DATOS'!F:L,7,0)</f>
        <v>2009</v>
      </c>
      <c r="K1163" s="619">
        <f>+VLOOKUP(Tabla3[[#This Row],[PATENTE]],'BASE DATOS'!F:M,8,0)</f>
        <v>16</v>
      </c>
    </row>
    <row r="1164" spans="1:11" hidden="1">
      <c r="A1164" s="578" t="s">
        <v>913</v>
      </c>
      <c r="B1164" s="584">
        <v>5</v>
      </c>
      <c r="C1164" s="589">
        <v>45992</v>
      </c>
      <c r="D1164" s="582">
        <f t="shared" si="44"/>
        <v>49</v>
      </c>
      <c r="E1164" s="618" t="str">
        <f>+VLOOKUP(Tabla3[[#This Row],[PATENTE]],'BASE DATOS'!F:G,2,0)</f>
        <v xml:space="preserve">TRANSP DON NENO - KSI803 </v>
      </c>
      <c r="F1164" s="584" t="str">
        <f>+VLOOKUP(Tabla3[[#This Row],[PATENTE]],'BASE DATOS'!F:H,3,0)</f>
        <v>2P</v>
      </c>
      <c r="G1164" s="584" t="str">
        <f>+VLOOKUP(Tabla3[[#This Row],[PATENTE]],'BASE DATOS'!F:I,4,0)</f>
        <v>SI</v>
      </c>
      <c r="H1164" s="584" t="str">
        <f>+VLOOKUP(Tabla3[[#This Row],[PATENTE]],'BASE DATOS'!F:J,5,0)</f>
        <v>SI</v>
      </c>
      <c r="I1164" s="584" t="str">
        <f>+VLOOKUP(Tabla3[[#This Row],[PATENTE]],'BASE DATOS'!F:K,6,0)</f>
        <v>NO</v>
      </c>
      <c r="J1164" s="584">
        <f>+VLOOKUP(Tabla3[[#This Row],[PATENTE]],'BASE DATOS'!F:L,7,0)</f>
        <v>2012</v>
      </c>
      <c r="K1164" s="619">
        <f>+VLOOKUP(Tabla3[[#This Row],[PATENTE]],'BASE DATOS'!F:M,8,0)</f>
        <v>13</v>
      </c>
    </row>
    <row r="1165" spans="1:11" hidden="1">
      <c r="A1165" s="578" t="s">
        <v>902</v>
      </c>
      <c r="B1165" s="584">
        <v>5</v>
      </c>
      <c r="C1165" s="589">
        <v>45992</v>
      </c>
      <c r="D1165" s="582">
        <f t="shared" si="44"/>
        <v>49</v>
      </c>
      <c r="E1165" s="618" t="str">
        <f>+VLOOKUP(Tabla3[[#This Row],[PATENTE]],'BASE DATOS'!F:G,2,0)</f>
        <v xml:space="preserve">GUSTAVO CERQUETTA - KZA644 </v>
      </c>
      <c r="F1165" s="584" t="str">
        <f>+VLOOKUP(Tabla3[[#This Row],[PATENTE]],'BASE DATOS'!F:H,3,0)</f>
        <v>2P</v>
      </c>
      <c r="G1165" s="584" t="str">
        <f>+VLOOKUP(Tabla3[[#This Row],[PATENTE]],'BASE DATOS'!F:I,4,0)</f>
        <v>NO</v>
      </c>
      <c r="H1165" s="584" t="str">
        <f>+VLOOKUP(Tabla3[[#This Row],[PATENTE]],'BASE DATOS'!F:J,5,0)</f>
        <v>SI</v>
      </c>
      <c r="I1165" s="584" t="str">
        <f>+VLOOKUP(Tabla3[[#This Row],[PATENTE]],'BASE DATOS'!F:K,6,0)</f>
        <v>NO</v>
      </c>
      <c r="J1165" s="584">
        <f>+VLOOKUP(Tabla3[[#This Row],[PATENTE]],'BASE DATOS'!F:L,7,0)</f>
        <v>2012</v>
      </c>
      <c r="K1165" s="619">
        <f>+VLOOKUP(Tabla3[[#This Row],[PATENTE]],'BASE DATOS'!F:M,8,0)</f>
        <v>13</v>
      </c>
    </row>
    <row r="1166" spans="1:11" hidden="1">
      <c r="A1166" s="578" t="s">
        <v>909</v>
      </c>
      <c r="B1166" s="584">
        <v>5</v>
      </c>
      <c r="C1166" s="589">
        <v>45992</v>
      </c>
      <c r="D1166" s="582">
        <f t="shared" si="44"/>
        <v>49</v>
      </c>
      <c r="E1166" s="618" t="str">
        <f>+VLOOKUP(Tabla3[[#This Row],[PATENTE]],'BASE DATOS'!F:G,2,0)</f>
        <v xml:space="preserve">CRISTIAN MOYA - NHR055 </v>
      </c>
      <c r="F1166" s="584" t="str">
        <f>+VLOOKUP(Tabla3[[#This Row],[PATENTE]],'BASE DATOS'!F:H,3,0)</f>
        <v>6P</v>
      </c>
      <c r="G1166" s="584" t="str">
        <f>+VLOOKUP(Tabla3[[#This Row],[PATENTE]],'BASE DATOS'!F:I,4,0)</f>
        <v>SI</v>
      </c>
      <c r="H1166" s="584" t="str">
        <f>+VLOOKUP(Tabla3[[#This Row],[PATENTE]],'BASE DATOS'!F:J,5,0)</f>
        <v>SI</v>
      </c>
      <c r="I1166" s="584" t="str">
        <f>+VLOOKUP(Tabla3[[#This Row],[PATENTE]],'BASE DATOS'!F:K,6,0)</f>
        <v>NO</v>
      </c>
      <c r="J1166" s="584">
        <f>+VLOOKUP(Tabla3[[#This Row],[PATENTE]],'BASE DATOS'!F:L,7,0)</f>
        <v>2013</v>
      </c>
      <c r="K1166" s="619">
        <f>+VLOOKUP(Tabla3[[#This Row],[PATENTE]],'BASE DATOS'!F:M,8,0)</f>
        <v>12</v>
      </c>
    </row>
    <row r="1167" spans="1:11" hidden="1">
      <c r="A1167" s="578" t="s">
        <v>890</v>
      </c>
      <c r="B1167" s="584">
        <v>4</v>
      </c>
      <c r="C1167" s="589">
        <v>45992</v>
      </c>
      <c r="D1167" s="582">
        <f t="shared" si="44"/>
        <v>49</v>
      </c>
      <c r="E1167" s="618" t="str">
        <f>+VLOOKUP(Tabla3[[#This Row],[PATENTE]],'BASE DATOS'!F:G,2,0)</f>
        <v xml:space="preserve">TRANSPORTE GRACIELA - AC040RO </v>
      </c>
      <c r="F1167" s="584" t="str">
        <f>+VLOOKUP(Tabla3[[#This Row],[PATENTE]],'BASE DATOS'!F:H,3,0)</f>
        <v>1P</v>
      </c>
      <c r="G1167" s="584" t="str">
        <f>+VLOOKUP(Tabla3[[#This Row],[PATENTE]],'BASE DATOS'!F:I,4,0)</f>
        <v>SI</v>
      </c>
      <c r="H1167" s="584" t="str">
        <f>+VLOOKUP(Tabla3[[#This Row],[PATENTE]],'BASE DATOS'!F:J,5,0)</f>
        <v>ACEPTA( VER CAMI)</v>
      </c>
      <c r="I1167" s="584" t="str">
        <f>+VLOOKUP(Tabla3[[#This Row],[PATENTE]],'BASE DATOS'!F:K,6,0)</f>
        <v>NO</v>
      </c>
      <c r="J1167" s="584">
        <f>+VLOOKUP(Tabla3[[#This Row],[PATENTE]],'BASE DATOS'!F:L,7,0)</f>
        <v>2017</v>
      </c>
      <c r="K1167" s="619">
        <f>+VLOOKUP(Tabla3[[#This Row],[PATENTE]],'BASE DATOS'!F:M,8,0)</f>
        <v>8</v>
      </c>
    </row>
    <row r="1168" spans="1:11" hidden="1">
      <c r="A1168" s="578" t="s">
        <v>906</v>
      </c>
      <c r="B1168" s="584">
        <v>4</v>
      </c>
      <c r="C1168" s="589">
        <v>45992</v>
      </c>
      <c r="D1168" s="582">
        <f t="shared" si="44"/>
        <v>49</v>
      </c>
      <c r="E1168" s="618" t="str">
        <f>+VLOOKUP(Tabla3[[#This Row],[PATENTE]],'BASE DATOS'!F:G,2,0)</f>
        <v xml:space="preserve">VAZQUEZ (TRV SRL) - AD472GK </v>
      </c>
      <c r="F1168" s="584" t="str">
        <f>+VLOOKUP(Tabla3[[#This Row],[PATENTE]],'BASE DATOS'!F:H,3,0)</f>
        <v>8P</v>
      </c>
      <c r="G1168" s="584" t="str">
        <f>+VLOOKUP(Tabla3[[#This Row],[PATENTE]],'BASE DATOS'!F:I,4,0)</f>
        <v>NO</v>
      </c>
      <c r="H1168" s="584" t="str">
        <f>+VLOOKUP(Tabla3[[#This Row],[PATENTE]],'BASE DATOS'!F:J,5,0)</f>
        <v>NO</v>
      </c>
      <c r="I1168" s="584" t="str">
        <f>+VLOOKUP(Tabla3[[#This Row],[PATENTE]],'BASE DATOS'!F:K,6,0)</f>
        <v>SI</v>
      </c>
      <c r="J1168" s="584">
        <f>+VLOOKUP(Tabla3[[#This Row],[PATENTE]],'BASE DATOS'!F:L,7,0)</f>
        <v>2019</v>
      </c>
      <c r="K1168" s="619">
        <f>+VLOOKUP(Tabla3[[#This Row],[PATENTE]],'BASE DATOS'!F:M,8,0)</f>
        <v>6</v>
      </c>
    </row>
    <row r="1169" spans="1:11" hidden="1">
      <c r="A1169" s="578" t="s">
        <v>922</v>
      </c>
      <c r="B1169" s="584">
        <v>4</v>
      </c>
      <c r="C1169" s="589">
        <v>45992</v>
      </c>
      <c r="D1169" s="582">
        <f t="shared" si="44"/>
        <v>49</v>
      </c>
      <c r="E1169" s="618" t="str">
        <f>+VLOOKUP(Tabla3[[#This Row],[PATENTE]],'BASE DATOS'!F:G,2,0)</f>
        <v>LAURIA (SERVAL) - AF342ZY</v>
      </c>
      <c r="F1169" s="584" t="str">
        <f>+VLOOKUP(Tabla3[[#This Row],[PATENTE]],'BASE DATOS'!F:H,3,0)</f>
        <v>8P</v>
      </c>
      <c r="G1169" s="584" t="str">
        <f>+VLOOKUP(Tabla3[[#This Row],[PATENTE]],'BASE DATOS'!F:I,4,0)</f>
        <v>SI</v>
      </c>
      <c r="H1169" s="584" t="str">
        <f>+VLOOKUP(Tabla3[[#This Row],[PATENTE]],'BASE DATOS'!F:J,5,0)</f>
        <v>SI</v>
      </c>
      <c r="I1169" s="584" t="str">
        <f>+VLOOKUP(Tabla3[[#This Row],[PATENTE]],'BASE DATOS'!F:K,6,0)</f>
        <v>NO</v>
      </c>
      <c r="J1169" s="584">
        <f>+VLOOKUP(Tabla3[[#This Row],[PATENTE]],'BASE DATOS'!F:L,7,0)</f>
        <v>2022</v>
      </c>
      <c r="K1169" s="619">
        <f>+VLOOKUP(Tabla3[[#This Row],[PATENTE]],'BASE DATOS'!F:M,8,0)</f>
        <v>3</v>
      </c>
    </row>
    <row r="1170" spans="1:11" hidden="1">
      <c r="A1170" s="578" t="s">
        <v>887</v>
      </c>
      <c r="B1170" s="584">
        <v>4</v>
      </c>
      <c r="C1170" s="589">
        <v>45992</v>
      </c>
      <c r="D1170" s="582">
        <f t="shared" si="44"/>
        <v>49</v>
      </c>
      <c r="E1170" s="618" t="str">
        <f>+VLOOKUP(Tabla3[[#This Row],[PATENTE]],'BASE DATOS'!F:G,2,0)</f>
        <v>ENRIQUE ROLLINO - BXB394</v>
      </c>
      <c r="F1170" s="584" t="str">
        <f>+VLOOKUP(Tabla3[[#This Row],[PATENTE]],'BASE DATOS'!F:H,3,0)</f>
        <v>2P</v>
      </c>
      <c r="G1170" s="584" t="str">
        <f>+VLOOKUP(Tabla3[[#This Row],[PATENTE]],'BASE DATOS'!F:I,4,0)</f>
        <v>SI</v>
      </c>
      <c r="H1170" s="584" t="str">
        <f>+VLOOKUP(Tabla3[[#This Row],[PATENTE]],'BASE DATOS'!F:J,5,0)</f>
        <v>SI</v>
      </c>
      <c r="I1170" s="584" t="str">
        <f>+VLOOKUP(Tabla3[[#This Row],[PATENTE]],'BASE DATOS'!F:K,6,0)</f>
        <v>NO</v>
      </c>
      <c r="J1170" s="584">
        <f>+VLOOKUP(Tabla3[[#This Row],[PATENTE]],'BASE DATOS'!F:L,7,0)</f>
        <v>1998</v>
      </c>
      <c r="K1170" s="619">
        <f>+VLOOKUP(Tabla3[[#This Row],[PATENTE]],'BASE DATOS'!F:M,8,0)</f>
        <v>27</v>
      </c>
    </row>
    <row r="1171" spans="1:11" hidden="1">
      <c r="A1171" s="578" t="s">
        <v>932</v>
      </c>
      <c r="B1171" s="584">
        <v>4</v>
      </c>
      <c r="C1171" s="589">
        <v>45992</v>
      </c>
      <c r="D1171" s="582">
        <f t="shared" si="44"/>
        <v>49</v>
      </c>
      <c r="E1171" s="618" t="str">
        <f>+VLOOKUP(Tabla3[[#This Row],[PATENTE]],'BASE DATOS'!F:G,2,0)</f>
        <v xml:space="preserve">TRANSP MAVIR - EFL176 </v>
      </c>
      <c r="F1171" s="584" t="str">
        <f>+VLOOKUP(Tabla3[[#This Row],[PATENTE]],'BASE DATOS'!F:H,3,0)</f>
        <v>12P</v>
      </c>
      <c r="G1171" s="584" t="str">
        <f>+VLOOKUP(Tabla3[[#This Row],[PATENTE]],'BASE DATOS'!F:I,4,0)</f>
        <v>SI</v>
      </c>
      <c r="H1171" s="584" t="str">
        <f>+VLOOKUP(Tabla3[[#This Row],[PATENTE]],'BASE DATOS'!F:J,5,0)</f>
        <v>SI</v>
      </c>
      <c r="I1171" s="584" t="str">
        <f>+VLOOKUP(Tabla3[[#This Row],[PATENTE]],'BASE DATOS'!F:K,6,0)</f>
        <v>NO</v>
      </c>
      <c r="J1171" s="584">
        <f>+VLOOKUP(Tabla3[[#This Row],[PATENTE]],'BASE DATOS'!F:L,7,0)</f>
        <v>1998</v>
      </c>
      <c r="K1171" s="619">
        <f>+VLOOKUP(Tabla3[[#This Row],[PATENTE]],'BASE DATOS'!F:M,8,0)</f>
        <v>27</v>
      </c>
    </row>
    <row r="1172" spans="1:11" hidden="1">
      <c r="A1172" s="578" t="s">
        <v>915</v>
      </c>
      <c r="B1172" s="584">
        <v>4</v>
      </c>
      <c r="C1172" s="589">
        <v>45992</v>
      </c>
      <c r="D1172" s="582">
        <f t="shared" si="44"/>
        <v>49</v>
      </c>
      <c r="E1172" s="618" t="str">
        <f>+VLOOKUP(Tabla3[[#This Row],[PATENTE]],'BASE DATOS'!F:G,2,0)</f>
        <v>TRANSPORTE GRACIELA - FPL254</v>
      </c>
      <c r="F1172" s="584" t="str">
        <f>+VLOOKUP(Tabla3[[#This Row],[PATENTE]],'BASE DATOS'!F:H,3,0)</f>
        <v>2P</v>
      </c>
      <c r="G1172" s="584" t="str">
        <f>+VLOOKUP(Tabla3[[#This Row],[PATENTE]],'BASE DATOS'!F:I,4,0)</f>
        <v>SI</v>
      </c>
      <c r="H1172" s="584" t="str">
        <f>+VLOOKUP(Tabla3[[#This Row],[PATENTE]],'BASE DATOS'!F:J,5,0)</f>
        <v>NO (CAMI)</v>
      </c>
      <c r="I1172" s="584" t="str">
        <f>+VLOOKUP(Tabla3[[#This Row],[PATENTE]],'BASE DATOS'!F:K,6,0)</f>
        <v>NO</v>
      </c>
      <c r="J1172" s="584">
        <f>+VLOOKUP(Tabla3[[#This Row],[PATENTE]],'BASE DATOS'!F:L,7,0)</f>
        <v>2012</v>
      </c>
      <c r="K1172" s="619">
        <f>+VLOOKUP(Tabla3[[#This Row],[PATENTE]],'BASE DATOS'!F:M,8,0)</f>
        <v>13</v>
      </c>
    </row>
    <row r="1173" spans="1:11" hidden="1">
      <c r="A1173" s="578" t="s">
        <v>891</v>
      </c>
      <c r="B1173" s="584">
        <v>4</v>
      </c>
      <c r="C1173" s="589">
        <v>45992</v>
      </c>
      <c r="D1173" s="582">
        <f t="shared" si="44"/>
        <v>49</v>
      </c>
      <c r="E1173" s="618" t="str">
        <f>+VLOOKUP(Tabla3[[#This Row],[PATENTE]],'BASE DATOS'!F:G,2,0)</f>
        <v xml:space="preserve">GANZINI HUGO - HHA085 </v>
      </c>
      <c r="F1173" s="584" t="str">
        <f>+VLOOKUP(Tabla3[[#This Row],[PATENTE]],'BASE DATOS'!F:H,3,0)</f>
        <v>2P</v>
      </c>
      <c r="G1173" s="584" t="str">
        <f>+VLOOKUP(Tabla3[[#This Row],[PATENTE]],'BASE DATOS'!F:I,4,0)</f>
        <v>SI</v>
      </c>
      <c r="H1173" s="584" t="str">
        <f>+VLOOKUP(Tabla3[[#This Row],[PATENTE]],'BASE DATOS'!F:J,5,0)</f>
        <v>SI</v>
      </c>
      <c r="I1173" s="584" t="str">
        <f>+VLOOKUP(Tabla3[[#This Row],[PATENTE]],'BASE DATOS'!F:K,6,0)</f>
        <v>NO</v>
      </c>
      <c r="J1173" s="584">
        <f>+VLOOKUP(Tabla3[[#This Row],[PATENTE]],'BASE DATOS'!F:L,7,0)</f>
        <v>2008</v>
      </c>
      <c r="K1173" s="619">
        <f>+VLOOKUP(Tabla3[[#This Row],[PATENTE]],'BASE DATOS'!F:M,8,0)</f>
        <v>17</v>
      </c>
    </row>
    <row r="1174" spans="1:11" hidden="1">
      <c r="A1174" s="578" t="s">
        <v>925</v>
      </c>
      <c r="B1174" s="584">
        <v>4</v>
      </c>
      <c r="C1174" s="589">
        <v>45992</v>
      </c>
      <c r="D1174" s="582">
        <f t="shared" si="44"/>
        <v>49</v>
      </c>
      <c r="E1174" s="618" t="str">
        <f>+VLOOKUP(Tabla3[[#This Row],[PATENTE]],'BASE DATOS'!F:G,2,0)</f>
        <v xml:space="preserve">TRANSP MAIDANA FACUNDO - KOW745 </v>
      </c>
      <c r="F1174" s="584" t="str">
        <f>+VLOOKUP(Tabla3[[#This Row],[PATENTE]],'BASE DATOS'!F:H,3,0)</f>
        <v>8P</v>
      </c>
      <c r="G1174" s="584" t="str">
        <f>+VLOOKUP(Tabla3[[#This Row],[PATENTE]],'BASE DATOS'!F:I,4,0)</f>
        <v>SI</v>
      </c>
      <c r="H1174" s="584" t="str">
        <f>+VLOOKUP(Tabla3[[#This Row],[PATENTE]],'BASE DATOS'!F:J,5,0)</f>
        <v>SI</v>
      </c>
      <c r="I1174" s="584" t="str">
        <f>+VLOOKUP(Tabla3[[#This Row],[PATENTE]],'BASE DATOS'!F:K,6,0)</f>
        <v>NO</v>
      </c>
      <c r="J1174" s="584">
        <f>+VLOOKUP(Tabla3[[#This Row],[PATENTE]],'BASE DATOS'!F:L,7,0)</f>
        <v>2012</v>
      </c>
      <c r="K1174" s="619">
        <f>+VLOOKUP(Tabla3[[#This Row],[PATENTE]],'BASE DATOS'!F:M,8,0)</f>
        <v>13</v>
      </c>
    </row>
    <row r="1175" spans="1:11" hidden="1">
      <c r="A1175" s="578" t="s">
        <v>920</v>
      </c>
      <c r="B1175" s="584">
        <v>4</v>
      </c>
      <c r="C1175" s="589">
        <v>45992</v>
      </c>
      <c r="D1175" s="582">
        <f t="shared" si="44"/>
        <v>49</v>
      </c>
      <c r="E1175" s="618" t="str">
        <f>+VLOOKUP(Tabla3[[#This Row],[PATENTE]],'BASE DATOS'!F:G,2,0)</f>
        <v xml:space="preserve">TRANSP LAGOS - MRV682 </v>
      </c>
      <c r="F1175" s="584" t="str">
        <f>+VLOOKUP(Tabla3[[#This Row],[PATENTE]],'BASE DATOS'!F:H,3,0)</f>
        <v>8P</v>
      </c>
      <c r="G1175" s="584" t="str">
        <f>+VLOOKUP(Tabla3[[#This Row],[PATENTE]],'BASE DATOS'!F:I,4,0)</f>
        <v>SI</v>
      </c>
      <c r="H1175" s="584" t="str">
        <f>+VLOOKUP(Tabla3[[#This Row],[PATENTE]],'BASE DATOS'!F:J,5,0)</f>
        <v>SI</v>
      </c>
      <c r="I1175" s="584" t="str">
        <f>+VLOOKUP(Tabla3[[#This Row],[PATENTE]],'BASE DATOS'!F:K,6,0)</f>
        <v>NO</v>
      </c>
      <c r="J1175" s="584">
        <f>+VLOOKUP(Tabla3[[#This Row],[PATENTE]],'BASE DATOS'!F:L,7,0)</f>
        <v>2013</v>
      </c>
      <c r="K1175" s="619">
        <f>+VLOOKUP(Tabla3[[#This Row],[PATENTE]],'BASE DATOS'!F:M,8,0)</f>
        <v>12</v>
      </c>
    </row>
    <row r="1176" spans="1:11" hidden="1">
      <c r="A1176" s="578" t="s">
        <v>879</v>
      </c>
      <c r="B1176" s="584">
        <v>4</v>
      </c>
      <c r="C1176" s="589">
        <v>45992</v>
      </c>
      <c r="D1176" s="582">
        <f t="shared" si="44"/>
        <v>49</v>
      </c>
      <c r="E1176" s="618" t="str">
        <f>+VLOOKUP(Tabla3[[#This Row],[PATENTE]],'BASE DATOS'!F:G,2,0)</f>
        <v xml:space="preserve">TRANSP JP - OYP470 </v>
      </c>
      <c r="F1176" s="584" t="str">
        <f>+VLOOKUP(Tabla3[[#This Row],[PATENTE]],'BASE DATOS'!F:H,3,0)</f>
        <v>8P</v>
      </c>
      <c r="G1176" s="584" t="str">
        <f>+VLOOKUP(Tabla3[[#This Row],[PATENTE]],'BASE DATOS'!F:I,4,0)</f>
        <v>SI</v>
      </c>
      <c r="H1176" s="584" t="str">
        <f>+VLOOKUP(Tabla3[[#This Row],[PATENTE]],'BASE DATOS'!F:J,5,0)</f>
        <v>SI</v>
      </c>
      <c r="I1176" s="584" t="str">
        <f>+VLOOKUP(Tabla3[[#This Row],[PATENTE]],'BASE DATOS'!F:K,6,0)</f>
        <v>NO</v>
      </c>
      <c r="J1176" s="584">
        <f>+VLOOKUP(Tabla3[[#This Row],[PATENTE]],'BASE DATOS'!F:L,7,0)</f>
        <v>2011</v>
      </c>
      <c r="K1176" s="619">
        <f>+VLOOKUP(Tabla3[[#This Row],[PATENTE]],'BASE DATOS'!F:M,8,0)</f>
        <v>14</v>
      </c>
    </row>
    <row r="1177" spans="1:11" hidden="1">
      <c r="A1177" s="578" t="s">
        <v>919</v>
      </c>
      <c r="B1177" s="584">
        <v>3</v>
      </c>
      <c r="C1177" s="589">
        <v>45992</v>
      </c>
      <c r="D1177" s="582">
        <f t="shared" ref="D1177:D1198" si="45">+WEEKNUM(C1177)</f>
        <v>49</v>
      </c>
      <c r="E1177" s="618" t="str">
        <f>+VLOOKUP(Tabla3[[#This Row],[PATENTE]],'BASE DATOS'!F:G,2,0)</f>
        <v xml:space="preserve">GUSTAVO CERQUETTA - AA427LT </v>
      </c>
      <c r="F1177" s="584" t="str">
        <f>+VLOOKUP(Tabla3[[#This Row],[PATENTE]],'BASE DATOS'!F:H,3,0)</f>
        <v>1P</v>
      </c>
      <c r="G1177" s="584" t="str">
        <f>+VLOOKUP(Tabla3[[#This Row],[PATENTE]],'BASE DATOS'!F:I,4,0)</f>
        <v>NO</v>
      </c>
      <c r="H1177" s="584" t="str">
        <f>+VLOOKUP(Tabla3[[#This Row],[PATENTE]],'BASE DATOS'!F:J,5,0)</f>
        <v>SI</v>
      </c>
      <c r="I1177" s="584" t="str">
        <f>+VLOOKUP(Tabla3[[#This Row],[PATENTE]],'BASE DATOS'!F:K,6,0)</f>
        <v>NO</v>
      </c>
      <c r="J1177" s="584">
        <f>+VLOOKUP(Tabla3[[#This Row],[PATENTE]],'BASE DATOS'!F:L,7,0)</f>
        <v>2016</v>
      </c>
      <c r="K1177" s="619">
        <f>+VLOOKUP(Tabla3[[#This Row],[PATENTE]],'BASE DATOS'!F:M,8,0)</f>
        <v>9</v>
      </c>
    </row>
    <row r="1178" spans="1:11" hidden="1">
      <c r="A1178" s="578" t="s">
        <v>899</v>
      </c>
      <c r="B1178" s="584">
        <v>3</v>
      </c>
      <c r="C1178" s="589">
        <v>45992</v>
      </c>
      <c r="D1178" s="582">
        <f t="shared" si="45"/>
        <v>49</v>
      </c>
      <c r="E1178" s="618" t="str">
        <f>+VLOOKUP(Tabla3[[#This Row],[PATENTE]],'BASE DATOS'!F:G,2,0)</f>
        <v xml:space="preserve">VAZQUEZ (TRV SRL) - AB176KN </v>
      </c>
      <c r="F1178" s="584" t="str">
        <f>+VLOOKUP(Tabla3[[#This Row],[PATENTE]],'BASE DATOS'!F:H,3,0)</f>
        <v>8P</v>
      </c>
      <c r="G1178" s="584" t="str">
        <f>+VLOOKUP(Tabla3[[#This Row],[PATENTE]],'BASE DATOS'!F:I,4,0)</f>
        <v>SI</v>
      </c>
      <c r="H1178" s="584" t="str">
        <f>+VLOOKUP(Tabla3[[#This Row],[PATENTE]],'BASE DATOS'!F:J,5,0)</f>
        <v>SI</v>
      </c>
      <c r="I1178" s="584" t="str">
        <f>+VLOOKUP(Tabla3[[#This Row],[PATENTE]],'BASE DATOS'!F:K,6,0)</f>
        <v>SI</v>
      </c>
      <c r="J1178" s="584">
        <f>+VLOOKUP(Tabla3[[#This Row],[PATENTE]],'BASE DATOS'!F:L,7,0)</f>
        <v>2017</v>
      </c>
      <c r="K1178" s="619">
        <f>+VLOOKUP(Tabla3[[#This Row],[PATENTE]],'BASE DATOS'!F:M,8,0)</f>
        <v>8</v>
      </c>
    </row>
    <row r="1179" spans="1:11" hidden="1">
      <c r="A1179" s="578" t="s">
        <v>883</v>
      </c>
      <c r="B1179" s="584">
        <v>3</v>
      </c>
      <c r="C1179" s="589">
        <v>45992</v>
      </c>
      <c r="D1179" s="582">
        <f t="shared" si="45"/>
        <v>49</v>
      </c>
      <c r="E1179" s="618" t="str">
        <f>+VLOOKUP(Tabla3[[#This Row],[PATENTE]],'BASE DATOS'!F:G,2,0)</f>
        <v xml:space="preserve">PACHECO JULIO - ACI503 </v>
      </c>
      <c r="F1179" s="584" t="str">
        <f>+VLOOKUP(Tabla3[[#This Row],[PATENTE]],'BASE DATOS'!F:H,3,0)</f>
        <v>12P</v>
      </c>
      <c r="G1179" s="584" t="str">
        <f>+VLOOKUP(Tabla3[[#This Row],[PATENTE]],'BASE DATOS'!F:I,4,0)</f>
        <v>NO</v>
      </c>
      <c r="H1179" s="584" t="str">
        <f>+VLOOKUP(Tabla3[[#This Row],[PATENTE]],'BASE DATOS'!F:J,5,0)</f>
        <v>SI</v>
      </c>
      <c r="I1179" s="584" t="str">
        <f>+VLOOKUP(Tabla3[[#This Row],[PATENTE]],'BASE DATOS'!F:K,6,0)</f>
        <v>SI</v>
      </c>
      <c r="J1179" s="584">
        <f>+VLOOKUP(Tabla3[[#This Row],[PATENTE]],'BASE DATOS'!F:L,7,0)</f>
        <v>2000</v>
      </c>
      <c r="K1179" s="619">
        <f>+VLOOKUP(Tabla3[[#This Row],[PATENTE]],'BASE DATOS'!F:M,8,0)</f>
        <v>25</v>
      </c>
    </row>
    <row r="1180" spans="1:11" hidden="1">
      <c r="A1180" s="578" t="s">
        <v>944</v>
      </c>
      <c r="B1180" s="584">
        <v>3</v>
      </c>
      <c r="C1180" s="589">
        <v>45992</v>
      </c>
      <c r="D1180" s="582">
        <f t="shared" si="45"/>
        <v>49</v>
      </c>
      <c r="E1180" s="618" t="str">
        <f>+VLOOKUP(Tabla3[[#This Row],[PATENTE]],'BASE DATOS'!F:G,2,0)</f>
        <v xml:space="preserve">TRANSPORTE GENA GAIA - BHG261 </v>
      </c>
      <c r="F1180" s="584" t="str">
        <f>+VLOOKUP(Tabla3[[#This Row],[PATENTE]],'BASE DATOS'!F:H,3,0)</f>
        <v>26P</v>
      </c>
      <c r="G1180" s="584" t="str">
        <f>+VLOOKUP(Tabla3[[#This Row],[PATENTE]],'BASE DATOS'!F:I,4,0)</f>
        <v>Gestya</v>
      </c>
      <c r="H1180" s="584" t="str">
        <f>+VLOOKUP(Tabla3[[#This Row],[PATENTE]],'BASE DATOS'!F:J,5,0)</f>
        <v xml:space="preserve">NO </v>
      </c>
      <c r="I1180" s="584" t="str">
        <f>+VLOOKUP(Tabla3[[#This Row],[PATENTE]],'BASE DATOS'!F:K,6,0)</f>
        <v>NO</v>
      </c>
      <c r="J1180" s="584">
        <f>+VLOOKUP(Tabla3[[#This Row],[PATENTE]],'BASE DATOS'!F:L,7,0)</f>
        <v>1997</v>
      </c>
      <c r="K1180" s="619">
        <f>+VLOOKUP(Tabla3[[#This Row],[PATENTE]],'BASE DATOS'!F:M,8,0)</f>
        <v>28</v>
      </c>
    </row>
    <row r="1181" spans="1:11" hidden="1">
      <c r="A1181" s="578" t="s">
        <v>921</v>
      </c>
      <c r="B1181" s="584">
        <v>3</v>
      </c>
      <c r="C1181" s="589">
        <v>45992</v>
      </c>
      <c r="D1181" s="582">
        <f t="shared" si="45"/>
        <v>49</v>
      </c>
      <c r="E1181" s="618" t="str">
        <f>+VLOOKUP(Tabla3[[#This Row],[PATENTE]],'BASE DATOS'!F:G,2,0)</f>
        <v xml:space="preserve">MAÑAS NORBERTO - CQQ304 </v>
      </c>
      <c r="F1181" s="584" t="str">
        <f>+VLOOKUP(Tabla3[[#This Row],[PATENTE]],'BASE DATOS'!F:H,3,0)</f>
        <v>11P</v>
      </c>
      <c r="G1181" s="584" t="str">
        <f>+VLOOKUP(Tabla3[[#This Row],[PATENTE]],'BASE DATOS'!F:I,4,0)</f>
        <v>SI</v>
      </c>
      <c r="H1181" s="584" t="str">
        <f>+VLOOKUP(Tabla3[[#This Row],[PATENTE]],'BASE DATOS'!F:J,5,0)</f>
        <v>SI</v>
      </c>
      <c r="I1181" s="584" t="str">
        <f>+VLOOKUP(Tabla3[[#This Row],[PATENTE]],'BASE DATOS'!F:K,6,0)</f>
        <v>NO</v>
      </c>
      <c r="J1181" s="584">
        <f>+VLOOKUP(Tabla3[[#This Row],[PATENTE]],'BASE DATOS'!F:L,7,0)</f>
        <v>2000</v>
      </c>
      <c r="K1181" s="619">
        <f>+VLOOKUP(Tabla3[[#This Row],[PATENTE]],'BASE DATOS'!F:M,8,0)</f>
        <v>25</v>
      </c>
    </row>
    <row r="1182" spans="1:11" hidden="1">
      <c r="A1182" s="578" t="s">
        <v>924</v>
      </c>
      <c r="B1182" s="584">
        <v>3</v>
      </c>
      <c r="C1182" s="589">
        <v>45992</v>
      </c>
      <c r="D1182" s="582">
        <f t="shared" si="45"/>
        <v>49</v>
      </c>
      <c r="E1182" s="618" t="str">
        <f>+VLOOKUP(Tabla3[[#This Row],[PATENTE]],'BASE DATOS'!F:G,2,0)</f>
        <v>TRANSP MAVIR - HRZ429 -16P</v>
      </c>
      <c r="F1182" s="584" t="str">
        <f>+VLOOKUP(Tabla3[[#This Row],[PATENTE]],'BASE DATOS'!F:H,3,0)</f>
        <v>16P</v>
      </c>
      <c r="G1182" s="584" t="str">
        <f>+VLOOKUP(Tabla3[[#This Row],[PATENTE]],'BASE DATOS'!F:I,4,0)</f>
        <v>SI</v>
      </c>
      <c r="H1182" s="584" t="str">
        <f>+VLOOKUP(Tabla3[[#This Row],[PATENTE]],'BASE DATOS'!F:J,5,0)</f>
        <v xml:space="preserve">NO </v>
      </c>
      <c r="I1182" s="584" t="str">
        <f>+VLOOKUP(Tabla3[[#This Row],[PATENTE]],'BASE DATOS'!F:K,6,0)</f>
        <v>NO</v>
      </c>
      <c r="J1182" s="584">
        <f>+VLOOKUP(Tabla3[[#This Row],[PATENTE]],'BASE DATOS'!F:L,7,0)</f>
        <v>2008</v>
      </c>
      <c r="K1182" s="619">
        <f>+VLOOKUP(Tabla3[[#This Row],[PATENTE]],'BASE DATOS'!F:M,8,0)</f>
        <v>17</v>
      </c>
    </row>
    <row r="1183" spans="1:11" hidden="1">
      <c r="A1183" s="578" t="s">
        <v>900</v>
      </c>
      <c r="B1183" s="584">
        <v>3</v>
      </c>
      <c r="C1183" s="589">
        <v>45992</v>
      </c>
      <c r="D1183" s="582">
        <f t="shared" si="45"/>
        <v>49</v>
      </c>
      <c r="E1183" s="618" t="str">
        <f>+VLOOKUP(Tabla3[[#This Row],[PATENTE]],'BASE DATOS'!F:G,2,0)</f>
        <v>TRANSPORTE GENA GAIA - IMO939</v>
      </c>
      <c r="F1183" s="584" t="str">
        <f>+VLOOKUP(Tabla3[[#This Row],[PATENTE]],'BASE DATOS'!F:H,3,0)</f>
        <v>24P</v>
      </c>
      <c r="G1183" s="584" t="str">
        <f>+VLOOKUP(Tabla3[[#This Row],[PATENTE]],'BASE DATOS'!F:I,4,0)</f>
        <v>Gestya</v>
      </c>
      <c r="H1183" s="584" t="str">
        <f>+VLOOKUP(Tabla3[[#This Row],[PATENTE]],'BASE DATOS'!F:J,5,0)</f>
        <v xml:space="preserve">NO </v>
      </c>
      <c r="I1183" s="584" t="str">
        <f>+VLOOKUP(Tabla3[[#This Row],[PATENTE]],'BASE DATOS'!F:K,6,0)</f>
        <v>NO</v>
      </c>
      <c r="J1183" s="584">
        <f>+VLOOKUP(Tabla3[[#This Row],[PATENTE]],'BASE DATOS'!F:L,7,0)</f>
        <v>2010</v>
      </c>
      <c r="K1183" s="619">
        <f>+VLOOKUP(Tabla3[[#This Row],[PATENTE]],'BASE DATOS'!F:M,8,0)</f>
        <v>15</v>
      </c>
    </row>
    <row r="1184" spans="1:11" hidden="1">
      <c r="A1184" s="578" t="s">
        <v>901</v>
      </c>
      <c r="B1184" s="584">
        <v>3</v>
      </c>
      <c r="C1184" s="589">
        <v>45992</v>
      </c>
      <c r="D1184" s="582">
        <f t="shared" si="45"/>
        <v>49</v>
      </c>
      <c r="E1184" s="618" t="str">
        <f>+VLOOKUP(Tabla3[[#This Row],[PATENTE]],'BASE DATOS'!F:G,2,0)</f>
        <v xml:space="preserve">TRANSPORTE  GRACIELA - IYE750 </v>
      </c>
      <c r="F1184" s="584" t="str">
        <f>+VLOOKUP(Tabla3[[#This Row],[PATENTE]],'BASE DATOS'!F:H,3,0)</f>
        <v>1P</v>
      </c>
      <c r="G1184" s="584" t="str">
        <f>+VLOOKUP(Tabla3[[#This Row],[PATENTE]],'BASE DATOS'!F:I,4,0)</f>
        <v>NO</v>
      </c>
      <c r="H1184" s="584" t="str">
        <f>+VLOOKUP(Tabla3[[#This Row],[PATENTE]],'BASE DATOS'!F:J,5,0)</f>
        <v>SI</v>
      </c>
      <c r="I1184" s="584" t="str">
        <f>+VLOOKUP(Tabla3[[#This Row],[PATENTE]],'BASE DATOS'!F:K,6,0)</f>
        <v>NO</v>
      </c>
      <c r="J1184" s="584">
        <f>+VLOOKUP(Tabla3[[#This Row],[PATENTE]],'BASE DATOS'!F:L,7,0)</f>
        <v>2009</v>
      </c>
      <c r="K1184" s="619">
        <f>+VLOOKUP(Tabla3[[#This Row],[PATENTE]],'BASE DATOS'!F:M,8,0)</f>
        <v>16</v>
      </c>
    </row>
    <row r="1185" spans="1:11" hidden="1">
      <c r="A1185" s="578" t="s">
        <v>1133</v>
      </c>
      <c r="B1185" s="584">
        <v>2</v>
      </c>
      <c r="C1185" s="589">
        <v>45992</v>
      </c>
      <c r="D1185" s="582">
        <f t="shared" si="45"/>
        <v>49</v>
      </c>
      <c r="E1185" s="618" t="str">
        <f>+VLOOKUP(Tabla3[[#This Row],[PATENTE]],'BASE DATOS'!F:G,2,0)</f>
        <v xml:space="preserve">BELLIMAR SRL - AB787MT </v>
      </c>
      <c r="F1185" s="584" t="str">
        <f>+VLOOKUP(Tabla3[[#This Row],[PATENTE]],'BASE DATOS'!F:H,3,0)</f>
        <v>28P</v>
      </c>
      <c r="G1185" s="584" t="str">
        <f>+VLOOKUP(Tabla3[[#This Row],[PATENTE]],'BASE DATOS'!F:I,4,0)</f>
        <v>NO</v>
      </c>
      <c r="H1185" s="584" t="str">
        <f>+VLOOKUP(Tabla3[[#This Row],[PATENTE]],'BASE DATOS'!F:J,5,0)</f>
        <v xml:space="preserve">NO </v>
      </c>
      <c r="I1185" s="584" t="str">
        <f>+VLOOKUP(Tabla3[[#This Row],[PATENTE]],'BASE DATOS'!F:K,6,0)</f>
        <v>NO</v>
      </c>
      <c r="J1185" s="584">
        <f>+VLOOKUP(Tabla3[[#This Row],[PATENTE]],'BASE DATOS'!F:L,7,0)</f>
        <v>2017</v>
      </c>
      <c r="K1185" s="619">
        <f>+VLOOKUP(Tabla3[[#This Row],[PATENTE]],'BASE DATOS'!F:M,8,0)</f>
        <v>8</v>
      </c>
    </row>
    <row r="1186" spans="1:11" hidden="1">
      <c r="A1186" s="578" t="s">
        <v>880</v>
      </c>
      <c r="B1186" s="584">
        <v>2</v>
      </c>
      <c r="C1186" s="589">
        <v>45992</v>
      </c>
      <c r="D1186" s="582">
        <f t="shared" si="45"/>
        <v>49</v>
      </c>
      <c r="E1186" s="618" t="str">
        <f>+VLOOKUP(Tabla3[[#This Row],[PATENTE]],'BASE DATOS'!F:G,2,0)</f>
        <v xml:space="preserve">LAURIA (SERVAL) - AD575XK </v>
      </c>
      <c r="F1186" s="584" t="str">
        <f>+VLOOKUP(Tabla3[[#This Row],[PATENTE]],'BASE DATOS'!F:H,3,0)</f>
        <v>8P</v>
      </c>
      <c r="G1186" s="584" t="str">
        <f>+VLOOKUP(Tabla3[[#This Row],[PATENTE]],'BASE DATOS'!F:I,4,0)</f>
        <v>SI</v>
      </c>
      <c r="H1186" s="584" t="str">
        <f>+VLOOKUP(Tabla3[[#This Row],[PATENTE]],'BASE DATOS'!F:J,5,0)</f>
        <v>SI</v>
      </c>
      <c r="I1186" s="584" t="str">
        <f>+VLOOKUP(Tabla3[[#This Row],[PATENTE]],'BASE DATOS'!F:K,6,0)</f>
        <v>NO</v>
      </c>
      <c r="J1186" s="584">
        <f>+VLOOKUP(Tabla3[[#This Row],[PATENTE]],'BASE DATOS'!F:L,7,0)</f>
        <v>2019</v>
      </c>
      <c r="K1186" s="619">
        <f>+VLOOKUP(Tabla3[[#This Row],[PATENTE]],'BASE DATOS'!F:M,8,0)</f>
        <v>6</v>
      </c>
    </row>
    <row r="1187" spans="1:11" hidden="1">
      <c r="A1187" s="578" t="s">
        <v>903</v>
      </c>
      <c r="B1187" s="584">
        <v>2</v>
      </c>
      <c r="C1187" s="589">
        <v>45992</v>
      </c>
      <c r="D1187" s="582">
        <f t="shared" si="45"/>
        <v>49</v>
      </c>
      <c r="E1187" s="618" t="str">
        <f>+VLOOKUP(Tabla3[[#This Row],[PATENTE]],'BASE DATOS'!F:G,2,0)</f>
        <v xml:space="preserve">TRANSP CLAUDIO BUSTOS - AG243PE </v>
      </c>
      <c r="F1187" s="584" t="str">
        <f>+VLOOKUP(Tabla3[[#This Row],[PATENTE]],'BASE DATOS'!F:H,3,0)</f>
        <v>1P</v>
      </c>
      <c r="G1187" s="584" t="str">
        <f>+VLOOKUP(Tabla3[[#This Row],[PATENTE]],'BASE DATOS'!F:I,4,0)</f>
        <v>SI</v>
      </c>
      <c r="H1187" s="584" t="str">
        <f>+VLOOKUP(Tabla3[[#This Row],[PATENTE]],'BASE DATOS'!F:J,5,0)</f>
        <v>SI</v>
      </c>
      <c r="I1187" s="584" t="str">
        <f>+VLOOKUP(Tabla3[[#This Row],[PATENTE]],'BASE DATOS'!F:K,6,0)</f>
        <v>NO</v>
      </c>
      <c r="J1187" s="584">
        <f>+VLOOKUP(Tabla3[[#This Row],[PATENTE]],'BASE DATOS'!F:L,7,0)</f>
        <v>2024</v>
      </c>
      <c r="K1187" s="619">
        <f>+VLOOKUP(Tabla3[[#This Row],[PATENTE]],'BASE DATOS'!F:M,8,0)</f>
        <v>1</v>
      </c>
    </row>
    <row r="1188" spans="1:11" hidden="1">
      <c r="A1188" s="578" t="s">
        <v>893</v>
      </c>
      <c r="B1188" s="584">
        <v>2</v>
      </c>
      <c r="C1188" s="589">
        <v>45992</v>
      </c>
      <c r="D1188" s="582">
        <f t="shared" si="45"/>
        <v>49</v>
      </c>
      <c r="E1188" s="618" t="str">
        <f>+VLOOKUP(Tabla3[[#This Row],[PATENTE]],'BASE DATOS'!F:G,2,0)</f>
        <v xml:space="preserve">GANZINI HUGO - CFF038 </v>
      </c>
      <c r="F1188" s="584" t="str">
        <f>+VLOOKUP(Tabla3[[#This Row],[PATENTE]],'BASE DATOS'!F:H,3,0)</f>
        <v>2P</v>
      </c>
      <c r="G1188" s="584" t="str">
        <f>+VLOOKUP(Tabla3[[#This Row],[PATENTE]],'BASE DATOS'!F:I,4,0)</f>
        <v>SI</v>
      </c>
      <c r="H1188" s="584" t="str">
        <f>+VLOOKUP(Tabla3[[#This Row],[PATENTE]],'BASE DATOS'!F:J,5,0)</f>
        <v>SI</v>
      </c>
      <c r="I1188" s="584" t="str">
        <f>+VLOOKUP(Tabla3[[#This Row],[PATENTE]],'BASE DATOS'!F:K,6,0)</f>
        <v>NO</v>
      </c>
      <c r="J1188" s="584">
        <f>+VLOOKUP(Tabla3[[#This Row],[PATENTE]],'BASE DATOS'!F:L,7,0)</f>
        <v>1999</v>
      </c>
      <c r="K1188" s="619">
        <f>+VLOOKUP(Tabla3[[#This Row],[PATENTE]],'BASE DATOS'!F:M,8,0)</f>
        <v>26</v>
      </c>
    </row>
    <row r="1189" spans="1:11" hidden="1">
      <c r="A1189" s="578" t="s">
        <v>926</v>
      </c>
      <c r="B1189" s="584">
        <v>2</v>
      </c>
      <c r="C1189" s="589">
        <v>45992</v>
      </c>
      <c r="D1189" s="582">
        <f t="shared" si="45"/>
        <v>49</v>
      </c>
      <c r="E1189" s="618" t="str">
        <f>+VLOOKUP(Tabla3[[#This Row],[PATENTE]],'BASE DATOS'!F:G,2,0)</f>
        <v xml:space="preserve">TRANSPORTE GENA GAIA - DUF042 </v>
      </c>
      <c r="F1189" s="584" t="str">
        <f>+VLOOKUP(Tabla3[[#This Row],[PATENTE]],'BASE DATOS'!F:H,3,0)</f>
        <v>24P</v>
      </c>
      <c r="G1189" s="584" t="str">
        <f>+VLOOKUP(Tabla3[[#This Row],[PATENTE]],'BASE DATOS'!F:I,4,0)</f>
        <v>Gestya</v>
      </c>
      <c r="H1189" s="584" t="str">
        <f>+VLOOKUP(Tabla3[[#This Row],[PATENTE]],'BASE DATOS'!F:J,5,0)</f>
        <v xml:space="preserve">NO </v>
      </c>
      <c r="I1189" s="584" t="str">
        <f>+VLOOKUP(Tabla3[[#This Row],[PATENTE]],'BASE DATOS'!F:K,6,0)</f>
        <v>NO</v>
      </c>
      <c r="J1189" s="584">
        <f>+VLOOKUP(Tabla3[[#This Row],[PATENTE]],'BASE DATOS'!F:L,7,0)</f>
        <v>2001</v>
      </c>
      <c r="K1189" s="619">
        <f>+VLOOKUP(Tabla3[[#This Row],[PATENTE]],'BASE DATOS'!F:M,8,0)</f>
        <v>24</v>
      </c>
    </row>
    <row r="1190" spans="1:11" hidden="1">
      <c r="A1190" s="578" t="s">
        <v>939</v>
      </c>
      <c r="B1190" s="584">
        <v>2</v>
      </c>
      <c r="C1190" s="589">
        <v>45992</v>
      </c>
      <c r="D1190" s="582">
        <f t="shared" si="45"/>
        <v>49</v>
      </c>
      <c r="E1190" s="618" t="str">
        <f>+VLOOKUP(Tabla3[[#This Row],[PATENTE]],'BASE DATOS'!F:G,2,0)</f>
        <v>TRANSP CLAUDIO BUSTOS - JOQ178</v>
      </c>
      <c r="F1190" s="584" t="str">
        <f>+VLOOKUP(Tabla3[[#This Row],[PATENTE]],'BASE DATOS'!F:H,3,0)</f>
        <v>1P</v>
      </c>
      <c r="G1190" s="584" t="str">
        <f>+VLOOKUP(Tabla3[[#This Row],[PATENTE]],'BASE DATOS'!F:I,4,0)</f>
        <v>NO</v>
      </c>
      <c r="H1190" s="584" t="str">
        <f>+VLOOKUP(Tabla3[[#This Row],[PATENTE]],'BASE DATOS'!F:J,5,0)</f>
        <v>SI</v>
      </c>
      <c r="I1190" s="584" t="str">
        <f>+VLOOKUP(Tabla3[[#This Row],[PATENTE]],'BASE DATOS'!F:K,6,0)</f>
        <v>NO</v>
      </c>
      <c r="J1190" s="584">
        <f>+VLOOKUP(Tabla3[[#This Row],[PATENTE]],'BASE DATOS'!F:L,7,0)</f>
        <v>2010</v>
      </c>
      <c r="K1190" s="619">
        <f>+VLOOKUP(Tabla3[[#This Row],[PATENTE]],'BASE DATOS'!F:M,8,0)</f>
        <v>15</v>
      </c>
    </row>
    <row r="1191" spans="1:11" hidden="1">
      <c r="A1191" s="578" t="s">
        <v>896</v>
      </c>
      <c r="B1191" s="584">
        <v>2</v>
      </c>
      <c r="C1191" s="589">
        <v>45992</v>
      </c>
      <c r="D1191" s="582">
        <f t="shared" si="45"/>
        <v>49</v>
      </c>
      <c r="E1191" s="618" t="str">
        <f>+VLOOKUP(Tabla3[[#This Row],[PATENTE]],'BASE DATOS'!F:G,2,0)</f>
        <v xml:space="preserve">TRANSP MAVIR - RHQ609 </v>
      </c>
      <c r="F1191" s="584" t="str">
        <f>+VLOOKUP(Tabla3[[#This Row],[PATENTE]],'BASE DATOS'!F:H,3,0)</f>
        <v>10P</v>
      </c>
      <c r="G1191" s="584" t="str">
        <f>+VLOOKUP(Tabla3[[#This Row],[PATENTE]],'BASE DATOS'!F:I,4,0)</f>
        <v>NO</v>
      </c>
      <c r="H1191" s="584" t="str">
        <f>+VLOOKUP(Tabla3[[#This Row],[PATENTE]],'BASE DATOS'!F:J,5,0)</f>
        <v xml:space="preserve">NO </v>
      </c>
      <c r="I1191" s="584" t="str">
        <f>+VLOOKUP(Tabla3[[#This Row],[PATENTE]],'BASE DATOS'!F:K,6,0)</f>
        <v>NO</v>
      </c>
      <c r="J1191" s="584">
        <f>+VLOOKUP(Tabla3[[#This Row],[PATENTE]],'BASE DATOS'!F:L,7,0)</f>
        <v>1995</v>
      </c>
      <c r="K1191" s="593">
        <v>0</v>
      </c>
    </row>
    <row r="1192" spans="1:11" hidden="1">
      <c r="A1192" s="578" t="s">
        <v>937</v>
      </c>
      <c r="B1192" s="584">
        <v>1</v>
      </c>
      <c r="C1192" s="589">
        <v>45992</v>
      </c>
      <c r="D1192" s="582">
        <f t="shared" si="45"/>
        <v>49</v>
      </c>
      <c r="E1192" s="618" t="str">
        <f>+VLOOKUP(Tabla3[[#This Row],[PATENTE]],'BASE DATOS'!F:G,2,0)</f>
        <v>TRANSP. CM TRANZ - AC049FP CALZIA RETIRA CLIENTE</v>
      </c>
      <c r="F1192" s="584" t="str">
        <f>+VLOOKUP(Tabla3[[#This Row],[PATENTE]],'BASE DATOS'!F:H,3,0)</f>
        <v>24P</v>
      </c>
      <c r="G1192" s="584" t="str">
        <f>+VLOOKUP(Tabla3[[#This Row],[PATENTE]],'BASE DATOS'!F:I,4,0)</f>
        <v>NO</v>
      </c>
      <c r="H1192" s="584" t="str">
        <f>+VLOOKUP(Tabla3[[#This Row],[PATENTE]],'BASE DATOS'!F:J,5,0)</f>
        <v xml:space="preserve">NO </v>
      </c>
      <c r="I1192" s="584" t="str">
        <f>+VLOOKUP(Tabla3[[#This Row],[PATENTE]],'BASE DATOS'!F:K,6,0)</f>
        <v>NO</v>
      </c>
      <c r="J1192" s="584">
        <f>+VLOOKUP(Tabla3[[#This Row],[PATENTE]],'BASE DATOS'!F:L,7,0)</f>
        <v>0</v>
      </c>
      <c r="K1192" s="619">
        <f>+VLOOKUP(Tabla3[[#This Row],[PATENTE]],'BASE DATOS'!F:M,8,0)</f>
        <v>0</v>
      </c>
    </row>
    <row r="1193" spans="1:11" hidden="1">
      <c r="A1193" s="578" t="s">
        <v>1169</v>
      </c>
      <c r="B1193" s="584">
        <v>1</v>
      </c>
      <c r="C1193" s="589">
        <v>45992</v>
      </c>
      <c r="D1193" s="582">
        <f t="shared" si="45"/>
        <v>49</v>
      </c>
      <c r="E1193" s="618" t="str">
        <f>+VLOOKUP(Tabla3[[#This Row],[PATENTE]],'BASE DATOS'!F:G,2,0)</f>
        <v xml:space="preserve">BELLIMAR SRL - AG058FU </v>
      </c>
      <c r="F1193" s="584" t="str">
        <f>+VLOOKUP(Tabla3[[#This Row],[PATENTE]],'BASE DATOS'!F:H,3,0)</f>
        <v>26P</v>
      </c>
      <c r="G1193" s="584" t="str">
        <f>+VLOOKUP(Tabla3[[#This Row],[PATENTE]],'BASE DATOS'!F:I,4,0)</f>
        <v>NO</v>
      </c>
      <c r="H1193" s="584" t="str">
        <f>+VLOOKUP(Tabla3[[#This Row],[PATENTE]],'BASE DATOS'!F:J,5,0)</f>
        <v xml:space="preserve">NO </v>
      </c>
      <c r="I1193" s="584" t="str">
        <f>+VLOOKUP(Tabla3[[#This Row],[PATENTE]],'BASE DATOS'!F:K,6,0)</f>
        <v>NO</v>
      </c>
      <c r="J1193" s="584">
        <f>+VLOOKUP(Tabla3[[#This Row],[PATENTE]],'BASE DATOS'!F:L,7,0)</f>
        <v>2023</v>
      </c>
      <c r="K1193" s="619">
        <f>+VLOOKUP(Tabla3[[#This Row],[PATENTE]],'BASE DATOS'!F:M,8,0)</f>
        <v>2</v>
      </c>
    </row>
    <row r="1194" spans="1:11" hidden="1">
      <c r="A1194" s="578" t="s">
        <v>942</v>
      </c>
      <c r="B1194" s="584">
        <v>1</v>
      </c>
      <c r="C1194" s="589">
        <v>45992</v>
      </c>
      <c r="D1194" s="582">
        <f t="shared" si="45"/>
        <v>49</v>
      </c>
      <c r="E1194" s="618" t="str">
        <f>+VLOOKUP(Tabla3[[#This Row],[PATENTE]],'BASE DATOS'!F:G,2,0)</f>
        <v>GANZINI HUGO - AH599 - 1P</v>
      </c>
      <c r="F1194" s="584" t="str">
        <f>+VLOOKUP(Tabla3[[#This Row],[PATENTE]],'BASE DATOS'!F:H,3,0)</f>
        <v>1P</v>
      </c>
      <c r="G1194" s="584" t="str">
        <f>+VLOOKUP(Tabla3[[#This Row],[PATENTE]],'BASE DATOS'!F:I,4,0)</f>
        <v>NO</v>
      </c>
      <c r="H1194" s="584" t="str">
        <f>+VLOOKUP(Tabla3[[#This Row],[PATENTE]],'BASE DATOS'!F:J,5,0)</f>
        <v>NO</v>
      </c>
      <c r="I1194" s="584" t="str">
        <f>+VLOOKUP(Tabla3[[#This Row],[PATENTE]],'BASE DATOS'!F:K,6,0)</f>
        <v>NO</v>
      </c>
      <c r="J1194" s="584">
        <f>+VLOOKUP(Tabla3[[#This Row],[PATENTE]],'BASE DATOS'!F:L,7,0)</f>
        <v>2025</v>
      </c>
      <c r="K1194" s="619">
        <f>+VLOOKUP(Tabla3[[#This Row],[PATENTE]],'BASE DATOS'!F:M,8,0)</f>
        <v>0</v>
      </c>
    </row>
    <row r="1195" spans="1:11" hidden="1">
      <c r="A1195" s="578" t="s">
        <v>946</v>
      </c>
      <c r="B1195" s="584">
        <v>1</v>
      </c>
      <c r="C1195" s="589">
        <v>45992</v>
      </c>
      <c r="D1195" s="582">
        <f t="shared" si="45"/>
        <v>49</v>
      </c>
      <c r="E1195" s="618" t="str">
        <f>+VLOOKUP(Tabla3[[#This Row],[PATENTE]],'BASE DATOS'!F:G,2,0)</f>
        <v xml:space="preserve">PRONTOMAR - DFE635 </v>
      </c>
      <c r="F1195" s="584" t="str">
        <f>+VLOOKUP(Tabla3[[#This Row],[PATENTE]],'BASE DATOS'!F:H,3,0)</f>
        <v>14P</v>
      </c>
      <c r="G1195" s="584" t="str">
        <f>+VLOOKUP(Tabla3[[#This Row],[PATENTE]],'BASE DATOS'!F:I,4,0)</f>
        <v>NO</v>
      </c>
      <c r="H1195" s="584" t="str">
        <f>+VLOOKUP(Tabla3[[#This Row],[PATENTE]],'BASE DATOS'!F:J,5,0)</f>
        <v xml:space="preserve">NO </v>
      </c>
      <c r="I1195" s="584" t="str">
        <f>+VLOOKUP(Tabla3[[#This Row],[PATENTE]],'BASE DATOS'!F:K,6,0)</f>
        <v>NO</v>
      </c>
      <c r="J1195" s="584">
        <f>+VLOOKUP(Tabla3[[#This Row],[PATENTE]],'BASE DATOS'!F:L,7,0)</f>
        <v>2000</v>
      </c>
      <c r="K1195" s="619">
        <f>+VLOOKUP(Tabla3[[#This Row],[PATENTE]],'BASE DATOS'!F:M,8,0)</f>
        <v>25</v>
      </c>
    </row>
    <row r="1196" spans="1:11" hidden="1">
      <c r="A1196" s="578" t="s">
        <v>918</v>
      </c>
      <c r="B1196" s="584">
        <v>1</v>
      </c>
      <c r="C1196" s="589">
        <v>45992</v>
      </c>
      <c r="D1196" s="582">
        <f t="shared" si="45"/>
        <v>49</v>
      </c>
      <c r="E1196" s="618" t="str">
        <f>+VLOOKUP(Tabla3[[#This Row],[PATENTE]],'BASE DATOS'!F:G,2,0)</f>
        <v>TRANSPORTE GENA GAIA - DGO507</v>
      </c>
      <c r="F1196" s="584" t="str">
        <f>+VLOOKUP(Tabla3[[#This Row],[PATENTE]],'BASE DATOS'!F:H,3,0)</f>
        <v>24P</v>
      </c>
      <c r="G1196" s="584" t="str">
        <f>+VLOOKUP(Tabla3[[#This Row],[PATENTE]],'BASE DATOS'!F:I,4,0)</f>
        <v>Gestya</v>
      </c>
      <c r="H1196" s="584" t="str">
        <f>+VLOOKUP(Tabla3[[#This Row],[PATENTE]],'BASE DATOS'!F:J,5,0)</f>
        <v xml:space="preserve">NO </v>
      </c>
      <c r="I1196" s="584" t="str">
        <f>+VLOOKUP(Tabla3[[#This Row],[PATENTE]],'BASE DATOS'!F:K,6,0)</f>
        <v>NO</v>
      </c>
      <c r="J1196" s="584">
        <f>+VLOOKUP(Tabla3[[#This Row],[PATENTE]],'BASE DATOS'!F:L,7,0)</f>
        <v>2001</v>
      </c>
      <c r="K1196" s="619">
        <f>+VLOOKUP(Tabla3[[#This Row],[PATENTE]],'BASE DATOS'!F:M,8,0)</f>
        <v>24</v>
      </c>
    </row>
    <row r="1197" spans="1:11" hidden="1">
      <c r="A1197" s="578" t="s">
        <v>935</v>
      </c>
      <c r="B1197" s="584">
        <v>1</v>
      </c>
      <c r="C1197" s="589">
        <v>45992</v>
      </c>
      <c r="D1197" s="582">
        <f t="shared" si="45"/>
        <v>49</v>
      </c>
      <c r="E1197" s="618" t="str">
        <f>+VLOOKUP(Tabla3[[#This Row],[PATENTE]],'BASE DATOS'!F:G,2,0)</f>
        <v>GANZINI HUGO -DMP850</v>
      </c>
      <c r="F1197" s="584" t="str">
        <f>+VLOOKUP(Tabla3[[#This Row],[PATENTE]],'BASE DATOS'!F:H,3,0)</f>
        <v>2P</v>
      </c>
      <c r="G1197" s="584" t="str">
        <f>+VLOOKUP(Tabla3[[#This Row],[PATENTE]],'BASE DATOS'!F:I,4,0)</f>
        <v>NO</v>
      </c>
      <c r="H1197" s="584" t="str">
        <f>+VLOOKUP(Tabla3[[#This Row],[PATENTE]],'BASE DATOS'!F:J,5,0)</f>
        <v xml:space="preserve">NO </v>
      </c>
      <c r="I1197" s="584" t="str">
        <f>+VLOOKUP(Tabla3[[#This Row],[PATENTE]],'BASE DATOS'!F:K,6,0)</f>
        <v>NO</v>
      </c>
      <c r="J1197" s="584">
        <f>+VLOOKUP(Tabla3[[#This Row],[PATENTE]],'BASE DATOS'!F:L,7,0)</f>
        <v>2000</v>
      </c>
      <c r="K1197" s="619">
        <f>+VLOOKUP(Tabla3[[#This Row],[PATENTE]],'BASE DATOS'!F:M,8,0)</f>
        <v>25</v>
      </c>
    </row>
    <row r="1198" spans="1:11" hidden="1">
      <c r="A1198" s="581" t="s">
        <v>930</v>
      </c>
      <c r="B1198" s="587">
        <v>1</v>
      </c>
      <c r="C1198" s="589">
        <v>45992</v>
      </c>
      <c r="D1198" s="583">
        <f t="shared" si="45"/>
        <v>49</v>
      </c>
      <c r="E1198" s="620" t="str">
        <f>+VLOOKUP(Tabla3[[#This Row],[PATENTE]],'BASE DATOS'!F:G,2,0)</f>
        <v xml:space="preserve">GANZINI HUGO - JJF375 </v>
      </c>
      <c r="F1198" s="587" t="str">
        <f>+VLOOKUP(Tabla3[[#This Row],[PATENTE]],'BASE DATOS'!F:H,3,0)</f>
        <v>14P</v>
      </c>
      <c r="G1198" s="587" t="str">
        <f>+VLOOKUP(Tabla3[[#This Row],[PATENTE]],'BASE DATOS'!F:I,4,0)</f>
        <v>SI</v>
      </c>
      <c r="H1198" s="587" t="str">
        <f>+VLOOKUP(Tabla3[[#This Row],[PATENTE]],'BASE DATOS'!F:J,5,0)</f>
        <v xml:space="preserve">NO </v>
      </c>
      <c r="I1198" s="587" t="str">
        <f>+VLOOKUP(Tabla3[[#This Row],[PATENTE]],'BASE DATOS'!F:K,6,0)</f>
        <v>NO</v>
      </c>
      <c r="J1198" s="587">
        <f>+VLOOKUP(Tabla3[[#This Row],[PATENTE]],'BASE DATOS'!F:L,7,0)</f>
        <v>2011</v>
      </c>
      <c r="K1198" s="621">
        <f>+VLOOKUP(Tabla3[[#This Row],[PATENTE]],'BASE DATOS'!F:M,8,0)</f>
        <v>14</v>
      </c>
    </row>
    <row r="1199" spans="1:11" hidden="1">
      <c r="A1199" s="578" t="s">
        <v>879</v>
      </c>
      <c r="B1199" s="584">
        <v>6</v>
      </c>
      <c r="C1199" s="589">
        <v>45999</v>
      </c>
      <c r="D1199" s="582">
        <f t="shared" ref="D1199:D1230" si="46">+WEEKNUM(C1199)</f>
        <v>50</v>
      </c>
      <c r="E1199" s="618" t="str">
        <f>+VLOOKUP(Tabla3[[#This Row],[PATENTE]],'BASE DATOS'!F:G,2,0)</f>
        <v xml:space="preserve">TRANSP JP - OYP470 </v>
      </c>
      <c r="F1199" s="584" t="str">
        <f>+VLOOKUP(Tabla3[[#This Row],[PATENTE]],'BASE DATOS'!F:H,3,0)</f>
        <v>8P</v>
      </c>
      <c r="G1199" s="584" t="str">
        <f>+VLOOKUP(Tabla3[[#This Row],[PATENTE]],'BASE DATOS'!F:I,4,0)</f>
        <v>SI</v>
      </c>
      <c r="H1199" s="584" t="str">
        <f>+VLOOKUP(Tabla3[[#This Row],[PATENTE]],'BASE DATOS'!F:J,5,0)</f>
        <v>SI</v>
      </c>
      <c r="I1199" s="584" t="str">
        <f>+VLOOKUP(Tabla3[[#This Row],[PATENTE]],'BASE DATOS'!F:K,6,0)</f>
        <v>NO</v>
      </c>
      <c r="J1199" s="584">
        <f>+VLOOKUP(Tabla3[[#This Row],[PATENTE]],'BASE DATOS'!F:L,7,0)</f>
        <v>2011</v>
      </c>
      <c r="K1199" s="619">
        <f>+VLOOKUP(Tabla3[[#This Row],[PATENTE]],'BASE DATOS'!F:M,8,0)</f>
        <v>14</v>
      </c>
    </row>
    <row r="1200" spans="1:11" hidden="1">
      <c r="A1200" s="578" t="s">
        <v>884</v>
      </c>
      <c r="B1200" s="584">
        <v>5</v>
      </c>
      <c r="C1200" s="589">
        <v>45999</v>
      </c>
      <c r="D1200" s="582">
        <f t="shared" si="46"/>
        <v>50</v>
      </c>
      <c r="E1200" s="618" t="str">
        <f>+VLOOKUP(Tabla3[[#This Row],[PATENTE]],'BASE DATOS'!F:G,2,0)</f>
        <v xml:space="preserve">LAURIA (SERVAL) - AB233IT </v>
      </c>
      <c r="F1200" s="584" t="str">
        <f>+VLOOKUP(Tabla3[[#This Row],[PATENTE]],'BASE DATOS'!F:H,3,0)</f>
        <v>6P</v>
      </c>
      <c r="G1200" s="584" t="str">
        <f>+VLOOKUP(Tabla3[[#This Row],[PATENTE]],'BASE DATOS'!F:I,4,0)</f>
        <v>SI</v>
      </c>
      <c r="H1200" s="584" t="str">
        <f>+VLOOKUP(Tabla3[[#This Row],[PATENTE]],'BASE DATOS'!F:J,5,0)</f>
        <v>SI</v>
      </c>
      <c r="I1200" s="584" t="str">
        <f>+VLOOKUP(Tabla3[[#This Row],[PATENTE]],'BASE DATOS'!F:K,6,0)</f>
        <v>NO</v>
      </c>
      <c r="J1200" s="584">
        <f>+VLOOKUP(Tabla3[[#This Row],[PATENTE]],'BASE DATOS'!F:L,7,0)</f>
        <v>2017</v>
      </c>
      <c r="K1200" s="619">
        <f>+VLOOKUP(Tabla3[[#This Row],[PATENTE]],'BASE DATOS'!F:M,8,0)</f>
        <v>8</v>
      </c>
    </row>
    <row r="1201" spans="1:11" hidden="1">
      <c r="A1201" s="578" t="s">
        <v>905</v>
      </c>
      <c r="B1201" s="584">
        <v>5</v>
      </c>
      <c r="C1201" s="589">
        <v>45999</v>
      </c>
      <c r="D1201" s="582">
        <f t="shared" si="46"/>
        <v>50</v>
      </c>
      <c r="E1201" s="618" t="str">
        <f>+VLOOKUP(Tabla3[[#This Row],[PATENTE]],'BASE DATOS'!F:G,2,0)</f>
        <v xml:space="preserve">J RIMOLDI - AB312SE </v>
      </c>
      <c r="F1201" s="584" t="str">
        <f>+VLOOKUP(Tabla3[[#This Row],[PATENTE]],'BASE DATOS'!F:H,3,0)</f>
        <v>8P</v>
      </c>
      <c r="G1201" s="584" t="str">
        <f>+VLOOKUP(Tabla3[[#This Row],[PATENTE]],'BASE DATOS'!F:I,4,0)</f>
        <v>SI</v>
      </c>
      <c r="H1201" s="584" t="str">
        <f>+VLOOKUP(Tabla3[[#This Row],[PATENTE]],'BASE DATOS'!F:J,5,0)</f>
        <v>SI</v>
      </c>
      <c r="I1201" s="584" t="str">
        <f>+VLOOKUP(Tabla3[[#This Row],[PATENTE]],'BASE DATOS'!F:K,6,0)</f>
        <v>NO</v>
      </c>
      <c r="J1201" s="584">
        <f>+VLOOKUP(Tabla3[[#This Row],[PATENTE]],'BASE DATOS'!F:L,7,0)</f>
        <v>2017</v>
      </c>
      <c r="K1201" s="619">
        <f>+VLOOKUP(Tabla3[[#This Row],[PATENTE]],'BASE DATOS'!F:M,8,0)</f>
        <v>8</v>
      </c>
    </row>
    <row r="1202" spans="1:11" hidden="1">
      <c r="A1202" s="578" t="s">
        <v>912</v>
      </c>
      <c r="B1202" s="584">
        <v>5</v>
      </c>
      <c r="C1202" s="589">
        <v>45999</v>
      </c>
      <c r="D1202" s="582">
        <f t="shared" si="46"/>
        <v>50</v>
      </c>
      <c r="E1202" s="618" t="str">
        <f>+VLOOKUP(Tabla3[[#This Row],[PATENTE]],'BASE DATOS'!F:G,2,0)</f>
        <v xml:space="preserve">PACHECO JULIO - AC028WN </v>
      </c>
      <c r="F1202" s="584" t="str">
        <f>+VLOOKUP(Tabla3[[#This Row],[PATENTE]],'BASE DATOS'!F:H,3,0)</f>
        <v>8P</v>
      </c>
      <c r="G1202" s="584" t="str">
        <f>+VLOOKUP(Tabla3[[#This Row],[PATENTE]],'BASE DATOS'!F:I,4,0)</f>
        <v>SI</v>
      </c>
      <c r="H1202" s="584" t="str">
        <f>+VLOOKUP(Tabla3[[#This Row],[PATENTE]],'BASE DATOS'!F:J,5,0)</f>
        <v>SI</v>
      </c>
      <c r="I1202" s="584" t="str">
        <f>+VLOOKUP(Tabla3[[#This Row],[PATENTE]],'BASE DATOS'!F:K,6,0)</f>
        <v>SI</v>
      </c>
      <c r="J1202" s="584">
        <f>+VLOOKUP(Tabla3[[#This Row],[PATENTE]],'BASE DATOS'!F:L,7,0)</f>
        <v>2017</v>
      </c>
      <c r="K1202" s="619">
        <f>+VLOOKUP(Tabla3[[#This Row],[PATENTE]],'BASE DATOS'!F:M,8,0)</f>
        <v>8</v>
      </c>
    </row>
    <row r="1203" spans="1:11" hidden="1">
      <c r="A1203" s="578" t="s">
        <v>922</v>
      </c>
      <c r="B1203" s="584">
        <v>5</v>
      </c>
      <c r="C1203" s="589">
        <v>45999</v>
      </c>
      <c r="D1203" s="582">
        <f t="shared" si="46"/>
        <v>50</v>
      </c>
      <c r="E1203" s="618" t="str">
        <f>+VLOOKUP(Tabla3[[#This Row],[PATENTE]],'BASE DATOS'!F:G,2,0)</f>
        <v>LAURIA (SERVAL) - AF342ZY</v>
      </c>
      <c r="F1203" s="584" t="str">
        <f>+VLOOKUP(Tabla3[[#This Row],[PATENTE]],'BASE DATOS'!F:H,3,0)</f>
        <v>8P</v>
      </c>
      <c r="G1203" s="584" t="str">
        <f>+VLOOKUP(Tabla3[[#This Row],[PATENTE]],'BASE DATOS'!F:I,4,0)</f>
        <v>SI</v>
      </c>
      <c r="H1203" s="584" t="str">
        <f>+VLOOKUP(Tabla3[[#This Row],[PATENTE]],'BASE DATOS'!F:J,5,0)</f>
        <v>SI</v>
      </c>
      <c r="I1203" s="584" t="str">
        <f>+VLOOKUP(Tabla3[[#This Row],[PATENTE]],'BASE DATOS'!F:K,6,0)</f>
        <v>NO</v>
      </c>
      <c r="J1203" s="584">
        <f>+VLOOKUP(Tabla3[[#This Row],[PATENTE]],'BASE DATOS'!F:L,7,0)</f>
        <v>2022</v>
      </c>
      <c r="K1203" s="619">
        <f>+VLOOKUP(Tabla3[[#This Row],[PATENTE]],'BASE DATOS'!F:M,8,0)</f>
        <v>3</v>
      </c>
    </row>
    <row r="1204" spans="1:11" hidden="1">
      <c r="A1204" s="578" t="s">
        <v>895</v>
      </c>
      <c r="B1204" s="584">
        <v>5</v>
      </c>
      <c r="C1204" s="589">
        <v>45999</v>
      </c>
      <c r="D1204" s="582">
        <f t="shared" si="46"/>
        <v>50</v>
      </c>
      <c r="E1204" s="618" t="str">
        <f>+VLOOKUP(Tabla3[[#This Row],[PATENTE]],'BASE DATOS'!F:G,2,0)</f>
        <v xml:space="preserve">TRANSPORTE MICAELA </v>
      </c>
      <c r="F1204" s="584" t="str">
        <f>+VLOOKUP(Tabla3[[#This Row],[PATENTE]],'BASE DATOS'!F:H,3,0)</f>
        <v>2P</v>
      </c>
      <c r="G1204" s="584" t="str">
        <f>+VLOOKUP(Tabla3[[#This Row],[PATENTE]],'BASE DATOS'!F:I,4,0)</f>
        <v>NO</v>
      </c>
      <c r="H1204" s="584" t="str">
        <f>+VLOOKUP(Tabla3[[#This Row],[PATENTE]],'BASE DATOS'!F:J,5,0)</f>
        <v>SI</v>
      </c>
      <c r="I1204" s="584" t="str">
        <f>+VLOOKUP(Tabla3[[#This Row],[PATENTE]],'BASE DATOS'!F:K,6,0)</f>
        <v>NO</v>
      </c>
      <c r="J1204" s="584">
        <f>+VLOOKUP(Tabla3[[#This Row],[PATENTE]],'BASE DATOS'!F:L,7,0)</f>
        <v>2024</v>
      </c>
      <c r="K1204" s="619">
        <f>+VLOOKUP(Tabla3[[#This Row],[PATENTE]],'BASE DATOS'!F:M,8,0)</f>
        <v>1</v>
      </c>
    </row>
    <row r="1205" spans="1:11" hidden="1">
      <c r="A1205" s="578" t="s">
        <v>907</v>
      </c>
      <c r="B1205" s="584">
        <v>5</v>
      </c>
      <c r="C1205" s="589">
        <v>45999</v>
      </c>
      <c r="D1205" s="582">
        <f t="shared" si="46"/>
        <v>50</v>
      </c>
      <c r="E1205" s="618" t="str">
        <f>+VLOOKUP(Tabla3[[#This Row],[PATENTE]],'BASE DATOS'!F:G,2,0)</f>
        <v xml:space="preserve">LAURIA (SERVAL) - AH583GW </v>
      </c>
      <c r="F1205" s="584" t="str">
        <f>+VLOOKUP(Tabla3[[#This Row],[PATENTE]],'BASE DATOS'!F:H,3,0)</f>
        <v>8P</v>
      </c>
      <c r="G1205" s="584" t="str">
        <f>+VLOOKUP(Tabla3[[#This Row],[PATENTE]],'BASE DATOS'!F:I,4,0)</f>
        <v>SI</v>
      </c>
      <c r="H1205" s="584" t="str">
        <f>+VLOOKUP(Tabla3[[#This Row],[PATENTE]],'BASE DATOS'!F:J,5,0)</f>
        <v>SI</v>
      </c>
      <c r="I1205" s="584" t="str">
        <f>+VLOOKUP(Tabla3[[#This Row],[PATENTE]],'BASE DATOS'!F:K,6,0)</f>
        <v>NO</v>
      </c>
      <c r="J1205" s="584">
        <f>+VLOOKUP(Tabla3[[#This Row],[PATENTE]],'BASE DATOS'!F:L,7,0)</f>
        <v>2025</v>
      </c>
      <c r="K1205" s="619">
        <f>+VLOOKUP(Tabla3[[#This Row],[PATENTE]],'BASE DATOS'!F:M,8,0)</f>
        <v>0</v>
      </c>
    </row>
    <row r="1206" spans="1:11" hidden="1">
      <c r="A1206" s="578" t="s">
        <v>921</v>
      </c>
      <c r="B1206" s="584">
        <v>5</v>
      </c>
      <c r="C1206" s="589">
        <v>45999</v>
      </c>
      <c r="D1206" s="582">
        <f t="shared" si="46"/>
        <v>50</v>
      </c>
      <c r="E1206" s="618" t="str">
        <f>+VLOOKUP(Tabla3[[#This Row],[PATENTE]],'BASE DATOS'!F:G,2,0)</f>
        <v xml:space="preserve">MAÑAS NORBERTO - CQQ304 </v>
      </c>
      <c r="F1206" s="584" t="str">
        <f>+VLOOKUP(Tabla3[[#This Row],[PATENTE]],'BASE DATOS'!F:H,3,0)</f>
        <v>11P</v>
      </c>
      <c r="G1206" s="584" t="str">
        <f>+VLOOKUP(Tabla3[[#This Row],[PATENTE]],'BASE DATOS'!F:I,4,0)</f>
        <v>SI</v>
      </c>
      <c r="H1206" s="584" t="str">
        <f>+VLOOKUP(Tabla3[[#This Row],[PATENTE]],'BASE DATOS'!F:J,5,0)</f>
        <v>SI</v>
      </c>
      <c r="I1206" s="584" t="str">
        <f>+VLOOKUP(Tabla3[[#This Row],[PATENTE]],'BASE DATOS'!F:K,6,0)</f>
        <v>NO</v>
      </c>
      <c r="J1206" s="584">
        <f>+VLOOKUP(Tabla3[[#This Row],[PATENTE]],'BASE DATOS'!F:L,7,0)</f>
        <v>2000</v>
      </c>
      <c r="K1206" s="619">
        <f>+VLOOKUP(Tabla3[[#This Row],[PATENTE]],'BASE DATOS'!F:M,8,0)</f>
        <v>25</v>
      </c>
    </row>
    <row r="1207" spans="1:11" hidden="1">
      <c r="A1207" s="578" t="s">
        <v>904</v>
      </c>
      <c r="B1207" s="584">
        <v>5</v>
      </c>
      <c r="C1207" s="589">
        <v>45999</v>
      </c>
      <c r="D1207" s="582">
        <f t="shared" si="46"/>
        <v>50</v>
      </c>
      <c r="E1207" s="618" t="str">
        <f>+VLOOKUP(Tabla3[[#This Row],[PATENTE]],'BASE DATOS'!F:G,2,0)</f>
        <v xml:space="preserve">ENRIQUE ROLLINO - DFO656 </v>
      </c>
      <c r="F1207" s="584" t="str">
        <f>+VLOOKUP(Tabla3[[#This Row],[PATENTE]],'BASE DATOS'!F:H,3,0)</f>
        <v>6P</v>
      </c>
      <c r="G1207" s="584" t="str">
        <f>+VLOOKUP(Tabla3[[#This Row],[PATENTE]],'BASE DATOS'!F:I,4,0)</f>
        <v>SI</v>
      </c>
      <c r="H1207" s="584" t="str">
        <f>+VLOOKUP(Tabla3[[#This Row],[PATENTE]],'BASE DATOS'!F:J,5,0)</f>
        <v>SI</v>
      </c>
      <c r="I1207" s="584" t="str">
        <f>+VLOOKUP(Tabla3[[#This Row],[PATENTE]],'BASE DATOS'!F:K,6,0)</f>
        <v>NO</v>
      </c>
      <c r="J1207" s="584">
        <f>+VLOOKUP(Tabla3[[#This Row],[PATENTE]],'BASE DATOS'!F:L,7,0)</f>
        <v>2000</v>
      </c>
      <c r="K1207" s="619">
        <f>+VLOOKUP(Tabla3[[#This Row],[PATENTE]],'BASE DATOS'!F:M,8,0)</f>
        <v>25</v>
      </c>
    </row>
    <row r="1208" spans="1:11" hidden="1">
      <c r="A1208" s="578" t="s">
        <v>932</v>
      </c>
      <c r="B1208" s="584">
        <v>5</v>
      </c>
      <c r="C1208" s="589">
        <v>45999</v>
      </c>
      <c r="D1208" s="582">
        <f t="shared" si="46"/>
        <v>50</v>
      </c>
      <c r="E1208" s="618" t="str">
        <f>+VLOOKUP(Tabla3[[#This Row],[PATENTE]],'BASE DATOS'!F:G,2,0)</f>
        <v xml:space="preserve">TRANSP MAVIR - EFL176 </v>
      </c>
      <c r="F1208" s="584" t="str">
        <f>+VLOOKUP(Tabla3[[#This Row],[PATENTE]],'BASE DATOS'!F:H,3,0)</f>
        <v>12P</v>
      </c>
      <c r="G1208" s="584" t="str">
        <f>+VLOOKUP(Tabla3[[#This Row],[PATENTE]],'BASE DATOS'!F:I,4,0)</f>
        <v>SI</v>
      </c>
      <c r="H1208" s="584" t="str">
        <f>+VLOOKUP(Tabla3[[#This Row],[PATENTE]],'BASE DATOS'!F:J,5,0)</f>
        <v>SI</v>
      </c>
      <c r="I1208" s="584" t="str">
        <f>+VLOOKUP(Tabla3[[#This Row],[PATENTE]],'BASE DATOS'!F:K,6,0)</f>
        <v>NO</v>
      </c>
      <c r="J1208" s="584">
        <f>+VLOOKUP(Tabla3[[#This Row],[PATENTE]],'BASE DATOS'!F:L,7,0)</f>
        <v>1998</v>
      </c>
      <c r="K1208" s="619">
        <f>+VLOOKUP(Tabla3[[#This Row],[PATENTE]],'BASE DATOS'!F:M,8,0)</f>
        <v>27</v>
      </c>
    </row>
    <row r="1209" spans="1:11" hidden="1">
      <c r="A1209" s="578" t="s">
        <v>889</v>
      </c>
      <c r="B1209" s="584">
        <v>5</v>
      </c>
      <c r="C1209" s="589">
        <v>45999</v>
      </c>
      <c r="D1209" s="582">
        <f t="shared" si="46"/>
        <v>50</v>
      </c>
      <c r="E1209" s="618" t="str">
        <f>+VLOOKUP(Tabla3[[#This Row],[PATENTE]],'BASE DATOS'!F:G,2,0)</f>
        <v xml:space="preserve">COLO - HAW164 </v>
      </c>
      <c r="F1209" s="584" t="str">
        <f>+VLOOKUP(Tabla3[[#This Row],[PATENTE]],'BASE DATOS'!F:H,3,0)</f>
        <v>6P</v>
      </c>
      <c r="G1209" s="584" t="str">
        <f>+VLOOKUP(Tabla3[[#This Row],[PATENTE]],'BASE DATOS'!F:I,4,0)</f>
        <v>NO</v>
      </c>
      <c r="H1209" s="584" t="str">
        <f>+VLOOKUP(Tabla3[[#This Row],[PATENTE]],'BASE DATOS'!F:J,5,0)</f>
        <v>SI</v>
      </c>
      <c r="I1209" s="584" t="str">
        <f>+VLOOKUP(Tabla3[[#This Row],[PATENTE]],'BASE DATOS'!F:K,6,0)</f>
        <v>NO</v>
      </c>
      <c r="J1209" s="584">
        <f>+VLOOKUP(Tabla3[[#This Row],[PATENTE]],'BASE DATOS'!F:L,7,0)</f>
        <v>2009</v>
      </c>
      <c r="K1209" s="619">
        <f>+VLOOKUP(Tabla3[[#This Row],[PATENTE]],'BASE DATOS'!F:M,8,0)</f>
        <v>16</v>
      </c>
    </row>
    <row r="1210" spans="1:11" hidden="1">
      <c r="A1210" s="578" t="s">
        <v>885</v>
      </c>
      <c r="B1210" s="584">
        <v>5</v>
      </c>
      <c r="C1210" s="589">
        <v>45999</v>
      </c>
      <c r="D1210" s="582">
        <f t="shared" si="46"/>
        <v>50</v>
      </c>
      <c r="E1210" s="618" t="str">
        <f>+VLOOKUP(Tabla3[[#This Row],[PATENTE]],'BASE DATOS'!F:G,2,0)</f>
        <v xml:space="preserve">TRANSP DON NENO - IES288 </v>
      </c>
      <c r="F1210" s="584" t="str">
        <f>+VLOOKUP(Tabla3[[#This Row],[PATENTE]],'BASE DATOS'!F:H,3,0)</f>
        <v>2P</v>
      </c>
      <c r="G1210" s="584" t="str">
        <f>+VLOOKUP(Tabla3[[#This Row],[PATENTE]],'BASE DATOS'!F:I,4,0)</f>
        <v>SI</v>
      </c>
      <c r="H1210" s="584" t="str">
        <f>+VLOOKUP(Tabla3[[#This Row],[PATENTE]],'BASE DATOS'!F:J,5,0)</f>
        <v>SI</v>
      </c>
      <c r="I1210" s="584" t="str">
        <f>+VLOOKUP(Tabla3[[#This Row],[PATENTE]],'BASE DATOS'!F:K,6,0)</f>
        <v>NO</v>
      </c>
      <c r="J1210" s="584">
        <f>+VLOOKUP(Tabla3[[#This Row],[PATENTE]],'BASE DATOS'!F:L,7,0)</f>
        <v>2009</v>
      </c>
      <c r="K1210" s="619">
        <f>+VLOOKUP(Tabla3[[#This Row],[PATENTE]],'BASE DATOS'!F:M,8,0)</f>
        <v>16</v>
      </c>
    </row>
    <row r="1211" spans="1:11" hidden="1">
      <c r="A1211" s="578" t="s">
        <v>901</v>
      </c>
      <c r="B1211" s="584">
        <v>5</v>
      </c>
      <c r="C1211" s="589">
        <v>45999</v>
      </c>
      <c r="D1211" s="582">
        <f t="shared" si="46"/>
        <v>50</v>
      </c>
      <c r="E1211" s="618" t="str">
        <f>+VLOOKUP(Tabla3[[#This Row],[PATENTE]],'BASE DATOS'!F:G,2,0)</f>
        <v xml:space="preserve">TRANSPORTE  GRACIELA - IYE750 </v>
      </c>
      <c r="F1211" s="584" t="str">
        <f>+VLOOKUP(Tabla3[[#This Row],[PATENTE]],'BASE DATOS'!F:H,3,0)</f>
        <v>1P</v>
      </c>
      <c r="G1211" s="584" t="str">
        <f>+VLOOKUP(Tabla3[[#This Row],[PATENTE]],'BASE DATOS'!F:I,4,0)</f>
        <v>NO</v>
      </c>
      <c r="H1211" s="584" t="str">
        <f>+VLOOKUP(Tabla3[[#This Row],[PATENTE]],'BASE DATOS'!F:J,5,0)</f>
        <v>SI</v>
      </c>
      <c r="I1211" s="584" t="str">
        <f>+VLOOKUP(Tabla3[[#This Row],[PATENTE]],'BASE DATOS'!F:K,6,0)</f>
        <v>NO</v>
      </c>
      <c r="J1211" s="584">
        <f>+VLOOKUP(Tabla3[[#This Row],[PATENTE]],'BASE DATOS'!F:L,7,0)</f>
        <v>2009</v>
      </c>
      <c r="K1211" s="619">
        <f>+VLOOKUP(Tabla3[[#This Row],[PATENTE]],'BASE DATOS'!F:M,8,0)</f>
        <v>16</v>
      </c>
    </row>
    <row r="1212" spans="1:11" hidden="1">
      <c r="A1212" s="578" t="s">
        <v>882</v>
      </c>
      <c r="B1212" s="584">
        <v>5</v>
      </c>
      <c r="C1212" s="589">
        <v>45999</v>
      </c>
      <c r="D1212" s="582">
        <f t="shared" si="46"/>
        <v>50</v>
      </c>
      <c r="E1212" s="618" t="str">
        <f>+VLOOKUP(Tabla3[[#This Row],[PATENTE]],'BASE DATOS'!F:G,2,0)</f>
        <v xml:space="preserve">MAÑAS - JWN279 </v>
      </c>
      <c r="F1212" s="584" t="str">
        <f>+VLOOKUP(Tabla3[[#This Row],[PATENTE]],'BASE DATOS'!F:H,3,0)</f>
        <v>7P</v>
      </c>
      <c r="G1212" s="584" t="str">
        <f>+VLOOKUP(Tabla3[[#This Row],[PATENTE]],'BASE DATOS'!F:I,4,0)</f>
        <v>SI</v>
      </c>
      <c r="H1212" s="584" t="str">
        <f>+VLOOKUP(Tabla3[[#This Row],[PATENTE]],'BASE DATOS'!F:J,5,0)</f>
        <v>SI</v>
      </c>
      <c r="I1212" s="584" t="str">
        <f>+VLOOKUP(Tabla3[[#This Row],[PATENTE]],'BASE DATOS'!F:K,6,0)</f>
        <v>NO</v>
      </c>
      <c r="J1212" s="584">
        <f>+VLOOKUP(Tabla3[[#This Row],[PATENTE]],'BASE DATOS'!F:L,7,0)</f>
        <v>2011</v>
      </c>
      <c r="K1212" s="619">
        <f>+VLOOKUP(Tabla3[[#This Row],[PATENTE]],'BASE DATOS'!F:M,8,0)</f>
        <v>14</v>
      </c>
    </row>
    <row r="1213" spans="1:11" hidden="1">
      <c r="A1213" s="578" t="s">
        <v>909</v>
      </c>
      <c r="B1213" s="584">
        <v>5</v>
      </c>
      <c r="C1213" s="589">
        <v>45999</v>
      </c>
      <c r="D1213" s="582">
        <f t="shared" si="46"/>
        <v>50</v>
      </c>
      <c r="E1213" s="618" t="str">
        <f>+VLOOKUP(Tabla3[[#This Row],[PATENTE]],'BASE DATOS'!F:G,2,0)</f>
        <v xml:space="preserve">CRISTIAN MOYA - NHR055 </v>
      </c>
      <c r="F1213" s="584" t="str">
        <f>+VLOOKUP(Tabla3[[#This Row],[PATENTE]],'BASE DATOS'!F:H,3,0)</f>
        <v>6P</v>
      </c>
      <c r="G1213" s="584" t="str">
        <f>+VLOOKUP(Tabla3[[#This Row],[PATENTE]],'BASE DATOS'!F:I,4,0)</f>
        <v>SI</v>
      </c>
      <c r="H1213" s="584" t="str">
        <f>+VLOOKUP(Tabla3[[#This Row],[PATENTE]],'BASE DATOS'!F:J,5,0)</f>
        <v>SI</v>
      </c>
      <c r="I1213" s="584" t="str">
        <f>+VLOOKUP(Tabla3[[#This Row],[PATENTE]],'BASE DATOS'!F:K,6,0)</f>
        <v>NO</v>
      </c>
      <c r="J1213" s="584">
        <f>+VLOOKUP(Tabla3[[#This Row],[PATENTE]],'BASE DATOS'!F:L,7,0)</f>
        <v>2013</v>
      </c>
      <c r="K1213" s="619">
        <f>+VLOOKUP(Tabla3[[#This Row],[PATENTE]],'BASE DATOS'!F:M,8,0)</f>
        <v>12</v>
      </c>
    </row>
    <row r="1214" spans="1:11" hidden="1">
      <c r="A1214" s="578" t="s">
        <v>898</v>
      </c>
      <c r="B1214" s="584">
        <v>5</v>
      </c>
      <c r="C1214" s="589">
        <v>45999</v>
      </c>
      <c r="D1214" s="582">
        <f t="shared" si="46"/>
        <v>50</v>
      </c>
      <c r="E1214" s="618" t="str">
        <f>+VLOOKUP(Tabla3[[#This Row],[PATENTE]],'BASE DATOS'!F:G,2,0)</f>
        <v xml:space="preserve">TRANSP BERMEJO - NXP980 </v>
      </c>
      <c r="F1214" s="584" t="str">
        <f>+VLOOKUP(Tabla3[[#This Row],[PATENTE]],'BASE DATOS'!F:H,3,0)</f>
        <v>12P</v>
      </c>
      <c r="G1214" s="584" t="str">
        <f>+VLOOKUP(Tabla3[[#This Row],[PATENTE]],'BASE DATOS'!F:I,4,0)</f>
        <v>SI</v>
      </c>
      <c r="H1214" s="584" t="str">
        <f>+VLOOKUP(Tabla3[[#This Row],[PATENTE]],'BASE DATOS'!F:J,5,0)</f>
        <v>SI</v>
      </c>
      <c r="I1214" s="584" t="str">
        <f>+VLOOKUP(Tabla3[[#This Row],[PATENTE]],'BASE DATOS'!F:K,6,0)</f>
        <v>SI</v>
      </c>
      <c r="J1214" s="584">
        <f>+VLOOKUP(Tabla3[[#This Row],[PATENTE]],'BASE DATOS'!F:L,7,0)</f>
        <v>2015</v>
      </c>
      <c r="K1214" s="619">
        <f>+VLOOKUP(Tabla3[[#This Row],[PATENTE]],'BASE DATOS'!F:M,8,0)</f>
        <v>10</v>
      </c>
    </row>
    <row r="1215" spans="1:11" hidden="1">
      <c r="A1215" s="578" t="s">
        <v>878</v>
      </c>
      <c r="B1215" s="584">
        <v>4</v>
      </c>
      <c r="C1215" s="589">
        <v>45999</v>
      </c>
      <c r="D1215" s="582">
        <f t="shared" si="46"/>
        <v>50</v>
      </c>
      <c r="E1215" s="618" t="str">
        <f>+VLOOKUP(Tabla3[[#This Row],[PATENTE]],'BASE DATOS'!F:G,2,0)</f>
        <v xml:space="preserve">PACHECO JULIO - AA854LY </v>
      </c>
      <c r="F1215" s="584" t="str">
        <f>+VLOOKUP(Tabla3[[#This Row],[PATENTE]],'BASE DATOS'!F:H,3,0)</f>
        <v>7P</v>
      </c>
      <c r="G1215" s="584" t="str">
        <f>+VLOOKUP(Tabla3[[#This Row],[PATENTE]],'BASE DATOS'!F:I,4,0)</f>
        <v>SI</v>
      </c>
      <c r="H1215" s="584" t="str">
        <f>+VLOOKUP(Tabla3[[#This Row],[PATENTE]],'BASE DATOS'!F:J,5,0)</f>
        <v>SI</v>
      </c>
      <c r="I1215" s="584" t="str">
        <f>+VLOOKUP(Tabla3[[#This Row],[PATENTE]],'BASE DATOS'!F:K,6,0)</f>
        <v>NO</v>
      </c>
      <c r="J1215" s="584">
        <f>+VLOOKUP(Tabla3[[#This Row],[PATENTE]],'BASE DATOS'!F:L,7,0)</f>
        <v>2016</v>
      </c>
      <c r="K1215" s="619">
        <f>+VLOOKUP(Tabla3[[#This Row],[PATENTE]],'BASE DATOS'!F:M,8,0)</f>
        <v>9</v>
      </c>
    </row>
    <row r="1216" spans="1:11" hidden="1">
      <c r="A1216" s="578" t="s">
        <v>916</v>
      </c>
      <c r="B1216" s="584">
        <v>4</v>
      </c>
      <c r="C1216" s="589">
        <v>45999</v>
      </c>
      <c r="D1216" s="582">
        <f t="shared" si="46"/>
        <v>50</v>
      </c>
      <c r="E1216" s="618" t="str">
        <f>+VLOOKUP(Tabla3[[#This Row],[PATENTE]],'BASE DATOS'!F:G,2,0)</f>
        <v xml:space="preserve">TRANSP MAIDANA CARLOS - EYP088 </v>
      </c>
      <c r="F1216" s="584" t="str">
        <f>+VLOOKUP(Tabla3[[#This Row],[PATENTE]],'BASE DATOS'!F:H,3,0)</f>
        <v>6P</v>
      </c>
      <c r="G1216" s="584" t="str">
        <f>+VLOOKUP(Tabla3[[#This Row],[PATENTE]],'BASE DATOS'!F:I,4,0)</f>
        <v>SI</v>
      </c>
      <c r="H1216" s="584" t="str">
        <f>+VLOOKUP(Tabla3[[#This Row],[PATENTE]],'BASE DATOS'!F:J,5,0)</f>
        <v>SI</v>
      </c>
      <c r="I1216" s="584" t="str">
        <f>+VLOOKUP(Tabla3[[#This Row],[PATENTE]],'BASE DATOS'!F:K,6,0)</f>
        <v>NO</v>
      </c>
      <c r="J1216" s="584">
        <f>+VLOOKUP(Tabla3[[#This Row],[PATENTE]],'BASE DATOS'!F:L,7,0)</f>
        <v>2006</v>
      </c>
      <c r="K1216" s="619">
        <f>+VLOOKUP(Tabla3[[#This Row],[PATENTE]],'BASE DATOS'!F:M,8,0)</f>
        <v>19</v>
      </c>
    </row>
    <row r="1217" spans="1:11" hidden="1">
      <c r="A1217" s="578" t="s">
        <v>920</v>
      </c>
      <c r="B1217" s="584">
        <v>4</v>
      </c>
      <c r="C1217" s="589">
        <v>45999</v>
      </c>
      <c r="D1217" s="582">
        <f t="shared" si="46"/>
        <v>50</v>
      </c>
      <c r="E1217" s="618" t="str">
        <f>+VLOOKUP(Tabla3[[#This Row],[PATENTE]],'BASE DATOS'!F:G,2,0)</f>
        <v xml:space="preserve">TRANSP LAGOS - MRV682 </v>
      </c>
      <c r="F1217" s="584" t="str">
        <f>+VLOOKUP(Tabla3[[#This Row],[PATENTE]],'BASE DATOS'!F:H,3,0)</f>
        <v>8P</v>
      </c>
      <c r="G1217" s="584" t="str">
        <f>+VLOOKUP(Tabla3[[#This Row],[PATENTE]],'BASE DATOS'!F:I,4,0)</f>
        <v>SI</v>
      </c>
      <c r="H1217" s="584" t="str">
        <f>+VLOOKUP(Tabla3[[#This Row],[PATENTE]],'BASE DATOS'!F:J,5,0)</f>
        <v>SI</v>
      </c>
      <c r="I1217" s="584" t="str">
        <f>+VLOOKUP(Tabla3[[#This Row],[PATENTE]],'BASE DATOS'!F:K,6,0)</f>
        <v>NO</v>
      </c>
      <c r="J1217" s="584">
        <f>+VLOOKUP(Tabla3[[#This Row],[PATENTE]],'BASE DATOS'!F:L,7,0)</f>
        <v>2013</v>
      </c>
      <c r="K1217" s="619">
        <f>+VLOOKUP(Tabla3[[#This Row],[PATENTE]],'BASE DATOS'!F:M,8,0)</f>
        <v>12</v>
      </c>
    </row>
    <row r="1218" spans="1:11" hidden="1">
      <c r="A1218" s="578" t="s">
        <v>886</v>
      </c>
      <c r="B1218" s="584">
        <v>4</v>
      </c>
      <c r="C1218" s="589">
        <v>45999</v>
      </c>
      <c r="D1218" s="582">
        <f t="shared" si="46"/>
        <v>50</v>
      </c>
      <c r="E1218" s="618" t="str">
        <f>+VLOOKUP(Tabla3[[#This Row],[PATENTE]],'BASE DATOS'!F:G,2,0)</f>
        <v xml:space="preserve">TRANSP LAGOS - NOO925 </v>
      </c>
      <c r="F1218" s="584" t="str">
        <f>+VLOOKUP(Tabla3[[#This Row],[PATENTE]],'BASE DATOS'!F:H,3,0)</f>
        <v>8P</v>
      </c>
      <c r="G1218" s="584" t="str">
        <f>+VLOOKUP(Tabla3[[#This Row],[PATENTE]],'BASE DATOS'!F:I,4,0)</f>
        <v>SI</v>
      </c>
      <c r="H1218" s="584" t="str">
        <f>+VLOOKUP(Tabla3[[#This Row],[PATENTE]],'BASE DATOS'!F:J,5,0)</f>
        <v>SI</v>
      </c>
      <c r="I1218" s="584" t="str">
        <f>+VLOOKUP(Tabla3[[#This Row],[PATENTE]],'BASE DATOS'!F:K,6,0)</f>
        <v>NO</v>
      </c>
      <c r="J1218" s="584">
        <f>+VLOOKUP(Tabla3[[#This Row],[PATENTE]],'BASE DATOS'!F:L,7,0)</f>
        <v>2014</v>
      </c>
      <c r="K1218" s="619">
        <f>+VLOOKUP(Tabla3[[#This Row],[PATENTE]],'BASE DATOS'!F:M,8,0)</f>
        <v>11</v>
      </c>
    </row>
    <row r="1219" spans="1:11" hidden="1">
      <c r="A1219" s="578" t="s">
        <v>877</v>
      </c>
      <c r="B1219" s="584">
        <v>4</v>
      </c>
      <c r="C1219" s="589">
        <v>45999</v>
      </c>
      <c r="D1219" s="582">
        <f t="shared" si="46"/>
        <v>50</v>
      </c>
      <c r="E1219" s="618" t="str">
        <f>+VLOOKUP(Tabla3[[#This Row],[PATENTE]],'BASE DATOS'!F:G,2,0)</f>
        <v>TRANSP MAIDANA CARLOS - OWA126</v>
      </c>
      <c r="F1219" s="584" t="str">
        <f>+VLOOKUP(Tabla3[[#This Row],[PATENTE]],'BASE DATOS'!F:H,3,0)</f>
        <v>4P</v>
      </c>
      <c r="G1219" s="584" t="str">
        <f>+VLOOKUP(Tabla3[[#This Row],[PATENTE]],'BASE DATOS'!F:I,4,0)</f>
        <v>SI</v>
      </c>
      <c r="H1219" s="584" t="str">
        <f>+VLOOKUP(Tabla3[[#This Row],[PATENTE]],'BASE DATOS'!F:J,5,0)</f>
        <v>SI</v>
      </c>
      <c r="I1219" s="584" t="str">
        <f>+VLOOKUP(Tabla3[[#This Row],[PATENTE]],'BASE DATOS'!F:K,6,0)</f>
        <v>NO</v>
      </c>
      <c r="J1219" s="584">
        <f>+VLOOKUP(Tabla3[[#This Row],[PATENTE]],'BASE DATOS'!F:L,7,0)</f>
        <v>2015</v>
      </c>
      <c r="K1219" s="619">
        <f>+VLOOKUP(Tabla3[[#This Row],[PATENTE]],'BASE DATOS'!F:M,8,0)</f>
        <v>10</v>
      </c>
    </row>
    <row r="1220" spans="1:11" hidden="1">
      <c r="A1220" s="578" t="s">
        <v>936</v>
      </c>
      <c r="B1220" s="584">
        <v>3</v>
      </c>
      <c r="C1220" s="589">
        <v>45999</v>
      </c>
      <c r="D1220" s="582">
        <f t="shared" si="46"/>
        <v>50</v>
      </c>
      <c r="E1220" s="618" t="str">
        <f>+VLOOKUP(Tabla3[[#This Row],[PATENTE]],'BASE DATOS'!F:G,2,0)</f>
        <v>TRANSP YANINA  LUONGO - AA050HC</v>
      </c>
      <c r="F1220" s="584" t="str">
        <f>+VLOOKUP(Tabla3[[#This Row],[PATENTE]],'BASE DATOS'!F:H,3,0)</f>
        <v>1.5P</v>
      </c>
      <c r="G1220" s="584" t="str">
        <f>+VLOOKUP(Tabla3[[#This Row],[PATENTE]],'BASE DATOS'!F:I,4,0)</f>
        <v>NO</v>
      </c>
      <c r="H1220" s="584" t="str">
        <f>+VLOOKUP(Tabla3[[#This Row],[PATENTE]],'BASE DATOS'!F:J,5,0)</f>
        <v>SI</v>
      </c>
      <c r="I1220" s="584" t="str">
        <f>+VLOOKUP(Tabla3[[#This Row],[PATENTE]],'BASE DATOS'!F:K,6,0)</f>
        <v>NO</v>
      </c>
      <c r="J1220" s="584">
        <f>+VLOOKUP(Tabla3[[#This Row],[PATENTE]],'BASE DATOS'!F:L,7,0)</f>
        <v>2016</v>
      </c>
      <c r="K1220" s="619">
        <f>+VLOOKUP(Tabla3[[#This Row],[PATENTE]],'BASE DATOS'!F:M,8,0)</f>
        <v>9</v>
      </c>
    </row>
    <row r="1221" spans="1:11" hidden="1">
      <c r="A1221" s="578" t="s">
        <v>919</v>
      </c>
      <c r="B1221" s="584">
        <v>3</v>
      </c>
      <c r="C1221" s="589">
        <v>45999</v>
      </c>
      <c r="D1221" s="582">
        <f t="shared" si="46"/>
        <v>50</v>
      </c>
      <c r="E1221" s="618" t="str">
        <f>+VLOOKUP(Tabla3[[#This Row],[PATENTE]],'BASE DATOS'!F:G,2,0)</f>
        <v xml:space="preserve">GUSTAVO CERQUETTA - AA427LT </v>
      </c>
      <c r="F1221" s="584" t="str">
        <f>+VLOOKUP(Tabla3[[#This Row],[PATENTE]],'BASE DATOS'!F:H,3,0)</f>
        <v>1P</v>
      </c>
      <c r="G1221" s="584" t="str">
        <f>+VLOOKUP(Tabla3[[#This Row],[PATENTE]],'BASE DATOS'!F:I,4,0)</f>
        <v>NO</v>
      </c>
      <c r="H1221" s="584" t="str">
        <f>+VLOOKUP(Tabla3[[#This Row],[PATENTE]],'BASE DATOS'!F:J,5,0)</f>
        <v>SI</v>
      </c>
      <c r="I1221" s="584" t="str">
        <f>+VLOOKUP(Tabla3[[#This Row],[PATENTE]],'BASE DATOS'!F:K,6,0)</f>
        <v>NO</v>
      </c>
      <c r="J1221" s="584">
        <f>+VLOOKUP(Tabla3[[#This Row],[PATENTE]],'BASE DATOS'!F:L,7,0)</f>
        <v>2016</v>
      </c>
      <c r="K1221" s="619">
        <f>+VLOOKUP(Tabla3[[#This Row],[PATENTE]],'BASE DATOS'!F:M,8,0)</f>
        <v>9</v>
      </c>
    </row>
    <row r="1222" spans="1:11" hidden="1">
      <c r="A1222" s="578" t="s">
        <v>883</v>
      </c>
      <c r="B1222" s="584">
        <v>3</v>
      </c>
      <c r="C1222" s="589">
        <v>45999</v>
      </c>
      <c r="D1222" s="582">
        <f t="shared" si="46"/>
        <v>50</v>
      </c>
      <c r="E1222" s="618" t="str">
        <f>+VLOOKUP(Tabla3[[#This Row],[PATENTE]],'BASE DATOS'!F:G,2,0)</f>
        <v xml:space="preserve">PACHECO JULIO - ACI503 </v>
      </c>
      <c r="F1222" s="584" t="str">
        <f>+VLOOKUP(Tabla3[[#This Row],[PATENTE]],'BASE DATOS'!F:H,3,0)</f>
        <v>12P</v>
      </c>
      <c r="G1222" s="584" t="str">
        <f>+VLOOKUP(Tabla3[[#This Row],[PATENTE]],'BASE DATOS'!F:I,4,0)</f>
        <v>NO</v>
      </c>
      <c r="H1222" s="584" t="str">
        <f>+VLOOKUP(Tabla3[[#This Row],[PATENTE]],'BASE DATOS'!F:J,5,0)</f>
        <v>SI</v>
      </c>
      <c r="I1222" s="584" t="str">
        <f>+VLOOKUP(Tabla3[[#This Row],[PATENTE]],'BASE DATOS'!F:K,6,0)</f>
        <v>SI</v>
      </c>
      <c r="J1222" s="584">
        <f>+VLOOKUP(Tabla3[[#This Row],[PATENTE]],'BASE DATOS'!F:L,7,0)</f>
        <v>2000</v>
      </c>
      <c r="K1222" s="619">
        <f>+VLOOKUP(Tabla3[[#This Row],[PATENTE]],'BASE DATOS'!F:M,8,0)</f>
        <v>25</v>
      </c>
    </row>
    <row r="1223" spans="1:11" hidden="1">
      <c r="A1223" s="578" t="s">
        <v>888</v>
      </c>
      <c r="B1223" s="584">
        <v>3</v>
      </c>
      <c r="C1223" s="589">
        <v>45999</v>
      </c>
      <c r="D1223" s="582">
        <f t="shared" si="46"/>
        <v>50</v>
      </c>
      <c r="E1223" s="618" t="str">
        <f>+VLOOKUP(Tabla3[[#This Row],[PATENTE]],'BASE DATOS'!F:G,2,0)</f>
        <v xml:space="preserve">TRANSP FIRST CLASS - AD535UI </v>
      </c>
      <c r="F1223" s="584" t="str">
        <f>+VLOOKUP(Tabla3[[#This Row],[PATENTE]],'BASE DATOS'!F:H,3,0)</f>
        <v>6P</v>
      </c>
      <c r="G1223" s="584" t="str">
        <f>+VLOOKUP(Tabla3[[#This Row],[PATENTE]],'BASE DATOS'!F:I,4,0)</f>
        <v>SI</v>
      </c>
      <c r="H1223" s="584" t="str">
        <f>+VLOOKUP(Tabla3[[#This Row],[PATENTE]],'BASE DATOS'!F:J,5,0)</f>
        <v>SI</v>
      </c>
      <c r="I1223" s="584" t="str">
        <f>+VLOOKUP(Tabla3[[#This Row],[PATENTE]],'BASE DATOS'!F:K,6,0)</f>
        <v>NO</v>
      </c>
      <c r="J1223" s="584">
        <f>+VLOOKUP(Tabla3[[#This Row],[PATENTE]],'BASE DATOS'!F:L,7,0)</f>
        <v>2019</v>
      </c>
      <c r="K1223" s="619">
        <f>+VLOOKUP(Tabla3[[#This Row],[PATENTE]],'BASE DATOS'!F:M,8,0)</f>
        <v>6</v>
      </c>
    </row>
    <row r="1224" spans="1:11" hidden="1">
      <c r="A1224" s="578" t="s">
        <v>880</v>
      </c>
      <c r="B1224" s="584">
        <v>3</v>
      </c>
      <c r="C1224" s="589">
        <v>45999</v>
      </c>
      <c r="D1224" s="582">
        <f t="shared" si="46"/>
        <v>50</v>
      </c>
      <c r="E1224" s="618" t="str">
        <f>+VLOOKUP(Tabla3[[#This Row],[PATENTE]],'BASE DATOS'!F:G,2,0)</f>
        <v xml:space="preserve">LAURIA (SERVAL) - AD575XK </v>
      </c>
      <c r="F1224" s="584" t="str">
        <f>+VLOOKUP(Tabla3[[#This Row],[PATENTE]],'BASE DATOS'!F:H,3,0)</f>
        <v>8P</v>
      </c>
      <c r="G1224" s="584" t="str">
        <f>+VLOOKUP(Tabla3[[#This Row],[PATENTE]],'BASE DATOS'!F:I,4,0)</f>
        <v>SI</v>
      </c>
      <c r="H1224" s="584" t="str">
        <f>+VLOOKUP(Tabla3[[#This Row],[PATENTE]],'BASE DATOS'!F:J,5,0)</f>
        <v>SI</v>
      </c>
      <c r="I1224" s="584" t="str">
        <f>+VLOOKUP(Tabla3[[#This Row],[PATENTE]],'BASE DATOS'!F:K,6,0)</f>
        <v>NO</v>
      </c>
      <c r="J1224" s="584">
        <f>+VLOOKUP(Tabla3[[#This Row],[PATENTE]],'BASE DATOS'!F:L,7,0)</f>
        <v>2019</v>
      </c>
      <c r="K1224" s="619">
        <f>+VLOOKUP(Tabla3[[#This Row],[PATENTE]],'BASE DATOS'!F:M,8,0)</f>
        <v>6</v>
      </c>
    </row>
    <row r="1225" spans="1:11" hidden="1">
      <c r="A1225" s="578" t="s">
        <v>915</v>
      </c>
      <c r="B1225" s="584">
        <v>3</v>
      </c>
      <c r="C1225" s="589">
        <v>45999</v>
      </c>
      <c r="D1225" s="582">
        <f t="shared" si="46"/>
        <v>50</v>
      </c>
      <c r="E1225" s="618" t="str">
        <f>+VLOOKUP(Tabla3[[#This Row],[PATENTE]],'BASE DATOS'!F:G,2,0)</f>
        <v>TRANSPORTE GRACIELA - FPL254</v>
      </c>
      <c r="F1225" s="584" t="str">
        <f>+VLOOKUP(Tabla3[[#This Row],[PATENTE]],'BASE DATOS'!F:H,3,0)</f>
        <v>2P</v>
      </c>
      <c r="G1225" s="584" t="str">
        <f>+VLOOKUP(Tabla3[[#This Row],[PATENTE]],'BASE DATOS'!F:I,4,0)</f>
        <v>SI</v>
      </c>
      <c r="H1225" s="584" t="str">
        <f>+VLOOKUP(Tabla3[[#This Row],[PATENTE]],'BASE DATOS'!F:J,5,0)</f>
        <v>NO (CAMI)</v>
      </c>
      <c r="I1225" s="584" t="str">
        <f>+VLOOKUP(Tabla3[[#This Row],[PATENTE]],'BASE DATOS'!F:K,6,0)</f>
        <v>NO</v>
      </c>
      <c r="J1225" s="584">
        <f>+VLOOKUP(Tabla3[[#This Row],[PATENTE]],'BASE DATOS'!F:L,7,0)</f>
        <v>2012</v>
      </c>
      <c r="K1225" s="619">
        <f>+VLOOKUP(Tabla3[[#This Row],[PATENTE]],'BASE DATOS'!F:M,8,0)</f>
        <v>13</v>
      </c>
    </row>
    <row r="1226" spans="1:11" hidden="1">
      <c r="A1226" s="578" t="s">
        <v>891</v>
      </c>
      <c r="B1226" s="584">
        <v>3</v>
      </c>
      <c r="C1226" s="589">
        <v>45999</v>
      </c>
      <c r="D1226" s="582">
        <f t="shared" si="46"/>
        <v>50</v>
      </c>
      <c r="E1226" s="618" t="str">
        <f>+VLOOKUP(Tabla3[[#This Row],[PATENTE]],'BASE DATOS'!F:G,2,0)</f>
        <v xml:space="preserve">GANZINI HUGO - HHA085 </v>
      </c>
      <c r="F1226" s="584" t="str">
        <f>+VLOOKUP(Tabla3[[#This Row],[PATENTE]],'BASE DATOS'!F:H,3,0)</f>
        <v>2P</v>
      </c>
      <c r="G1226" s="584" t="str">
        <f>+VLOOKUP(Tabla3[[#This Row],[PATENTE]],'BASE DATOS'!F:I,4,0)</f>
        <v>SI</v>
      </c>
      <c r="H1226" s="584" t="str">
        <f>+VLOOKUP(Tabla3[[#This Row],[PATENTE]],'BASE DATOS'!F:J,5,0)</f>
        <v>SI</v>
      </c>
      <c r="I1226" s="584" t="str">
        <f>+VLOOKUP(Tabla3[[#This Row],[PATENTE]],'BASE DATOS'!F:K,6,0)</f>
        <v>NO</v>
      </c>
      <c r="J1226" s="584">
        <f>+VLOOKUP(Tabla3[[#This Row],[PATENTE]],'BASE DATOS'!F:L,7,0)</f>
        <v>2008</v>
      </c>
      <c r="K1226" s="619">
        <f>+VLOOKUP(Tabla3[[#This Row],[PATENTE]],'BASE DATOS'!F:M,8,0)</f>
        <v>17</v>
      </c>
    </row>
    <row r="1227" spans="1:11" hidden="1">
      <c r="A1227" s="578" t="s">
        <v>902</v>
      </c>
      <c r="B1227" s="584">
        <v>3</v>
      </c>
      <c r="C1227" s="589">
        <v>45999</v>
      </c>
      <c r="D1227" s="582">
        <f t="shared" si="46"/>
        <v>50</v>
      </c>
      <c r="E1227" s="618" t="str">
        <f>+VLOOKUP(Tabla3[[#This Row],[PATENTE]],'BASE DATOS'!F:G,2,0)</f>
        <v xml:space="preserve">GUSTAVO CERQUETTA - KZA644 </v>
      </c>
      <c r="F1227" s="584" t="str">
        <f>+VLOOKUP(Tabla3[[#This Row],[PATENTE]],'BASE DATOS'!F:H,3,0)</f>
        <v>2P</v>
      </c>
      <c r="G1227" s="584" t="str">
        <f>+VLOOKUP(Tabla3[[#This Row],[PATENTE]],'BASE DATOS'!F:I,4,0)</f>
        <v>NO</v>
      </c>
      <c r="H1227" s="584" t="str">
        <f>+VLOOKUP(Tabla3[[#This Row],[PATENTE]],'BASE DATOS'!F:J,5,0)</f>
        <v>SI</v>
      </c>
      <c r="I1227" s="584" t="str">
        <f>+VLOOKUP(Tabla3[[#This Row],[PATENTE]],'BASE DATOS'!F:K,6,0)</f>
        <v>NO</v>
      </c>
      <c r="J1227" s="584">
        <f>+VLOOKUP(Tabla3[[#This Row],[PATENTE]],'BASE DATOS'!F:L,7,0)</f>
        <v>2012</v>
      </c>
      <c r="K1227" s="619">
        <f>+VLOOKUP(Tabla3[[#This Row],[PATENTE]],'BASE DATOS'!F:M,8,0)</f>
        <v>13</v>
      </c>
    </row>
    <row r="1228" spans="1:11" hidden="1">
      <c r="A1228" s="578" t="s">
        <v>899</v>
      </c>
      <c r="B1228" s="584">
        <v>2</v>
      </c>
      <c r="C1228" s="589">
        <v>45999</v>
      </c>
      <c r="D1228" s="582">
        <f t="shared" si="46"/>
        <v>50</v>
      </c>
      <c r="E1228" s="618" t="str">
        <f>+VLOOKUP(Tabla3[[#This Row],[PATENTE]],'BASE DATOS'!F:G,2,0)</f>
        <v xml:space="preserve">VAZQUEZ (TRV SRL) - AB176KN </v>
      </c>
      <c r="F1228" s="584" t="str">
        <f>+VLOOKUP(Tabla3[[#This Row],[PATENTE]],'BASE DATOS'!F:H,3,0)</f>
        <v>8P</v>
      </c>
      <c r="G1228" s="584" t="str">
        <f>+VLOOKUP(Tabla3[[#This Row],[PATENTE]],'BASE DATOS'!F:I,4,0)</f>
        <v>SI</v>
      </c>
      <c r="H1228" s="584" t="str">
        <f>+VLOOKUP(Tabla3[[#This Row],[PATENTE]],'BASE DATOS'!F:J,5,0)</f>
        <v>SI</v>
      </c>
      <c r="I1228" s="584" t="str">
        <f>+VLOOKUP(Tabla3[[#This Row],[PATENTE]],'BASE DATOS'!F:K,6,0)</f>
        <v>SI</v>
      </c>
      <c r="J1228" s="584">
        <f>+VLOOKUP(Tabla3[[#This Row],[PATENTE]],'BASE DATOS'!F:L,7,0)</f>
        <v>2017</v>
      </c>
      <c r="K1228" s="619">
        <f>+VLOOKUP(Tabla3[[#This Row],[PATENTE]],'BASE DATOS'!F:M,8,0)</f>
        <v>8</v>
      </c>
    </row>
    <row r="1229" spans="1:11" hidden="1">
      <c r="A1229" s="578" t="s">
        <v>1133</v>
      </c>
      <c r="B1229" s="584">
        <v>2</v>
      </c>
      <c r="C1229" s="589">
        <v>45999</v>
      </c>
      <c r="D1229" s="582">
        <f t="shared" si="46"/>
        <v>50</v>
      </c>
      <c r="E1229" s="618" t="str">
        <f>+VLOOKUP(Tabla3[[#This Row],[PATENTE]],'BASE DATOS'!F:G,2,0)</f>
        <v xml:space="preserve">BELLIMAR SRL - AB787MT </v>
      </c>
      <c r="F1229" s="584" t="str">
        <f>+VLOOKUP(Tabla3[[#This Row],[PATENTE]],'BASE DATOS'!F:H,3,0)</f>
        <v>28P</v>
      </c>
      <c r="G1229" s="584" t="str">
        <f>+VLOOKUP(Tabla3[[#This Row],[PATENTE]],'BASE DATOS'!F:I,4,0)</f>
        <v>NO</v>
      </c>
      <c r="H1229" s="584" t="str">
        <f>+VLOOKUP(Tabla3[[#This Row],[PATENTE]],'BASE DATOS'!F:J,5,0)</f>
        <v xml:space="preserve">NO </v>
      </c>
      <c r="I1229" s="584" t="str">
        <f>+VLOOKUP(Tabla3[[#This Row],[PATENTE]],'BASE DATOS'!F:K,6,0)</f>
        <v>NO</v>
      </c>
      <c r="J1229" s="584">
        <f>+VLOOKUP(Tabla3[[#This Row],[PATENTE]],'BASE DATOS'!F:L,7,0)</f>
        <v>2017</v>
      </c>
      <c r="K1229" s="619">
        <f>+VLOOKUP(Tabla3[[#This Row],[PATENTE]],'BASE DATOS'!F:M,8,0)</f>
        <v>8</v>
      </c>
    </row>
    <row r="1230" spans="1:11" hidden="1">
      <c r="A1230" s="578" t="s">
        <v>903</v>
      </c>
      <c r="B1230" s="584">
        <v>2</v>
      </c>
      <c r="C1230" s="589">
        <v>45999</v>
      </c>
      <c r="D1230" s="582">
        <f t="shared" si="46"/>
        <v>50</v>
      </c>
      <c r="E1230" s="618" t="str">
        <f>+VLOOKUP(Tabla3[[#This Row],[PATENTE]],'BASE DATOS'!F:G,2,0)</f>
        <v xml:space="preserve">TRANSP CLAUDIO BUSTOS - AG243PE </v>
      </c>
      <c r="F1230" s="584" t="str">
        <f>+VLOOKUP(Tabla3[[#This Row],[PATENTE]],'BASE DATOS'!F:H,3,0)</f>
        <v>1P</v>
      </c>
      <c r="G1230" s="584" t="str">
        <f>+VLOOKUP(Tabla3[[#This Row],[PATENTE]],'BASE DATOS'!F:I,4,0)</f>
        <v>SI</v>
      </c>
      <c r="H1230" s="584" t="str">
        <f>+VLOOKUP(Tabla3[[#This Row],[PATENTE]],'BASE DATOS'!F:J,5,0)</f>
        <v>SI</v>
      </c>
      <c r="I1230" s="584" t="str">
        <f>+VLOOKUP(Tabla3[[#This Row],[PATENTE]],'BASE DATOS'!F:K,6,0)</f>
        <v>NO</v>
      </c>
      <c r="J1230" s="584">
        <f>+VLOOKUP(Tabla3[[#This Row],[PATENTE]],'BASE DATOS'!F:L,7,0)</f>
        <v>2024</v>
      </c>
      <c r="K1230" s="619">
        <f>+VLOOKUP(Tabla3[[#This Row],[PATENTE]],'BASE DATOS'!F:M,8,0)</f>
        <v>1</v>
      </c>
    </row>
    <row r="1231" spans="1:11" hidden="1">
      <c r="A1231" s="578" t="s">
        <v>944</v>
      </c>
      <c r="B1231" s="584">
        <v>2</v>
      </c>
      <c r="C1231" s="589">
        <v>45999</v>
      </c>
      <c r="D1231" s="582">
        <f t="shared" ref="D1231:D1252" si="47">+WEEKNUM(C1231)</f>
        <v>50</v>
      </c>
      <c r="E1231" s="618" t="str">
        <f>+VLOOKUP(Tabla3[[#This Row],[PATENTE]],'BASE DATOS'!F:G,2,0)</f>
        <v xml:space="preserve">TRANSPORTE GENA GAIA - BHG261 </v>
      </c>
      <c r="F1231" s="584" t="str">
        <f>+VLOOKUP(Tabla3[[#This Row],[PATENTE]],'BASE DATOS'!F:H,3,0)</f>
        <v>26P</v>
      </c>
      <c r="G1231" s="584" t="str">
        <f>+VLOOKUP(Tabla3[[#This Row],[PATENTE]],'BASE DATOS'!F:I,4,0)</f>
        <v>Gestya</v>
      </c>
      <c r="H1231" s="584" t="str">
        <f>+VLOOKUP(Tabla3[[#This Row],[PATENTE]],'BASE DATOS'!F:J,5,0)</f>
        <v xml:space="preserve">NO </v>
      </c>
      <c r="I1231" s="584" t="str">
        <f>+VLOOKUP(Tabla3[[#This Row],[PATENTE]],'BASE DATOS'!F:K,6,0)</f>
        <v>NO</v>
      </c>
      <c r="J1231" s="584">
        <f>+VLOOKUP(Tabla3[[#This Row],[PATENTE]],'BASE DATOS'!F:L,7,0)</f>
        <v>1997</v>
      </c>
      <c r="K1231" s="619">
        <f>+VLOOKUP(Tabla3[[#This Row],[PATENTE]],'BASE DATOS'!F:M,8,0)</f>
        <v>28</v>
      </c>
    </row>
    <row r="1232" spans="1:11" hidden="1">
      <c r="A1232" s="578" t="s">
        <v>887</v>
      </c>
      <c r="B1232" s="584">
        <v>2</v>
      </c>
      <c r="C1232" s="589">
        <v>45999</v>
      </c>
      <c r="D1232" s="582">
        <f t="shared" si="47"/>
        <v>50</v>
      </c>
      <c r="E1232" s="618" t="str">
        <f>+VLOOKUP(Tabla3[[#This Row],[PATENTE]],'BASE DATOS'!F:G,2,0)</f>
        <v>ENRIQUE ROLLINO - BXB394</v>
      </c>
      <c r="F1232" s="584" t="str">
        <f>+VLOOKUP(Tabla3[[#This Row],[PATENTE]],'BASE DATOS'!F:H,3,0)</f>
        <v>2P</v>
      </c>
      <c r="G1232" s="584" t="str">
        <f>+VLOOKUP(Tabla3[[#This Row],[PATENTE]],'BASE DATOS'!F:I,4,0)</f>
        <v>SI</v>
      </c>
      <c r="H1232" s="584" t="str">
        <f>+VLOOKUP(Tabla3[[#This Row],[PATENTE]],'BASE DATOS'!F:J,5,0)</f>
        <v>SI</v>
      </c>
      <c r="I1232" s="584" t="str">
        <f>+VLOOKUP(Tabla3[[#This Row],[PATENTE]],'BASE DATOS'!F:K,6,0)</f>
        <v>NO</v>
      </c>
      <c r="J1232" s="584">
        <f>+VLOOKUP(Tabla3[[#This Row],[PATENTE]],'BASE DATOS'!F:L,7,0)</f>
        <v>1998</v>
      </c>
      <c r="K1232" s="619">
        <f>+VLOOKUP(Tabla3[[#This Row],[PATENTE]],'BASE DATOS'!F:M,8,0)</f>
        <v>27</v>
      </c>
    </row>
    <row r="1233" spans="1:11" hidden="1">
      <c r="A1233" s="578" t="s">
        <v>881</v>
      </c>
      <c r="B1233" s="584">
        <v>2</v>
      </c>
      <c r="C1233" s="589">
        <v>45999</v>
      </c>
      <c r="D1233" s="582">
        <f t="shared" si="47"/>
        <v>50</v>
      </c>
      <c r="E1233" s="618" t="str">
        <f>+VLOOKUP(Tabla3[[#This Row],[PATENTE]],'BASE DATOS'!F:G,2,0)</f>
        <v xml:space="preserve">MAÑAS NORBERTO - DUQ686 </v>
      </c>
      <c r="F1233" s="584" t="str">
        <f>+VLOOKUP(Tabla3[[#This Row],[PATENTE]],'BASE DATOS'!F:H,3,0)</f>
        <v>8P</v>
      </c>
      <c r="G1233" s="584" t="str">
        <f>+VLOOKUP(Tabla3[[#This Row],[PATENTE]],'BASE DATOS'!F:I,4,0)</f>
        <v>SI</v>
      </c>
      <c r="H1233" s="584" t="str">
        <f>+VLOOKUP(Tabla3[[#This Row],[PATENTE]],'BASE DATOS'!F:J,5,0)</f>
        <v>SI</v>
      </c>
      <c r="I1233" s="584" t="str">
        <f>+VLOOKUP(Tabla3[[#This Row],[PATENTE]],'BASE DATOS'!F:K,6,0)</f>
        <v>NO</v>
      </c>
      <c r="J1233" s="584">
        <f>+VLOOKUP(Tabla3[[#This Row],[PATENTE]],'BASE DATOS'!F:L,7,0)</f>
        <v>2001</v>
      </c>
      <c r="K1233" s="619">
        <f>+VLOOKUP(Tabla3[[#This Row],[PATENTE]],'BASE DATOS'!F:M,8,0)</f>
        <v>24</v>
      </c>
    </row>
    <row r="1234" spans="1:11" hidden="1">
      <c r="A1234" s="578" t="s">
        <v>892</v>
      </c>
      <c r="B1234" s="584">
        <v>2</v>
      </c>
      <c r="C1234" s="589">
        <v>45999</v>
      </c>
      <c r="D1234" s="582">
        <f t="shared" si="47"/>
        <v>50</v>
      </c>
      <c r="E1234" s="618" t="str">
        <f>+VLOOKUP(Tabla3[[#This Row],[PATENTE]],'BASE DATOS'!F:G,2,0)</f>
        <v xml:space="preserve">COLO - FTL525 </v>
      </c>
      <c r="F1234" s="584" t="str">
        <f>+VLOOKUP(Tabla3[[#This Row],[PATENTE]],'BASE DATOS'!F:H,3,0)</f>
        <v>1P</v>
      </c>
      <c r="G1234" s="584" t="str">
        <f>+VLOOKUP(Tabla3[[#This Row],[PATENTE]],'BASE DATOS'!F:I,4,0)</f>
        <v>NO</v>
      </c>
      <c r="H1234" s="584" t="str">
        <f>+VLOOKUP(Tabla3[[#This Row],[PATENTE]],'BASE DATOS'!F:J,5,0)</f>
        <v>SI</v>
      </c>
      <c r="I1234" s="584" t="str">
        <f>+VLOOKUP(Tabla3[[#This Row],[PATENTE]],'BASE DATOS'!F:K,6,0)</f>
        <v>NO</v>
      </c>
      <c r="J1234" s="584">
        <f>+VLOOKUP(Tabla3[[#This Row],[PATENTE]],'BASE DATOS'!F:L,7,0)</f>
        <v>2008</v>
      </c>
      <c r="K1234" s="619">
        <f>+VLOOKUP(Tabla3[[#This Row],[PATENTE]],'BASE DATOS'!F:M,8,0)</f>
        <v>17</v>
      </c>
    </row>
    <row r="1235" spans="1:11" hidden="1">
      <c r="A1235" s="578" t="s">
        <v>925</v>
      </c>
      <c r="B1235" s="584">
        <v>2</v>
      </c>
      <c r="C1235" s="589">
        <v>45999</v>
      </c>
      <c r="D1235" s="582">
        <f t="shared" si="47"/>
        <v>50</v>
      </c>
      <c r="E1235" s="618" t="str">
        <f>+VLOOKUP(Tabla3[[#This Row],[PATENTE]],'BASE DATOS'!F:G,2,0)</f>
        <v xml:space="preserve">TRANSP MAIDANA FACUNDO - KOW745 </v>
      </c>
      <c r="F1235" s="584" t="str">
        <f>+VLOOKUP(Tabla3[[#This Row],[PATENTE]],'BASE DATOS'!F:H,3,0)</f>
        <v>8P</v>
      </c>
      <c r="G1235" s="584" t="str">
        <f>+VLOOKUP(Tabla3[[#This Row],[PATENTE]],'BASE DATOS'!F:I,4,0)</f>
        <v>SI</v>
      </c>
      <c r="H1235" s="584" t="str">
        <f>+VLOOKUP(Tabla3[[#This Row],[PATENTE]],'BASE DATOS'!F:J,5,0)</f>
        <v>SI</v>
      </c>
      <c r="I1235" s="584" t="str">
        <f>+VLOOKUP(Tabla3[[#This Row],[PATENTE]],'BASE DATOS'!F:K,6,0)</f>
        <v>NO</v>
      </c>
      <c r="J1235" s="584">
        <f>+VLOOKUP(Tabla3[[#This Row],[PATENTE]],'BASE DATOS'!F:L,7,0)</f>
        <v>2012</v>
      </c>
      <c r="K1235" s="619">
        <f>+VLOOKUP(Tabla3[[#This Row],[PATENTE]],'BASE DATOS'!F:M,8,0)</f>
        <v>13</v>
      </c>
    </row>
    <row r="1236" spans="1:11" hidden="1">
      <c r="A1236" s="578" t="s">
        <v>913</v>
      </c>
      <c r="B1236" s="584">
        <v>2</v>
      </c>
      <c r="C1236" s="589">
        <v>45999</v>
      </c>
      <c r="D1236" s="582">
        <f t="shared" si="47"/>
        <v>50</v>
      </c>
      <c r="E1236" s="618" t="str">
        <f>+VLOOKUP(Tabla3[[#This Row],[PATENTE]],'BASE DATOS'!F:G,2,0)</f>
        <v xml:space="preserve">TRANSP DON NENO - KSI803 </v>
      </c>
      <c r="F1236" s="584" t="str">
        <f>+VLOOKUP(Tabla3[[#This Row],[PATENTE]],'BASE DATOS'!F:H,3,0)</f>
        <v>2P</v>
      </c>
      <c r="G1236" s="584" t="str">
        <f>+VLOOKUP(Tabla3[[#This Row],[PATENTE]],'BASE DATOS'!F:I,4,0)</f>
        <v>SI</v>
      </c>
      <c r="H1236" s="584" t="str">
        <f>+VLOOKUP(Tabla3[[#This Row],[PATENTE]],'BASE DATOS'!F:J,5,0)</f>
        <v>SI</v>
      </c>
      <c r="I1236" s="584" t="str">
        <f>+VLOOKUP(Tabla3[[#This Row],[PATENTE]],'BASE DATOS'!F:K,6,0)</f>
        <v>NO</v>
      </c>
      <c r="J1236" s="584">
        <f>+VLOOKUP(Tabla3[[#This Row],[PATENTE]],'BASE DATOS'!F:L,7,0)</f>
        <v>2012</v>
      </c>
      <c r="K1236" s="619">
        <f>+VLOOKUP(Tabla3[[#This Row],[PATENTE]],'BASE DATOS'!F:M,8,0)</f>
        <v>13</v>
      </c>
    </row>
    <row r="1237" spans="1:11" hidden="1">
      <c r="A1237" s="578" t="s">
        <v>897</v>
      </c>
      <c r="B1237" s="584">
        <v>2</v>
      </c>
      <c r="C1237" s="589">
        <v>45999</v>
      </c>
      <c r="D1237" s="582">
        <f t="shared" si="47"/>
        <v>50</v>
      </c>
      <c r="E1237" s="618" t="str">
        <f>+VLOOKUP(Tabla3[[#This Row],[PATENTE]],'BASE DATOS'!F:G,2,0)</f>
        <v xml:space="preserve">TRANSP CLAUDIO BUSTOS - LSG801 </v>
      </c>
      <c r="F1237" s="584" t="str">
        <f>+VLOOKUP(Tabla3[[#This Row],[PATENTE]],'BASE DATOS'!F:H,3,0)</f>
        <v>2P</v>
      </c>
      <c r="G1237" s="584" t="str">
        <f>+VLOOKUP(Tabla3[[#This Row],[PATENTE]],'BASE DATOS'!F:I,4,0)</f>
        <v>SI</v>
      </c>
      <c r="H1237" s="584" t="str">
        <f>+VLOOKUP(Tabla3[[#This Row],[PATENTE]],'BASE DATOS'!F:J,5,0)</f>
        <v>SI</v>
      </c>
      <c r="I1237" s="584" t="str">
        <f>+VLOOKUP(Tabla3[[#This Row],[PATENTE]],'BASE DATOS'!F:K,6,0)</f>
        <v>NO</v>
      </c>
      <c r="J1237" s="584">
        <f>+VLOOKUP(Tabla3[[#This Row],[PATENTE]],'BASE DATOS'!F:L,7,0)</f>
        <v>2013</v>
      </c>
      <c r="K1237" s="619">
        <f>+VLOOKUP(Tabla3[[#This Row],[PATENTE]],'BASE DATOS'!F:M,8,0)</f>
        <v>12</v>
      </c>
    </row>
    <row r="1238" spans="1:11" hidden="1">
      <c r="A1238" s="578" t="s">
        <v>896</v>
      </c>
      <c r="B1238" s="584">
        <v>2</v>
      </c>
      <c r="C1238" s="589">
        <v>45999</v>
      </c>
      <c r="D1238" s="582">
        <f t="shared" si="47"/>
        <v>50</v>
      </c>
      <c r="E1238" s="618" t="str">
        <f>+VLOOKUP(Tabla3[[#This Row],[PATENTE]],'BASE DATOS'!F:G,2,0)</f>
        <v xml:space="preserve">TRANSP MAVIR - RHQ609 </v>
      </c>
      <c r="F1238" s="584" t="str">
        <f>+VLOOKUP(Tabla3[[#This Row],[PATENTE]],'BASE DATOS'!F:H,3,0)</f>
        <v>10P</v>
      </c>
      <c r="G1238" s="584" t="str">
        <f>+VLOOKUP(Tabla3[[#This Row],[PATENTE]],'BASE DATOS'!F:I,4,0)</f>
        <v>NO</v>
      </c>
      <c r="H1238" s="584" t="str">
        <f>+VLOOKUP(Tabla3[[#This Row],[PATENTE]],'BASE DATOS'!F:J,5,0)</f>
        <v xml:space="preserve">NO </v>
      </c>
      <c r="I1238" s="584" t="str">
        <f>+VLOOKUP(Tabla3[[#This Row],[PATENTE]],'BASE DATOS'!F:K,6,0)</f>
        <v>NO</v>
      </c>
      <c r="J1238" s="584">
        <f>+VLOOKUP(Tabla3[[#This Row],[PATENTE]],'BASE DATOS'!F:L,7,0)</f>
        <v>1995</v>
      </c>
      <c r="K1238" s="593">
        <v>0</v>
      </c>
    </row>
    <row r="1239" spans="1:11" hidden="1">
      <c r="A1239" s="578" t="s">
        <v>890</v>
      </c>
      <c r="B1239" s="584">
        <v>1</v>
      </c>
      <c r="C1239" s="589">
        <v>45999</v>
      </c>
      <c r="D1239" s="582">
        <f t="shared" si="47"/>
        <v>50</v>
      </c>
      <c r="E1239" s="618" t="str">
        <f>+VLOOKUP(Tabla3[[#This Row],[PATENTE]],'BASE DATOS'!F:G,2,0)</f>
        <v xml:space="preserve">TRANSPORTE GRACIELA - AC040RO </v>
      </c>
      <c r="F1239" s="584" t="str">
        <f>+VLOOKUP(Tabla3[[#This Row],[PATENTE]],'BASE DATOS'!F:H,3,0)</f>
        <v>1P</v>
      </c>
      <c r="G1239" s="584" t="str">
        <f>+VLOOKUP(Tabla3[[#This Row],[PATENTE]],'BASE DATOS'!F:I,4,0)</f>
        <v>SI</v>
      </c>
      <c r="H1239" s="584" t="str">
        <f>+VLOOKUP(Tabla3[[#This Row],[PATENTE]],'BASE DATOS'!F:J,5,0)</f>
        <v>ACEPTA( VER CAMI)</v>
      </c>
      <c r="I1239" s="584" t="str">
        <f>+VLOOKUP(Tabla3[[#This Row],[PATENTE]],'BASE DATOS'!F:K,6,0)</f>
        <v>NO</v>
      </c>
      <c r="J1239" s="584">
        <f>+VLOOKUP(Tabla3[[#This Row],[PATENTE]],'BASE DATOS'!F:L,7,0)</f>
        <v>2017</v>
      </c>
      <c r="K1239" s="619">
        <f>+VLOOKUP(Tabla3[[#This Row],[PATENTE]],'BASE DATOS'!F:M,8,0)</f>
        <v>8</v>
      </c>
    </row>
    <row r="1240" spans="1:11" hidden="1">
      <c r="A1240" s="578" t="s">
        <v>1129</v>
      </c>
      <c r="B1240" s="584">
        <v>1</v>
      </c>
      <c r="C1240" s="589">
        <v>45999</v>
      </c>
      <c r="D1240" s="582">
        <f t="shared" si="47"/>
        <v>50</v>
      </c>
      <c r="E1240" s="618" t="str">
        <f>+VLOOKUP(Tabla3[[#This Row],[PATENTE]],'BASE DATOS'!F:G,2,0)</f>
        <v>CM TRANS - 24P RETIRA CLIENTE</v>
      </c>
      <c r="F1240" s="584" t="str">
        <f>+VLOOKUP(Tabla3[[#This Row],[PATENTE]],'BASE DATOS'!F:H,3,0)</f>
        <v>24P</v>
      </c>
      <c r="G1240" s="584" t="str">
        <f>+VLOOKUP(Tabla3[[#This Row],[PATENTE]],'BASE DATOS'!F:I,4,0)</f>
        <v>NO</v>
      </c>
      <c r="H1240" s="584" t="str">
        <f>+VLOOKUP(Tabla3[[#This Row],[PATENTE]],'BASE DATOS'!F:J,5,0)</f>
        <v xml:space="preserve">NO </v>
      </c>
      <c r="I1240" s="584" t="str">
        <f>+VLOOKUP(Tabla3[[#This Row],[PATENTE]],'BASE DATOS'!F:K,6,0)</f>
        <v>NO</v>
      </c>
      <c r="J1240" s="584">
        <f>+VLOOKUP(Tabla3[[#This Row],[PATENTE]],'BASE DATOS'!F:L,7,0)</f>
        <v>0</v>
      </c>
      <c r="K1240" s="619">
        <f>+VLOOKUP(Tabla3[[#This Row],[PATENTE]],'BASE DATOS'!F:M,8,0)</f>
        <v>2025</v>
      </c>
    </row>
    <row r="1241" spans="1:11" hidden="1">
      <c r="A1241" s="578" t="s">
        <v>1134</v>
      </c>
      <c r="B1241" s="584">
        <v>1</v>
      </c>
      <c r="C1241" s="589">
        <v>45999</v>
      </c>
      <c r="D1241" s="582">
        <f t="shared" si="47"/>
        <v>50</v>
      </c>
      <c r="E1241" s="618" t="str">
        <f>+VLOOKUP(Tabla3[[#This Row],[PATENTE]],'BASE DATOS'!F:G,2,0)</f>
        <v>GANZINI HUGO- 8P</v>
      </c>
      <c r="F1241" s="584" t="str">
        <f>+VLOOKUP(Tabla3[[#This Row],[PATENTE]],'BASE DATOS'!F:H,3,0)</f>
        <v>8P</v>
      </c>
      <c r="G1241" s="584" t="str">
        <f>+VLOOKUP(Tabla3[[#This Row],[PATENTE]],'BASE DATOS'!F:I,4,0)</f>
        <v>NO</v>
      </c>
      <c r="H1241" s="584" t="str">
        <f>+VLOOKUP(Tabla3[[#This Row],[PATENTE]],'BASE DATOS'!F:J,5,0)</f>
        <v xml:space="preserve">NO </v>
      </c>
      <c r="I1241" s="584" t="str">
        <f>+VLOOKUP(Tabla3[[#This Row],[PATENTE]],'BASE DATOS'!F:K,6,0)</f>
        <v>NO</v>
      </c>
      <c r="J1241" s="584">
        <f>+VLOOKUP(Tabla3[[#This Row],[PATENTE]],'BASE DATOS'!F:L,7,0)</f>
        <v>2018</v>
      </c>
      <c r="K1241" s="619">
        <f>+VLOOKUP(Tabla3[[#This Row],[PATENTE]],'BASE DATOS'!F:M,8,0)</f>
        <v>7</v>
      </c>
    </row>
    <row r="1242" spans="1:11" hidden="1">
      <c r="A1242" s="578" t="s">
        <v>929</v>
      </c>
      <c r="B1242" s="584">
        <v>1</v>
      </c>
      <c r="C1242" s="589">
        <v>45999</v>
      </c>
      <c r="D1242" s="582">
        <f t="shared" si="47"/>
        <v>50</v>
      </c>
      <c r="E1242" s="618" t="str">
        <f>+VLOOKUP(Tabla3[[#This Row],[PATENTE]],'BASE DATOS'!F:G,2,0)</f>
        <v xml:space="preserve">PRONTOMAR - BAI674 </v>
      </c>
      <c r="F1242" s="584" t="str">
        <f>+VLOOKUP(Tabla3[[#This Row],[PATENTE]],'BASE DATOS'!F:H,3,0)</f>
        <v>14P</v>
      </c>
      <c r="G1242" s="584" t="str">
        <f>+VLOOKUP(Tabla3[[#This Row],[PATENTE]],'BASE DATOS'!F:I,4,0)</f>
        <v>NO</v>
      </c>
      <c r="H1242" s="584" t="str">
        <f>+VLOOKUP(Tabla3[[#This Row],[PATENTE]],'BASE DATOS'!F:J,5,0)</f>
        <v xml:space="preserve">NO </v>
      </c>
      <c r="I1242" s="584" t="str">
        <f>+VLOOKUP(Tabla3[[#This Row],[PATENTE]],'BASE DATOS'!F:K,6,0)</f>
        <v>NO</v>
      </c>
      <c r="J1242" s="584">
        <f>+VLOOKUP(Tabla3[[#This Row],[PATENTE]],'BASE DATOS'!F:L,7,0)</f>
        <v>1996</v>
      </c>
      <c r="K1242" s="619">
        <f>+VLOOKUP(Tabla3[[#This Row],[PATENTE]],'BASE DATOS'!F:M,8,0)</f>
        <v>29</v>
      </c>
    </row>
    <row r="1243" spans="1:11" hidden="1">
      <c r="A1243" s="578" t="s">
        <v>917</v>
      </c>
      <c r="B1243" s="584">
        <v>1</v>
      </c>
      <c r="C1243" s="589">
        <v>45999</v>
      </c>
      <c r="D1243" s="582">
        <f t="shared" si="47"/>
        <v>50</v>
      </c>
      <c r="E1243" s="618" t="str">
        <f>+VLOOKUP(Tabla3[[#This Row],[PATENTE]],'BASE DATOS'!F:G,2,0)</f>
        <v xml:space="preserve">PRONTOMAR - BUZ242 </v>
      </c>
      <c r="F1243" s="584" t="str">
        <f>+VLOOKUP(Tabla3[[#This Row],[PATENTE]],'BASE DATOS'!F:H,3,0)</f>
        <v>16P</v>
      </c>
      <c r="G1243" s="584" t="str">
        <f>+VLOOKUP(Tabla3[[#This Row],[PATENTE]],'BASE DATOS'!F:I,4,0)</f>
        <v>NO</v>
      </c>
      <c r="H1243" s="584" t="str">
        <f>+VLOOKUP(Tabla3[[#This Row],[PATENTE]],'BASE DATOS'!F:J,5,0)</f>
        <v xml:space="preserve">NO </v>
      </c>
      <c r="I1243" s="584" t="str">
        <f>+VLOOKUP(Tabla3[[#This Row],[PATENTE]],'BASE DATOS'!F:K,6,0)</f>
        <v>NO</v>
      </c>
      <c r="J1243" s="584">
        <f>+VLOOKUP(Tabla3[[#This Row],[PATENTE]],'BASE DATOS'!F:L,7,0)</f>
        <v>1998</v>
      </c>
      <c r="K1243" s="619">
        <f>+VLOOKUP(Tabla3[[#This Row],[PATENTE]],'BASE DATOS'!F:M,8,0)</f>
        <v>27</v>
      </c>
    </row>
    <row r="1244" spans="1:11" hidden="1">
      <c r="A1244" s="578" t="s">
        <v>893</v>
      </c>
      <c r="B1244" s="584">
        <v>1</v>
      </c>
      <c r="C1244" s="589">
        <v>45999</v>
      </c>
      <c r="D1244" s="582">
        <f t="shared" si="47"/>
        <v>50</v>
      </c>
      <c r="E1244" s="618" t="str">
        <f>+VLOOKUP(Tabla3[[#This Row],[PATENTE]],'BASE DATOS'!F:G,2,0)</f>
        <v xml:space="preserve">GANZINI HUGO - CFF038 </v>
      </c>
      <c r="F1244" s="584" t="str">
        <f>+VLOOKUP(Tabla3[[#This Row],[PATENTE]],'BASE DATOS'!F:H,3,0)</f>
        <v>2P</v>
      </c>
      <c r="G1244" s="584" t="str">
        <f>+VLOOKUP(Tabla3[[#This Row],[PATENTE]],'BASE DATOS'!F:I,4,0)</f>
        <v>SI</v>
      </c>
      <c r="H1244" s="584" t="str">
        <f>+VLOOKUP(Tabla3[[#This Row],[PATENTE]],'BASE DATOS'!F:J,5,0)</f>
        <v>SI</v>
      </c>
      <c r="I1244" s="584" t="str">
        <f>+VLOOKUP(Tabla3[[#This Row],[PATENTE]],'BASE DATOS'!F:K,6,0)</f>
        <v>NO</v>
      </c>
      <c r="J1244" s="584">
        <f>+VLOOKUP(Tabla3[[#This Row],[PATENTE]],'BASE DATOS'!F:L,7,0)</f>
        <v>1999</v>
      </c>
      <c r="K1244" s="619">
        <f>+VLOOKUP(Tabla3[[#This Row],[PATENTE]],'BASE DATOS'!F:M,8,0)</f>
        <v>26</v>
      </c>
    </row>
    <row r="1245" spans="1:11" hidden="1">
      <c r="A1245" s="578" t="s">
        <v>1160</v>
      </c>
      <c r="B1245" s="584">
        <v>1</v>
      </c>
      <c r="C1245" s="589">
        <v>45999</v>
      </c>
      <c r="D1245" s="582">
        <f t="shared" si="47"/>
        <v>50</v>
      </c>
      <c r="E1245" s="618" t="str">
        <f>+VLOOKUP(Tabla3[[#This Row],[PATENTE]],'BASE DATOS'!F:G,2,0)</f>
        <v xml:space="preserve">TRANSP MAVIR - EFL158 </v>
      </c>
      <c r="F1245" s="584" t="str">
        <f>+VLOOKUP(Tabla3[[#This Row],[PATENTE]],'BASE DATOS'!F:H,3,0)</f>
        <v>11P</v>
      </c>
      <c r="G1245" s="584" t="str">
        <f>+VLOOKUP(Tabla3[[#This Row],[PATENTE]],'BASE DATOS'!F:I,4,0)</f>
        <v>NO</v>
      </c>
      <c r="H1245" s="584" t="str">
        <f>+VLOOKUP(Tabla3[[#This Row],[PATENTE]],'BASE DATOS'!F:J,5,0)</f>
        <v xml:space="preserve">NO </v>
      </c>
      <c r="I1245" s="584" t="str">
        <f>+VLOOKUP(Tabla3[[#This Row],[PATENTE]],'BASE DATOS'!F:K,6,0)</f>
        <v>SI</v>
      </c>
      <c r="J1245" s="584">
        <f>+VLOOKUP(Tabla3[[#This Row],[PATENTE]],'BASE DATOS'!F:L,7,0)</f>
        <v>2003</v>
      </c>
      <c r="K1245" s="593">
        <v>0</v>
      </c>
    </row>
    <row r="1246" spans="1:11" hidden="1">
      <c r="A1246" s="578" t="s">
        <v>927</v>
      </c>
      <c r="B1246" s="584">
        <v>1</v>
      </c>
      <c r="C1246" s="589">
        <v>45999</v>
      </c>
      <c r="D1246" s="582">
        <f t="shared" si="47"/>
        <v>50</v>
      </c>
      <c r="E1246" s="618" t="str">
        <f>+VLOOKUP(Tabla3[[#This Row],[PATENTE]],'BASE DATOS'!F:G,2,0)</f>
        <v xml:space="preserve">TRANSP MAVIR - EKE275 </v>
      </c>
      <c r="F1246" s="584" t="str">
        <f>+VLOOKUP(Tabla3[[#This Row],[PATENTE]],'BASE DATOS'!F:H,3,0)</f>
        <v>11P</v>
      </c>
      <c r="G1246" s="584" t="str">
        <f>+VLOOKUP(Tabla3[[#This Row],[PATENTE]],'BASE DATOS'!F:I,4,0)</f>
        <v>NO</v>
      </c>
      <c r="H1246" s="584" t="str">
        <f>+VLOOKUP(Tabla3[[#This Row],[PATENTE]],'BASE DATOS'!F:J,5,0)</f>
        <v xml:space="preserve">NO </v>
      </c>
      <c r="I1246" s="584" t="str">
        <f>+VLOOKUP(Tabla3[[#This Row],[PATENTE]],'BASE DATOS'!F:K,6,0)</f>
        <v>NO</v>
      </c>
      <c r="J1246" s="584">
        <f>+VLOOKUP(Tabla3[[#This Row],[PATENTE]],'BASE DATOS'!F:L,7,0)</f>
        <v>2004</v>
      </c>
      <c r="K1246" s="593">
        <v>0</v>
      </c>
    </row>
    <row r="1247" spans="1:11" hidden="1">
      <c r="A1247" s="578" t="s">
        <v>945</v>
      </c>
      <c r="B1247" s="584">
        <v>1</v>
      </c>
      <c r="C1247" s="589">
        <v>45999</v>
      </c>
      <c r="D1247" s="582">
        <f t="shared" si="47"/>
        <v>50</v>
      </c>
      <c r="E1247" s="618" t="str">
        <f>+VLOOKUP(Tabla3[[#This Row],[PATENTE]],'BASE DATOS'!F:G,2,0)</f>
        <v>GANZINI HUGO - FWZ500 - 4P</v>
      </c>
      <c r="F1247" s="584" t="str">
        <f>+VLOOKUP(Tabla3[[#This Row],[PATENTE]],'BASE DATOS'!F:H,3,0)</f>
        <v>4P</v>
      </c>
      <c r="G1247" s="584" t="str">
        <f>+VLOOKUP(Tabla3[[#This Row],[PATENTE]],'BASE DATOS'!F:I,4,0)</f>
        <v>NO</v>
      </c>
      <c r="H1247" s="584" t="str">
        <f>+VLOOKUP(Tabla3[[#This Row],[PATENTE]],'BASE DATOS'!F:J,5,0)</f>
        <v xml:space="preserve">NO </v>
      </c>
      <c r="I1247" s="584" t="str">
        <f>+VLOOKUP(Tabla3[[#This Row],[PATENTE]],'BASE DATOS'!F:K,6,0)</f>
        <v>NO</v>
      </c>
      <c r="J1247" s="584">
        <f>+VLOOKUP(Tabla3[[#This Row],[PATENTE]],'BASE DATOS'!F:L,7,0)</f>
        <v>2006</v>
      </c>
      <c r="K1247" s="619">
        <f>+VLOOKUP(Tabla3[[#This Row],[PATENTE]],'BASE DATOS'!F:M,8,0)</f>
        <v>19</v>
      </c>
    </row>
    <row r="1248" spans="1:11" hidden="1">
      <c r="A1248" s="578" t="s">
        <v>928</v>
      </c>
      <c r="B1248" s="584">
        <v>1</v>
      </c>
      <c r="C1248" s="589">
        <v>45999</v>
      </c>
      <c r="D1248" s="582">
        <f t="shared" si="47"/>
        <v>50</v>
      </c>
      <c r="E1248" s="618" t="str">
        <f>+VLOOKUP(Tabla3[[#This Row],[PATENTE]],'BASE DATOS'!F:G,2,0)</f>
        <v xml:space="preserve">GANZINI HUGO - HEF181 </v>
      </c>
      <c r="F1248" s="584" t="str">
        <f>+VLOOKUP(Tabla3[[#This Row],[PATENTE]],'BASE DATOS'!F:H,3,0)</f>
        <v>12P</v>
      </c>
      <c r="G1248" s="584" t="str">
        <f>+VLOOKUP(Tabla3[[#This Row],[PATENTE]],'BASE DATOS'!F:I,4,0)</f>
        <v>NO</v>
      </c>
      <c r="H1248" s="584" t="str">
        <f>+VLOOKUP(Tabla3[[#This Row],[PATENTE]],'BASE DATOS'!F:J,5,0)</f>
        <v xml:space="preserve">NO </v>
      </c>
      <c r="I1248" s="584" t="str">
        <f>+VLOOKUP(Tabla3[[#This Row],[PATENTE]],'BASE DATOS'!F:K,6,0)</f>
        <v>NO</v>
      </c>
      <c r="J1248" s="584">
        <f>+VLOOKUP(Tabla3[[#This Row],[PATENTE]],'BASE DATOS'!F:L,7,0)</f>
        <v>2008</v>
      </c>
      <c r="K1248" s="619">
        <f>+VLOOKUP(Tabla3[[#This Row],[PATENTE]],'BASE DATOS'!F:M,8,0)</f>
        <v>17</v>
      </c>
    </row>
    <row r="1249" spans="1:11" hidden="1">
      <c r="A1249" s="578" t="s">
        <v>924</v>
      </c>
      <c r="B1249" s="584">
        <v>1</v>
      </c>
      <c r="C1249" s="589">
        <v>45999</v>
      </c>
      <c r="D1249" s="582">
        <f t="shared" si="47"/>
        <v>50</v>
      </c>
      <c r="E1249" s="618" t="str">
        <f>+VLOOKUP(Tabla3[[#This Row],[PATENTE]],'BASE DATOS'!F:G,2,0)</f>
        <v>TRANSP MAVIR - HRZ429 -16P</v>
      </c>
      <c r="F1249" s="584" t="str">
        <f>+VLOOKUP(Tabla3[[#This Row],[PATENTE]],'BASE DATOS'!F:H,3,0)</f>
        <v>16P</v>
      </c>
      <c r="G1249" s="584" t="str">
        <f>+VLOOKUP(Tabla3[[#This Row],[PATENTE]],'BASE DATOS'!F:I,4,0)</f>
        <v>SI</v>
      </c>
      <c r="H1249" s="584" t="str">
        <f>+VLOOKUP(Tabla3[[#This Row],[PATENTE]],'BASE DATOS'!F:J,5,0)</f>
        <v xml:space="preserve">NO </v>
      </c>
      <c r="I1249" s="584" t="str">
        <f>+VLOOKUP(Tabla3[[#This Row],[PATENTE]],'BASE DATOS'!F:K,6,0)</f>
        <v>NO</v>
      </c>
      <c r="J1249" s="584">
        <f>+VLOOKUP(Tabla3[[#This Row],[PATENTE]],'BASE DATOS'!F:L,7,0)</f>
        <v>2008</v>
      </c>
      <c r="K1249" s="619">
        <f>+VLOOKUP(Tabla3[[#This Row],[PATENTE]],'BASE DATOS'!F:M,8,0)</f>
        <v>17</v>
      </c>
    </row>
    <row r="1250" spans="1:11" hidden="1">
      <c r="A1250" s="578" t="s">
        <v>933</v>
      </c>
      <c r="B1250" s="584">
        <v>1</v>
      </c>
      <c r="C1250" s="589">
        <v>45999</v>
      </c>
      <c r="D1250" s="582">
        <f t="shared" si="47"/>
        <v>50</v>
      </c>
      <c r="E1250" s="618" t="str">
        <f>+VLOOKUP(Tabla3[[#This Row],[PATENTE]],'BASE DATOS'!F:G,2,0)</f>
        <v xml:space="preserve">TRANSPORTE GENA GAIA - IKE806 </v>
      </c>
      <c r="F1250" s="584" t="str">
        <f>+VLOOKUP(Tabla3[[#This Row],[PATENTE]],'BASE DATOS'!F:H,3,0)</f>
        <v>24P</v>
      </c>
      <c r="G1250" s="584" t="str">
        <f>+VLOOKUP(Tabla3[[#This Row],[PATENTE]],'BASE DATOS'!F:I,4,0)</f>
        <v>Gestya</v>
      </c>
      <c r="H1250" s="584" t="str">
        <f>+VLOOKUP(Tabla3[[#This Row],[PATENTE]],'BASE DATOS'!F:J,5,0)</f>
        <v xml:space="preserve">NO </v>
      </c>
      <c r="I1250" s="584" t="str">
        <f>+VLOOKUP(Tabla3[[#This Row],[PATENTE]],'BASE DATOS'!F:K,6,0)</f>
        <v>NO</v>
      </c>
      <c r="J1250" s="584">
        <f>+VLOOKUP(Tabla3[[#This Row],[PATENTE]],'BASE DATOS'!F:L,7,0)</f>
        <v>2010</v>
      </c>
      <c r="K1250" s="619">
        <f>+VLOOKUP(Tabla3[[#This Row],[PATENTE]],'BASE DATOS'!F:M,8,0)</f>
        <v>15</v>
      </c>
    </row>
    <row r="1251" spans="1:11" hidden="1">
      <c r="A1251" s="578" t="s">
        <v>900</v>
      </c>
      <c r="B1251" s="584">
        <v>1</v>
      </c>
      <c r="C1251" s="589">
        <v>45999</v>
      </c>
      <c r="D1251" s="582">
        <f t="shared" si="47"/>
        <v>50</v>
      </c>
      <c r="E1251" s="618" t="str">
        <f>+VLOOKUP(Tabla3[[#This Row],[PATENTE]],'BASE DATOS'!F:G,2,0)</f>
        <v>TRANSPORTE GENA GAIA - IMO939</v>
      </c>
      <c r="F1251" s="584" t="str">
        <f>+VLOOKUP(Tabla3[[#This Row],[PATENTE]],'BASE DATOS'!F:H,3,0)</f>
        <v>24P</v>
      </c>
      <c r="G1251" s="584" t="str">
        <f>+VLOOKUP(Tabla3[[#This Row],[PATENTE]],'BASE DATOS'!F:I,4,0)</f>
        <v>Gestya</v>
      </c>
      <c r="H1251" s="584" t="str">
        <f>+VLOOKUP(Tabla3[[#This Row],[PATENTE]],'BASE DATOS'!F:J,5,0)</f>
        <v xml:space="preserve">NO </v>
      </c>
      <c r="I1251" s="584" t="str">
        <f>+VLOOKUP(Tabla3[[#This Row],[PATENTE]],'BASE DATOS'!F:K,6,0)</f>
        <v>NO</v>
      </c>
      <c r="J1251" s="584">
        <f>+VLOOKUP(Tabla3[[#This Row],[PATENTE]],'BASE DATOS'!F:L,7,0)</f>
        <v>2010</v>
      </c>
      <c r="K1251" s="619">
        <f>+VLOOKUP(Tabla3[[#This Row],[PATENTE]],'BASE DATOS'!F:M,8,0)</f>
        <v>15</v>
      </c>
    </row>
    <row r="1252" spans="1:11" hidden="1">
      <c r="A1252" s="581" t="s">
        <v>939</v>
      </c>
      <c r="B1252" s="587">
        <v>1</v>
      </c>
      <c r="C1252" s="589">
        <v>45999</v>
      </c>
      <c r="D1252" s="583">
        <f t="shared" si="47"/>
        <v>50</v>
      </c>
      <c r="E1252" s="620" t="str">
        <f>+VLOOKUP(Tabla3[[#This Row],[PATENTE]],'BASE DATOS'!F:G,2,0)</f>
        <v>TRANSP CLAUDIO BUSTOS - JOQ178</v>
      </c>
      <c r="F1252" s="587" t="str">
        <f>+VLOOKUP(Tabla3[[#This Row],[PATENTE]],'BASE DATOS'!F:H,3,0)</f>
        <v>1P</v>
      </c>
      <c r="G1252" s="587" t="str">
        <f>+VLOOKUP(Tabla3[[#This Row],[PATENTE]],'BASE DATOS'!F:I,4,0)</f>
        <v>NO</v>
      </c>
      <c r="H1252" s="587" t="str">
        <f>+VLOOKUP(Tabla3[[#This Row],[PATENTE]],'BASE DATOS'!F:J,5,0)</f>
        <v>SI</v>
      </c>
      <c r="I1252" s="587" t="str">
        <f>+VLOOKUP(Tabla3[[#This Row],[PATENTE]],'BASE DATOS'!F:K,6,0)</f>
        <v>NO</v>
      </c>
      <c r="J1252" s="587">
        <f>+VLOOKUP(Tabla3[[#This Row],[PATENTE]],'BASE DATOS'!F:L,7,0)</f>
        <v>2010</v>
      </c>
      <c r="K1252" s="621">
        <f>+VLOOKUP(Tabla3[[#This Row],[PATENTE]],'BASE DATOS'!F:M,8,0)</f>
        <v>15</v>
      </c>
    </row>
    <row r="1253" spans="1:11" hidden="1">
      <c r="A1253" s="578" t="s">
        <v>932</v>
      </c>
      <c r="B1253" s="584">
        <v>7</v>
      </c>
      <c r="C1253" s="589">
        <v>46006</v>
      </c>
      <c r="D1253" s="582">
        <f t="shared" ref="D1253:D1284" si="48">+WEEKNUM(C1253)</f>
        <v>51</v>
      </c>
      <c r="E1253" s="618" t="str">
        <f>+VLOOKUP(Tabla3[[#This Row],[PATENTE]],'BASE DATOS'!F:G,2,0)</f>
        <v xml:space="preserve">TRANSP MAVIR - EFL176 </v>
      </c>
      <c r="F1253" s="584" t="str">
        <f>+VLOOKUP(Tabla3[[#This Row],[PATENTE]],'BASE DATOS'!F:H,3,0)</f>
        <v>12P</v>
      </c>
      <c r="G1253" s="584" t="str">
        <f>+VLOOKUP(Tabla3[[#This Row],[PATENTE]],'BASE DATOS'!F:I,4,0)</f>
        <v>SI</v>
      </c>
      <c r="H1253" s="584" t="str">
        <f>+VLOOKUP(Tabla3[[#This Row],[PATENTE]],'BASE DATOS'!F:J,5,0)</f>
        <v>SI</v>
      </c>
      <c r="I1253" s="584" t="str">
        <f>+VLOOKUP(Tabla3[[#This Row],[PATENTE]],'BASE DATOS'!F:K,6,0)</f>
        <v>NO</v>
      </c>
      <c r="J1253" s="584">
        <f>+VLOOKUP(Tabla3[[#This Row],[PATENTE]],'BASE DATOS'!F:L,7,0)</f>
        <v>1998</v>
      </c>
      <c r="K1253" s="619">
        <f>+VLOOKUP(Tabla3[[#This Row],[PATENTE]],'BASE DATOS'!F:M,8,0)</f>
        <v>27</v>
      </c>
    </row>
    <row r="1254" spans="1:11" hidden="1">
      <c r="A1254" s="578" t="s">
        <v>877</v>
      </c>
      <c r="B1254" s="584">
        <v>6</v>
      </c>
      <c r="C1254" s="589">
        <v>46006</v>
      </c>
      <c r="D1254" s="582">
        <f t="shared" si="48"/>
        <v>51</v>
      </c>
      <c r="E1254" s="618" t="str">
        <f>+VLOOKUP(Tabla3[[#This Row],[PATENTE]],'BASE DATOS'!F:G,2,0)</f>
        <v>TRANSP MAIDANA CARLOS - OWA126</v>
      </c>
      <c r="F1254" s="584" t="str">
        <f>+VLOOKUP(Tabla3[[#This Row],[PATENTE]],'BASE DATOS'!F:H,3,0)</f>
        <v>4P</v>
      </c>
      <c r="G1254" s="584" t="str">
        <f>+VLOOKUP(Tabla3[[#This Row],[PATENTE]],'BASE DATOS'!F:I,4,0)</f>
        <v>SI</v>
      </c>
      <c r="H1254" s="584" t="str">
        <f>+VLOOKUP(Tabla3[[#This Row],[PATENTE]],'BASE DATOS'!F:J,5,0)</f>
        <v>SI</v>
      </c>
      <c r="I1254" s="584" t="str">
        <f>+VLOOKUP(Tabla3[[#This Row],[PATENTE]],'BASE DATOS'!F:K,6,0)</f>
        <v>NO</v>
      </c>
      <c r="J1254" s="584">
        <f>+VLOOKUP(Tabla3[[#This Row],[PATENTE]],'BASE DATOS'!F:L,7,0)</f>
        <v>2015</v>
      </c>
      <c r="K1254" s="619">
        <f>+VLOOKUP(Tabla3[[#This Row],[PATENTE]],'BASE DATOS'!F:M,8,0)</f>
        <v>10</v>
      </c>
    </row>
    <row r="1255" spans="1:11" hidden="1">
      <c r="A1255" s="578" t="s">
        <v>898</v>
      </c>
      <c r="B1255" s="584">
        <v>6</v>
      </c>
      <c r="C1255" s="589">
        <v>46006</v>
      </c>
      <c r="D1255" s="582">
        <f t="shared" si="48"/>
        <v>51</v>
      </c>
      <c r="E1255" s="618" t="str">
        <f>+VLOOKUP(Tabla3[[#This Row],[PATENTE]],'BASE DATOS'!F:G,2,0)</f>
        <v xml:space="preserve">TRANSP BERMEJO - NXP980 </v>
      </c>
      <c r="F1255" s="584" t="str">
        <f>+VLOOKUP(Tabla3[[#This Row],[PATENTE]],'BASE DATOS'!F:H,3,0)</f>
        <v>12P</v>
      </c>
      <c r="G1255" s="584" t="str">
        <f>+VLOOKUP(Tabla3[[#This Row],[PATENTE]],'BASE DATOS'!F:I,4,0)</f>
        <v>SI</v>
      </c>
      <c r="H1255" s="584" t="str">
        <f>+VLOOKUP(Tabla3[[#This Row],[PATENTE]],'BASE DATOS'!F:J,5,0)</f>
        <v>SI</v>
      </c>
      <c r="I1255" s="584" t="str">
        <f>+VLOOKUP(Tabla3[[#This Row],[PATENTE]],'BASE DATOS'!F:K,6,0)</f>
        <v>SI</v>
      </c>
      <c r="J1255" s="584">
        <f>+VLOOKUP(Tabla3[[#This Row],[PATENTE]],'BASE DATOS'!F:L,7,0)</f>
        <v>2015</v>
      </c>
      <c r="K1255" s="619">
        <f>+VLOOKUP(Tabla3[[#This Row],[PATENTE]],'BASE DATOS'!F:M,8,0)</f>
        <v>10</v>
      </c>
    </row>
    <row r="1256" spans="1:11" hidden="1">
      <c r="A1256" s="578" t="s">
        <v>902</v>
      </c>
      <c r="B1256" s="584">
        <v>6</v>
      </c>
      <c r="C1256" s="589">
        <v>46006</v>
      </c>
      <c r="D1256" s="582">
        <f t="shared" si="48"/>
        <v>51</v>
      </c>
      <c r="E1256" s="618" t="str">
        <f>+VLOOKUP(Tabla3[[#This Row],[PATENTE]],'BASE DATOS'!F:G,2,0)</f>
        <v xml:space="preserve">GUSTAVO CERQUETTA - KZA644 </v>
      </c>
      <c r="F1256" s="584" t="str">
        <f>+VLOOKUP(Tabla3[[#This Row],[PATENTE]],'BASE DATOS'!F:H,3,0)</f>
        <v>2P</v>
      </c>
      <c r="G1256" s="584" t="str">
        <f>+VLOOKUP(Tabla3[[#This Row],[PATENTE]],'BASE DATOS'!F:I,4,0)</f>
        <v>NO</v>
      </c>
      <c r="H1256" s="584" t="str">
        <f>+VLOOKUP(Tabla3[[#This Row],[PATENTE]],'BASE DATOS'!F:J,5,0)</f>
        <v>SI</v>
      </c>
      <c r="I1256" s="584" t="str">
        <f>+VLOOKUP(Tabla3[[#This Row],[PATENTE]],'BASE DATOS'!F:K,6,0)</f>
        <v>NO</v>
      </c>
      <c r="J1256" s="584">
        <f>+VLOOKUP(Tabla3[[#This Row],[PATENTE]],'BASE DATOS'!F:L,7,0)</f>
        <v>2012</v>
      </c>
      <c r="K1256" s="619">
        <f>+VLOOKUP(Tabla3[[#This Row],[PATENTE]],'BASE DATOS'!F:M,8,0)</f>
        <v>13</v>
      </c>
    </row>
    <row r="1257" spans="1:11" hidden="1">
      <c r="A1257" s="578" t="s">
        <v>882</v>
      </c>
      <c r="B1257" s="584">
        <v>6</v>
      </c>
      <c r="C1257" s="589">
        <v>46006</v>
      </c>
      <c r="D1257" s="582">
        <f t="shared" si="48"/>
        <v>51</v>
      </c>
      <c r="E1257" s="618" t="str">
        <f>+VLOOKUP(Tabla3[[#This Row],[PATENTE]],'BASE DATOS'!F:G,2,0)</f>
        <v xml:space="preserve">MAÑAS - JWN279 </v>
      </c>
      <c r="F1257" s="584" t="str">
        <f>+VLOOKUP(Tabla3[[#This Row],[PATENTE]],'BASE DATOS'!F:H,3,0)</f>
        <v>7P</v>
      </c>
      <c r="G1257" s="584" t="str">
        <f>+VLOOKUP(Tabla3[[#This Row],[PATENTE]],'BASE DATOS'!F:I,4,0)</f>
        <v>SI</v>
      </c>
      <c r="H1257" s="584" t="str">
        <f>+VLOOKUP(Tabla3[[#This Row],[PATENTE]],'BASE DATOS'!F:J,5,0)</f>
        <v>SI</v>
      </c>
      <c r="I1257" s="584" t="str">
        <f>+VLOOKUP(Tabla3[[#This Row],[PATENTE]],'BASE DATOS'!F:K,6,0)</f>
        <v>NO</v>
      </c>
      <c r="J1257" s="584">
        <f>+VLOOKUP(Tabla3[[#This Row],[PATENTE]],'BASE DATOS'!F:L,7,0)</f>
        <v>2011</v>
      </c>
      <c r="K1257" s="619">
        <f>+VLOOKUP(Tabla3[[#This Row],[PATENTE]],'BASE DATOS'!F:M,8,0)</f>
        <v>14</v>
      </c>
    </row>
    <row r="1258" spans="1:11" hidden="1">
      <c r="A1258" s="578" t="s">
        <v>889</v>
      </c>
      <c r="B1258" s="584">
        <v>6</v>
      </c>
      <c r="C1258" s="589">
        <v>46006</v>
      </c>
      <c r="D1258" s="582">
        <f t="shared" si="48"/>
        <v>51</v>
      </c>
      <c r="E1258" s="618" t="str">
        <f>+VLOOKUP(Tabla3[[#This Row],[PATENTE]],'BASE DATOS'!F:G,2,0)</f>
        <v xml:space="preserve">COLO - HAW164 </v>
      </c>
      <c r="F1258" s="584" t="str">
        <f>+VLOOKUP(Tabla3[[#This Row],[PATENTE]],'BASE DATOS'!F:H,3,0)</f>
        <v>6P</v>
      </c>
      <c r="G1258" s="584" t="str">
        <f>+VLOOKUP(Tabla3[[#This Row],[PATENTE]],'BASE DATOS'!F:I,4,0)</f>
        <v>NO</v>
      </c>
      <c r="H1258" s="584" t="str">
        <f>+VLOOKUP(Tabla3[[#This Row],[PATENTE]],'BASE DATOS'!F:J,5,0)</f>
        <v>SI</v>
      </c>
      <c r="I1258" s="584" t="str">
        <f>+VLOOKUP(Tabla3[[#This Row],[PATENTE]],'BASE DATOS'!F:K,6,0)</f>
        <v>NO</v>
      </c>
      <c r="J1258" s="584">
        <f>+VLOOKUP(Tabla3[[#This Row],[PATENTE]],'BASE DATOS'!F:L,7,0)</f>
        <v>2009</v>
      </c>
      <c r="K1258" s="619">
        <f>+VLOOKUP(Tabla3[[#This Row],[PATENTE]],'BASE DATOS'!F:M,8,0)</f>
        <v>16</v>
      </c>
    </row>
    <row r="1259" spans="1:11" hidden="1">
      <c r="A1259" s="578" t="s">
        <v>904</v>
      </c>
      <c r="B1259" s="584">
        <v>6</v>
      </c>
      <c r="C1259" s="589">
        <v>46006</v>
      </c>
      <c r="D1259" s="582">
        <f t="shared" si="48"/>
        <v>51</v>
      </c>
      <c r="E1259" s="618" t="str">
        <f>+VLOOKUP(Tabla3[[#This Row],[PATENTE]],'BASE DATOS'!F:G,2,0)</f>
        <v xml:space="preserve">ENRIQUE ROLLINO - DFO656 </v>
      </c>
      <c r="F1259" s="584" t="str">
        <f>+VLOOKUP(Tabla3[[#This Row],[PATENTE]],'BASE DATOS'!F:H,3,0)</f>
        <v>6P</v>
      </c>
      <c r="G1259" s="584" t="str">
        <f>+VLOOKUP(Tabla3[[#This Row],[PATENTE]],'BASE DATOS'!F:I,4,0)</f>
        <v>SI</v>
      </c>
      <c r="H1259" s="584" t="str">
        <f>+VLOOKUP(Tabla3[[#This Row],[PATENTE]],'BASE DATOS'!F:J,5,0)</f>
        <v>SI</v>
      </c>
      <c r="I1259" s="584" t="str">
        <f>+VLOOKUP(Tabla3[[#This Row],[PATENTE]],'BASE DATOS'!F:K,6,0)</f>
        <v>NO</v>
      </c>
      <c r="J1259" s="584">
        <f>+VLOOKUP(Tabla3[[#This Row],[PATENTE]],'BASE DATOS'!F:L,7,0)</f>
        <v>2000</v>
      </c>
      <c r="K1259" s="619">
        <f>+VLOOKUP(Tabla3[[#This Row],[PATENTE]],'BASE DATOS'!F:M,8,0)</f>
        <v>25</v>
      </c>
    </row>
    <row r="1260" spans="1:11" hidden="1">
      <c r="A1260" s="578" t="s">
        <v>887</v>
      </c>
      <c r="B1260" s="584">
        <v>6</v>
      </c>
      <c r="C1260" s="589">
        <v>46006</v>
      </c>
      <c r="D1260" s="582">
        <f t="shared" si="48"/>
        <v>51</v>
      </c>
      <c r="E1260" s="618" t="str">
        <f>+VLOOKUP(Tabla3[[#This Row],[PATENTE]],'BASE DATOS'!F:G,2,0)</f>
        <v>ENRIQUE ROLLINO - BXB394</v>
      </c>
      <c r="F1260" s="584" t="str">
        <f>+VLOOKUP(Tabla3[[#This Row],[PATENTE]],'BASE DATOS'!F:H,3,0)</f>
        <v>2P</v>
      </c>
      <c r="G1260" s="584" t="str">
        <f>+VLOOKUP(Tabla3[[#This Row],[PATENTE]],'BASE DATOS'!F:I,4,0)</f>
        <v>SI</v>
      </c>
      <c r="H1260" s="584" t="str">
        <f>+VLOOKUP(Tabla3[[#This Row],[PATENTE]],'BASE DATOS'!F:J,5,0)</f>
        <v>SI</v>
      </c>
      <c r="I1260" s="584" t="str">
        <f>+VLOOKUP(Tabla3[[#This Row],[PATENTE]],'BASE DATOS'!F:K,6,0)</f>
        <v>NO</v>
      </c>
      <c r="J1260" s="584">
        <f>+VLOOKUP(Tabla3[[#This Row],[PATENTE]],'BASE DATOS'!F:L,7,0)</f>
        <v>1998</v>
      </c>
      <c r="K1260" s="619">
        <f>+VLOOKUP(Tabla3[[#This Row],[PATENTE]],'BASE DATOS'!F:M,8,0)</f>
        <v>27</v>
      </c>
    </row>
    <row r="1261" spans="1:11" hidden="1">
      <c r="A1261" s="578" t="s">
        <v>895</v>
      </c>
      <c r="B1261" s="584">
        <v>6</v>
      </c>
      <c r="C1261" s="589">
        <v>46006</v>
      </c>
      <c r="D1261" s="582">
        <f t="shared" si="48"/>
        <v>51</v>
      </c>
      <c r="E1261" s="618" t="str">
        <f>+VLOOKUP(Tabla3[[#This Row],[PATENTE]],'BASE DATOS'!F:G,2,0)</f>
        <v xml:space="preserve">TRANSPORTE MICAELA </v>
      </c>
      <c r="F1261" s="584" t="str">
        <f>+VLOOKUP(Tabla3[[#This Row],[PATENTE]],'BASE DATOS'!F:H,3,0)</f>
        <v>2P</v>
      </c>
      <c r="G1261" s="584" t="str">
        <f>+VLOOKUP(Tabla3[[#This Row],[PATENTE]],'BASE DATOS'!F:I,4,0)</f>
        <v>NO</v>
      </c>
      <c r="H1261" s="584" t="str">
        <f>+VLOOKUP(Tabla3[[#This Row],[PATENTE]],'BASE DATOS'!F:J,5,0)</f>
        <v>SI</v>
      </c>
      <c r="I1261" s="584" t="str">
        <f>+VLOOKUP(Tabla3[[#This Row],[PATENTE]],'BASE DATOS'!F:K,6,0)</f>
        <v>NO</v>
      </c>
      <c r="J1261" s="584">
        <f>+VLOOKUP(Tabla3[[#This Row],[PATENTE]],'BASE DATOS'!F:L,7,0)</f>
        <v>2024</v>
      </c>
      <c r="K1261" s="619">
        <f>+VLOOKUP(Tabla3[[#This Row],[PATENTE]],'BASE DATOS'!F:M,8,0)</f>
        <v>1</v>
      </c>
    </row>
    <row r="1262" spans="1:11" hidden="1">
      <c r="A1262" s="578" t="s">
        <v>922</v>
      </c>
      <c r="B1262" s="584">
        <v>6</v>
      </c>
      <c r="C1262" s="589">
        <v>46006</v>
      </c>
      <c r="D1262" s="582">
        <f t="shared" si="48"/>
        <v>51</v>
      </c>
      <c r="E1262" s="618" t="str">
        <f>+VLOOKUP(Tabla3[[#This Row],[PATENTE]],'BASE DATOS'!F:G,2,0)</f>
        <v>LAURIA (SERVAL) - AF342ZY</v>
      </c>
      <c r="F1262" s="584" t="str">
        <f>+VLOOKUP(Tabla3[[#This Row],[PATENTE]],'BASE DATOS'!F:H,3,0)</f>
        <v>8P</v>
      </c>
      <c r="G1262" s="584" t="str">
        <f>+VLOOKUP(Tabla3[[#This Row],[PATENTE]],'BASE DATOS'!F:I,4,0)</f>
        <v>SI</v>
      </c>
      <c r="H1262" s="584" t="str">
        <f>+VLOOKUP(Tabla3[[#This Row],[PATENTE]],'BASE DATOS'!F:J,5,0)</f>
        <v>SI</v>
      </c>
      <c r="I1262" s="584" t="str">
        <f>+VLOOKUP(Tabla3[[#This Row],[PATENTE]],'BASE DATOS'!F:K,6,0)</f>
        <v>NO</v>
      </c>
      <c r="J1262" s="584">
        <f>+VLOOKUP(Tabla3[[#This Row],[PATENTE]],'BASE DATOS'!F:L,7,0)</f>
        <v>2022</v>
      </c>
      <c r="K1262" s="619">
        <f>+VLOOKUP(Tabla3[[#This Row],[PATENTE]],'BASE DATOS'!F:M,8,0)</f>
        <v>3</v>
      </c>
    </row>
    <row r="1263" spans="1:11" hidden="1">
      <c r="A1263" s="578" t="s">
        <v>905</v>
      </c>
      <c r="B1263" s="584">
        <v>6</v>
      </c>
      <c r="C1263" s="589">
        <v>46006</v>
      </c>
      <c r="D1263" s="582">
        <f t="shared" si="48"/>
        <v>51</v>
      </c>
      <c r="E1263" s="618" t="str">
        <f>+VLOOKUP(Tabla3[[#This Row],[PATENTE]],'BASE DATOS'!F:G,2,0)</f>
        <v xml:space="preserve">J RIMOLDI - AB312SE </v>
      </c>
      <c r="F1263" s="584" t="str">
        <f>+VLOOKUP(Tabla3[[#This Row],[PATENTE]],'BASE DATOS'!F:H,3,0)</f>
        <v>8P</v>
      </c>
      <c r="G1263" s="584" t="str">
        <f>+VLOOKUP(Tabla3[[#This Row],[PATENTE]],'BASE DATOS'!F:I,4,0)</f>
        <v>SI</v>
      </c>
      <c r="H1263" s="584" t="str">
        <f>+VLOOKUP(Tabla3[[#This Row],[PATENTE]],'BASE DATOS'!F:J,5,0)</f>
        <v>SI</v>
      </c>
      <c r="I1263" s="584" t="str">
        <f>+VLOOKUP(Tabla3[[#This Row],[PATENTE]],'BASE DATOS'!F:K,6,0)</f>
        <v>NO</v>
      </c>
      <c r="J1263" s="584">
        <f>+VLOOKUP(Tabla3[[#This Row],[PATENTE]],'BASE DATOS'!F:L,7,0)</f>
        <v>2017</v>
      </c>
      <c r="K1263" s="619">
        <f>+VLOOKUP(Tabla3[[#This Row],[PATENTE]],'BASE DATOS'!F:M,8,0)</f>
        <v>8</v>
      </c>
    </row>
    <row r="1264" spans="1:11" hidden="1">
      <c r="A1264" s="578" t="s">
        <v>884</v>
      </c>
      <c r="B1264" s="584">
        <v>6</v>
      </c>
      <c r="C1264" s="589">
        <v>46006</v>
      </c>
      <c r="D1264" s="582">
        <f t="shared" si="48"/>
        <v>51</v>
      </c>
      <c r="E1264" s="618" t="str">
        <f>+VLOOKUP(Tabla3[[#This Row],[PATENTE]],'BASE DATOS'!F:G,2,0)</f>
        <v xml:space="preserve">LAURIA (SERVAL) - AB233IT </v>
      </c>
      <c r="F1264" s="584" t="str">
        <f>+VLOOKUP(Tabla3[[#This Row],[PATENTE]],'BASE DATOS'!F:H,3,0)</f>
        <v>6P</v>
      </c>
      <c r="G1264" s="584" t="str">
        <f>+VLOOKUP(Tabla3[[#This Row],[PATENTE]],'BASE DATOS'!F:I,4,0)</f>
        <v>SI</v>
      </c>
      <c r="H1264" s="584" t="str">
        <f>+VLOOKUP(Tabla3[[#This Row],[PATENTE]],'BASE DATOS'!F:J,5,0)</f>
        <v>SI</v>
      </c>
      <c r="I1264" s="584" t="str">
        <f>+VLOOKUP(Tabla3[[#This Row],[PATENTE]],'BASE DATOS'!F:K,6,0)</f>
        <v>NO</v>
      </c>
      <c r="J1264" s="584">
        <f>+VLOOKUP(Tabla3[[#This Row],[PATENTE]],'BASE DATOS'!F:L,7,0)</f>
        <v>2017</v>
      </c>
      <c r="K1264" s="619">
        <f>+VLOOKUP(Tabla3[[#This Row],[PATENTE]],'BASE DATOS'!F:M,8,0)</f>
        <v>8</v>
      </c>
    </row>
    <row r="1265" spans="1:11" hidden="1">
      <c r="A1265" s="578" t="s">
        <v>886</v>
      </c>
      <c r="B1265" s="584">
        <v>5</v>
      </c>
      <c r="C1265" s="589">
        <v>46006</v>
      </c>
      <c r="D1265" s="582">
        <f t="shared" si="48"/>
        <v>51</v>
      </c>
      <c r="E1265" s="618" t="str">
        <f>+VLOOKUP(Tabla3[[#This Row],[PATENTE]],'BASE DATOS'!F:G,2,0)</f>
        <v xml:space="preserve">TRANSP LAGOS - NOO925 </v>
      </c>
      <c r="F1265" s="584" t="str">
        <f>+VLOOKUP(Tabla3[[#This Row],[PATENTE]],'BASE DATOS'!F:H,3,0)</f>
        <v>8P</v>
      </c>
      <c r="G1265" s="584" t="str">
        <f>+VLOOKUP(Tabla3[[#This Row],[PATENTE]],'BASE DATOS'!F:I,4,0)</f>
        <v>SI</v>
      </c>
      <c r="H1265" s="584" t="str">
        <f>+VLOOKUP(Tabla3[[#This Row],[PATENTE]],'BASE DATOS'!F:J,5,0)</f>
        <v>SI</v>
      </c>
      <c r="I1265" s="584" t="str">
        <f>+VLOOKUP(Tabla3[[#This Row],[PATENTE]],'BASE DATOS'!F:K,6,0)</f>
        <v>NO</v>
      </c>
      <c r="J1265" s="584">
        <f>+VLOOKUP(Tabla3[[#This Row],[PATENTE]],'BASE DATOS'!F:L,7,0)</f>
        <v>2014</v>
      </c>
      <c r="K1265" s="619">
        <f>+VLOOKUP(Tabla3[[#This Row],[PATENTE]],'BASE DATOS'!F:M,8,0)</f>
        <v>11</v>
      </c>
    </row>
    <row r="1266" spans="1:11" hidden="1">
      <c r="A1266" s="578" t="s">
        <v>909</v>
      </c>
      <c r="B1266" s="584">
        <v>5</v>
      </c>
      <c r="C1266" s="589">
        <v>46006</v>
      </c>
      <c r="D1266" s="582">
        <f t="shared" si="48"/>
        <v>51</v>
      </c>
      <c r="E1266" s="618" t="str">
        <f>+VLOOKUP(Tabla3[[#This Row],[PATENTE]],'BASE DATOS'!F:G,2,0)</f>
        <v xml:space="preserve">CRISTIAN MOYA - NHR055 </v>
      </c>
      <c r="F1266" s="584" t="str">
        <f>+VLOOKUP(Tabla3[[#This Row],[PATENTE]],'BASE DATOS'!F:H,3,0)</f>
        <v>6P</v>
      </c>
      <c r="G1266" s="584" t="str">
        <f>+VLOOKUP(Tabla3[[#This Row],[PATENTE]],'BASE DATOS'!F:I,4,0)</f>
        <v>SI</v>
      </c>
      <c r="H1266" s="584" t="str">
        <f>+VLOOKUP(Tabla3[[#This Row],[PATENTE]],'BASE DATOS'!F:J,5,0)</f>
        <v>SI</v>
      </c>
      <c r="I1266" s="584" t="str">
        <f>+VLOOKUP(Tabla3[[#This Row],[PATENTE]],'BASE DATOS'!F:K,6,0)</f>
        <v>NO</v>
      </c>
      <c r="J1266" s="584">
        <f>+VLOOKUP(Tabla3[[#This Row],[PATENTE]],'BASE DATOS'!F:L,7,0)</f>
        <v>2013</v>
      </c>
      <c r="K1266" s="619">
        <f>+VLOOKUP(Tabla3[[#This Row],[PATENTE]],'BASE DATOS'!F:M,8,0)</f>
        <v>12</v>
      </c>
    </row>
    <row r="1267" spans="1:11" hidden="1">
      <c r="A1267" s="578" t="s">
        <v>920</v>
      </c>
      <c r="B1267" s="584">
        <v>5</v>
      </c>
      <c r="C1267" s="589">
        <v>46006</v>
      </c>
      <c r="D1267" s="582">
        <f t="shared" si="48"/>
        <v>51</v>
      </c>
      <c r="E1267" s="618" t="str">
        <f>+VLOOKUP(Tabla3[[#This Row],[PATENTE]],'BASE DATOS'!F:G,2,0)</f>
        <v xml:space="preserve">TRANSP LAGOS - MRV682 </v>
      </c>
      <c r="F1267" s="584" t="str">
        <f>+VLOOKUP(Tabla3[[#This Row],[PATENTE]],'BASE DATOS'!F:H,3,0)</f>
        <v>8P</v>
      </c>
      <c r="G1267" s="584" t="str">
        <f>+VLOOKUP(Tabla3[[#This Row],[PATENTE]],'BASE DATOS'!F:I,4,0)</f>
        <v>SI</v>
      </c>
      <c r="H1267" s="584" t="str">
        <f>+VLOOKUP(Tabla3[[#This Row],[PATENTE]],'BASE DATOS'!F:J,5,0)</f>
        <v>SI</v>
      </c>
      <c r="I1267" s="584" t="str">
        <f>+VLOOKUP(Tabla3[[#This Row],[PATENTE]],'BASE DATOS'!F:K,6,0)</f>
        <v>NO</v>
      </c>
      <c r="J1267" s="584">
        <f>+VLOOKUP(Tabla3[[#This Row],[PATENTE]],'BASE DATOS'!F:L,7,0)</f>
        <v>2013</v>
      </c>
      <c r="K1267" s="619">
        <f>+VLOOKUP(Tabla3[[#This Row],[PATENTE]],'BASE DATOS'!F:M,8,0)</f>
        <v>12</v>
      </c>
    </row>
    <row r="1268" spans="1:11" hidden="1">
      <c r="A1268" s="578" t="s">
        <v>913</v>
      </c>
      <c r="B1268" s="584">
        <v>5</v>
      </c>
      <c r="C1268" s="589">
        <v>46006</v>
      </c>
      <c r="D1268" s="582">
        <f t="shared" si="48"/>
        <v>51</v>
      </c>
      <c r="E1268" s="618" t="str">
        <f>+VLOOKUP(Tabla3[[#This Row],[PATENTE]],'BASE DATOS'!F:G,2,0)</f>
        <v xml:space="preserve">TRANSP DON NENO - KSI803 </v>
      </c>
      <c r="F1268" s="584" t="str">
        <f>+VLOOKUP(Tabla3[[#This Row],[PATENTE]],'BASE DATOS'!F:H,3,0)</f>
        <v>2P</v>
      </c>
      <c r="G1268" s="584" t="str">
        <f>+VLOOKUP(Tabla3[[#This Row],[PATENTE]],'BASE DATOS'!F:I,4,0)</f>
        <v>SI</v>
      </c>
      <c r="H1268" s="584" t="str">
        <f>+VLOOKUP(Tabla3[[#This Row],[PATENTE]],'BASE DATOS'!F:J,5,0)</f>
        <v>SI</v>
      </c>
      <c r="I1268" s="584" t="str">
        <f>+VLOOKUP(Tabla3[[#This Row],[PATENTE]],'BASE DATOS'!F:K,6,0)</f>
        <v>NO</v>
      </c>
      <c r="J1268" s="584">
        <f>+VLOOKUP(Tabla3[[#This Row],[PATENTE]],'BASE DATOS'!F:L,7,0)</f>
        <v>2012</v>
      </c>
      <c r="K1268" s="619">
        <f>+VLOOKUP(Tabla3[[#This Row],[PATENTE]],'BASE DATOS'!F:M,8,0)</f>
        <v>13</v>
      </c>
    </row>
    <row r="1269" spans="1:11" hidden="1">
      <c r="A1269" s="578" t="s">
        <v>881</v>
      </c>
      <c r="B1269" s="584">
        <v>5</v>
      </c>
      <c r="C1269" s="589">
        <v>46006</v>
      </c>
      <c r="D1269" s="582">
        <f t="shared" si="48"/>
        <v>51</v>
      </c>
      <c r="E1269" s="618" t="str">
        <f>+VLOOKUP(Tabla3[[#This Row],[PATENTE]],'BASE DATOS'!F:G,2,0)</f>
        <v xml:space="preserve">MAÑAS NORBERTO - DUQ686 </v>
      </c>
      <c r="F1269" s="584" t="str">
        <f>+VLOOKUP(Tabla3[[#This Row],[PATENTE]],'BASE DATOS'!F:H,3,0)</f>
        <v>8P</v>
      </c>
      <c r="G1269" s="584" t="str">
        <f>+VLOOKUP(Tabla3[[#This Row],[PATENTE]],'BASE DATOS'!F:I,4,0)</f>
        <v>SI</v>
      </c>
      <c r="H1269" s="584" t="str">
        <f>+VLOOKUP(Tabla3[[#This Row],[PATENTE]],'BASE DATOS'!F:J,5,0)</f>
        <v>SI</v>
      </c>
      <c r="I1269" s="584" t="str">
        <f>+VLOOKUP(Tabla3[[#This Row],[PATENTE]],'BASE DATOS'!F:K,6,0)</f>
        <v>NO</v>
      </c>
      <c r="J1269" s="584">
        <f>+VLOOKUP(Tabla3[[#This Row],[PATENTE]],'BASE DATOS'!F:L,7,0)</f>
        <v>2001</v>
      </c>
      <c r="K1269" s="619">
        <f>+VLOOKUP(Tabla3[[#This Row],[PATENTE]],'BASE DATOS'!F:M,8,0)</f>
        <v>24</v>
      </c>
    </row>
    <row r="1270" spans="1:11" hidden="1">
      <c r="A1270" s="578" t="s">
        <v>907</v>
      </c>
      <c r="B1270" s="584">
        <v>5</v>
      </c>
      <c r="C1270" s="589">
        <v>46006</v>
      </c>
      <c r="D1270" s="582">
        <f t="shared" si="48"/>
        <v>51</v>
      </c>
      <c r="E1270" s="618" t="str">
        <f>+VLOOKUP(Tabla3[[#This Row],[PATENTE]],'BASE DATOS'!F:G,2,0)</f>
        <v xml:space="preserve">LAURIA (SERVAL) - AH583GW </v>
      </c>
      <c r="F1270" s="584" t="str">
        <f>+VLOOKUP(Tabla3[[#This Row],[PATENTE]],'BASE DATOS'!F:H,3,0)</f>
        <v>8P</v>
      </c>
      <c r="G1270" s="584" t="str">
        <f>+VLOOKUP(Tabla3[[#This Row],[PATENTE]],'BASE DATOS'!F:I,4,0)</f>
        <v>SI</v>
      </c>
      <c r="H1270" s="584" t="str">
        <f>+VLOOKUP(Tabla3[[#This Row],[PATENTE]],'BASE DATOS'!F:J,5,0)</f>
        <v>SI</v>
      </c>
      <c r="I1270" s="584" t="str">
        <f>+VLOOKUP(Tabla3[[#This Row],[PATENTE]],'BASE DATOS'!F:K,6,0)</f>
        <v>NO</v>
      </c>
      <c r="J1270" s="584">
        <f>+VLOOKUP(Tabla3[[#This Row],[PATENTE]],'BASE DATOS'!F:L,7,0)</f>
        <v>2025</v>
      </c>
      <c r="K1270" s="619">
        <f>+VLOOKUP(Tabla3[[#This Row],[PATENTE]],'BASE DATOS'!F:M,8,0)</f>
        <v>0</v>
      </c>
    </row>
    <row r="1271" spans="1:11" hidden="1">
      <c r="A1271" s="578" t="s">
        <v>880</v>
      </c>
      <c r="B1271" s="584">
        <v>5</v>
      </c>
      <c r="C1271" s="589">
        <v>46006</v>
      </c>
      <c r="D1271" s="582">
        <f t="shared" si="48"/>
        <v>51</v>
      </c>
      <c r="E1271" s="618" t="str">
        <f>+VLOOKUP(Tabla3[[#This Row],[PATENTE]],'BASE DATOS'!F:G,2,0)</f>
        <v xml:space="preserve">LAURIA (SERVAL) - AD575XK </v>
      </c>
      <c r="F1271" s="584" t="str">
        <f>+VLOOKUP(Tabla3[[#This Row],[PATENTE]],'BASE DATOS'!F:H,3,0)</f>
        <v>8P</v>
      </c>
      <c r="G1271" s="584" t="str">
        <f>+VLOOKUP(Tabla3[[#This Row],[PATENTE]],'BASE DATOS'!F:I,4,0)</f>
        <v>SI</v>
      </c>
      <c r="H1271" s="584" t="str">
        <f>+VLOOKUP(Tabla3[[#This Row],[PATENTE]],'BASE DATOS'!F:J,5,0)</f>
        <v>SI</v>
      </c>
      <c r="I1271" s="584" t="str">
        <f>+VLOOKUP(Tabla3[[#This Row],[PATENTE]],'BASE DATOS'!F:K,6,0)</f>
        <v>NO</v>
      </c>
      <c r="J1271" s="584">
        <f>+VLOOKUP(Tabla3[[#This Row],[PATENTE]],'BASE DATOS'!F:L,7,0)</f>
        <v>2019</v>
      </c>
      <c r="K1271" s="619">
        <f>+VLOOKUP(Tabla3[[#This Row],[PATENTE]],'BASE DATOS'!F:M,8,0)</f>
        <v>6</v>
      </c>
    </row>
    <row r="1272" spans="1:11" hidden="1">
      <c r="A1272" s="578" t="s">
        <v>888</v>
      </c>
      <c r="B1272" s="584">
        <v>5</v>
      </c>
      <c r="C1272" s="589">
        <v>46006</v>
      </c>
      <c r="D1272" s="582">
        <f t="shared" si="48"/>
        <v>51</v>
      </c>
      <c r="E1272" s="618" t="str">
        <f>+VLOOKUP(Tabla3[[#This Row],[PATENTE]],'BASE DATOS'!F:G,2,0)</f>
        <v xml:space="preserve">TRANSP FIRST CLASS - AD535UI </v>
      </c>
      <c r="F1272" s="584" t="str">
        <f>+VLOOKUP(Tabla3[[#This Row],[PATENTE]],'BASE DATOS'!F:H,3,0)</f>
        <v>6P</v>
      </c>
      <c r="G1272" s="584" t="str">
        <f>+VLOOKUP(Tabla3[[#This Row],[PATENTE]],'BASE DATOS'!F:I,4,0)</f>
        <v>SI</v>
      </c>
      <c r="H1272" s="584" t="str">
        <f>+VLOOKUP(Tabla3[[#This Row],[PATENTE]],'BASE DATOS'!F:J,5,0)</f>
        <v>SI</v>
      </c>
      <c r="I1272" s="584" t="str">
        <f>+VLOOKUP(Tabla3[[#This Row],[PATENTE]],'BASE DATOS'!F:K,6,0)</f>
        <v>NO</v>
      </c>
      <c r="J1272" s="584">
        <f>+VLOOKUP(Tabla3[[#This Row],[PATENTE]],'BASE DATOS'!F:L,7,0)</f>
        <v>2019</v>
      </c>
      <c r="K1272" s="619">
        <f>+VLOOKUP(Tabla3[[#This Row],[PATENTE]],'BASE DATOS'!F:M,8,0)</f>
        <v>6</v>
      </c>
    </row>
    <row r="1273" spans="1:11" hidden="1">
      <c r="A1273" s="578" t="s">
        <v>883</v>
      </c>
      <c r="B1273" s="584">
        <v>5</v>
      </c>
      <c r="C1273" s="589">
        <v>46006</v>
      </c>
      <c r="D1273" s="582">
        <f t="shared" si="48"/>
        <v>51</v>
      </c>
      <c r="E1273" s="618" t="str">
        <f>+VLOOKUP(Tabla3[[#This Row],[PATENTE]],'BASE DATOS'!F:G,2,0)</f>
        <v xml:space="preserve">PACHECO JULIO - ACI503 </v>
      </c>
      <c r="F1273" s="584" t="str">
        <f>+VLOOKUP(Tabla3[[#This Row],[PATENTE]],'BASE DATOS'!F:H,3,0)</f>
        <v>12P</v>
      </c>
      <c r="G1273" s="584" t="str">
        <f>+VLOOKUP(Tabla3[[#This Row],[PATENTE]],'BASE DATOS'!F:I,4,0)</f>
        <v>NO</v>
      </c>
      <c r="H1273" s="584" t="str">
        <f>+VLOOKUP(Tabla3[[#This Row],[PATENTE]],'BASE DATOS'!F:J,5,0)</f>
        <v>SI</v>
      </c>
      <c r="I1273" s="584" t="str">
        <f>+VLOOKUP(Tabla3[[#This Row],[PATENTE]],'BASE DATOS'!F:K,6,0)</f>
        <v>SI</v>
      </c>
      <c r="J1273" s="584">
        <f>+VLOOKUP(Tabla3[[#This Row],[PATENTE]],'BASE DATOS'!F:L,7,0)</f>
        <v>2000</v>
      </c>
      <c r="K1273" s="619">
        <f>+VLOOKUP(Tabla3[[#This Row],[PATENTE]],'BASE DATOS'!F:M,8,0)</f>
        <v>25</v>
      </c>
    </row>
    <row r="1274" spans="1:11" hidden="1">
      <c r="A1274" s="578" t="s">
        <v>912</v>
      </c>
      <c r="B1274" s="584">
        <v>5</v>
      </c>
      <c r="C1274" s="589">
        <v>46006</v>
      </c>
      <c r="D1274" s="582">
        <f t="shared" si="48"/>
        <v>51</v>
      </c>
      <c r="E1274" s="618" t="str">
        <f>+VLOOKUP(Tabla3[[#This Row],[PATENTE]],'BASE DATOS'!F:G,2,0)</f>
        <v xml:space="preserve">PACHECO JULIO - AC028WN </v>
      </c>
      <c r="F1274" s="584" t="str">
        <f>+VLOOKUP(Tabla3[[#This Row],[PATENTE]],'BASE DATOS'!F:H,3,0)</f>
        <v>8P</v>
      </c>
      <c r="G1274" s="584" t="str">
        <f>+VLOOKUP(Tabla3[[#This Row],[PATENTE]],'BASE DATOS'!F:I,4,0)</f>
        <v>SI</v>
      </c>
      <c r="H1274" s="584" t="str">
        <f>+VLOOKUP(Tabla3[[#This Row],[PATENTE]],'BASE DATOS'!F:J,5,0)</f>
        <v>SI</v>
      </c>
      <c r="I1274" s="584" t="str">
        <f>+VLOOKUP(Tabla3[[#This Row],[PATENTE]],'BASE DATOS'!F:K,6,0)</f>
        <v>SI</v>
      </c>
      <c r="J1274" s="584">
        <f>+VLOOKUP(Tabla3[[#This Row],[PATENTE]],'BASE DATOS'!F:L,7,0)</f>
        <v>2017</v>
      </c>
      <c r="K1274" s="619">
        <f>+VLOOKUP(Tabla3[[#This Row],[PATENTE]],'BASE DATOS'!F:M,8,0)</f>
        <v>8</v>
      </c>
    </row>
    <row r="1275" spans="1:11" hidden="1">
      <c r="A1275" s="578" t="s">
        <v>878</v>
      </c>
      <c r="B1275" s="584">
        <v>5</v>
      </c>
      <c r="C1275" s="589">
        <v>46006</v>
      </c>
      <c r="D1275" s="582">
        <f t="shared" si="48"/>
        <v>51</v>
      </c>
      <c r="E1275" s="618" t="str">
        <f>+VLOOKUP(Tabla3[[#This Row],[PATENTE]],'BASE DATOS'!F:G,2,0)</f>
        <v xml:space="preserve">PACHECO JULIO - AA854LY </v>
      </c>
      <c r="F1275" s="584" t="str">
        <f>+VLOOKUP(Tabla3[[#This Row],[PATENTE]],'BASE DATOS'!F:H,3,0)</f>
        <v>7P</v>
      </c>
      <c r="G1275" s="584" t="str">
        <f>+VLOOKUP(Tabla3[[#This Row],[PATENTE]],'BASE DATOS'!F:I,4,0)</f>
        <v>SI</v>
      </c>
      <c r="H1275" s="584" t="str">
        <f>+VLOOKUP(Tabla3[[#This Row],[PATENTE]],'BASE DATOS'!F:J,5,0)</f>
        <v>SI</v>
      </c>
      <c r="I1275" s="584" t="str">
        <f>+VLOOKUP(Tabla3[[#This Row],[PATENTE]],'BASE DATOS'!F:K,6,0)</f>
        <v>NO</v>
      </c>
      <c r="J1275" s="584">
        <f>+VLOOKUP(Tabla3[[#This Row],[PATENTE]],'BASE DATOS'!F:L,7,0)</f>
        <v>2016</v>
      </c>
      <c r="K1275" s="619">
        <f>+VLOOKUP(Tabla3[[#This Row],[PATENTE]],'BASE DATOS'!F:M,8,0)</f>
        <v>9</v>
      </c>
    </row>
    <row r="1276" spans="1:11" hidden="1">
      <c r="A1276" s="578" t="s">
        <v>936</v>
      </c>
      <c r="B1276" s="584">
        <v>5</v>
      </c>
      <c r="C1276" s="589">
        <v>46006</v>
      </c>
      <c r="D1276" s="582">
        <f t="shared" si="48"/>
        <v>51</v>
      </c>
      <c r="E1276" s="618" t="str">
        <f>+VLOOKUP(Tabla3[[#This Row],[PATENTE]],'BASE DATOS'!F:G,2,0)</f>
        <v>TRANSP YANINA  LUONGO - AA050HC</v>
      </c>
      <c r="F1276" s="584" t="str">
        <f>+VLOOKUP(Tabla3[[#This Row],[PATENTE]],'BASE DATOS'!F:H,3,0)</f>
        <v>1.5P</v>
      </c>
      <c r="G1276" s="584" t="str">
        <f>+VLOOKUP(Tabla3[[#This Row],[PATENTE]],'BASE DATOS'!F:I,4,0)</f>
        <v>NO</v>
      </c>
      <c r="H1276" s="584" t="str">
        <f>+VLOOKUP(Tabla3[[#This Row],[PATENTE]],'BASE DATOS'!F:J,5,0)</f>
        <v>SI</v>
      </c>
      <c r="I1276" s="584" t="str">
        <f>+VLOOKUP(Tabla3[[#This Row],[PATENTE]],'BASE DATOS'!F:K,6,0)</f>
        <v>NO</v>
      </c>
      <c r="J1276" s="584">
        <f>+VLOOKUP(Tabla3[[#This Row],[PATENTE]],'BASE DATOS'!F:L,7,0)</f>
        <v>2016</v>
      </c>
      <c r="K1276" s="619">
        <f>+VLOOKUP(Tabla3[[#This Row],[PATENTE]],'BASE DATOS'!F:M,8,0)</f>
        <v>9</v>
      </c>
    </row>
    <row r="1277" spans="1:11" hidden="1">
      <c r="A1277" s="578" t="s">
        <v>879</v>
      </c>
      <c r="B1277" s="584">
        <v>4</v>
      </c>
      <c r="C1277" s="589">
        <v>46006</v>
      </c>
      <c r="D1277" s="582">
        <f t="shared" si="48"/>
        <v>51</v>
      </c>
      <c r="E1277" s="618" t="str">
        <f>+VLOOKUP(Tabla3[[#This Row],[PATENTE]],'BASE DATOS'!F:G,2,0)</f>
        <v xml:space="preserve">TRANSP JP - OYP470 </v>
      </c>
      <c r="F1277" s="584" t="str">
        <f>+VLOOKUP(Tabla3[[#This Row],[PATENTE]],'BASE DATOS'!F:H,3,0)</f>
        <v>8P</v>
      </c>
      <c r="G1277" s="584" t="str">
        <f>+VLOOKUP(Tabla3[[#This Row],[PATENTE]],'BASE DATOS'!F:I,4,0)</f>
        <v>SI</v>
      </c>
      <c r="H1277" s="584" t="str">
        <f>+VLOOKUP(Tabla3[[#This Row],[PATENTE]],'BASE DATOS'!F:J,5,0)</f>
        <v>SI</v>
      </c>
      <c r="I1277" s="584" t="str">
        <f>+VLOOKUP(Tabla3[[#This Row],[PATENTE]],'BASE DATOS'!F:K,6,0)</f>
        <v>NO</v>
      </c>
      <c r="J1277" s="584">
        <f>+VLOOKUP(Tabla3[[#This Row],[PATENTE]],'BASE DATOS'!F:L,7,0)</f>
        <v>2011</v>
      </c>
      <c r="K1277" s="619">
        <f>+VLOOKUP(Tabla3[[#This Row],[PATENTE]],'BASE DATOS'!F:M,8,0)</f>
        <v>14</v>
      </c>
    </row>
    <row r="1278" spans="1:11" hidden="1">
      <c r="A1278" s="578" t="s">
        <v>925</v>
      </c>
      <c r="B1278" s="584">
        <v>4</v>
      </c>
      <c r="C1278" s="589">
        <v>46006</v>
      </c>
      <c r="D1278" s="582">
        <f t="shared" si="48"/>
        <v>51</v>
      </c>
      <c r="E1278" s="618" t="str">
        <f>+VLOOKUP(Tabla3[[#This Row],[PATENTE]],'BASE DATOS'!F:G,2,0)</f>
        <v xml:space="preserve">TRANSP MAIDANA FACUNDO - KOW745 </v>
      </c>
      <c r="F1278" s="584" t="str">
        <f>+VLOOKUP(Tabla3[[#This Row],[PATENTE]],'BASE DATOS'!F:H,3,0)</f>
        <v>8P</v>
      </c>
      <c r="G1278" s="584" t="str">
        <f>+VLOOKUP(Tabla3[[#This Row],[PATENTE]],'BASE DATOS'!F:I,4,0)</f>
        <v>SI</v>
      </c>
      <c r="H1278" s="584" t="str">
        <f>+VLOOKUP(Tabla3[[#This Row],[PATENTE]],'BASE DATOS'!F:J,5,0)</f>
        <v>SI</v>
      </c>
      <c r="I1278" s="584" t="str">
        <f>+VLOOKUP(Tabla3[[#This Row],[PATENTE]],'BASE DATOS'!F:K,6,0)</f>
        <v>NO</v>
      </c>
      <c r="J1278" s="584">
        <f>+VLOOKUP(Tabla3[[#This Row],[PATENTE]],'BASE DATOS'!F:L,7,0)</f>
        <v>2012</v>
      </c>
      <c r="K1278" s="619">
        <f>+VLOOKUP(Tabla3[[#This Row],[PATENTE]],'BASE DATOS'!F:M,8,0)</f>
        <v>13</v>
      </c>
    </row>
    <row r="1279" spans="1:11" hidden="1">
      <c r="A1279" s="578" t="s">
        <v>885</v>
      </c>
      <c r="B1279" s="584">
        <v>4</v>
      </c>
      <c r="C1279" s="589">
        <v>46006</v>
      </c>
      <c r="D1279" s="582">
        <f t="shared" si="48"/>
        <v>51</v>
      </c>
      <c r="E1279" s="618" t="str">
        <f>+VLOOKUP(Tabla3[[#This Row],[PATENTE]],'BASE DATOS'!F:G,2,0)</f>
        <v xml:space="preserve">TRANSP DON NENO - IES288 </v>
      </c>
      <c r="F1279" s="584" t="str">
        <f>+VLOOKUP(Tabla3[[#This Row],[PATENTE]],'BASE DATOS'!F:H,3,0)</f>
        <v>2P</v>
      </c>
      <c r="G1279" s="584" t="str">
        <f>+VLOOKUP(Tabla3[[#This Row],[PATENTE]],'BASE DATOS'!F:I,4,0)</f>
        <v>SI</v>
      </c>
      <c r="H1279" s="584" t="str">
        <f>+VLOOKUP(Tabla3[[#This Row],[PATENTE]],'BASE DATOS'!F:J,5,0)</f>
        <v>SI</v>
      </c>
      <c r="I1279" s="584" t="str">
        <f>+VLOOKUP(Tabla3[[#This Row],[PATENTE]],'BASE DATOS'!F:K,6,0)</f>
        <v>NO</v>
      </c>
      <c r="J1279" s="584">
        <f>+VLOOKUP(Tabla3[[#This Row],[PATENTE]],'BASE DATOS'!F:L,7,0)</f>
        <v>2009</v>
      </c>
      <c r="K1279" s="619">
        <f>+VLOOKUP(Tabla3[[#This Row],[PATENTE]],'BASE DATOS'!F:M,8,0)</f>
        <v>16</v>
      </c>
    </row>
    <row r="1280" spans="1:11" hidden="1">
      <c r="A1280" s="578" t="s">
        <v>891</v>
      </c>
      <c r="B1280" s="584">
        <v>4</v>
      </c>
      <c r="C1280" s="589">
        <v>46006</v>
      </c>
      <c r="D1280" s="582">
        <f t="shared" si="48"/>
        <v>51</v>
      </c>
      <c r="E1280" s="618" t="str">
        <f>+VLOOKUP(Tabla3[[#This Row],[PATENTE]],'BASE DATOS'!F:G,2,0)</f>
        <v xml:space="preserve">GANZINI HUGO - HHA085 </v>
      </c>
      <c r="F1280" s="584" t="str">
        <f>+VLOOKUP(Tabla3[[#This Row],[PATENTE]],'BASE DATOS'!F:H,3,0)</f>
        <v>2P</v>
      </c>
      <c r="G1280" s="584" t="str">
        <f>+VLOOKUP(Tabla3[[#This Row],[PATENTE]],'BASE DATOS'!F:I,4,0)</f>
        <v>SI</v>
      </c>
      <c r="H1280" s="584" t="str">
        <f>+VLOOKUP(Tabla3[[#This Row],[PATENTE]],'BASE DATOS'!F:J,5,0)</f>
        <v>SI</v>
      </c>
      <c r="I1280" s="584" t="str">
        <f>+VLOOKUP(Tabla3[[#This Row],[PATENTE]],'BASE DATOS'!F:K,6,0)</f>
        <v>NO</v>
      </c>
      <c r="J1280" s="584">
        <f>+VLOOKUP(Tabla3[[#This Row],[PATENTE]],'BASE DATOS'!F:L,7,0)</f>
        <v>2008</v>
      </c>
      <c r="K1280" s="619">
        <f>+VLOOKUP(Tabla3[[#This Row],[PATENTE]],'BASE DATOS'!F:M,8,0)</f>
        <v>17</v>
      </c>
    </row>
    <row r="1281" spans="1:11" hidden="1">
      <c r="A1281" s="578" t="s">
        <v>915</v>
      </c>
      <c r="B1281" s="584">
        <v>4</v>
      </c>
      <c r="C1281" s="589">
        <v>46006</v>
      </c>
      <c r="D1281" s="582">
        <f t="shared" si="48"/>
        <v>51</v>
      </c>
      <c r="E1281" s="618" t="str">
        <f>+VLOOKUP(Tabla3[[#This Row],[PATENTE]],'BASE DATOS'!F:G,2,0)</f>
        <v>TRANSPORTE GRACIELA - FPL254</v>
      </c>
      <c r="F1281" s="584" t="str">
        <f>+VLOOKUP(Tabla3[[#This Row],[PATENTE]],'BASE DATOS'!F:H,3,0)</f>
        <v>2P</v>
      </c>
      <c r="G1281" s="584" t="str">
        <f>+VLOOKUP(Tabla3[[#This Row],[PATENTE]],'BASE DATOS'!F:I,4,0)</f>
        <v>SI</v>
      </c>
      <c r="H1281" s="584" t="str">
        <f>+VLOOKUP(Tabla3[[#This Row],[PATENTE]],'BASE DATOS'!F:J,5,0)</f>
        <v>NO (CAMI)</v>
      </c>
      <c r="I1281" s="584" t="str">
        <f>+VLOOKUP(Tabla3[[#This Row],[PATENTE]],'BASE DATOS'!F:K,6,0)</f>
        <v>NO</v>
      </c>
      <c r="J1281" s="584">
        <f>+VLOOKUP(Tabla3[[#This Row],[PATENTE]],'BASE DATOS'!F:L,7,0)</f>
        <v>2012</v>
      </c>
      <c r="K1281" s="619">
        <f>+VLOOKUP(Tabla3[[#This Row],[PATENTE]],'BASE DATOS'!F:M,8,0)</f>
        <v>13</v>
      </c>
    </row>
    <row r="1282" spans="1:11" hidden="1">
      <c r="A1282" s="578" t="s">
        <v>916</v>
      </c>
      <c r="B1282" s="584">
        <v>4</v>
      </c>
      <c r="C1282" s="589">
        <v>46006</v>
      </c>
      <c r="D1282" s="582">
        <f t="shared" si="48"/>
        <v>51</v>
      </c>
      <c r="E1282" s="618" t="str">
        <f>+VLOOKUP(Tabla3[[#This Row],[PATENTE]],'BASE DATOS'!F:G,2,0)</f>
        <v xml:space="preserve">TRANSP MAIDANA CARLOS - EYP088 </v>
      </c>
      <c r="F1282" s="584" t="str">
        <f>+VLOOKUP(Tabla3[[#This Row],[PATENTE]],'BASE DATOS'!F:H,3,0)</f>
        <v>6P</v>
      </c>
      <c r="G1282" s="584" t="str">
        <f>+VLOOKUP(Tabla3[[#This Row],[PATENTE]],'BASE DATOS'!F:I,4,0)</f>
        <v>SI</v>
      </c>
      <c r="H1282" s="584" t="str">
        <f>+VLOOKUP(Tabla3[[#This Row],[PATENTE]],'BASE DATOS'!F:J,5,0)</f>
        <v>SI</v>
      </c>
      <c r="I1282" s="584" t="str">
        <f>+VLOOKUP(Tabla3[[#This Row],[PATENTE]],'BASE DATOS'!F:K,6,0)</f>
        <v>NO</v>
      </c>
      <c r="J1282" s="584">
        <f>+VLOOKUP(Tabla3[[#This Row],[PATENTE]],'BASE DATOS'!F:L,7,0)</f>
        <v>2006</v>
      </c>
      <c r="K1282" s="619">
        <f>+VLOOKUP(Tabla3[[#This Row],[PATENTE]],'BASE DATOS'!F:M,8,0)</f>
        <v>19</v>
      </c>
    </row>
    <row r="1283" spans="1:11" hidden="1">
      <c r="A1283" s="578" t="s">
        <v>903</v>
      </c>
      <c r="B1283" s="584">
        <v>4</v>
      </c>
      <c r="C1283" s="589">
        <v>46006</v>
      </c>
      <c r="D1283" s="582">
        <f t="shared" si="48"/>
        <v>51</v>
      </c>
      <c r="E1283" s="618" t="str">
        <f>+VLOOKUP(Tabla3[[#This Row],[PATENTE]],'BASE DATOS'!F:G,2,0)</f>
        <v xml:space="preserve">TRANSP CLAUDIO BUSTOS - AG243PE </v>
      </c>
      <c r="F1283" s="584" t="str">
        <f>+VLOOKUP(Tabla3[[#This Row],[PATENTE]],'BASE DATOS'!F:H,3,0)</f>
        <v>1P</v>
      </c>
      <c r="G1283" s="584" t="str">
        <f>+VLOOKUP(Tabla3[[#This Row],[PATENTE]],'BASE DATOS'!F:I,4,0)</f>
        <v>SI</v>
      </c>
      <c r="H1283" s="584" t="str">
        <f>+VLOOKUP(Tabla3[[#This Row],[PATENTE]],'BASE DATOS'!F:J,5,0)</f>
        <v>SI</v>
      </c>
      <c r="I1283" s="584" t="str">
        <f>+VLOOKUP(Tabla3[[#This Row],[PATENTE]],'BASE DATOS'!F:K,6,0)</f>
        <v>NO</v>
      </c>
      <c r="J1283" s="584">
        <f>+VLOOKUP(Tabla3[[#This Row],[PATENTE]],'BASE DATOS'!F:L,7,0)</f>
        <v>2024</v>
      </c>
      <c r="K1283" s="619">
        <f>+VLOOKUP(Tabla3[[#This Row],[PATENTE]],'BASE DATOS'!F:M,8,0)</f>
        <v>1</v>
      </c>
    </row>
    <row r="1284" spans="1:11" hidden="1">
      <c r="A1284" s="578" t="s">
        <v>939</v>
      </c>
      <c r="B1284" s="584">
        <v>3</v>
      </c>
      <c r="C1284" s="589">
        <v>46006</v>
      </c>
      <c r="D1284" s="582">
        <f t="shared" si="48"/>
        <v>51</v>
      </c>
      <c r="E1284" s="618" t="str">
        <f>+VLOOKUP(Tabla3[[#This Row],[PATENTE]],'BASE DATOS'!F:G,2,0)</f>
        <v>TRANSP CLAUDIO BUSTOS - JOQ178</v>
      </c>
      <c r="F1284" s="584" t="str">
        <f>+VLOOKUP(Tabla3[[#This Row],[PATENTE]],'BASE DATOS'!F:H,3,0)</f>
        <v>1P</v>
      </c>
      <c r="G1284" s="584" t="str">
        <f>+VLOOKUP(Tabla3[[#This Row],[PATENTE]],'BASE DATOS'!F:I,4,0)</f>
        <v>NO</v>
      </c>
      <c r="H1284" s="584" t="str">
        <f>+VLOOKUP(Tabla3[[#This Row],[PATENTE]],'BASE DATOS'!F:J,5,0)</f>
        <v>SI</v>
      </c>
      <c r="I1284" s="584" t="str">
        <f>+VLOOKUP(Tabla3[[#This Row],[PATENTE]],'BASE DATOS'!F:K,6,0)</f>
        <v>NO</v>
      </c>
      <c r="J1284" s="584">
        <f>+VLOOKUP(Tabla3[[#This Row],[PATENTE]],'BASE DATOS'!F:L,7,0)</f>
        <v>2010</v>
      </c>
      <c r="K1284" s="619">
        <f>+VLOOKUP(Tabla3[[#This Row],[PATENTE]],'BASE DATOS'!F:M,8,0)</f>
        <v>15</v>
      </c>
    </row>
    <row r="1285" spans="1:11" hidden="1">
      <c r="A1285" s="578" t="s">
        <v>901</v>
      </c>
      <c r="B1285" s="584">
        <v>3</v>
      </c>
      <c r="C1285" s="589">
        <v>46006</v>
      </c>
      <c r="D1285" s="582">
        <f t="shared" ref="D1285:D1309" si="49">+WEEKNUM(C1285)</f>
        <v>51</v>
      </c>
      <c r="E1285" s="618" t="str">
        <f>+VLOOKUP(Tabla3[[#This Row],[PATENTE]],'BASE DATOS'!F:G,2,0)</f>
        <v xml:space="preserve">TRANSPORTE  GRACIELA - IYE750 </v>
      </c>
      <c r="F1285" s="584" t="str">
        <f>+VLOOKUP(Tabla3[[#This Row],[PATENTE]],'BASE DATOS'!F:H,3,0)</f>
        <v>1P</v>
      </c>
      <c r="G1285" s="584" t="str">
        <f>+VLOOKUP(Tabla3[[#This Row],[PATENTE]],'BASE DATOS'!F:I,4,0)</f>
        <v>NO</v>
      </c>
      <c r="H1285" s="584" t="str">
        <f>+VLOOKUP(Tabla3[[#This Row],[PATENTE]],'BASE DATOS'!F:J,5,0)</f>
        <v>SI</v>
      </c>
      <c r="I1285" s="584" t="str">
        <f>+VLOOKUP(Tabla3[[#This Row],[PATENTE]],'BASE DATOS'!F:K,6,0)</f>
        <v>NO</v>
      </c>
      <c r="J1285" s="584">
        <f>+VLOOKUP(Tabla3[[#This Row],[PATENTE]],'BASE DATOS'!F:L,7,0)</f>
        <v>2009</v>
      </c>
      <c r="K1285" s="619">
        <f>+VLOOKUP(Tabla3[[#This Row],[PATENTE]],'BASE DATOS'!F:M,8,0)</f>
        <v>16</v>
      </c>
    </row>
    <row r="1286" spans="1:11" hidden="1">
      <c r="A1286" s="578" t="s">
        <v>933</v>
      </c>
      <c r="B1286" s="584">
        <v>3</v>
      </c>
      <c r="C1286" s="589">
        <v>46006</v>
      </c>
      <c r="D1286" s="582">
        <f t="shared" si="49"/>
        <v>51</v>
      </c>
      <c r="E1286" s="618" t="str">
        <f>+VLOOKUP(Tabla3[[#This Row],[PATENTE]],'BASE DATOS'!F:G,2,0)</f>
        <v xml:space="preserve">TRANSPORTE GENA GAIA - IKE806 </v>
      </c>
      <c r="F1286" s="584" t="str">
        <f>+VLOOKUP(Tabla3[[#This Row],[PATENTE]],'BASE DATOS'!F:H,3,0)</f>
        <v>24P</v>
      </c>
      <c r="G1286" s="584" t="str">
        <f>+VLOOKUP(Tabla3[[#This Row],[PATENTE]],'BASE DATOS'!F:I,4,0)</f>
        <v>Gestya</v>
      </c>
      <c r="H1286" s="584" t="str">
        <f>+VLOOKUP(Tabla3[[#This Row],[PATENTE]],'BASE DATOS'!F:J,5,0)</f>
        <v xml:space="preserve">NO </v>
      </c>
      <c r="I1286" s="584" t="str">
        <f>+VLOOKUP(Tabla3[[#This Row],[PATENTE]],'BASE DATOS'!F:K,6,0)</f>
        <v>NO</v>
      </c>
      <c r="J1286" s="584">
        <f>+VLOOKUP(Tabla3[[#This Row],[PATENTE]],'BASE DATOS'!F:L,7,0)</f>
        <v>2010</v>
      </c>
      <c r="K1286" s="619">
        <f>+VLOOKUP(Tabla3[[#This Row],[PATENTE]],'BASE DATOS'!F:M,8,0)</f>
        <v>15</v>
      </c>
    </row>
    <row r="1287" spans="1:11" hidden="1">
      <c r="A1287" s="578" t="s">
        <v>892</v>
      </c>
      <c r="B1287" s="584">
        <v>3</v>
      </c>
      <c r="C1287" s="589">
        <v>46006</v>
      </c>
      <c r="D1287" s="582">
        <f t="shared" si="49"/>
        <v>51</v>
      </c>
      <c r="E1287" s="618" t="str">
        <f>+VLOOKUP(Tabla3[[#This Row],[PATENTE]],'BASE DATOS'!F:G,2,0)</f>
        <v xml:space="preserve">COLO - FTL525 </v>
      </c>
      <c r="F1287" s="584" t="str">
        <f>+VLOOKUP(Tabla3[[#This Row],[PATENTE]],'BASE DATOS'!F:H,3,0)</f>
        <v>1P</v>
      </c>
      <c r="G1287" s="584" t="str">
        <f>+VLOOKUP(Tabla3[[#This Row],[PATENTE]],'BASE DATOS'!F:I,4,0)</f>
        <v>NO</v>
      </c>
      <c r="H1287" s="584" t="str">
        <f>+VLOOKUP(Tabla3[[#This Row],[PATENTE]],'BASE DATOS'!F:J,5,0)</f>
        <v>SI</v>
      </c>
      <c r="I1287" s="584" t="str">
        <f>+VLOOKUP(Tabla3[[#This Row],[PATENTE]],'BASE DATOS'!F:K,6,0)</f>
        <v>NO</v>
      </c>
      <c r="J1287" s="584">
        <f>+VLOOKUP(Tabla3[[#This Row],[PATENTE]],'BASE DATOS'!F:L,7,0)</f>
        <v>2008</v>
      </c>
      <c r="K1287" s="619">
        <f>+VLOOKUP(Tabla3[[#This Row],[PATENTE]],'BASE DATOS'!F:M,8,0)</f>
        <v>17</v>
      </c>
    </row>
    <row r="1288" spans="1:11" hidden="1">
      <c r="A1288" s="578" t="s">
        <v>926</v>
      </c>
      <c r="B1288" s="584">
        <v>3</v>
      </c>
      <c r="C1288" s="589">
        <v>46006</v>
      </c>
      <c r="D1288" s="582">
        <f t="shared" si="49"/>
        <v>51</v>
      </c>
      <c r="E1288" s="618" t="str">
        <f>+VLOOKUP(Tabla3[[#This Row],[PATENTE]],'BASE DATOS'!F:G,2,0)</f>
        <v xml:space="preserve">TRANSPORTE GENA GAIA - DUF042 </v>
      </c>
      <c r="F1288" s="584" t="str">
        <f>+VLOOKUP(Tabla3[[#This Row],[PATENTE]],'BASE DATOS'!F:H,3,0)</f>
        <v>24P</v>
      </c>
      <c r="G1288" s="584" t="str">
        <f>+VLOOKUP(Tabla3[[#This Row],[PATENTE]],'BASE DATOS'!F:I,4,0)</f>
        <v>Gestya</v>
      </c>
      <c r="H1288" s="584" t="str">
        <f>+VLOOKUP(Tabla3[[#This Row],[PATENTE]],'BASE DATOS'!F:J,5,0)</f>
        <v xml:space="preserve">NO </v>
      </c>
      <c r="I1288" s="584" t="str">
        <f>+VLOOKUP(Tabla3[[#This Row],[PATENTE]],'BASE DATOS'!F:K,6,0)</f>
        <v>NO</v>
      </c>
      <c r="J1288" s="584">
        <f>+VLOOKUP(Tabla3[[#This Row],[PATENTE]],'BASE DATOS'!F:L,7,0)</f>
        <v>2001</v>
      </c>
      <c r="K1288" s="619">
        <f>+VLOOKUP(Tabla3[[#This Row],[PATENTE]],'BASE DATOS'!F:M,8,0)</f>
        <v>24</v>
      </c>
    </row>
    <row r="1289" spans="1:11" hidden="1">
      <c r="A1289" s="578" t="s">
        <v>921</v>
      </c>
      <c r="B1289" s="584">
        <v>3</v>
      </c>
      <c r="C1289" s="589">
        <v>46006</v>
      </c>
      <c r="D1289" s="582">
        <f t="shared" si="49"/>
        <v>51</v>
      </c>
      <c r="E1289" s="618" t="str">
        <f>+VLOOKUP(Tabla3[[#This Row],[PATENTE]],'BASE DATOS'!F:G,2,0)</f>
        <v xml:space="preserve">MAÑAS NORBERTO - CQQ304 </v>
      </c>
      <c r="F1289" s="584" t="str">
        <f>+VLOOKUP(Tabla3[[#This Row],[PATENTE]],'BASE DATOS'!F:H,3,0)</f>
        <v>11P</v>
      </c>
      <c r="G1289" s="584" t="str">
        <f>+VLOOKUP(Tabla3[[#This Row],[PATENTE]],'BASE DATOS'!F:I,4,0)</f>
        <v>SI</v>
      </c>
      <c r="H1289" s="584" t="str">
        <f>+VLOOKUP(Tabla3[[#This Row],[PATENTE]],'BASE DATOS'!F:J,5,0)</f>
        <v>SI</v>
      </c>
      <c r="I1289" s="584" t="str">
        <f>+VLOOKUP(Tabla3[[#This Row],[PATENTE]],'BASE DATOS'!F:K,6,0)</f>
        <v>NO</v>
      </c>
      <c r="J1289" s="584">
        <f>+VLOOKUP(Tabla3[[#This Row],[PATENTE]],'BASE DATOS'!F:L,7,0)</f>
        <v>2000</v>
      </c>
      <c r="K1289" s="619">
        <f>+VLOOKUP(Tabla3[[#This Row],[PATENTE]],'BASE DATOS'!F:M,8,0)</f>
        <v>25</v>
      </c>
    </row>
    <row r="1290" spans="1:11" hidden="1">
      <c r="A1290" s="578" t="s">
        <v>899</v>
      </c>
      <c r="B1290" s="584">
        <v>3</v>
      </c>
      <c r="C1290" s="589">
        <v>46006</v>
      </c>
      <c r="D1290" s="582">
        <f t="shared" si="49"/>
        <v>51</v>
      </c>
      <c r="E1290" s="618" t="str">
        <f>+VLOOKUP(Tabla3[[#This Row],[PATENTE]],'BASE DATOS'!F:G,2,0)</f>
        <v xml:space="preserve">VAZQUEZ (TRV SRL) - AB176KN </v>
      </c>
      <c r="F1290" s="584" t="str">
        <f>+VLOOKUP(Tabla3[[#This Row],[PATENTE]],'BASE DATOS'!F:H,3,0)</f>
        <v>8P</v>
      </c>
      <c r="G1290" s="584" t="str">
        <f>+VLOOKUP(Tabla3[[#This Row],[PATENTE]],'BASE DATOS'!F:I,4,0)</f>
        <v>SI</v>
      </c>
      <c r="H1290" s="584" t="str">
        <f>+VLOOKUP(Tabla3[[#This Row],[PATENTE]],'BASE DATOS'!F:J,5,0)</f>
        <v>SI</v>
      </c>
      <c r="I1290" s="584" t="str">
        <f>+VLOOKUP(Tabla3[[#This Row],[PATENTE]],'BASE DATOS'!F:K,6,0)</f>
        <v>SI</v>
      </c>
      <c r="J1290" s="584">
        <f>+VLOOKUP(Tabla3[[#This Row],[PATENTE]],'BASE DATOS'!F:L,7,0)</f>
        <v>2017</v>
      </c>
      <c r="K1290" s="619">
        <f>+VLOOKUP(Tabla3[[#This Row],[PATENTE]],'BASE DATOS'!F:M,8,0)</f>
        <v>8</v>
      </c>
    </row>
    <row r="1291" spans="1:11" hidden="1">
      <c r="A1291" s="578" t="s">
        <v>896</v>
      </c>
      <c r="B1291" s="584">
        <v>2</v>
      </c>
      <c r="C1291" s="589">
        <v>46006</v>
      </c>
      <c r="D1291" s="582">
        <f t="shared" si="49"/>
        <v>51</v>
      </c>
      <c r="E1291" s="618" t="str">
        <f>+VLOOKUP(Tabla3[[#This Row],[PATENTE]],'BASE DATOS'!F:G,2,0)</f>
        <v xml:space="preserve">TRANSP MAVIR - RHQ609 </v>
      </c>
      <c r="F1291" s="584" t="str">
        <f>+VLOOKUP(Tabla3[[#This Row],[PATENTE]],'BASE DATOS'!F:H,3,0)</f>
        <v>10P</v>
      </c>
      <c r="G1291" s="584" t="str">
        <f>+VLOOKUP(Tabla3[[#This Row],[PATENTE]],'BASE DATOS'!F:I,4,0)</f>
        <v>NO</v>
      </c>
      <c r="H1291" s="584" t="str">
        <f>+VLOOKUP(Tabla3[[#This Row],[PATENTE]],'BASE DATOS'!F:J,5,0)</f>
        <v xml:space="preserve">NO </v>
      </c>
      <c r="I1291" s="584" t="str">
        <f>+VLOOKUP(Tabla3[[#This Row],[PATENTE]],'BASE DATOS'!F:K,6,0)</f>
        <v>NO</v>
      </c>
      <c r="J1291" s="584">
        <f>+VLOOKUP(Tabla3[[#This Row],[PATENTE]],'BASE DATOS'!F:L,7,0)</f>
        <v>1995</v>
      </c>
      <c r="K1291" s="619">
        <f>+VLOOKUP(Tabla3[[#This Row],[PATENTE]],'BASE DATOS'!F:M,8,0)</f>
        <v>30</v>
      </c>
    </row>
    <row r="1292" spans="1:11" hidden="1">
      <c r="A1292" s="578" t="s">
        <v>943</v>
      </c>
      <c r="B1292" s="584">
        <v>2</v>
      </c>
      <c r="C1292" s="589">
        <v>46006</v>
      </c>
      <c r="D1292" s="582">
        <f t="shared" si="49"/>
        <v>51</v>
      </c>
      <c r="E1292" s="618" t="str">
        <f>+VLOOKUP(Tabla3[[#This Row],[PATENTE]],'BASE DATOS'!F:G,2,0)</f>
        <v>GANZINI HUGO - KTJ626</v>
      </c>
      <c r="F1292" s="584" t="str">
        <f>+VLOOKUP(Tabla3[[#This Row],[PATENTE]],'BASE DATOS'!F:H,3,0)</f>
        <v>8P</v>
      </c>
      <c r="G1292" s="584" t="str">
        <f>+VLOOKUP(Tabla3[[#This Row],[PATENTE]],'BASE DATOS'!F:I,4,0)</f>
        <v>NO</v>
      </c>
      <c r="H1292" s="584" t="str">
        <f>+VLOOKUP(Tabla3[[#This Row],[PATENTE]],'BASE DATOS'!F:J,5,0)</f>
        <v xml:space="preserve">NO </v>
      </c>
      <c r="I1292" s="584" t="str">
        <f>+VLOOKUP(Tabla3[[#This Row],[PATENTE]],'BASE DATOS'!F:K,6,0)</f>
        <v>NO</v>
      </c>
      <c r="J1292" s="584">
        <f>+VLOOKUP(Tabla3[[#This Row],[PATENTE]],'BASE DATOS'!F:L,7,0)</f>
        <v>2011</v>
      </c>
      <c r="K1292" s="619">
        <f>+VLOOKUP(Tabla3[[#This Row],[PATENTE]],'BASE DATOS'!F:M,8,0)</f>
        <v>14</v>
      </c>
    </row>
    <row r="1293" spans="1:11" hidden="1">
      <c r="A1293" s="578" t="s">
        <v>900</v>
      </c>
      <c r="B1293" s="584">
        <v>2</v>
      </c>
      <c r="C1293" s="589">
        <v>46006</v>
      </c>
      <c r="D1293" s="582">
        <f t="shared" si="49"/>
        <v>51</v>
      </c>
      <c r="E1293" s="618" t="str">
        <f>+VLOOKUP(Tabla3[[#This Row],[PATENTE]],'BASE DATOS'!F:G,2,0)</f>
        <v>TRANSPORTE GENA GAIA - IMO939</v>
      </c>
      <c r="F1293" s="584" t="str">
        <f>+VLOOKUP(Tabla3[[#This Row],[PATENTE]],'BASE DATOS'!F:H,3,0)</f>
        <v>24P</v>
      </c>
      <c r="G1293" s="584" t="str">
        <f>+VLOOKUP(Tabla3[[#This Row],[PATENTE]],'BASE DATOS'!F:I,4,0)</f>
        <v>Gestya</v>
      </c>
      <c r="H1293" s="584" t="str">
        <f>+VLOOKUP(Tabla3[[#This Row],[PATENTE]],'BASE DATOS'!F:J,5,0)</f>
        <v xml:space="preserve">NO </v>
      </c>
      <c r="I1293" s="584" t="str">
        <f>+VLOOKUP(Tabla3[[#This Row],[PATENTE]],'BASE DATOS'!F:K,6,0)</f>
        <v>NO</v>
      </c>
      <c r="J1293" s="584">
        <f>+VLOOKUP(Tabla3[[#This Row],[PATENTE]],'BASE DATOS'!F:L,7,0)</f>
        <v>2010</v>
      </c>
      <c r="K1293" s="619">
        <f>+VLOOKUP(Tabla3[[#This Row],[PATENTE]],'BASE DATOS'!F:M,8,0)</f>
        <v>15</v>
      </c>
    </row>
    <row r="1294" spans="1:11" hidden="1">
      <c r="A1294" s="578" t="s">
        <v>924</v>
      </c>
      <c r="B1294" s="584">
        <v>2</v>
      </c>
      <c r="C1294" s="589">
        <v>46006</v>
      </c>
      <c r="D1294" s="582">
        <f t="shared" si="49"/>
        <v>51</v>
      </c>
      <c r="E1294" s="618" t="str">
        <f>+VLOOKUP(Tabla3[[#This Row],[PATENTE]],'BASE DATOS'!F:G,2,0)</f>
        <v>TRANSP MAVIR - HRZ429 -16P</v>
      </c>
      <c r="F1294" s="584" t="str">
        <f>+VLOOKUP(Tabla3[[#This Row],[PATENTE]],'BASE DATOS'!F:H,3,0)</f>
        <v>16P</v>
      </c>
      <c r="G1294" s="584" t="str">
        <f>+VLOOKUP(Tabla3[[#This Row],[PATENTE]],'BASE DATOS'!F:I,4,0)</f>
        <v>SI</v>
      </c>
      <c r="H1294" s="584" t="str">
        <f>+VLOOKUP(Tabla3[[#This Row],[PATENTE]],'BASE DATOS'!F:J,5,0)</f>
        <v xml:space="preserve">NO </v>
      </c>
      <c r="I1294" s="584" t="str">
        <f>+VLOOKUP(Tabla3[[#This Row],[PATENTE]],'BASE DATOS'!F:K,6,0)</f>
        <v>NO</v>
      </c>
      <c r="J1294" s="584">
        <f>+VLOOKUP(Tabla3[[#This Row],[PATENTE]],'BASE DATOS'!F:L,7,0)</f>
        <v>2008</v>
      </c>
      <c r="K1294" s="619">
        <f>+VLOOKUP(Tabla3[[#This Row],[PATENTE]],'BASE DATOS'!F:M,8,0)</f>
        <v>17</v>
      </c>
    </row>
    <row r="1295" spans="1:11" hidden="1">
      <c r="A1295" s="578" t="s">
        <v>946</v>
      </c>
      <c r="B1295" s="584">
        <v>2</v>
      </c>
      <c r="C1295" s="589">
        <v>46006</v>
      </c>
      <c r="D1295" s="582">
        <f t="shared" si="49"/>
        <v>51</v>
      </c>
      <c r="E1295" s="618" t="str">
        <f>+VLOOKUP(Tabla3[[#This Row],[PATENTE]],'BASE DATOS'!F:G,2,0)</f>
        <v xml:space="preserve">PRONTOMAR - DFE635 </v>
      </c>
      <c r="F1295" s="584" t="str">
        <f>+VLOOKUP(Tabla3[[#This Row],[PATENTE]],'BASE DATOS'!F:H,3,0)</f>
        <v>14P</v>
      </c>
      <c r="G1295" s="584" t="str">
        <f>+VLOOKUP(Tabla3[[#This Row],[PATENTE]],'BASE DATOS'!F:I,4,0)</f>
        <v>NO</v>
      </c>
      <c r="H1295" s="584" t="str">
        <f>+VLOOKUP(Tabla3[[#This Row],[PATENTE]],'BASE DATOS'!F:J,5,0)</f>
        <v xml:space="preserve">NO </v>
      </c>
      <c r="I1295" s="584" t="str">
        <f>+VLOOKUP(Tabla3[[#This Row],[PATENTE]],'BASE DATOS'!F:K,6,0)</f>
        <v>NO</v>
      </c>
      <c r="J1295" s="584">
        <f>+VLOOKUP(Tabla3[[#This Row],[PATENTE]],'BASE DATOS'!F:L,7,0)</f>
        <v>2000</v>
      </c>
      <c r="K1295" s="619">
        <f>+VLOOKUP(Tabla3[[#This Row],[PATENTE]],'BASE DATOS'!F:M,8,0)</f>
        <v>25</v>
      </c>
    </row>
    <row r="1296" spans="1:11" hidden="1">
      <c r="A1296" s="578" t="s">
        <v>890</v>
      </c>
      <c r="B1296" s="584">
        <v>2</v>
      </c>
      <c r="C1296" s="589">
        <v>46006</v>
      </c>
      <c r="D1296" s="582">
        <f t="shared" si="49"/>
        <v>51</v>
      </c>
      <c r="E1296" s="618" t="str">
        <f>+VLOOKUP(Tabla3[[#This Row],[PATENTE]],'BASE DATOS'!F:G,2,0)</f>
        <v xml:space="preserve">TRANSPORTE GRACIELA - AC040RO </v>
      </c>
      <c r="F1296" s="584" t="str">
        <f>+VLOOKUP(Tabla3[[#This Row],[PATENTE]],'BASE DATOS'!F:H,3,0)</f>
        <v>1P</v>
      </c>
      <c r="G1296" s="584" t="str">
        <f>+VLOOKUP(Tabla3[[#This Row],[PATENTE]],'BASE DATOS'!F:I,4,0)</f>
        <v>SI</v>
      </c>
      <c r="H1296" s="584" t="str">
        <f>+VLOOKUP(Tabla3[[#This Row],[PATENTE]],'BASE DATOS'!F:J,5,0)</f>
        <v>ACEPTA( VER CAMI)</v>
      </c>
      <c r="I1296" s="584" t="str">
        <f>+VLOOKUP(Tabla3[[#This Row],[PATENTE]],'BASE DATOS'!F:K,6,0)</f>
        <v>NO</v>
      </c>
      <c r="J1296" s="584">
        <f>+VLOOKUP(Tabla3[[#This Row],[PATENTE]],'BASE DATOS'!F:L,7,0)</f>
        <v>2017</v>
      </c>
      <c r="K1296" s="619">
        <f>+VLOOKUP(Tabla3[[#This Row],[PATENTE]],'BASE DATOS'!F:M,8,0)</f>
        <v>8</v>
      </c>
    </row>
    <row r="1297" spans="1:11" hidden="1">
      <c r="A1297" s="578" t="s">
        <v>919</v>
      </c>
      <c r="B1297" s="584">
        <v>2</v>
      </c>
      <c r="C1297" s="589">
        <v>46006</v>
      </c>
      <c r="D1297" s="582">
        <f t="shared" si="49"/>
        <v>51</v>
      </c>
      <c r="E1297" s="618" t="str">
        <f>+VLOOKUP(Tabla3[[#This Row],[PATENTE]],'BASE DATOS'!F:G,2,0)</f>
        <v xml:space="preserve">GUSTAVO CERQUETTA - AA427LT </v>
      </c>
      <c r="F1297" s="584" t="str">
        <f>+VLOOKUP(Tabla3[[#This Row],[PATENTE]],'BASE DATOS'!F:H,3,0)</f>
        <v>1P</v>
      </c>
      <c r="G1297" s="584" t="str">
        <f>+VLOOKUP(Tabla3[[#This Row],[PATENTE]],'BASE DATOS'!F:I,4,0)</f>
        <v>NO</v>
      </c>
      <c r="H1297" s="584" t="str">
        <f>+VLOOKUP(Tabla3[[#This Row],[PATENTE]],'BASE DATOS'!F:J,5,0)</f>
        <v>SI</v>
      </c>
      <c r="I1297" s="584" t="str">
        <f>+VLOOKUP(Tabla3[[#This Row],[PATENTE]],'BASE DATOS'!F:K,6,0)</f>
        <v>NO</v>
      </c>
      <c r="J1297" s="584">
        <f>+VLOOKUP(Tabla3[[#This Row],[PATENTE]],'BASE DATOS'!F:L,7,0)</f>
        <v>2016</v>
      </c>
      <c r="K1297" s="619">
        <f>+VLOOKUP(Tabla3[[#This Row],[PATENTE]],'BASE DATOS'!F:M,8,0)</f>
        <v>9</v>
      </c>
    </row>
    <row r="1298" spans="1:11" hidden="1">
      <c r="A1298" s="578" t="s">
        <v>947</v>
      </c>
      <c r="B1298" s="584">
        <v>1</v>
      </c>
      <c r="C1298" s="589">
        <v>46006</v>
      </c>
      <c r="D1298" s="582">
        <f t="shared" si="49"/>
        <v>51</v>
      </c>
      <c r="E1298" s="618" t="str">
        <f>+VLOOKUP(Tabla3[[#This Row],[PATENTE]],'BASE DATOS'!F:G,2,0)</f>
        <v xml:space="preserve">PRONTOMAR - WSC211 </v>
      </c>
      <c r="F1298" s="584" t="str">
        <f>+VLOOKUP(Tabla3[[#This Row],[PATENTE]],'BASE DATOS'!F:H,3,0)</f>
        <v>10P</v>
      </c>
      <c r="G1298" s="584" t="str">
        <f>+VLOOKUP(Tabla3[[#This Row],[PATENTE]],'BASE DATOS'!F:I,4,0)</f>
        <v>NO</v>
      </c>
      <c r="H1298" s="584" t="str">
        <f>+VLOOKUP(Tabla3[[#This Row],[PATENTE]],'BASE DATOS'!F:J,5,0)</f>
        <v xml:space="preserve">NO </v>
      </c>
      <c r="I1298" s="584" t="str">
        <f>+VLOOKUP(Tabla3[[#This Row],[PATENTE]],'BASE DATOS'!F:K,6,0)</f>
        <v>NO</v>
      </c>
      <c r="J1298" s="584">
        <f>+VLOOKUP(Tabla3[[#This Row],[PATENTE]],'BASE DATOS'!F:L,7,0)</f>
        <v>1992</v>
      </c>
      <c r="K1298" s="619">
        <f>+VLOOKUP(Tabla3[[#This Row],[PATENTE]],'BASE DATOS'!F:M,8,0)</f>
        <v>33</v>
      </c>
    </row>
    <row r="1299" spans="1:11" hidden="1">
      <c r="A1299" s="578" t="s">
        <v>948</v>
      </c>
      <c r="B1299" s="584">
        <v>1</v>
      </c>
      <c r="C1299" s="589">
        <v>46006</v>
      </c>
      <c r="D1299" s="582">
        <f t="shared" si="49"/>
        <v>51</v>
      </c>
      <c r="E1299" s="618" t="str">
        <f>+VLOOKUP(Tabla3[[#This Row],[PATENTE]],'BASE DATOS'!F:G,2,0)</f>
        <v>CAMILA - 24P RETIRA CLIENTE</v>
      </c>
      <c r="F1299" s="584" t="str">
        <f>+VLOOKUP(Tabla3[[#This Row],[PATENTE]],'BASE DATOS'!F:H,3,0)</f>
        <v>24P</v>
      </c>
      <c r="G1299" s="584" t="str">
        <f>+VLOOKUP(Tabla3[[#This Row],[PATENTE]],'BASE DATOS'!F:I,4,0)</f>
        <v>NO</v>
      </c>
      <c r="H1299" s="584" t="str">
        <f>+VLOOKUP(Tabla3[[#This Row],[PATENTE]],'BASE DATOS'!F:J,5,0)</f>
        <v xml:space="preserve">NO </v>
      </c>
      <c r="I1299" s="584" t="str">
        <f>+VLOOKUP(Tabla3[[#This Row],[PATENTE]],'BASE DATOS'!F:K,6,0)</f>
        <v>NO</v>
      </c>
      <c r="J1299" s="584">
        <f>+VLOOKUP(Tabla3[[#This Row],[PATENTE]],'BASE DATOS'!F:L,7,0)</f>
        <v>0</v>
      </c>
      <c r="K1299" s="619">
        <f>+VLOOKUP(Tabla3[[#This Row],[PATENTE]],'BASE DATOS'!F:M,8,0)</f>
        <v>2025</v>
      </c>
    </row>
    <row r="1300" spans="1:11" hidden="1">
      <c r="A1300" s="578" t="s">
        <v>930</v>
      </c>
      <c r="B1300" s="584">
        <v>1</v>
      </c>
      <c r="C1300" s="589">
        <v>46006</v>
      </c>
      <c r="D1300" s="582">
        <f t="shared" si="49"/>
        <v>51</v>
      </c>
      <c r="E1300" s="618" t="str">
        <f>+VLOOKUP(Tabla3[[#This Row],[PATENTE]],'BASE DATOS'!F:G,2,0)</f>
        <v xml:space="preserve">GANZINI HUGO - JJF375 </v>
      </c>
      <c r="F1300" s="584" t="str">
        <f>+VLOOKUP(Tabla3[[#This Row],[PATENTE]],'BASE DATOS'!F:H,3,0)</f>
        <v>14P</v>
      </c>
      <c r="G1300" s="584" t="str">
        <f>+VLOOKUP(Tabla3[[#This Row],[PATENTE]],'BASE DATOS'!F:I,4,0)</f>
        <v>SI</v>
      </c>
      <c r="H1300" s="584" t="str">
        <f>+VLOOKUP(Tabla3[[#This Row],[PATENTE]],'BASE DATOS'!F:J,5,0)</f>
        <v xml:space="preserve">NO </v>
      </c>
      <c r="I1300" s="584" t="str">
        <f>+VLOOKUP(Tabla3[[#This Row],[PATENTE]],'BASE DATOS'!F:K,6,0)</f>
        <v>NO</v>
      </c>
      <c r="J1300" s="584">
        <f>+VLOOKUP(Tabla3[[#This Row],[PATENTE]],'BASE DATOS'!F:L,7,0)</f>
        <v>2011</v>
      </c>
      <c r="K1300" s="619">
        <f>+VLOOKUP(Tabla3[[#This Row],[PATENTE]],'BASE DATOS'!F:M,8,0)</f>
        <v>14</v>
      </c>
    </row>
    <row r="1301" spans="1:11" hidden="1">
      <c r="A1301" s="578" t="s">
        <v>938</v>
      </c>
      <c r="B1301" s="584">
        <v>1</v>
      </c>
      <c r="C1301" s="589">
        <v>46006</v>
      </c>
      <c r="D1301" s="582">
        <f t="shared" si="49"/>
        <v>51</v>
      </c>
      <c r="E1301" s="618" t="str">
        <f>+VLOOKUP(Tabla3[[#This Row],[PATENTE]],'BASE DATOS'!F:G,2,0)</f>
        <v>TRANSPORTE GENA GAIA - GYH519  - 26P</v>
      </c>
      <c r="F1301" s="584" t="str">
        <f>+VLOOKUP(Tabla3[[#This Row],[PATENTE]],'BASE DATOS'!F:H,3,0)</f>
        <v>26P</v>
      </c>
      <c r="G1301" s="584" t="str">
        <f>+VLOOKUP(Tabla3[[#This Row],[PATENTE]],'BASE DATOS'!F:I,4,0)</f>
        <v>GESTYA</v>
      </c>
      <c r="H1301" s="584" t="str">
        <f>+VLOOKUP(Tabla3[[#This Row],[PATENTE]],'BASE DATOS'!F:J,5,0)</f>
        <v xml:space="preserve">NO </v>
      </c>
      <c r="I1301" s="584" t="str">
        <f>+VLOOKUP(Tabla3[[#This Row],[PATENTE]],'BASE DATOS'!F:K,6,0)</f>
        <v>NO</v>
      </c>
      <c r="J1301" s="584">
        <f>+VLOOKUP(Tabla3[[#This Row],[PATENTE]],'BASE DATOS'!F:L,7,0)</f>
        <v>2008</v>
      </c>
      <c r="K1301" s="619">
        <f>+VLOOKUP(Tabla3[[#This Row],[PATENTE]],'BASE DATOS'!F:M,8,0)</f>
        <v>17</v>
      </c>
    </row>
    <row r="1302" spans="1:11" hidden="1">
      <c r="A1302" s="578" t="s">
        <v>945</v>
      </c>
      <c r="B1302" s="584">
        <v>1</v>
      </c>
      <c r="C1302" s="589">
        <v>46006</v>
      </c>
      <c r="D1302" s="582">
        <f t="shared" si="49"/>
        <v>51</v>
      </c>
      <c r="E1302" s="618" t="str">
        <f>+VLOOKUP(Tabla3[[#This Row],[PATENTE]],'BASE DATOS'!F:G,2,0)</f>
        <v>GANZINI HUGO - FWZ500 - 4P</v>
      </c>
      <c r="F1302" s="584" t="str">
        <f>+VLOOKUP(Tabla3[[#This Row],[PATENTE]],'BASE DATOS'!F:H,3,0)</f>
        <v>4P</v>
      </c>
      <c r="G1302" s="584" t="str">
        <f>+VLOOKUP(Tabla3[[#This Row],[PATENTE]],'BASE DATOS'!F:I,4,0)</f>
        <v>NO</v>
      </c>
      <c r="H1302" s="584" t="str">
        <f>+VLOOKUP(Tabla3[[#This Row],[PATENTE]],'BASE DATOS'!F:J,5,0)</f>
        <v xml:space="preserve">NO </v>
      </c>
      <c r="I1302" s="584" t="str">
        <f>+VLOOKUP(Tabla3[[#This Row],[PATENTE]],'BASE DATOS'!F:K,6,0)</f>
        <v>NO</v>
      </c>
      <c r="J1302" s="584">
        <f>+VLOOKUP(Tabla3[[#This Row],[PATENTE]],'BASE DATOS'!F:L,7,0)</f>
        <v>2006</v>
      </c>
      <c r="K1302" s="619">
        <f>+VLOOKUP(Tabla3[[#This Row],[PATENTE]],'BASE DATOS'!F:M,8,0)</f>
        <v>19</v>
      </c>
    </row>
    <row r="1303" spans="1:11" hidden="1">
      <c r="A1303" s="578" t="s">
        <v>1128</v>
      </c>
      <c r="B1303" s="584">
        <v>1</v>
      </c>
      <c r="C1303" s="589">
        <v>46006</v>
      </c>
      <c r="D1303" s="582">
        <f t="shared" si="49"/>
        <v>51</v>
      </c>
      <c r="E1303" s="618" t="str">
        <f>+VLOOKUP(Tabla3[[#This Row],[PATENTE]],'BASE DATOS'!F:G,2,0)</f>
        <v xml:space="preserve">PRONTOMAR - EDW922 </v>
      </c>
      <c r="F1303" s="584" t="str">
        <f>+VLOOKUP(Tabla3[[#This Row],[PATENTE]],'BASE DATOS'!F:H,3,0)</f>
        <v>14P</v>
      </c>
      <c r="G1303" s="584" t="str">
        <f>+VLOOKUP(Tabla3[[#This Row],[PATENTE]],'BASE DATOS'!F:I,4,0)</f>
        <v>NO</v>
      </c>
      <c r="H1303" s="584" t="str">
        <f>+VLOOKUP(Tabla3[[#This Row],[PATENTE]],'BASE DATOS'!F:J,5,0)</f>
        <v xml:space="preserve">NO </v>
      </c>
      <c r="I1303" s="584" t="str">
        <f>+VLOOKUP(Tabla3[[#This Row],[PATENTE]],'BASE DATOS'!F:K,6,0)</f>
        <v>NO</v>
      </c>
      <c r="J1303" s="584">
        <f>+VLOOKUP(Tabla3[[#This Row],[PATENTE]],'BASE DATOS'!F:L,7,0)</f>
        <v>2003</v>
      </c>
      <c r="K1303" s="619">
        <f>+VLOOKUP(Tabla3[[#This Row],[PATENTE]],'BASE DATOS'!F:M,8,0)</f>
        <v>22</v>
      </c>
    </row>
    <row r="1304" spans="1:11" hidden="1">
      <c r="A1304" s="578" t="s">
        <v>918</v>
      </c>
      <c r="B1304" s="584">
        <v>1</v>
      </c>
      <c r="C1304" s="589">
        <v>46006</v>
      </c>
      <c r="D1304" s="582">
        <f t="shared" si="49"/>
        <v>51</v>
      </c>
      <c r="E1304" s="618" t="str">
        <f>+VLOOKUP(Tabla3[[#This Row],[PATENTE]],'BASE DATOS'!F:G,2,0)</f>
        <v>TRANSPORTE GENA GAIA - DGO507</v>
      </c>
      <c r="F1304" s="584" t="str">
        <f>+VLOOKUP(Tabla3[[#This Row],[PATENTE]],'BASE DATOS'!F:H,3,0)</f>
        <v>24P</v>
      </c>
      <c r="G1304" s="584" t="str">
        <f>+VLOOKUP(Tabla3[[#This Row],[PATENTE]],'BASE DATOS'!F:I,4,0)</f>
        <v>Gestya</v>
      </c>
      <c r="H1304" s="584" t="str">
        <f>+VLOOKUP(Tabla3[[#This Row],[PATENTE]],'BASE DATOS'!F:J,5,0)</f>
        <v xml:space="preserve">NO </v>
      </c>
      <c r="I1304" s="584" t="str">
        <f>+VLOOKUP(Tabla3[[#This Row],[PATENTE]],'BASE DATOS'!F:K,6,0)</f>
        <v>NO</v>
      </c>
      <c r="J1304" s="584">
        <f>+VLOOKUP(Tabla3[[#This Row],[PATENTE]],'BASE DATOS'!F:L,7,0)</f>
        <v>2001</v>
      </c>
      <c r="K1304" s="619">
        <f>+VLOOKUP(Tabla3[[#This Row],[PATENTE]],'BASE DATOS'!F:M,8,0)</f>
        <v>24</v>
      </c>
    </row>
    <row r="1305" spans="1:11" hidden="1">
      <c r="A1305" s="578" t="s">
        <v>917</v>
      </c>
      <c r="B1305" s="584">
        <v>1</v>
      </c>
      <c r="C1305" s="589">
        <v>46006</v>
      </c>
      <c r="D1305" s="582">
        <f t="shared" si="49"/>
        <v>51</v>
      </c>
      <c r="E1305" s="618" t="str">
        <f>+VLOOKUP(Tabla3[[#This Row],[PATENTE]],'BASE DATOS'!F:G,2,0)</f>
        <v xml:space="preserve">PRONTOMAR - BUZ242 </v>
      </c>
      <c r="F1305" s="584" t="str">
        <f>+VLOOKUP(Tabla3[[#This Row],[PATENTE]],'BASE DATOS'!F:H,3,0)</f>
        <v>16P</v>
      </c>
      <c r="G1305" s="584" t="str">
        <f>+VLOOKUP(Tabla3[[#This Row],[PATENTE]],'BASE DATOS'!F:I,4,0)</f>
        <v>NO</v>
      </c>
      <c r="H1305" s="584" t="str">
        <f>+VLOOKUP(Tabla3[[#This Row],[PATENTE]],'BASE DATOS'!F:J,5,0)</f>
        <v xml:space="preserve">NO </v>
      </c>
      <c r="I1305" s="584" t="str">
        <f>+VLOOKUP(Tabla3[[#This Row],[PATENTE]],'BASE DATOS'!F:K,6,0)</f>
        <v>NO</v>
      </c>
      <c r="J1305" s="584">
        <f>+VLOOKUP(Tabla3[[#This Row],[PATENTE]],'BASE DATOS'!F:L,7,0)</f>
        <v>1998</v>
      </c>
      <c r="K1305" s="619">
        <f>+VLOOKUP(Tabla3[[#This Row],[PATENTE]],'BASE DATOS'!F:M,8,0)</f>
        <v>27</v>
      </c>
    </row>
    <row r="1306" spans="1:11" hidden="1">
      <c r="A1306" s="578" t="s">
        <v>906</v>
      </c>
      <c r="B1306" s="584">
        <v>1</v>
      </c>
      <c r="C1306" s="589">
        <v>46006</v>
      </c>
      <c r="D1306" s="582">
        <f t="shared" si="49"/>
        <v>51</v>
      </c>
      <c r="E1306" s="618" t="str">
        <f>+VLOOKUP(Tabla3[[#This Row],[PATENTE]],'BASE DATOS'!F:G,2,0)</f>
        <v xml:space="preserve">VAZQUEZ (TRV SRL) - AD472GK </v>
      </c>
      <c r="F1306" s="584" t="str">
        <f>+VLOOKUP(Tabla3[[#This Row],[PATENTE]],'BASE DATOS'!F:H,3,0)</f>
        <v>8P</v>
      </c>
      <c r="G1306" s="584" t="str">
        <f>+VLOOKUP(Tabla3[[#This Row],[PATENTE]],'BASE DATOS'!F:I,4,0)</f>
        <v>NO</v>
      </c>
      <c r="H1306" s="584" t="str">
        <f>+VLOOKUP(Tabla3[[#This Row],[PATENTE]],'BASE DATOS'!F:J,5,0)</f>
        <v>NO</v>
      </c>
      <c r="I1306" s="584" t="str">
        <f>+VLOOKUP(Tabla3[[#This Row],[PATENTE]],'BASE DATOS'!F:K,6,0)</f>
        <v>SI</v>
      </c>
      <c r="J1306" s="584">
        <f>+VLOOKUP(Tabla3[[#This Row],[PATENTE]],'BASE DATOS'!F:L,7,0)</f>
        <v>2019</v>
      </c>
      <c r="K1306" s="619">
        <f>+VLOOKUP(Tabla3[[#This Row],[PATENTE]],'BASE DATOS'!F:M,8,0)</f>
        <v>6</v>
      </c>
    </row>
    <row r="1307" spans="1:11" hidden="1">
      <c r="A1307" s="578" t="s">
        <v>1162</v>
      </c>
      <c r="B1307" s="584">
        <v>1</v>
      </c>
      <c r="C1307" s="589">
        <v>46006</v>
      </c>
      <c r="D1307" s="582">
        <f t="shared" si="49"/>
        <v>51</v>
      </c>
      <c r="E1307" s="618" t="str">
        <f>+VLOOKUP(Tabla3[[#This Row],[PATENTE]],'BASE DATOS'!F:G,2,0)</f>
        <v>PERLETTI - 8P RETIRA CLIENTE</v>
      </c>
      <c r="F1307" s="584" t="str">
        <f>+VLOOKUP(Tabla3[[#This Row],[PATENTE]],'BASE DATOS'!F:H,3,0)</f>
        <v>8P</v>
      </c>
      <c r="G1307" s="584" t="str">
        <f>+VLOOKUP(Tabla3[[#This Row],[PATENTE]],'BASE DATOS'!F:I,4,0)</f>
        <v>NO</v>
      </c>
      <c r="H1307" s="584" t="str">
        <f>+VLOOKUP(Tabla3[[#This Row],[PATENTE]],'BASE DATOS'!F:J,5,0)</f>
        <v xml:space="preserve">NO </v>
      </c>
      <c r="I1307" s="584" t="str">
        <f>+VLOOKUP(Tabla3[[#This Row],[PATENTE]],'BASE DATOS'!F:K,6,0)</f>
        <v>NO</v>
      </c>
      <c r="J1307" s="584">
        <f>+VLOOKUP(Tabla3[[#This Row],[PATENTE]],'BASE DATOS'!F:L,7,0)</f>
        <v>0</v>
      </c>
      <c r="K1307" s="619">
        <f>+VLOOKUP(Tabla3[[#This Row],[PATENTE]],'BASE DATOS'!F:M,8,0)</f>
        <v>2025</v>
      </c>
    </row>
    <row r="1308" spans="1:11" hidden="1">
      <c r="A1308" s="578" t="s">
        <v>1133</v>
      </c>
      <c r="B1308" s="584">
        <v>1</v>
      </c>
      <c r="C1308" s="589">
        <v>46006</v>
      </c>
      <c r="D1308" s="582">
        <f t="shared" si="49"/>
        <v>51</v>
      </c>
      <c r="E1308" s="618" t="str">
        <f>+VLOOKUP(Tabla3[[#This Row],[PATENTE]],'BASE DATOS'!F:G,2,0)</f>
        <v xml:space="preserve">BELLIMAR SRL - AB787MT </v>
      </c>
      <c r="F1308" s="584" t="str">
        <f>+VLOOKUP(Tabla3[[#This Row],[PATENTE]],'BASE DATOS'!F:H,3,0)</f>
        <v>28P</v>
      </c>
      <c r="G1308" s="584" t="str">
        <f>+VLOOKUP(Tabla3[[#This Row],[PATENTE]],'BASE DATOS'!F:I,4,0)</f>
        <v>NO</v>
      </c>
      <c r="H1308" s="584" t="str">
        <f>+VLOOKUP(Tabla3[[#This Row],[PATENTE]],'BASE DATOS'!F:J,5,0)</f>
        <v xml:space="preserve">NO </v>
      </c>
      <c r="I1308" s="584" t="str">
        <f>+VLOOKUP(Tabla3[[#This Row],[PATENTE]],'BASE DATOS'!F:K,6,0)</f>
        <v>NO</v>
      </c>
      <c r="J1308" s="584">
        <f>+VLOOKUP(Tabla3[[#This Row],[PATENTE]],'BASE DATOS'!F:L,7,0)</f>
        <v>2017</v>
      </c>
      <c r="K1308" s="619">
        <f>+VLOOKUP(Tabla3[[#This Row],[PATENTE]],'BASE DATOS'!F:M,8,0)</f>
        <v>8</v>
      </c>
    </row>
    <row r="1309" spans="1:11" hidden="1">
      <c r="A1309" s="581" t="s">
        <v>940</v>
      </c>
      <c r="B1309" s="587">
        <v>1</v>
      </c>
      <c r="C1309" s="589">
        <v>46006</v>
      </c>
      <c r="D1309" s="583">
        <f t="shared" si="49"/>
        <v>51</v>
      </c>
      <c r="E1309" s="620" t="str">
        <f>+VLOOKUP(Tabla3[[#This Row],[PATENTE]],'BASE DATOS'!F:G,2,0)</f>
        <v xml:space="preserve">BELLIMAR SRL - AA358EQ </v>
      </c>
      <c r="F1309" s="587" t="str">
        <f>+VLOOKUP(Tabla3[[#This Row],[PATENTE]],'BASE DATOS'!F:H,3,0)</f>
        <v>8P</v>
      </c>
      <c r="G1309" s="587" t="str">
        <f>+VLOOKUP(Tabla3[[#This Row],[PATENTE]],'BASE DATOS'!F:I,4,0)</f>
        <v>NO</v>
      </c>
      <c r="H1309" s="587" t="str">
        <f>+VLOOKUP(Tabla3[[#This Row],[PATENTE]],'BASE DATOS'!F:J,5,0)</f>
        <v xml:space="preserve">NO </v>
      </c>
      <c r="I1309" s="587" t="str">
        <f>+VLOOKUP(Tabla3[[#This Row],[PATENTE]],'BASE DATOS'!F:K,6,0)</f>
        <v>NO</v>
      </c>
      <c r="J1309" s="587">
        <f>+VLOOKUP(Tabla3[[#This Row],[PATENTE]],'BASE DATOS'!F:L,7,0)</f>
        <v>2016</v>
      </c>
      <c r="K1309" s="621">
        <f>+VLOOKUP(Tabla3[[#This Row],[PATENTE]],'BASE DATOS'!F:M,8,0)</f>
        <v>9</v>
      </c>
    </row>
    <row r="1310" spans="1:11" hidden="1">
      <c r="A1310" s="581" t="s">
        <v>912</v>
      </c>
      <c r="B1310" s="587">
        <v>6</v>
      </c>
      <c r="C1310" s="590">
        <v>46013</v>
      </c>
      <c r="D1310" s="583">
        <f t="shared" ref="D1310:D1341" si="50">+WEEKNUM(C1310)</f>
        <v>52</v>
      </c>
      <c r="E1310" s="620" t="str">
        <f>+VLOOKUP(Tabla3[[#This Row],[PATENTE]],'BASE DATOS'!F:G,2,0)</f>
        <v xml:space="preserve">PACHECO JULIO - AC028WN </v>
      </c>
      <c r="F1310" s="587" t="str">
        <f>+VLOOKUP(Tabla3[[#This Row],[PATENTE]],'BASE DATOS'!F:H,3,0)</f>
        <v>8P</v>
      </c>
      <c r="G1310" s="587" t="str">
        <f>+VLOOKUP(Tabla3[[#This Row],[PATENTE]],'BASE DATOS'!F:I,4,0)</f>
        <v>SI</v>
      </c>
      <c r="H1310" s="587" t="str">
        <f>+VLOOKUP(Tabla3[[#This Row],[PATENTE]],'BASE DATOS'!F:J,5,0)</f>
        <v>SI</v>
      </c>
      <c r="I1310" s="587" t="str">
        <f>+VLOOKUP(Tabla3[[#This Row],[PATENTE]],'BASE DATOS'!F:K,6,0)</f>
        <v>SI</v>
      </c>
      <c r="J1310" s="587">
        <f>+VLOOKUP(Tabla3[[#This Row],[PATENTE]],'BASE DATOS'!F:L,7,0)</f>
        <v>2017</v>
      </c>
      <c r="K1310" s="621">
        <f>+VLOOKUP(Tabla3[[#This Row],[PATENTE]],'BASE DATOS'!F:M,8,0)</f>
        <v>8</v>
      </c>
    </row>
    <row r="1311" spans="1:11" hidden="1">
      <c r="A1311" s="578" t="s">
        <v>884</v>
      </c>
      <c r="B1311" s="584">
        <v>5</v>
      </c>
      <c r="C1311" s="1004">
        <v>46013</v>
      </c>
      <c r="D1311" s="582">
        <f t="shared" si="50"/>
        <v>52</v>
      </c>
      <c r="E1311" s="618" t="str">
        <f>+VLOOKUP(Tabla3[[#This Row],[PATENTE]],'BASE DATOS'!F:G,2,0)</f>
        <v xml:space="preserve">LAURIA (SERVAL) - AB233IT </v>
      </c>
      <c r="F1311" s="584" t="str">
        <f>+VLOOKUP(Tabla3[[#This Row],[PATENTE]],'BASE DATOS'!F:H,3,0)</f>
        <v>6P</v>
      </c>
      <c r="G1311" s="584" t="str">
        <f>+VLOOKUP(Tabla3[[#This Row],[PATENTE]],'BASE DATOS'!F:I,4,0)</f>
        <v>SI</v>
      </c>
      <c r="H1311" s="584" t="str">
        <f>+VLOOKUP(Tabla3[[#This Row],[PATENTE]],'BASE DATOS'!F:J,5,0)</f>
        <v>SI</v>
      </c>
      <c r="I1311" s="584" t="str">
        <f>+VLOOKUP(Tabla3[[#This Row],[PATENTE]],'BASE DATOS'!F:K,6,0)</f>
        <v>NO</v>
      </c>
      <c r="J1311" s="584">
        <f>+VLOOKUP(Tabla3[[#This Row],[PATENTE]],'BASE DATOS'!F:L,7,0)</f>
        <v>2017</v>
      </c>
      <c r="K1311" s="619">
        <f>+VLOOKUP(Tabla3[[#This Row],[PATENTE]],'BASE DATOS'!F:M,8,0)</f>
        <v>8</v>
      </c>
    </row>
    <row r="1312" spans="1:11" hidden="1">
      <c r="A1312" s="578" t="s">
        <v>905</v>
      </c>
      <c r="B1312" s="584">
        <v>5</v>
      </c>
      <c r="C1312" s="1004">
        <v>46013</v>
      </c>
      <c r="D1312" s="582">
        <f t="shared" si="50"/>
        <v>52</v>
      </c>
      <c r="E1312" s="618" t="str">
        <f>+VLOOKUP(Tabla3[[#This Row],[PATENTE]],'BASE DATOS'!F:G,2,0)</f>
        <v xml:space="preserve">J RIMOLDI - AB312SE </v>
      </c>
      <c r="F1312" s="584" t="str">
        <f>+VLOOKUP(Tabla3[[#This Row],[PATENTE]],'BASE DATOS'!F:H,3,0)</f>
        <v>8P</v>
      </c>
      <c r="G1312" s="584" t="str">
        <f>+VLOOKUP(Tabla3[[#This Row],[PATENTE]],'BASE DATOS'!F:I,4,0)</f>
        <v>SI</v>
      </c>
      <c r="H1312" s="584" t="str">
        <f>+VLOOKUP(Tabla3[[#This Row],[PATENTE]],'BASE DATOS'!F:J,5,0)</f>
        <v>SI</v>
      </c>
      <c r="I1312" s="584" t="str">
        <f>+VLOOKUP(Tabla3[[#This Row],[PATENTE]],'BASE DATOS'!F:K,6,0)</f>
        <v>NO</v>
      </c>
      <c r="J1312" s="584">
        <f>+VLOOKUP(Tabla3[[#This Row],[PATENTE]],'BASE DATOS'!F:L,7,0)</f>
        <v>2017</v>
      </c>
      <c r="K1312" s="619">
        <f>+VLOOKUP(Tabla3[[#This Row],[PATENTE]],'BASE DATOS'!F:M,8,0)</f>
        <v>8</v>
      </c>
    </row>
    <row r="1313" spans="1:11" hidden="1">
      <c r="A1313" s="578" t="s">
        <v>888</v>
      </c>
      <c r="B1313" s="584">
        <v>5</v>
      </c>
      <c r="C1313" s="1004">
        <v>46013</v>
      </c>
      <c r="D1313" s="582">
        <f t="shared" si="50"/>
        <v>52</v>
      </c>
      <c r="E1313" s="618" t="str">
        <f>+VLOOKUP(Tabla3[[#This Row],[PATENTE]],'BASE DATOS'!F:G,2,0)</f>
        <v xml:space="preserve">TRANSP FIRST CLASS - AD535UI </v>
      </c>
      <c r="F1313" s="584" t="str">
        <f>+VLOOKUP(Tabla3[[#This Row],[PATENTE]],'BASE DATOS'!F:H,3,0)</f>
        <v>6P</v>
      </c>
      <c r="G1313" s="584" t="str">
        <f>+VLOOKUP(Tabla3[[#This Row],[PATENTE]],'BASE DATOS'!F:I,4,0)</f>
        <v>SI</v>
      </c>
      <c r="H1313" s="584" t="str">
        <f>+VLOOKUP(Tabla3[[#This Row],[PATENTE]],'BASE DATOS'!F:J,5,0)</f>
        <v>SI</v>
      </c>
      <c r="I1313" s="584" t="str">
        <f>+VLOOKUP(Tabla3[[#This Row],[PATENTE]],'BASE DATOS'!F:K,6,0)</f>
        <v>NO</v>
      </c>
      <c r="J1313" s="584">
        <f>+VLOOKUP(Tabla3[[#This Row],[PATENTE]],'BASE DATOS'!F:L,7,0)</f>
        <v>2019</v>
      </c>
      <c r="K1313" s="619">
        <f>+VLOOKUP(Tabla3[[#This Row],[PATENTE]],'BASE DATOS'!F:M,8,0)</f>
        <v>6</v>
      </c>
    </row>
    <row r="1314" spans="1:11" hidden="1">
      <c r="A1314" s="578" t="s">
        <v>922</v>
      </c>
      <c r="B1314" s="584">
        <v>5</v>
      </c>
      <c r="C1314" s="1004">
        <v>46013</v>
      </c>
      <c r="D1314" s="582">
        <f t="shared" si="50"/>
        <v>52</v>
      </c>
      <c r="E1314" s="618" t="str">
        <f>+VLOOKUP(Tabla3[[#This Row],[PATENTE]],'BASE DATOS'!F:G,2,0)</f>
        <v>LAURIA (SERVAL) - AF342ZY</v>
      </c>
      <c r="F1314" s="584" t="str">
        <f>+VLOOKUP(Tabla3[[#This Row],[PATENTE]],'BASE DATOS'!F:H,3,0)</f>
        <v>8P</v>
      </c>
      <c r="G1314" s="584" t="str">
        <f>+VLOOKUP(Tabla3[[#This Row],[PATENTE]],'BASE DATOS'!F:I,4,0)</f>
        <v>SI</v>
      </c>
      <c r="H1314" s="584" t="str">
        <f>+VLOOKUP(Tabla3[[#This Row],[PATENTE]],'BASE DATOS'!F:J,5,0)</f>
        <v>SI</v>
      </c>
      <c r="I1314" s="584" t="str">
        <f>+VLOOKUP(Tabla3[[#This Row],[PATENTE]],'BASE DATOS'!F:K,6,0)</f>
        <v>NO</v>
      </c>
      <c r="J1314" s="584">
        <f>+VLOOKUP(Tabla3[[#This Row],[PATENTE]],'BASE DATOS'!F:L,7,0)</f>
        <v>2022</v>
      </c>
      <c r="K1314" s="619">
        <f>+VLOOKUP(Tabla3[[#This Row],[PATENTE]],'BASE DATOS'!F:M,8,0)</f>
        <v>3</v>
      </c>
    </row>
    <row r="1315" spans="1:11" hidden="1">
      <c r="A1315" s="578" t="s">
        <v>895</v>
      </c>
      <c r="B1315" s="584">
        <v>5</v>
      </c>
      <c r="C1315" s="1004">
        <v>46013</v>
      </c>
      <c r="D1315" s="582">
        <f t="shared" si="50"/>
        <v>52</v>
      </c>
      <c r="E1315" s="618" t="str">
        <f>+VLOOKUP(Tabla3[[#This Row],[PATENTE]],'BASE DATOS'!F:G,2,0)</f>
        <v xml:space="preserve">TRANSPORTE MICAELA </v>
      </c>
      <c r="F1315" s="584" t="str">
        <f>+VLOOKUP(Tabla3[[#This Row],[PATENTE]],'BASE DATOS'!F:H,3,0)</f>
        <v>2P</v>
      </c>
      <c r="G1315" s="584" t="str">
        <f>+VLOOKUP(Tabla3[[#This Row],[PATENTE]],'BASE DATOS'!F:I,4,0)</f>
        <v>NO</v>
      </c>
      <c r="H1315" s="584" t="str">
        <f>+VLOOKUP(Tabla3[[#This Row],[PATENTE]],'BASE DATOS'!F:J,5,0)</f>
        <v>SI</v>
      </c>
      <c r="I1315" s="584" t="str">
        <f>+VLOOKUP(Tabla3[[#This Row],[PATENTE]],'BASE DATOS'!F:K,6,0)</f>
        <v>NO</v>
      </c>
      <c r="J1315" s="584">
        <f>+VLOOKUP(Tabla3[[#This Row],[PATENTE]],'BASE DATOS'!F:L,7,0)</f>
        <v>2024</v>
      </c>
      <c r="K1315" s="619">
        <f>+VLOOKUP(Tabla3[[#This Row],[PATENTE]],'BASE DATOS'!F:M,8,0)</f>
        <v>1</v>
      </c>
    </row>
    <row r="1316" spans="1:11" hidden="1">
      <c r="A1316" s="578" t="s">
        <v>904</v>
      </c>
      <c r="B1316" s="584">
        <v>5</v>
      </c>
      <c r="C1316" s="1004">
        <v>46013</v>
      </c>
      <c r="D1316" s="582">
        <f t="shared" si="50"/>
        <v>52</v>
      </c>
      <c r="E1316" s="618" t="str">
        <f>+VLOOKUP(Tabla3[[#This Row],[PATENTE]],'BASE DATOS'!F:G,2,0)</f>
        <v xml:space="preserve">ENRIQUE ROLLINO - DFO656 </v>
      </c>
      <c r="F1316" s="584" t="str">
        <f>+VLOOKUP(Tabla3[[#This Row],[PATENTE]],'BASE DATOS'!F:H,3,0)</f>
        <v>6P</v>
      </c>
      <c r="G1316" s="584" t="str">
        <f>+VLOOKUP(Tabla3[[#This Row],[PATENTE]],'BASE DATOS'!F:I,4,0)</f>
        <v>SI</v>
      </c>
      <c r="H1316" s="584" t="str">
        <f>+VLOOKUP(Tabla3[[#This Row],[PATENTE]],'BASE DATOS'!F:J,5,0)</f>
        <v>SI</v>
      </c>
      <c r="I1316" s="584" t="str">
        <f>+VLOOKUP(Tabla3[[#This Row],[PATENTE]],'BASE DATOS'!F:K,6,0)</f>
        <v>NO</v>
      </c>
      <c r="J1316" s="584">
        <f>+VLOOKUP(Tabla3[[#This Row],[PATENTE]],'BASE DATOS'!F:L,7,0)</f>
        <v>2000</v>
      </c>
      <c r="K1316" s="619">
        <f>+VLOOKUP(Tabla3[[#This Row],[PATENTE]],'BASE DATOS'!F:M,8,0)</f>
        <v>25</v>
      </c>
    </row>
    <row r="1317" spans="1:11" hidden="1">
      <c r="A1317" s="578" t="s">
        <v>889</v>
      </c>
      <c r="B1317" s="584">
        <v>5</v>
      </c>
      <c r="C1317" s="1004">
        <v>46013</v>
      </c>
      <c r="D1317" s="582">
        <f t="shared" si="50"/>
        <v>52</v>
      </c>
      <c r="E1317" s="618" t="str">
        <f>+VLOOKUP(Tabla3[[#This Row],[PATENTE]],'BASE DATOS'!F:G,2,0)</f>
        <v xml:space="preserve">COLO - HAW164 </v>
      </c>
      <c r="F1317" s="584" t="str">
        <f>+VLOOKUP(Tabla3[[#This Row],[PATENTE]],'BASE DATOS'!F:H,3,0)</f>
        <v>6P</v>
      </c>
      <c r="G1317" s="584" t="str">
        <f>+VLOOKUP(Tabla3[[#This Row],[PATENTE]],'BASE DATOS'!F:I,4,0)</f>
        <v>NO</v>
      </c>
      <c r="H1317" s="584" t="str">
        <f>+VLOOKUP(Tabla3[[#This Row],[PATENTE]],'BASE DATOS'!F:J,5,0)</f>
        <v>SI</v>
      </c>
      <c r="I1317" s="584" t="str">
        <f>+VLOOKUP(Tabla3[[#This Row],[PATENTE]],'BASE DATOS'!F:K,6,0)</f>
        <v>NO</v>
      </c>
      <c r="J1317" s="584">
        <f>+VLOOKUP(Tabla3[[#This Row],[PATENTE]],'BASE DATOS'!F:L,7,0)</f>
        <v>2009</v>
      </c>
      <c r="K1317" s="619">
        <f>+VLOOKUP(Tabla3[[#This Row],[PATENTE]],'BASE DATOS'!F:M,8,0)</f>
        <v>16</v>
      </c>
    </row>
    <row r="1318" spans="1:11" hidden="1">
      <c r="A1318" s="578" t="s">
        <v>925</v>
      </c>
      <c r="B1318" s="584">
        <v>5</v>
      </c>
      <c r="C1318" s="1004">
        <v>46013</v>
      </c>
      <c r="D1318" s="582">
        <f t="shared" si="50"/>
        <v>52</v>
      </c>
      <c r="E1318" s="618" t="str">
        <f>+VLOOKUP(Tabla3[[#This Row],[PATENTE]],'BASE DATOS'!F:G,2,0)</f>
        <v xml:space="preserve">TRANSP MAIDANA FACUNDO - KOW745 </v>
      </c>
      <c r="F1318" s="584" t="str">
        <f>+VLOOKUP(Tabla3[[#This Row],[PATENTE]],'BASE DATOS'!F:H,3,0)</f>
        <v>8P</v>
      </c>
      <c r="G1318" s="584" t="str">
        <f>+VLOOKUP(Tabla3[[#This Row],[PATENTE]],'BASE DATOS'!F:I,4,0)</f>
        <v>SI</v>
      </c>
      <c r="H1318" s="584" t="str">
        <f>+VLOOKUP(Tabla3[[#This Row],[PATENTE]],'BASE DATOS'!F:J,5,0)</f>
        <v>SI</v>
      </c>
      <c r="I1318" s="584" t="str">
        <f>+VLOOKUP(Tabla3[[#This Row],[PATENTE]],'BASE DATOS'!F:K,6,0)</f>
        <v>NO</v>
      </c>
      <c r="J1318" s="584">
        <f>+VLOOKUP(Tabla3[[#This Row],[PATENTE]],'BASE DATOS'!F:L,7,0)</f>
        <v>2012</v>
      </c>
      <c r="K1318" s="619">
        <f>+VLOOKUP(Tabla3[[#This Row],[PATENTE]],'BASE DATOS'!F:M,8,0)</f>
        <v>13</v>
      </c>
    </row>
    <row r="1319" spans="1:11" hidden="1">
      <c r="A1319" s="578" t="s">
        <v>886</v>
      </c>
      <c r="B1319" s="584">
        <v>5</v>
      </c>
      <c r="C1319" s="1004">
        <v>46013</v>
      </c>
      <c r="D1319" s="582">
        <f t="shared" si="50"/>
        <v>52</v>
      </c>
      <c r="E1319" s="618" t="str">
        <f>+VLOOKUP(Tabla3[[#This Row],[PATENTE]],'BASE DATOS'!F:G,2,0)</f>
        <v xml:space="preserve">TRANSP LAGOS - NOO925 </v>
      </c>
      <c r="F1319" s="584" t="str">
        <f>+VLOOKUP(Tabla3[[#This Row],[PATENTE]],'BASE DATOS'!F:H,3,0)</f>
        <v>8P</v>
      </c>
      <c r="G1319" s="584" t="str">
        <f>+VLOOKUP(Tabla3[[#This Row],[PATENTE]],'BASE DATOS'!F:I,4,0)</f>
        <v>SI</v>
      </c>
      <c r="H1319" s="584" t="str">
        <f>+VLOOKUP(Tabla3[[#This Row],[PATENTE]],'BASE DATOS'!F:J,5,0)</f>
        <v>SI</v>
      </c>
      <c r="I1319" s="584" t="str">
        <f>+VLOOKUP(Tabla3[[#This Row],[PATENTE]],'BASE DATOS'!F:K,6,0)</f>
        <v>NO</v>
      </c>
      <c r="J1319" s="584">
        <f>+VLOOKUP(Tabla3[[#This Row],[PATENTE]],'BASE DATOS'!F:L,7,0)</f>
        <v>2014</v>
      </c>
      <c r="K1319" s="619">
        <f>+VLOOKUP(Tabla3[[#This Row],[PATENTE]],'BASE DATOS'!F:M,8,0)</f>
        <v>11</v>
      </c>
    </row>
    <row r="1320" spans="1:11" hidden="1">
      <c r="A1320" s="578" t="s">
        <v>898</v>
      </c>
      <c r="B1320" s="584">
        <v>5</v>
      </c>
      <c r="C1320" s="1004">
        <v>46013</v>
      </c>
      <c r="D1320" s="582">
        <f t="shared" si="50"/>
        <v>52</v>
      </c>
      <c r="E1320" s="618" t="str">
        <f>+VLOOKUP(Tabla3[[#This Row],[PATENTE]],'BASE DATOS'!F:G,2,0)</f>
        <v xml:space="preserve">TRANSP BERMEJO - NXP980 </v>
      </c>
      <c r="F1320" s="584" t="str">
        <f>+VLOOKUP(Tabla3[[#This Row],[PATENTE]],'BASE DATOS'!F:H,3,0)</f>
        <v>12P</v>
      </c>
      <c r="G1320" s="584" t="str">
        <f>+VLOOKUP(Tabla3[[#This Row],[PATENTE]],'BASE DATOS'!F:I,4,0)</f>
        <v>SI</v>
      </c>
      <c r="H1320" s="584" t="str">
        <f>+VLOOKUP(Tabla3[[#This Row],[PATENTE]],'BASE DATOS'!F:J,5,0)</f>
        <v>SI</v>
      </c>
      <c r="I1320" s="584" t="str">
        <f>+VLOOKUP(Tabla3[[#This Row],[PATENTE]],'BASE DATOS'!F:K,6,0)</f>
        <v>SI</v>
      </c>
      <c r="J1320" s="584">
        <f>+VLOOKUP(Tabla3[[#This Row],[PATENTE]],'BASE DATOS'!F:L,7,0)</f>
        <v>2015</v>
      </c>
      <c r="K1320" s="619">
        <f>+VLOOKUP(Tabla3[[#This Row],[PATENTE]],'BASE DATOS'!F:M,8,0)</f>
        <v>10</v>
      </c>
    </row>
    <row r="1321" spans="1:11" hidden="1">
      <c r="A1321" s="578" t="s">
        <v>877</v>
      </c>
      <c r="B1321" s="584">
        <v>5</v>
      </c>
      <c r="C1321" s="1004">
        <v>46013</v>
      </c>
      <c r="D1321" s="582">
        <f t="shared" si="50"/>
        <v>52</v>
      </c>
      <c r="E1321" s="618" t="str">
        <f>+VLOOKUP(Tabla3[[#This Row],[PATENTE]],'BASE DATOS'!F:G,2,0)</f>
        <v>TRANSP MAIDANA CARLOS - OWA126</v>
      </c>
      <c r="F1321" s="584" t="str">
        <f>+VLOOKUP(Tabla3[[#This Row],[PATENTE]],'BASE DATOS'!F:H,3,0)</f>
        <v>4P</v>
      </c>
      <c r="G1321" s="584" t="str">
        <f>+VLOOKUP(Tabla3[[#This Row],[PATENTE]],'BASE DATOS'!F:I,4,0)</f>
        <v>SI</v>
      </c>
      <c r="H1321" s="584" t="str">
        <f>+VLOOKUP(Tabla3[[#This Row],[PATENTE]],'BASE DATOS'!F:J,5,0)</f>
        <v>SI</v>
      </c>
      <c r="I1321" s="584" t="str">
        <f>+VLOOKUP(Tabla3[[#This Row],[PATENTE]],'BASE DATOS'!F:K,6,0)</f>
        <v>NO</v>
      </c>
      <c r="J1321" s="584">
        <f>+VLOOKUP(Tabla3[[#This Row],[PATENTE]],'BASE DATOS'!F:L,7,0)</f>
        <v>2015</v>
      </c>
      <c r="K1321" s="619">
        <f>+VLOOKUP(Tabla3[[#This Row],[PATENTE]],'BASE DATOS'!F:M,8,0)</f>
        <v>10</v>
      </c>
    </row>
    <row r="1322" spans="1:11" hidden="1">
      <c r="A1322" s="578" t="s">
        <v>896</v>
      </c>
      <c r="B1322" s="584">
        <v>5</v>
      </c>
      <c r="C1322" s="1004">
        <v>46013</v>
      </c>
      <c r="D1322" s="582">
        <f t="shared" si="50"/>
        <v>52</v>
      </c>
      <c r="E1322" s="618" t="str">
        <f>+VLOOKUP(Tabla3[[#This Row],[PATENTE]],'BASE DATOS'!F:G,2,0)</f>
        <v xml:space="preserve">TRANSP MAVIR - RHQ609 </v>
      </c>
      <c r="F1322" s="584" t="str">
        <f>+VLOOKUP(Tabla3[[#This Row],[PATENTE]],'BASE DATOS'!F:H,3,0)</f>
        <v>10P</v>
      </c>
      <c r="G1322" s="584" t="str">
        <f>+VLOOKUP(Tabla3[[#This Row],[PATENTE]],'BASE DATOS'!F:I,4,0)</f>
        <v>NO</v>
      </c>
      <c r="H1322" s="584" t="str">
        <f>+VLOOKUP(Tabla3[[#This Row],[PATENTE]],'BASE DATOS'!F:J,5,0)</f>
        <v xml:space="preserve">NO </v>
      </c>
      <c r="I1322" s="584" t="str">
        <f>+VLOOKUP(Tabla3[[#This Row],[PATENTE]],'BASE DATOS'!F:K,6,0)</f>
        <v>NO</v>
      </c>
      <c r="J1322" s="584">
        <f>+VLOOKUP(Tabla3[[#This Row],[PATENTE]],'BASE DATOS'!F:L,7,0)</f>
        <v>1995</v>
      </c>
      <c r="K1322" s="619">
        <f>+VLOOKUP(Tabla3[[#This Row],[PATENTE]],'BASE DATOS'!F:M,8,0)</f>
        <v>30</v>
      </c>
    </row>
    <row r="1323" spans="1:11" hidden="1">
      <c r="A1323" s="578" t="s">
        <v>936</v>
      </c>
      <c r="B1323" s="584">
        <v>4</v>
      </c>
      <c r="C1323" s="1004">
        <v>46013</v>
      </c>
      <c r="D1323" s="582">
        <f t="shared" si="50"/>
        <v>52</v>
      </c>
      <c r="E1323" s="618" t="str">
        <f>+VLOOKUP(Tabla3[[#This Row],[PATENTE]],'BASE DATOS'!F:G,2,0)</f>
        <v>TRANSP YANINA  LUONGO - AA050HC</v>
      </c>
      <c r="F1323" s="584" t="str">
        <f>+VLOOKUP(Tabla3[[#This Row],[PATENTE]],'BASE DATOS'!F:H,3,0)</f>
        <v>1.5P</v>
      </c>
      <c r="G1323" s="584" t="str">
        <f>+VLOOKUP(Tabla3[[#This Row],[PATENTE]],'BASE DATOS'!F:I,4,0)</f>
        <v>NO</v>
      </c>
      <c r="H1323" s="584" t="str">
        <f>+VLOOKUP(Tabla3[[#This Row],[PATENTE]],'BASE DATOS'!F:J,5,0)</f>
        <v>SI</v>
      </c>
      <c r="I1323" s="584" t="str">
        <f>+VLOOKUP(Tabla3[[#This Row],[PATENTE]],'BASE DATOS'!F:K,6,0)</f>
        <v>NO</v>
      </c>
      <c r="J1323" s="584">
        <f>+VLOOKUP(Tabla3[[#This Row],[PATENTE]],'BASE DATOS'!F:L,7,0)</f>
        <v>2016</v>
      </c>
      <c r="K1323" s="619">
        <f>+VLOOKUP(Tabla3[[#This Row],[PATENTE]],'BASE DATOS'!F:M,8,0)</f>
        <v>9</v>
      </c>
    </row>
    <row r="1324" spans="1:11" hidden="1">
      <c r="A1324" s="578" t="s">
        <v>919</v>
      </c>
      <c r="B1324" s="584">
        <v>4</v>
      </c>
      <c r="C1324" s="1004">
        <v>46013</v>
      </c>
      <c r="D1324" s="582">
        <f t="shared" si="50"/>
        <v>52</v>
      </c>
      <c r="E1324" s="618" t="str">
        <f>+VLOOKUP(Tabla3[[#This Row],[PATENTE]],'BASE DATOS'!F:G,2,0)</f>
        <v xml:space="preserve">GUSTAVO CERQUETTA - AA427LT </v>
      </c>
      <c r="F1324" s="584" t="str">
        <f>+VLOOKUP(Tabla3[[#This Row],[PATENTE]],'BASE DATOS'!F:H,3,0)</f>
        <v>1P</v>
      </c>
      <c r="G1324" s="584" t="str">
        <f>+VLOOKUP(Tabla3[[#This Row],[PATENTE]],'BASE DATOS'!F:I,4,0)</f>
        <v>NO</v>
      </c>
      <c r="H1324" s="584" t="str">
        <f>+VLOOKUP(Tabla3[[#This Row],[PATENTE]],'BASE DATOS'!F:J,5,0)</f>
        <v>SI</v>
      </c>
      <c r="I1324" s="584" t="str">
        <f>+VLOOKUP(Tabla3[[#This Row],[PATENTE]],'BASE DATOS'!F:K,6,0)</f>
        <v>NO</v>
      </c>
      <c r="J1324" s="584">
        <f>+VLOOKUP(Tabla3[[#This Row],[PATENTE]],'BASE DATOS'!F:L,7,0)</f>
        <v>2016</v>
      </c>
      <c r="K1324" s="619">
        <f>+VLOOKUP(Tabla3[[#This Row],[PATENTE]],'BASE DATOS'!F:M,8,0)</f>
        <v>9</v>
      </c>
    </row>
    <row r="1325" spans="1:11" hidden="1">
      <c r="A1325" s="578" t="s">
        <v>899</v>
      </c>
      <c r="B1325" s="584">
        <v>4</v>
      </c>
      <c r="C1325" s="1004">
        <v>46013</v>
      </c>
      <c r="D1325" s="582">
        <f t="shared" si="50"/>
        <v>52</v>
      </c>
      <c r="E1325" s="618" t="str">
        <f>+VLOOKUP(Tabla3[[#This Row],[PATENTE]],'BASE DATOS'!F:G,2,0)</f>
        <v xml:space="preserve">VAZQUEZ (TRV SRL) - AB176KN </v>
      </c>
      <c r="F1325" s="584" t="str">
        <f>+VLOOKUP(Tabla3[[#This Row],[PATENTE]],'BASE DATOS'!F:H,3,0)</f>
        <v>8P</v>
      </c>
      <c r="G1325" s="584" t="str">
        <f>+VLOOKUP(Tabla3[[#This Row],[PATENTE]],'BASE DATOS'!F:I,4,0)</f>
        <v>SI</v>
      </c>
      <c r="H1325" s="584" t="str">
        <f>+VLOOKUP(Tabla3[[#This Row],[PATENTE]],'BASE DATOS'!F:J,5,0)</f>
        <v>SI</v>
      </c>
      <c r="I1325" s="584" t="str">
        <f>+VLOOKUP(Tabla3[[#This Row],[PATENTE]],'BASE DATOS'!F:K,6,0)</f>
        <v>SI</v>
      </c>
      <c r="J1325" s="584">
        <f>+VLOOKUP(Tabla3[[#This Row],[PATENTE]],'BASE DATOS'!F:L,7,0)</f>
        <v>2017</v>
      </c>
      <c r="K1325" s="619">
        <f>+VLOOKUP(Tabla3[[#This Row],[PATENTE]],'BASE DATOS'!F:M,8,0)</f>
        <v>8</v>
      </c>
    </row>
    <row r="1326" spans="1:11" hidden="1">
      <c r="A1326" s="578" t="s">
        <v>883</v>
      </c>
      <c r="B1326" s="584">
        <v>4</v>
      </c>
      <c r="C1326" s="1004">
        <v>46013</v>
      </c>
      <c r="D1326" s="582">
        <f t="shared" si="50"/>
        <v>52</v>
      </c>
      <c r="E1326" s="618" t="str">
        <f>+VLOOKUP(Tabla3[[#This Row],[PATENTE]],'BASE DATOS'!F:G,2,0)</f>
        <v xml:space="preserve">PACHECO JULIO - ACI503 </v>
      </c>
      <c r="F1326" s="584" t="str">
        <f>+VLOOKUP(Tabla3[[#This Row],[PATENTE]],'BASE DATOS'!F:H,3,0)</f>
        <v>12P</v>
      </c>
      <c r="G1326" s="584" t="str">
        <f>+VLOOKUP(Tabla3[[#This Row],[PATENTE]],'BASE DATOS'!F:I,4,0)</f>
        <v>NO</v>
      </c>
      <c r="H1326" s="584" t="str">
        <f>+VLOOKUP(Tabla3[[#This Row],[PATENTE]],'BASE DATOS'!F:J,5,0)</f>
        <v>SI</v>
      </c>
      <c r="I1326" s="584" t="str">
        <f>+VLOOKUP(Tabla3[[#This Row],[PATENTE]],'BASE DATOS'!F:K,6,0)</f>
        <v>SI</v>
      </c>
      <c r="J1326" s="584">
        <f>+VLOOKUP(Tabla3[[#This Row],[PATENTE]],'BASE DATOS'!F:L,7,0)</f>
        <v>2000</v>
      </c>
      <c r="K1326" s="619">
        <f>+VLOOKUP(Tabla3[[#This Row],[PATENTE]],'BASE DATOS'!F:M,8,0)</f>
        <v>25</v>
      </c>
    </row>
    <row r="1327" spans="1:11" hidden="1">
      <c r="A1327" s="578" t="s">
        <v>907</v>
      </c>
      <c r="B1327" s="584">
        <v>4</v>
      </c>
      <c r="C1327" s="1004">
        <v>46013</v>
      </c>
      <c r="D1327" s="582">
        <f t="shared" si="50"/>
        <v>52</v>
      </c>
      <c r="E1327" s="618" t="str">
        <f>+VLOOKUP(Tabla3[[#This Row],[PATENTE]],'BASE DATOS'!F:G,2,0)</f>
        <v xml:space="preserve">LAURIA (SERVAL) - AH583GW </v>
      </c>
      <c r="F1327" s="584" t="str">
        <f>+VLOOKUP(Tabla3[[#This Row],[PATENTE]],'BASE DATOS'!F:H,3,0)</f>
        <v>8P</v>
      </c>
      <c r="G1327" s="584" t="str">
        <f>+VLOOKUP(Tabla3[[#This Row],[PATENTE]],'BASE DATOS'!F:I,4,0)</f>
        <v>SI</v>
      </c>
      <c r="H1327" s="584" t="str">
        <f>+VLOOKUP(Tabla3[[#This Row],[PATENTE]],'BASE DATOS'!F:J,5,0)</f>
        <v>SI</v>
      </c>
      <c r="I1327" s="584" t="str">
        <f>+VLOOKUP(Tabla3[[#This Row],[PATENTE]],'BASE DATOS'!F:K,6,0)</f>
        <v>NO</v>
      </c>
      <c r="J1327" s="584">
        <f>+VLOOKUP(Tabla3[[#This Row],[PATENTE]],'BASE DATOS'!F:L,7,0)</f>
        <v>2025</v>
      </c>
      <c r="K1327" s="619">
        <f>+VLOOKUP(Tabla3[[#This Row],[PATENTE]],'BASE DATOS'!F:M,8,0)</f>
        <v>0</v>
      </c>
    </row>
    <row r="1328" spans="1:11" hidden="1">
      <c r="A1328" s="578" t="s">
        <v>881</v>
      </c>
      <c r="B1328" s="584">
        <v>4</v>
      </c>
      <c r="C1328" s="1004">
        <v>46013</v>
      </c>
      <c r="D1328" s="582">
        <f t="shared" si="50"/>
        <v>52</v>
      </c>
      <c r="E1328" s="618" t="str">
        <f>+VLOOKUP(Tabla3[[#This Row],[PATENTE]],'BASE DATOS'!F:G,2,0)</f>
        <v xml:space="preserve">MAÑAS NORBERTO - DUQ686 </v>
      </c>
      <c r="F1328" s="584" t="str">
        <f>+VLOOKUP(Tabla3[[#This Row],[PATENTE]],'BASE DATOS'!F:H,3,0)</f>
        <v>8P</v>
      </c>
      <c r="G1328" s="584" t="str">
        <f>+VLOOKUP(Tabla3[[#This Row],[PATENTE]],'BASE DATOS'!F:I,4,0)</f>
        <v>SI</v>
      </c>
      <c r="H1328" s="584" t="str">
        <f>+VLOOKUP(Tabla3[[#This Row],[PATENTE]],'BASE DATOS'!F:J,5,0)</f>
        <v>SI</v>
      </c>
      <c r="I1328" s="584" t="str">
        <f>+VLOOKUP(Tabla3[[#This Row],[PATENTE]],'BASE DATOS'!F:K,6,0)</f>
        <v>NO</v>
      </c>
      <c r="J1328" s="584">
        <f>+VLOOKUP(Tabla3[[#This Row],[PATENTE]],'BASE DATOS'!F:L,7,0)</f>
        <v>2001</v>
      </c>
      <c r="K1328" s="619">
        <f>+VLOOKUP(Tabla3[[#This Row],[PATENTE]],'BASE DATOS'!F:M,8,0)</f>
        <v>24</v>
      </c>
    </row>
    <row r="1329" spans="1:11" hidden="1">
      <c r="A1329" s="578" t="s">
        <v>932</v>
      </c>
      <c r="B1329" s="584">
        <v>4</v>
      </c>
      <c r="C1329" s="1004">
        <v>46013</v>
      </c>
      <c r="D1329" s="582">
        <f t="shared" si="50"/>
        <v>52</v>
      </c>
      <c r="E1329" s="618" t="str">
        <f>+VLOOKUP(Tabla3[[#This Row],[PATENTE]],'BASE DATOS'!F:G,2,0)</f>
        <v xml:space="preserve">TRANSP MAVIR - EFL176 </v>
      </c>
      <c r="F1329" s="584" t="str">
        <f>+VLOOKUP(Tabla3[[#This Row],[PATENTE]],'BASE DATOS'!F:H,3,0)</f>
        <v>12P</v>
      </c>
      <c r="G1329" s="584" t="str">
        <f>+VLOOKUP(Tabla3[[#This Row],[PATENTE]],'BASE DATOS'!F:I,4,0)</f>
        <v>SI</v>
      </c>
      <c r="H1329" s="584" t="str">
        <f>+VLOOKUP(Tabla3[[#This Row],[PATENTE]],'BASE DATOS'!F:J,5,0)</f>
        <v>SI</v>
      </c>
      <c r="I1329" s="584" t="str">
        <f>+VLOOKUP(Tabla3[[#This Row],[PATENTE]],'BASE DATOS'!F:K,6,0)</f>
        <v>NO</v>
      </c>
      <c r="J1329" s="584">
        <f>+VLOOKUP(Tabla3[[#This Row],[PATENTE]],'BASE DATOS'!F:L,7,0)</f>
        <v>1998</v>
      </c>
      <c r="K1329" s="619">
        <f>+VLOOKUP(Tabla3[[#This Row],[PATENTE]],'BASE DATOS'!F:M,8,0)</f>
        <v>27</v>
      </c>
    </row>
    <row r="1330" spans="1:11" hidden="1">
      <c r="A1330" s="578" t="s">
        <v>891</v>
      </c>
      <c r="B1330" s="584">
        <v>4</v>
      </c>
      <c r="C1330" s="1004">
        <v>46013</v>
      </c>
      <c r="D1330" s="582">
        <f t="shared" si="50"/>
        <v>52</v>
      </c>
      <c r="E1330" s="618" t="str">
        <f>+VLOOKUP(Tabla3[[#This Row],[PATENTE]],'BASE DATOS'!F:G,2,0)</f>
        <v xml:space="preserve">GANZINI HUGO - HHA085 </v>
      </c>
      <c r="F1330" s="584" t="str">
        <f>+VLOOKUP(Tabla3[[#This Row],[PATENTE]],'BASE DATOS'!F:H,3,0)</f>
        <v>2P</v>
      </c>
      <c r="G1330" s="584" t="str">
        <f>+VLOOKUP(Tabla3[[#This Row],[PATENTE]],'BASE DATOS'!F:I,4,0)</f>
        <v>SI</v>
      </c>
      <c r="H1330" s="584" t="str">
        <f>+VLOOKUP(Tabla3[[#This Row],[PATENTE]],'BASE DATOS'!F:J,5,0)</f>
        <v>SI</v>
      </c>
      <c r="I1330" s="584" t="str">
        <f>+VLOOKUP(Tabla3[[#This Row],[PATENTE]],'BASE DATOS'!F:K,6,0)</f>
        <v>NO</v>
      </c>
      <c r="J1330" s="584">
        <f>+VLOOKUP(Tabla3[[#This Row],[PATENTE]],'BASE DATOS'!F:L,7,0)</f>
        <v>2008</v>
      </c>
      <c r="K1330" s="619">
        <f>+VLOOKUP(Tabla3[[#This Row],[PATENTE]],'BASE DATOS'!F:M,8,0)</f>
        <v>17</v>
      </c>
    </row>
    <row r="1331" spans="1:11" hidden="1">
      <c r="A1331" s="578" t="s">
        <v>885</v>
      </c>
      <c r="B1331" s="584">
        <v>4</v>
      </c>
      <c r="C1331" s="1004">
        <v>46013</v>
      </c>
      <c r="D1331" s="582">
        <f t="shared" si="50"/>
        <v>52</v>
      </c>
      <c r="E1331" s="618" t="str">
        <f>+VLOOKUP(Tabla3[[#This Row],[PATENTE]],'BASE DATOS'!F:G,2,0)</f>
        <v xml:space="preserve">TRANSP DON NENO - IES288 </v>
      </c>
      <c r="F1331" s="584" t="str">
        <f>+VLOOKUP(Tabla3[[#This Row],[PATENTE]],'BASE DATOS'!F:H,3,0)</f>
        <v>2P</v>
      </c>
      <c r="G1331" s="584" t="str">
        <f>+VLOOKUP(Tabla3[[#This Row],[PATENTE]],'BASE DATOS'!F:I,4,0)</f>
        <v>SI</v>
      </c>
      <c r="H1331" s="584" t="str">
        <f>+VLOOKUP(Tabla3[[#This Row],[PATENTE]],'BASE DATOS'!F:J,5,0)</f>
        <v>SI</v>
      </c>
      <c r="I1331" s="584" t="str">
        <f>+VLOOKUP(Tabla3[[#This Row],[PATENTE]],'BASE DATOS'!F:K,6,0)</f>
        <v>NO</v>
      </c>
      <c r="J1331" s="584">
        <f>+VLOOKUP(Tabla3[[#This Row],[PATENTE]],'BASE DATOS'!F:L,7,0)</f>
        <v>2009</v>
      </c>
      <c r="K1331" s="619">
        <f>+VLOOKUP(Tabla3[[#This Row],[PATENTE]],'BASE DATOS'!F:M,8,0)</f>
        <v>16</v>
      </c>
    </row>
    <row r="1332" spans="1:11" hidden="1">
      <c r="A1332" s="578" t="s">
        <v>939</v>
      </c>
      <c r="B1332" s="584">
        <v>4</v>
      </c>
      <c r="C1332" s="1004">
        <v>46013</v>
      </c>
      <c r="D1332" s="582">
        <f t="shared" si="50"/>
        <v>52</v>
      </c>
      <c r="E1332" s="618" t="str">
        <f>+VLOOKUP(Tabla3[[#This Row],[PATENTE]],'BASE DATOS'!F:G,2,0)</f>
        <v>TRANSP CLAUDIO BUSTOS - JOQ178</v>
      </c>
      <c r="F1332" s="584" t="str">
        <f>+VLOOKUP(Tabla3[[#This Row],[PATENTE]],'BASE DATOS'!F:H,3,0)</f>
        <v>1P</v>
      </c>
      <c r="G1332" s="584" t="str">
        <f>+VLOOKUP(Tabla3[[#This Row],[PATENTE]],'BASE DATOS'!F:I,4,0)</f>
        <v>NO</v>
      </c>
      <c r="H1332" s="584" t="str">
        <f>+VLOOKUP(Tabla3[[#This Row],[PATENTE]],'BASE DATOS'!F:J,5,0)</f>
        <v>SI</v>
      </c>
      <c r="I1332" s="584" t="str">
        <f>+VLOOKUP(Tabla3[[#This Row],[PATENTE]],'BASE DATOS'!F:K,6,0)</f>
        <v>NO</v>
      </c>
      <c r="J1332" s="584">
        <f>+VLOOKUP(Tabla3[[#This Row],[PATENTE]],'BASE DATOS'!F:L,7,0)</f>
        <v>2010</v>
      </c>
      <c r="K1332" s="619">
        <f>+VLOOKUP(Tabla3[[#This Row],[PATENTE]],'BASE DATOS'!F:M,8,0)</f>
        <v>15</v>
      </c>
    </row>
    <row r="1333" spans="1:11" hidden="1">
      <c r="A1333" s="578" t="s">
        <v>882</v>
      </c>
      <c r="B1333" s="584">
        <v>4</v>
      </c>
      <c r="C1333" s="1004">
        <v>46013</v>
      </c>
      <c r="D1333" s="582">
        <f t="shared" si="50"/>
        <v>52</v>
      </c>
      <c r="E1333" s="618" t="str">
        <f>+VLOOKUP(Tabla3[[#This Row],[PATENTE]],'BASE DATOS'!F:G,2,0)</f>
        <v xml:space="preserve">MAÑAS - JWN279 </v>
      </c>
      <c r="F1333" s="584" t="str">
        <f>+VLOOKUP(Tabla3[[#This Row],[PATENTE]],'BASE DATOS'!F:H,3,0)</f>
        <v>7P</v>
      </c>
      <c r="G1333" s="584" t="str">
        <f>+VLOOKUP(Tabla3[[#This Row],[PATENTE]],'BASE DATOS'!F:I,4,0)</f>
        <v>SI</v>
      </c>
      <c r="H1333" s="584" t="str">
        <f>+VLOOKUP(Tabla3[[#This Row],[PATENTE]],'BASE DATOS'!F:J,5,0)</f>
        <v>SI</v>
      </c>
      <c r="I1333" s="584" t="str">
        <f>+VLOOKUP(Tabla3[[#This Row],[PATENTE]],'BASE DATOS'!F:K,6,0)</f>
        <v>NO</v>
      </c>
      <c r="J1333" s="584">
        <f>+VLOOKUP(Tabla3[[#This Row],[PATENTE]],'BASE DATOS'!F:L,7,0)</f>
        <v>2011</v>
      </c>
      <c r="K1333" s="619">
        <f>+VLOOKUP(Tabla3[[#This Row],[PATENTE]],'BASE DATOS'!F:M,8,0)</f>
        <v>14</v>
      </c>
    </row>
    <row r="1334" spans="1:11" hidden="1">
      <c r="A1334" s="578" t="s">
        <v>909</v>
      </c>
      <c r="B1334" s="584">
        <v>4</v>
      </c>
      <c r="C1334" s="1004">
        <v>46013</v>
      </c>
      <c r="D1334" s="582">
        <f t="shared" si="50"/>
        <v>52</v>
      </c>
      <c r="E1334" s="618" t="str">
        <f>+VLOOKUP(Tabla3[[#This Row],[PATENTE]],'BASE DATOS'!F:G,2,0)</f>
        <v xml:space="preserve">CRISTIAN MOYA - NHR055 </v>
      </c>
      <c r="F1334" s="584" t="str">
        <f>+VLOOKUP(Tabla3[[#This Row],[PATENTE]],'BASE DATOS'!F:H,3,0)</f>
        <v>6P</v>
      </c>
      <c r="G1334" s="584" t="str">
        <f>+VLOOKUP(Tabla3[[#This Row],[PATENTE]],'BASE DATOS'!F:I,4,0)</f>
        <v>SI</v>
      </c>
      <c r="H1334" s="584" t="str">
        <f>+VLOOKUP(Tabla3[[#This Row],[PATENTE]],'BASE DATOS'!F:J,5,0)</f>
        <v>SI</v>
      </c>
      <c r="I1334" s="584" t="str">
        <f>+VLOOKUP(Tabla3[[#This Row],[PATENTE]],'BASE DATOS'!F:K,6,0)</f>
        <v>NO</v>
      </c>
      <c r="J1334" s="584">
        <f>+VLOOKUP(Tabla3[[#This Row],[PATENTE]],'BASE DATOS'!F:L,7,0)</f>
        <v>2013</v>
      </c>
      <c r="K1334" s="619">
        <f>+VLOOKUP(Tabla3[[#This Row],[PATENTE]],'BASE DATOS'!F:M,8,0)</f>
        <v>12</v>
      </c>
    </row>
    <row r="1335" spans="1:11" hidden="1">
      <c r="A1335" s="578" t="s">
        <v>879</v>
      </c>
      <c r="B1335" s="584">
        <v>4</v>
      </c>
      <c r="C1335" s="1004">
        <v>46013</v>
      </c>
      <c r="D1335" s="582">
        <f t="shared" si="50"/>
        <v>52</v>
      </c>
      <c r="E1335" s="618" t="str">
        <f>+VLOOKUP(Tabla3[[#This Row],[PATENTE]],'BASE DATOS'!F:G,2,0)</f>
        <v xml:space="preserve">TRANSP JP - OYP470 </v>
      </c>
      <c r="F1335" s="584" t="str">
        <f>+VLOOKUP(Tabla3[[#This Row],[PATENTE]],'BASE DATOS'!F:H,3,0)</f>
        <v>8P</v>
      </c>
      <c r="G1335" s="584" t="str">
        <f>+VLOOKUP(Tabla3[[#This Row],[PATENTE]],'BASE DATOS'!F:I,4,0)</f>
        <v>SI</v>
      </c>
      <c r="H1335" s="584" t="str">
        <f>+VLOOKUP(Tabla3[[#This Row],[PATENTE]],'BASE DATOS'!F:J,5,0)</f>
        <v>SI</v>
      </c>
      <c r="I1335" s="584" t="str">
        <f>+VLOOKUP(Tabla3[[#This Row],[PATENTE]],'BASE DATOS'!F:K,6,0)</f>
        <v>NO</v>
      </c>
      <c r="J1335" s="584">
        <f>+VLOOKUP(Tabla3[[#This Row],[PATENTE]],'BASE DATOS'!F:L,7,0)</f>
        <v>2011</v>
      </c>
      <c r="K1335" s="619">
        <f>+VLOOKUP(Tabla3[[#This Row],[PATENTE]],'BASE DATOS'!F:M,8,0)</f>
        <v>14</v>
      </c>
    </row>
    <row r="1336" spans="1:11" hidden="1">
      <c r="A1336" s="578" t="s">
        <v>878</v>
      </c>
      <c r="B1336" s="584">
        <v>3</v>
      </c>
      <c r="C1336" s="1004">
        <v>46013</v>
      </c>
      <c r="D1336" s="582">
        <f t="shared" si="50"/>
        <v>52</v>
      </c>
      <c r="E1336" s="618" t="str">
        <f>+VLOOKUP(Tabla3[[#This Row],[PATENTE]],'BASE DATOS'!F:G,2,0)</f>
        <v xml:space="preserve">PACHECO JULIO - AA854LY </v>
      </c>
      <c r="F1336" s="584" t="str">
        <f>+VLOOKUP(Tabla3[[#This Row],[PATENTE]],'BASE DATOS'!F:H,3,0)</f>
        <v>7P</v>
      </c>
      <c r="G1336" s="584" t="str">
        <f>+VLOOKUP(Tabla3[[#This Row],[PATENTE]],'BASE DATOS'!F:I,4,0)</f>
        <v>SI</v>
      </c>
      <c r="H1336" s="584" t="str">
        <f>+VLOOKUP(Tabla3[[#This Row],[PATENTE]],'BASE DATOS'!F:J,5,0)</f>
        <v>SI</v>
      </c>
      <c r="I1336" s="584" t="str">
        <f>+VLOOKUP(Tabla3[[#This Row],[PATENTE]],'BASE DATOS'!F:K,6,0)</f>
        <v>NO</v>
      </c>
      <c r="J1336" s="584">
        <f>+VLOOKUP(Tabla3[[#This Row],[PATENTE]],'BASE DATOS'!F:L,7,0)</f>
        <v>2016</v>
      </c>
      <c r="K1336" s="619">
        <f>+VLOOKUP(Tabla3[[#This Row],[PATENTE]],'BASE DATOS'!F:M,8,0)</f>
        <v>9</v>
      </c>
    </row>
    <row r="1337" spans="1:11" hidden="1">
      <c r="A1337" s="578" t="s">
        <v>890</v>
      </c>
      <c r="B1337" s="584">
        <v>3</v>
      </c>
      <c r="C1337" s="1004">
        <v>46013</v>
      </c>
      <c r="D1337" s="582">
        <f t="shared" si="50"/>
        <v>52</v>
      </c>
      <c r="E1337" s="618" t="str">
        <f>+VLOOKUP(Tabla3[[#This Row],[PATENTE]],'BASE DATOS'!F:G,2,0)</f>
        <v xml:space="preserve">TRANSPORTE GRACIELA - AC040RO </v>
      </c>
      <c r="F1337" s="584" t="str">
        <f>+VLOOKUP(Tabla3[[#This Row],[PATENTE]],'BASE DATOS'!F:H,3,0)</f>
        <v>1P</v>
      </c>
      <c r="G1337" s="584" t="str">
        <f>+VLOOKUP(Tabla3[[#This Row],[PATENTE]],'BASE DATOS'!F:I,4,0)</f>
        <v>SI</v>
      </c>
      <c r="H1337" s="584" t="str">
        <f>+VLOOKUP(Tabla3[[#This Row],[PATENTE]],'BASE DATOS'!F:J,5,0)</f>
        <v>ACEPTA( VER CAMI)</v>
      </c>
      <c r="I1337" s="584" t="str">
        <f>+VLOOKUP(Tabla3[[#This Row],[PATENTE]],'BASE DATOS'!F:K,6,0)</f>
        <v>NO</v>
      </c>
      <c r="J1337" s="584">
        <f>+VLOOKUP(Tabla3[[#This Row],[PATENTE]],'BASE DATOS'!F:L,7,0)</f>
        <v>2017</v>
      </c>
      <c r="K1337" s="619">
        <f>+VLOOKUP(Tabla3[[#This Row],[PATENTE]],'BASE DATOS'!F:M,8,0)</f>
        <v>8</v>
      </c>
    </row>
    <row r="1338" spans="1:11" hidden="1">
      <c r="A1338" s="578" t="s">
        <v>916</v>
      </c>
      <c r="B1338" s="584">
        <v>3</v>
      </c>
      <c r="C1338" s="1004">
        <v>46013</v>
      </c>
      <c r="D1338" s="582">
        <f t="shared" si="50"/>
        <v>52</v>
      </c>
      <c r="E1338" s="618" t="str">
        <f>+VLOOKUP(Tabla3[[#This Row],[PATENTE]],'BASE DATOS'!F:G,2,0)</f>
        <v xml:space="preserve">TRANSP MAIDANA CARLOS - EYP088 </v>
      </c>
      <c r="F1338" s="584" t="str">
        <f>+VLOOKUP(Tabla3[[#This Row],[PATENTE]],'BASE DATOS'!F:H,3,0)</f>
        <v>6P</v>
      </c>
      <c r="G1338" s="584" t="str">
        <f>+VLOOKUP(Tabla3[[#This Row],[PATENTE]],'BASE DATOS'!F:I,4,0)</f>
        <v>SI</v>
      </c>
      <c r="H1338" s="584" t="str">
        <f>+VLOOKUP(Tabla3[[#This Row],[PATENTE]],'BASE DATOS'!F:J,5,0)</f>
        <v>SI</v>
      </c>
      <c r="I1338" s="584" t="str">
        <f>+VLOOKUP(Tabla3[[#This Row],[PATENTE]],'BASE DATOS'!F:K,6,0)</f>
        <v>NO</v>
      </c>
      <c r="J1338" s="584">
        <f>+VLOOKUP(Tabla3[[#This Row],[PATENTE]],'BASE DATOS'!F:L,7,0)</f>
        <v>2006</v>
      </c>
      <c r="K1338" s="619">
        <f>+VLOOKUP(Tabla3[[#This Row],[PATENTE]],'BASE DATOS'!F:M,8,0)</f>
        <v>19</v>
      </c>
    </row>
    <row r="1339" spans="1:11" hidden="1">
      <c r="A1339" s="578" t="s">
        <v>901</v>
      </c>
      <c r="B1339" s="584">
        <v>3</v>
      </c>
      <c r="C1339" s="1004">
        <v>46013</v>
      </c>
      <c r="D1339" s="582">
        <f t="shared" si="50"/>
        <v>52</v>
      </c>
      <c r="E1339" s="618" t="str">
        <f>+VLOOKUP(Tabla3[[#This Row],[PATENTE]],'BASE DATOS'!F:G,2,0)</f>
        <v xml:space="preserve">TRANSPORTE  GRACIELA - IYE750 </v>
      </c>
      <c r="F1339" s="584" t="str">
        <f>+VLOOKUP(Tabla3[[#This Row],[PATENTE]],'BASE DATOS'!F:H,3,0)</f>
        <v>1P</v>
      </c>
      <c r="G1339" s="584" t="str">
        <f>+VLOOKUP(Tabla3[[#This Row],[PATENTE]],'BASE DATOS'!F:I,4,0)</f>
        <v>NO</v>
      </c>
      <c r="H1339" s="584" t="str">
        <f>+VLOOKUP(Tabla3[[#This Row],[PATENTE]],'BASE DATOS'!F:J,5,0)</f>
        <v>SI</v>
      </c>
      <c r="I1339" s="584" t="str">
        <f>+VLOOKUP(Tabla3[[#This Row],[PATENTE]],'BASE DATOS'!F:K,6,0)</f>
        <v>NO</v>
      </c>
      <c r="J1339" s="584">
        <f>+VLOOKUP(Tabla3[[#This Row],[PATENTE]],'BASE DATOS'!F:L,7,0)</f>
        <v>2009</v>
      </c>
      <c r="K1339" s="619">
        <f>+VLOOKUP(Tabla3[[#This Row],[PATENTE]],'BASE DATOS'!F:M,8,0)</f>
        <v>16</v>
      </c>
    </row>
    <row r="1340" spans="1:11" hidden="1">
      <c r="A1340" s="578" t="s">
        <v>913</v>
      </c>
      <c r="B1340" s="584">
        <v>3</v>
      </c>
      <c r="C1340" s="1004">
        <v>46013</v>
      </c>
      <c r="D1340" s="582">
        <f t="shared" si="50"/>
        <v>52</v>
      </c>
      <c r="E1340" s="618" t="str">
        <f>+VLOOKUP(Tabla3[[#This Row],[PATENTE]],'BASE DATOS'!F:G,2,0)</f>
        <v xml:space="preserve">TRANSP DON NENO - KSI803 </v>
      </c>
      <c r="F1340" s="584" t="str">
        <f>+VLOOKUP(Tabla3[[#This Row],[PATENTE]],'BASE DATOS'!F:H,3,0)</f>
        <v>2P</v>
      </c>
      <c r="G1340" s="584" t="str">
        <f>+VLOOKUP(Tabla3[[#This Row],[PATENTE]],'BASE DATOS'!F:I,4,0)</f>
        <v>SI</v>
      </c>
      <c r="H1340" s="584" t="str">
        <f>+VLOOKUP(Tabla3[[#This Row],[PATENTE]],'BASE DATOS'!F:J,5,0)</f>
        <v>SI</v>
      </c>
      <c r="I1340" s="584" t="str">
        <f>+VLOOKUP(Tabla3[[#This Row],[PATENTE]],'BASE DATOS'!F:K,6,0)</f>
        <v>NO</v>
      </c>
      <c r="J1340" s="584">
        <f>+VLOOKUP(Tabla3[[#This Row],[PATENTE]],'BASE DATOS'!F:L,7,0)</f>
        <v>2012</v>
      </c>
      <c r="K1340" s="619">
        <f>+VLOOKUP(Tabla3[[#This Row],[PATENTE]],'BASE DATOS'!F:M,8,0)</f>
        <v>13</v>
      </c>
    </row>
    <row r="1341" spans="1:11" hidden="1">
      <c r="A1341" s="578" t="s">
        <v>920</v>
      </c>
      <c r="B1341" s="584">
        <v>3</v>
      </c>
      <c r="C1341" s="1004">
        <v>46013</v>
      </c>
      <c r="D1341" s="582">
        <f t="shared" si="50"/>
        <v>52</v>
      </c>
      <c r="E1341" s="618" t="str">
        <f>+VLOOKUP(Tabla3[[#This Row],[PATENTE]],'BASE DATOS'!F:G,2,0)</f>
        <v xml:space="preserve">TRANSP LAGOS - MRV682 </v>
      </c>
      <c r="F1341" s="584" t="str">
        <f>+VLOOKUP(Tabla3[[#This Row],[PATENTE]],'BASE DATOS'!F:H,3,0)</f>
        <v>8P</v>
      </c>
      <c r="G1341" s="584" t="str">
        <f>+VLOOKUP(Tabla3[[#This Row],[PATENTE]],'BASE DATOS'!F:I,4,0)</f>
        <v>SI</v>
      </c>
      <c r="H1341" s="584" t="str">
        <f>+VLOOKUP(Tabla3[[#This Row],[PATENTE]],'BASE DATOS'!F:J,5,0)</f>
        <v>SI</v>
      </c>
      <c r="I1341" s="584" t="str">
        <f>+VLOOKUP(Tabla3[[#This Row],[PATENTE]],'BASE DATOS'!F:K,6,0)</f>
        <v>NO</v>
      </c>
      <c r="J1341" s="584">
        <f>+VLOOKUP(Tabla3[[#This Row],[PATENTE]],'BASE DATOS'!F:L,7,0)</f>
        <v>2013</v>
      </c>
      <c r="K1341" s="619">
        <f>+VLOOKUP(Tabla3[[#This Row],[PATENTE]],'BASE DATOS'!F:M,8,0)</f>
        <v>12</v>
      </c>
    </row>
    <row r="1342" spans="1:11" hidden="1">
      <c r="A1342" s="578" t="s">
        <v>880</v>
      </c>
      <c r="B1342" s="584">
        <v>2</v>
      </c>
      <c r="C1342" s="1004">
        <v>46013</v>
      </c>
      <c r="D1342" s="582">
        <f t="shared" ref="D1342:D1358" si="51">+WEEKNUM(C1342)</f>
        <v>52</v>
      </c>
      <c r="E1342" s="618" t="str">
        <f>+VLOOKUP(Tabla3[[#This Row],[PATENTE]],'BASE DATOS'!F:G,2,0)</f>
        <v xml:space="preserve">LAURIA (SERVAL) - AD575XK </v>
      </c>
      <c r="F1342" s="584" t="str">
        <f>+VLOOKUP(Tabla3[[#This Row],[PATENTE]],'BASE DATOS'!F:H,3,0)</f>
        <v>8P</v>
      </c>
      <c r="G1342" s="584" t="str">
        <f>+VLOOKUP(Tabla3[[#This Row],[PATENTE]],'BASE DATOS'!F:I,4,0)</f>
        <v>SI</v>
      </c>
      <c r="H1342" s="584" t="str">
        <f>+VLOOKUP(Tabla3[[#This Row],[PATENTE]],'BASE DATOS'!F:J,5,0)</f>
        <v>SI</v>
      </c>
      <c r="I1342" s="584" t="str">
        <f>+VLOOKUP(Tabla3[[#This Row],[PATENTE]],'BASE DATOS'!F:K,6,0)</f>
        <v>NO</v>
      </c>
      <c r="J1342" s="584">
        <f>+VLOOKUP(Tabla3[[#This Row],[PATENTE]],'BASE DATOS'!F:L,7,0)</f>
        <v>2019</v>
      </c>
      <c r="K1342" s="619">
        <f>+VLOOKUP(Tabla3[[#This Row],[PATENTE]],'BASE DATOS'!F:M,8,0)</f>
        <v>6</v>
      </c>
    </row>
    <row r="1343" spans="1:11" hidden="1">
      <c r="A1343" s="578" t="s">
        <v>903</v>
      </c>
      <c r="B1343" s="584">
        <v>2</v>
      </c>
      <c r="C1343" s="1004">
        <v>46013</v>
      </c>
      <c r="D1343" s="582">
        <f t="shared" si="51"/>
        <v>52</v>
      </c>
      <c r="E1343" s="618" t="str">
        <f>+VLOOKUP(Tabla3[[#This Row],[PATENTE]],'BASE DATOS'!F:G,2,0)</f>
        <v xml:space="preserve">TRANSP CLAUDIO BUSTOS - AG243PE </v>
      </c>
      <c r="F1343" s="584" t="str">
        <f>+VLOOKUP(Tabla3[[#This Row],[PATENTE]],'BASE DATOS'!F:H,3,0)</f>
        <v>1P</v>
      </c>
      <c r="G1343" s="584" t="str">
        <f>+VLOOKUP(Tabla3[[#This Row],[PATENTE]],'BASE DATOS'!F:I,4,0)</f>
        <v>SI</v>
      </c>
      <c r="H1343" s="584" t="str">
        <f>+VLOOKUP(Tabla3[[#This Row],[PATENTE]],'BASE DATOS'!F:J,5,0)</f>
        <v>SI</v>
      </c>
      <c r="I1343" s="584" t="str">
        <f>+VLOOKUP(Tabla3[[#This Row],[PATENTE]],'BASE DATOS'!F:K,6,0)</f>
        <v>NO</v>
      </c>
      <c r="J1343" s="584">
        <f>+VLOOKUP(Tabla3[[#This Row],[PATENTE]],'BASE DATOS'!F:L,7,0)</f>
        <v>2024</v>
      </c>
      <c r="K1343" s="619">
        <f>+VLOOKUP(Tabla3[[#This Row],[PATENTE]],'BASE DATOS'!F:M,8,0)</f>
        <v>1</v>
      </c>
    </row>
    <row r="1344" spans="1:11" hidden="1">
      <c r="A1344" s="578" t="s">
        <v>929</v>
      </c>
      <c r="B1344" s="584">
        <v>2</v>
      </c>
      <c r="C1344" s="1004">
        <v>46013</v>
      </c>
      <c r="D1344" s="582">
        <f t="shared" si="51"/>
        <v>52</v>
      </c>
      <c r="E1344" s="618" t="str">
        <f>+VLOOKUP(Tabla3[[#This Row],[PATENTE]],'BASE DATOS'!F:G,2,0)</f>
        <v xml:space="preserve">PRONTOMAR - BAI674 </v>
      </c>
      <c r="F1344" s="584" t="str">
        <f>+VLOOKUP(Tabla3[[#This Row],[PATENTE]],'BASE DATOS'!F:H,3,0)</f>
        <v>14P</v>
      </c>
      <c r="G1344" s="584" t="str">
        <f>+VLOOKUP(Tabla3[[#This Row],[PATENTE]],'BASE DATOS'!F:I,4,0)</f>
        <v>NO</v>
      </c>
      <c r="H1344" s="584" t="str">
        <f>+VLOOKUP(Tabla3[[#This Row],[PATENTE]],'BASE DATOS'!F:J,5,0)</f>
        <v xml:space="preserve">NO </v>
      </c>
      <c r="I1344" s="584" t="str">
        <f>+VLOOKUP(Tabla3[[#This Row],[PATENTE]],'BASE DATOS'!F:K,6,0)</f>
        <v>NO</v>
      </c>
      <c r="J1344" s="584">
        <f>+VLOOKUP(Tabla3[[#This Row],[PATENTE]],'BASE DATOS'!F:L,7,0)</f>
        <v>1996</v>
      </c>
      <c r="K1344" s="619">
        <f>+VLOOKUP(Tabla3[[#This Row],[PATENTE]],'BASE DATOS'!F:M,8,0)</f>
        <v>29</v>
      </c>
    </row>
    <row r="1345" spans="1:11" hidden="1">
      <c r="A1345" s="578" t="s">
        <v>926</v>
      </c>
      <c r="B1345" s="584">
        <v>2</v>
      </c>
      <c r="C1345" s="1004">
        <v>46013</v>
      </c>
      <c r="D1345" s="582">
        <f t="shared" si="51"/>
        <v>52</v>
      </c>
      <c r="E1345" s="618" t="str">
        <f>+VLOOKUP(Tabla3[[#This Row],[PATENTE]],'BASE DATOS'!F:G,2,0)</f>
        <v xml:space="preserve">TRANSPORTE GENA GAIA - DUF042 </v>
      </c>
      <c r="F1345" s="584" t="str">
        <f>+VLOOKUP(Tabla3[[#This Row],[PATENTE]],'BASE DATOS'!F:H,3,0)</f>
        <v>24P</v>
      </c>
      <c r="G1345" s="584" t="str">
        <f>+VLOOKUP(Tabla3[[#This Row],[PATENTE]],'BASE DATOS'!F:I,4,0)</f>
        <v>Gestya</v>
      </c>
      <c r="H1345" s="584" t="str">
        <f>+VLOOKUP(Tabla3[[#This Row],[PATENTE]],'BASE DATOS'!F:J,5,0)</f>
        <v xml:space="preserve">NO </v>
      </c>
      <c r="I1345" s="584" t="str">
        <f>+VLOOKUP(Tabla3[[#This Row],[PATENTE]],'BASE DATOS'!F:K,6,0)</f>
        <v>NO</v>
      </c>
      <c r="J1345" s="584">
        <f>+VLOOKUP(Tabla3[[#This Row],[PATENTE]],'BASE DATOS'!F:L,7,0)</f>
        <v>2001</v>
      </c>
      <c r="K1345" s="619">
        <f>+VLOOKUP(Tabla3[[#This Row],[PATENTE]],'BASE DATOS'!F:M,8,0)</f>
        <v>24</v>
      </c>
    </row>
    <row r="1346" spans="1:11" hidden="1">
      <c r="A1346" s="578" t="s">
        <v>924</v>
      </c>
      <c r="B1346" s="584">
        <v>2</v>
      </c>
      <c r="C1346" s="1004">
        <v>46013</v>
      </c>
      <c r="D1346" s="582">
        <f t="shared" si="51"/>
        <v>52</v>
      </c>
      <c r="E1346" s="618" t="str">
        <f>+VLOOKUP(Tabla3[[#This Row],[PATENTE]],'BASE DATOS'!F:G,2,0)</f>
        <v>TRANSP MAVIR - HRZ429 -16P</v>
      </c>
      <c r="F1346" s="584" t="str">
        <f>+VLOOKUP(Tabla3[[#This Row],[PATENTE]],'BASE DATOS'!F:H,3,0)</f>
        <v>16P</v>
      </c>
      <c r="G1346" s="584" t="str">
        <f>+VLOOKUP(Tabla3[[#This Row],[PATENTE]],'BASE DATOS'!F:I,4,0)</f>
        <v>SI</v>
      </c>
      <c r="H1346" s="584" t="str">
        <f>+VLOOKUP(Tabla3[[#This Row],[PATENTE]],'BASE DATOS'!F:J,5,0)</f>
        <v xml:space="preserve">NO </v>
      </c>
      <c r="I1346" s="584" t="str">
        <f>+VLOOKUP(Tabla3[[#This Row],[PATENTE]],'BASE DATOS'!F:K,6,0)</f>
        <v>NO</v>
      </c>
      <c r="J1346" s="584">
        <f>+VLOOKUP(Tabla3[[#This Row],[PATENTE]],'BASE DATOS'!F:L,7,0)</f>
        <v>2008</v>
      </c>
      <c r="K1346" s="619">
        <f>+VLOOKUP(Tabla3[[#This Row],[PATENTE]],'BASE DATOS'!F:M,8,0)</f>
        <v>17</v>
      </c>
    </row>
    <row r="1347" spans="1:11" hidden="1">
      <c r="A1347" s="578" t="s">
        <v>902</v>
      </c>
      <c r="B1347" s="584">
        <v>2</v>
      </c>
      <c r="C1347" s="1004">
        <v>46013</v>
      </c>
      <c r="D1347" s="582">
        <f t="shared" si="51"/>
        <v>52</v>
      </c>
      <c r="E1347" s="618" t="str">
        <f>+VLOOKUP(Tabla3[[#This Row],[PATENTE]],'BASE DATOS'!F:G,2,0)</f>
        <v xml:space="preserve">GUSTAVO CERQUETTA - KZA644 </v>
      </c>
      <c r="F1347" s="584" t="str">
        <f>+VLOOKUP(Tabla3[[#This Row],[PATENTE]],'BASE DATOS'!F:H,3,0)</f>
        <v>2P</v>
      </c>
      <c r="G1347" s="584" t="str">
        <f>+VLOOKUP(Tabla3[[#This Row],[PATENTE]],'BASE DATOS'!F:I,4,0)</f>
        <v>NO</v>
      </c>
      <c r="H1347" s="584" t="str">
        <f>+VLOOKUP(Tabla3[[#This Row],[PATENTE]],'BASE DATOS'!F:J,5,0)</f>
        <v>SI</v>
      </c>
      <c r="I1347" s="584" t="str">
        <f>+VLOOKUP(Tabla3[[#This Row],[PATENTE]],'BASE DATOS'!F:K,6,0)</f>
        <v>NO</v>
      </c>
      <c r="J1347" s="584">
        <f>+VLOOKUP(Tabla3[[#This Row],[PATENTE]],'BASE DATOS'!F:L,7,0)</f>
        <v>2012</v>
      </c>
      <c r="K1347" s="619">
        <f>+VLOOKUP(Tabla3[[#This Row],[PATENTE]],'BASE DATOS'!F:M,8,0)</f>
        <v>13</v>
      </c>
    </row>
    <row r="1348" spans="1:11" hidden="1">
      <c r="A1348" s="578" t="s">
        <v>906</v>
      </c>
      <c r="B1348" s="584">
        <v>1</v>
      </c>
      <c r="C1348" s="1004">
        <v>46013</v>
      </c>
      <c r="D1348" s="582">
        <f t="shared" si="51"/>
        <v>52</v>
      </c>
      <c r="E1348" s="618" t="str">
        <f>+VLOOKUP(Tabla3[[#This Row],[PATENTE]],'BASE DATOS'!F:G,2,0)</f>
        <v xml:space="preserve">VAZQUEZ (TRV SRL) - AD472GK </v>
      </c>
      <c r="F1348" s="584" t="str">
        <f>+VLOOKUP(Tabla3[[#This Row],[PATENTE]],'BASE DATOS'!F:H,3,0)</f>
        <v>8P</v>
      </c>
      <c r="G1348" s="584" t="str">
        <f>+VLOOKUP(Tabla3[[#This Row],[PATENTE]],'BASE DATOS'!F:I,4,0)</f>
        <v>NO</v>
      </c>
      <c r="H1348" s="584" t="str">
        <f>+VLOOKUP(Tabla3[[#This Row],[PATENTE]],'BASE DATOS'!F:J,5,0)</f>
        <v>NO</v>
      </c>
      <c r="I1348" s="584" t="str">
        <f>+VLOOKUP(Tabla3[[#This Row],[PATENTE]],'BASE DATOS'!F:K,6,0)</f>
        <v>SI</v>
      </c>
      <c r="J1348" s="584">
        <f>+VLOOKUP(Tabla3[[#This Row],[PATENTE]],'BASE DATOS'!F:L,7,0)</f>
        <v>2019</v>
      </c>
      <c r="K1348" s="619">
        <f>+VLOOKUP(Tabla3[[#This Row],[PATENTE]],'BASE DATOS'!F:M,8,0)</f>
        <v>6</v>
      </c>
    </row>
    <row r="1349" spans="1:11" hidden="1">
      <c r="A1349" s="578" t="s">
        <v>942</v>
      </c>
      <c r="B1349" s="584">
        <v>1</v>
      </c>
      <c r="C1349" s="1004">
        <v>46013</v>
      </c>
      <c r="D1349" s="582">
        <f t="shared" si="51"/>
        <v>52</v>
      </c>
      <c r="E1349" s="618" t="str">
        <f>+VLOOKUP(Tabla3[[#This Row],[PATENTE]],'BASE DATOS'!F:G,2,0)</f>
        <v>GANZINI HUGO - AH599 - 1P</v>
      </c>
      <c r="F1349" s="584" t="str">
        <f>+VLOOKUP(Tabla3[[#This Row],[PATENTE]],'BASE DATOS'!F:H,3,0)</f>
        <v>1P</v>
      </c>
      <c r="G1349" s="584" t="str">
        <f>+VLOOKUP(Tabla3[[#This Row],[PATENTE]],'BASE DATOS'!F:I,4,0)</f>
        <v>NO</v>
      </c>
      <c r="H1349" s="584" t="str">
        <f>+VLOOKUP(Tabla3[[#This Row],[PATENTE]],'BASE DATOS'!F:J,5,0)</f>
        <v>NO</v>
      </c>
      <c r="I1349" s="584" t="str">
        <f>+VLOOKUP(Tabla3[[#This Row],[PATENTE]],'BASE DATOS'!F:K,6,0)</f>
        <v>NO</v>
      </c>
      <c r="J1349" s="584">
        <f>+VLOOKUP(Tabla3[[#This Row],[PATENTE]],'BASE DATOS'!F:L,7,0)</f>
        <v>2025</v>
      </c>
      <c r="K1349" s="619">
        <f>+VLOOKUP(Tabla3[[#This Row],[PATENTE]],'BASE DATOS'!F:M,8,0)</f>
        <v>0</v>
      </c>
    </row>
    <row r="1350" spans="1:11" hidden="1">
      <c r="A1350" s="578" t="s">
        <v>944</v>
      </c>
      <c r="B1350" s="584">
        <v>1</v>
      </c>
      <c r="C1350" s="1004">
        <v>46013</v>
      </c>
      <c r="D1350" s="582">
        <f t="shared" si="51"/>
        <v>52</v>
      </c>
      <c r="E1350" s="618" t="str">
        <f>+VLOOKUP(Tabla3[[#This Row],[PATENTE]],'BASE DATOS'!F:G,2,0)</f>
        <v xml:space="preserve">TRANSPORTE GENA GAIA - BHG261 </v>
      </c>
      <c r="F1350" s="584" t="str">
        <f>+VLOOKUP(Tabla3[[#This Row],[PATENTE]],'BASE DATOS'!F:H,3,0)</f>
        <v>26P</v>
      </c>
      <c r="G1350" s="584" t="str">
        <f>+VLOOKUP(Tabla3[[#This Row],[PATENTE]],'BASE DATOS'!F:I,4,0)</f>
        <v>Gestya</v>
      </c>
      <c r="H1350" s="584" t="str">
        <f>+VLOOKUP(Tabla3[[#This Row],[PATENTE]],'BASE DATOS'!F:J,5,0)</f>
        <v xml:space="preserve">NO </v>
      </c>
      <c r="I1350" s="584" t="str">
        <f>+VLOOKUP(Tabla3[[#This Row],[PATENTE]],'BASE DATOS'!F:K,6,0)</f>
        <v>NO</v>
      </c>
      <c r="J1350" s="584">
        <f>+VLOOKUP(Tabla3[[#This Row],[PATENTE]],'BASE DATOS'!F:L,7,0)</f>
        <v>1997</v>
      </c>
      <c r="K1350" s="619">
        <f>+VLOOKUP(Tabla3[[#This Row],[PATENTE]],'BASE DATOS'!F:M,8,0)</f>
        <v>28</v>
      </c>
    </row>
    <row r="1351" spans="1:11" hidden="1">
      <c r="A1351" s="578" t="s">
        <v>887</v>
      </c>
      <c r="B1351" s="584">
        <v>1</v>
      </c>
      <c r="C1351" s="1004">
        <v>46013</v>
      </c>
      <c r="D1351" s="582">
        <f t="shared" si="51"/>
        <v>52</v>
      </c>
      <c r="E1351" s="618" t="str">
        <f>+VLOOKUP(Tabla3[[#This Row],[PATENTE]],'BASE DATOS'!F:G,2,0)</f>
        <v>ENRIQUE ROLLINO - BXB394</v>
      </c>
      <c r="F1351" s="584" t="str">
        <f>+VLOOKUP(Tabla3[[#This Row],[PATENTE]],'BASE DATOS'!F:H,3,0)</f>
        <v>2P</v>
      </c>
      <c r="G1351" s="584" t="str">
        <f>+VLOOKUP(Tabla3[[#This Row],[PATENTE]],'BASE DATOS'!F:I,4,0)</f>
        <v>SI</v>
      </c>
      <c r="H1351" s="584" t="str">
        <f>+VLOOKUP(Tabla3[[#This Row],[PATENTE]],'BASE DATOS'!F:J,5,0)</f>
        <v>SI</v>
      </c>
      <c r="I1351" s="584" t="str">
        <f>+VLOOKUP(Tabla3[[#This Row],[PATENTE]],'BASE DATOS'!F:K,6,0)</f>
        <v>NO</v>
      </c>
      <c r="J1351" s="584">
        <f>+VLOOKUP(Tabla3[[#This Row],[PATENTE]],'BASE DATOS'!F:L,7,0)</f>
        <v>1998</v>
      </c>
      <c r="K1351" s="619">
        <f>+VLOOKUP(Tabla3[[#This Row],[PATENTE]],'BASE DATOS'!F:M,8,0)</f>
        <v>27</v>
      </c>
    </row>
    <row r="1352" spans="1:11" hidden="1">
      <c r="A1352" s="578" t="s">
        <v>893</v>
      </c>
      <c r="B1352" s="584">
        <v>1</v>
      </c>
      <c r="C1352" s="1004">
        <v>46013</v>
      </c>
      <c r="D1352" s="582">
        <f t="shared" si="51"/>
        <v>52</v>
      </c>
      <c r="E1352" s="618" t="str">
        <f>+VLOOKUP(Tabla3[[#This Row],[PATENTE]],'BASE DATOS'!F:G,2,0)</f>
        <v xml:space="preserve">GANZINI HUGO - CFF038 </v>
      </c>
      <c r="F1352" s="584" t="str">
        <f>+VLOOKUP(Tabla3[[#This Row],[PATENTE]],'BASE DATOS'!F:H,3,0)</f>
        <v>2P</v>
      </c>
      <c r="G1352" s="584" t="str">
        <f>+VLOOKUP(Tabla3[[#This Row],[PATENTE]],'BASE DATOS'!F:I,4,0)</f>
        <v>SI</v>
      </c>
      <c r="H1352" s="584" t="str">
        <f>+VLOOKUP(Tabla3[[#This Row],[PATENTE]],'BASE DATOS'!F:J,5,0)</f>
        <v>SI</v>
      </c>
      <c r="I1352" s="584" t="str">
        <f>+VLOOKUP(Tabla3[[#This Row],[PATENTE]],'BASE DATOS'!F:K,6,0)</f>
        <v>NO</v>
      </c>
      <c r="J1352" s="584">
        <f>+VLOOKUP(Tabla3[[#This Row],[PATENTE]],'BASE DATOS'!F:L,7,0)</f>
        <v>1999</v>
      </c>
      <c r="K1352" s="619">
        <f>+VLOOKUP(Tabla3[[#This Row],[PATENTE]],'BASE DATOS'!F:M,8,0)</f>
        <v>26</v>
      </c>
    </row>
    <row r="1353" spans="1:11" hidden="1">
      <c r="A1353" s="578" t="s">
        <v>927</v>
      </c>
      <c r="B1353" s="584">
        <v>1</v>
      </c>
      <c r="C1353" s="1004">
        <v>46013</v>
      </c>
      <c r="D1353" s="582">
        <f t="shared" si="51"/>
        <v>52</v>
      </c>
      <c r="E1353" s="618" t="str">
        <f>+VLOOKUP(Tabla3[[#This Row],[PATENTE]],'BASE DATOS'!F:G,2,0)</f>
        <v xml:space="preserve">TRANSP MAVIR - EKE275 </v>
      </c>
      <c r="F1353" s="584" t="str">
        <f>+VLOOKUP(Tabla3[[#This Row],[PATENTE]],'BASE DATOS'!F:H,3,0)</f>
        <v>11P</v>
      </c>
      <c r="G1353" s="584" t="str">
        <f>+VLOOKUP(Tabla3[[#This Row],[PATENTE]],'BASE DATOS'!F:I,4,0)</f>
        <v>NO</v>
      </c>
      <c r="H1353" s="584" t="str">
        <f>+VLOOKUP(Tabla3[[#This Row],[PATENTE]],'BASE DATOS'!F:J,5,0)</f>
        <v xml:space="preserve">NO </v>
      </c>
      <c r="I1353" s="584" t="str">
        <f>+VLOOKUP(Tabla3[[#This Row],[PATENTE]],'BASE DATOS'!F:K,6,0)</f>
        <v>NO</v>
      </c>
      <c r="J1353" s="584">
        <f>+VLOOKUP(Tabla3[[#This Row],[PATENTE]],'BASE DATOS'!F:L,7,0)</f>
        <v>2004</v>
      </c>
      <c r="K1353" s="619">
        <f>+VLOOKUP(Tabla3[[#This Row],[PATENTE]],'BASE DATOS'!F:M,8,0)</f>
        <v>21</v>
      </c>
    </row>
    <row r="1354" spans="1:11" hidden="1">
      <c r="A1354" s="578" t="s">
        <v>915</v>
      </c>
      <c r="B1354" s="584">
        <v>1</v>
      </c>
      <c r="C1354" s="1004">
        <v>46013</v>
      </c>
      <c r="D1354" s="582">
        <f t="shared" si="51"/>
        <v>52</v>
      </c>
      <c r="E1354" s="618" t="str">
        <f>+VLOOKUP(Tabla3[[#This Row],[PATENTE]],'BASE DATOS'!F:G,2,0)</f>
        <v>TRANSPORTE GRACIELA - FPL254</v>
      </c>
      <c r="F1354" s="584" t="str">
        <f>+VLOOKUP(Tabla3[[#This Row],[PATENTE]],'BASE DATOS'!F:H,3,0)</f>
        <v>2P</v>
      </c>
      <c r="G1354" s="584" t="str">
        <f>+VLOOKUP(Tabla3[[#This Row],[PATENTE]],'BASE DATOS'!F:I,4,0)</f>
        <v>SI</v>
      </c>
      <c r="H1354" s="584" t="str">
        <f>+VLOOKUP(Tabla3[[#This Row],[PATENTE]],'BASE DATOS'!F:J,5,0)</f>
        <v>NO (CAMI)</v>
      </c>
      <c r="I1354" s="584" t="str">
        <f>+VLOOKUP(Tabla3[[#This Row],[PATENTE]],'BASE DATOS'!F:K,6,0)</f>
        <v>NO</v>
      </c>
      <c r="J1354" s="584">
        <f>+VLOOKUP(Tabla3[[#This Row],[PATENTE]],'BASE DATOS'!F:L,7,0)</f>
        <v>2012</v>
      </c>
      <c r="K1354" s="619">
        <f>+VLOOKUP(Tabla3[[#This Row],[PATENTE]],'BASE DATOS'!F:M,8,0)</f>
        <v>13</v>
      </c>
    </row>
    <row r="1355" spans="1:11" hidden="1">
      <c r="A1355" s="578" t="s">
        <v>892</v>
      </c>
      <c r="B1355" s="584">
        <v>1</v>
      </c>
      <c r="C1355" s="1004">
        <v>46013</v>
      </c>
      <c r="D1355" s="582">
        <f t="shared" si="51"/>
        <v>52</v>
      </c>
      <c r="E1355" s="618" t="str">
        <f>+VLOOKUP(Tabla3[[#This Row],[PATENTE]],'BASE DATOS'!F:G,2,0)</f>
        <v xml:space="preserve">COLO - FTL525 </v>
      </c>
      <c r="F1355" s="584" t="str">
        <f>+VLOOKUP(Tabla3[[#This Row],[PATENTE]],'BASE DATOS'!F:H,3,0)</f>
        <v>1P</v>
      </c>
      <c r="G1355" s="584" t="str">
        <f>+VLOOKUP(Tabla3[[#This Row],[PATENTE]],'BASE DATOS'!F:I,4,0)</f>
        <v>NO</v>
      </c>
      <c r="H1355" s="584" t="str">
        <f>+VLOOKUP(Tabla3[[#This Row],[PATENTE]],'BASE DATOS'!F:J,5,0)</f>
        <v>SI</v>
      </c>
      <c r="I1355" s="584" t="str">
        <f>+VLOOKUP(Tabla3[[#This Row],[PATENTE]],'BASE DATOS'!F:K,6,0)</f>
        <v>NO</v>
      </c>
      <c r="J1355" s="584">
        <f>+VLOOKUP(Tabla3[[#This Row],[PATENTE]],'BASE DATOS'!F:L,7,0)</f>
        <v>2008</v>
      </c>
      <c r="K1355" s="619">
        <f>+VLOOKUP(Tabla3[[#This Row],[PATENTE]],'BASE DATOS'!F:M,8,0)</f>
        <v>17</v>
      </c>
    </row>
    <row r="1356" spans="1:11" hidden="1">
      <c r="A1356" s="578" t="s">
        <v>933</v>
      </c>
      <c r="B1356" s="584">
        <v>1</v>
      </c>
      <c r="C1356" s="1004">
        <v>46013</v>
      </c>
      <c r="D1356" s="582">
        <f t="shared" si="51"/>
        <v>52</v>
      </c>
      <c r="E1356" s="618" t="str">
        <f>+VLOOKUP(Tabla3[[#This Row],[PATENTE]],'BASE DATOS'!F:G,2,0)</f>
        <v xml:space="preserve">TRANSPORTE GENA GAIA - IKE806 </v>
      </c>
      <c r="F1356" s="584" t="str">
        <f>+VLOOKUP(Tabla3[[#This Row],[PATENTE]],'BASE DATOS'!F:H,3,0)</f>
        <v>24P</v>
      </c>
      <c r="G1356" s="584" t="str">
        <f>+VLOOKUP(Tabla3[[#This Row],[PATENTE]],'BASE DATOS'!F:I,4,0)</f>
        <v>Gestya</v>
      </c>
      <c r="H1356" s="584" t="str">
        <f>+VLOOKUP(Tabla3[[#This Row],[PATENTE]],'BASE DATOS'!F:J,5,0)</f>
        <v xml:space="preserve">NO </v>
      </c>
      <c r="I1356" s="584" t="str">
        <f>+VLOOKUP(Tabla3[[#This Row],[PATENTE]],'BASE DATOS'!F:K,6,0)</f>
        <v>NO</v>
      </c>
      <c r="J1356" s="584">
        <f>+VLOOKUP(Tabla3[[#This Row],[PATENTE]],'BASE DATOS'!F:L,7,0)</f>
        <v>2010</v>
      </c>
      <c r="K1356" s="619">
        <f>+VLOOKUP(Tabla3[[#This Row],[PATENTE]],'BASE DATOS'!F:M,8,0)</f>
        <v>15</v>
      </c>
    </row>
    <row r="1357" spans="1:11" hidden="1">
      <c r="A1357" s="578" t="s">
        <v>900</v>
      </c>
      <c r="B1357" s="584">
        <v>1</v>
      </c>
      <c r="C1357" s="1004">
        <v>46013</v>
      </c>
      <c r="D1357" s="582">
        <f t="shared" si="51"/>
        <v>52</v>
      </c>
      <c r="E1357" s="618" t="str">
        <f>+VLOOKUP(Tabla3[[#This Row],[PATENTE]],'BASE DATOS'!F:G,2,0)</f>
        <v>TRANSPORTE GENA GAIA - IMO939</v>
      </c>
      <c r="F1357" s="584" t="str">
        <f>+VLOOKUP(Tabla3[[#This Row],[PATENTE]],'BASE DATOS'!F:H,3,0)</f>
        <v>24P</v>
      </c>
      <c r="G1357" s="584" t="str">
        <f>+VLOOKUP(Tabla3[[#This Row],[PATENTE]],'BASE DATOS'!F:I,4,0)</f>
        <v>Gestya</v>
      </c>
      <c r="H1357" s="584" t="str">
        <f>+VLOOKUP(Tabla3[[#This Row],[PATENTE]],'BASE DATOS'!F:J,5,0)</f>
        <v xml:space="preserve">NO </v>
      </c>
      <c r="I1357" s="584" t="str">
        <f>+VLOOKUP(Tabla3[[#This Row],[PATENTE]],'BASE DATOS'!F:K,6,0)</f>
        <v>NO</v>
      </c>
      <c r="J1357" s="584">
        <f>+VLOOKUP(Tabla3[[#This Row],[PATENTE]],'BASE DATOS'!F:L,7,0)</f>
        <v>2010</v>
      </c>
      <c r="K1357" s="619">
        <f>+VLOOKUP(Tabla3[[#This Row],[PATENTE]],'BASE DATOS'!F:M,8,0)</f>
        <v>15</v>
      </c>
    </row>
    <row r="1358" spans="1:11" hidden="1">
      <c r="A1358" s="578" t="s">
        <v>943</v>
      </c>
      <c r="B1358" s="584">
        <v>1</v>
      </c>
      <c r="C1358" s="1004">
        <v>46013</v>
      </c>
      <c r="D1358" s="582">
        <f t="shared" si="51"/>
        <v>52</v>
      </c>
      <c r="E1358" s="618" t="str">
        <f>+VLOOKUP(Tabla3[[#This Row],[PATENTE]],'BASE DATOS'!F:G,2,0)</f>
        <v>GANZINI HUGO - KTJ626</v>
      </c>
      <c r="F1358" s="584" t="str">
        <f>+VLOOKUP(Tabla3[[#This Row],[PATENTE]],'BASE DATOS'!F:H,3,0)</f>
        <v>8P</v>
      </c>
      <c r="G1358" s="584" t="str">
        <f>+VLOOKUP(Tabla3[[#This Row],[PATENTE]],'BASE DATOS'!F:I,4,0)</f>
        <v>NO</v>
      </c>
      <c r="H1358" s="584" t="str">
        <f>+VLOOKUP(Tabla3[[#This Row],[PATENTE]],'BASE DATOS'!F:J,5,0)</f>
        <v xml:space="preserve">NO </v>
      </c>
      <c r="I1358" s="584" t="str">
        <f>+VLOOKUP(Tabla3[[#This Row],[PATENTE]],'BASE DATOS'!F:K,6,0)</f>
        <v>NO</v>
      </c>
      <c r="J1358" s="584">
        <f>+VLOOKUP(Tabla3[[#This Row],[PATENTE]],'BASE DATOS'!F:L,7,0)</f>
        <v>2011</v>
      </c>
      <c r="K1358" s="619">
        <f>+VLOOKUP(Tabla3[[#This Row],[PATENTE]],'BASE DATOS'!F:M,8,0)</f>
        <v>14</v>
      </c>
    </row>
    <row r="1359" spans="1:11" hidden="1">
      <c r="A1359" s="578" t="s">
        <v>898</v>
      </c>
      <c r="B1359" s="584">
        <v>4</v>
      </c>
      <c r="C1359" s="589">
        <v>46020</v>
      </c>
      <c r="D1359" s="582">
        <f t="shared" ref="D1359:D1406" si="52">+WEEKNUM(C1359)</f>
        <v>53</v>
      </c>
      <c r="E1359" s="618" t="str">
        <f>+VLOOKUP(Tabla3[[#This Row],[PATENTE]],'BASE DATOS'!F:G,2,0)</f>
        <v xml:space="preserve">TRANSP BERMEJO - NXP980 </v>
      </c>
      <c r="F1359" s="584" t="str">
        <f>+VLOOKUP(Tabla3[[#This Row],[PATENTE]],'BASE DATOS'!F:H,3,0)</f>
        <v>12P</v>
      </c>
      <c r="G1359" s="584" t="str">
        <f>+VLOOKUP(Tabla3[[#This Row],[PATENTE]],'BASE DATOS'!F:I,4,0)</f>
        <v>SI</v>
      </c>
      <c r="H1359" s="584" t="str">
        <f>+VLOOKUP(Tabla3[[#This Row],[PATENTE]],'BASE DATOS'!F:J,5,0)</f>
        <v>SI</v>
      </c>
      <c r="I1359" s="584" t="str">
        <f>+VLOOKUP(Tabla3[[#This Row],[PATENTE]],'BASE DATOS'!F:K,6,0)</f>
        <v>SI</v>
      </c>
      <c r="J1359" s="584">
        <f>+VLOOKUP(Tabla3[[#This Row],[PATENTE]],'BASE DATOS'!F:L,7,0)</f>
        <v>2015</v>
      </c>
      <c r="K1359" s="619">
        <f>+VLOOKUP(Tabla3[[#This Row],[PATENTE]],'BASE DATOS'!F:M,8,0)</f>
        <v>10</v>
      </c>
    </row>
    <row r="1360" spans="1:11" hidden="1">
      <c r="A1360" s="578" t="s">
        <v>936</v>
      </c>
      <c r="B1360" s="584">
        <v>3</v>
      </c>
      <c r="C1360" s="589">
        <v>46020</v>
      </c>
      <c r="D1360" s="582">
        <f t="shared" si="52"/>
        <v>53</v>
      </c>
      <c r="E1360" s="618" t="str">
        <f>+VLOOKUP(Tabla3[[#This Row],[PATENTE]],'BASE DATOS'!F:G,2,0)</f>
        <v>TRANSP YANINA  LUONGO - AA050HC</v>
      </c>
      <c r="F1360" s="584" t="str">
        <f>+VLOOKUP(Tabla3[[#This Row],[PATENTE]],'BASE DATOS'!F:H,3,0)</f>
        <v>1.5P</v>
      </c>
      <c r="G1360" s="584" t="str">
        <f>+VLOOKUP(Tabla3[[#This Row],[PATENTE]],'BASE DATOS'!F:I,4,0)</f>
        <v>NO</v>
      </c>
      <c r="H1360" s="584" t="str">
        <f>+VLOOKUP(Tabla3[[#This Row],[PATENTE]],'BASE DATOS'!F:J,5,0)</f>
        <v>SI</v>
      </c>
      <c r="I1360" s="584" t="str">
        <f>+VLOOKUP(Tabla3[[#This Row],[PATENTE]],'BASE DATOS'!F:K,6,0)</f>
        <v>NO</v>
      </c>
      <c r="J1360" s="584">
        <f>+VLOOKUP(Tabla3[[#This Row],[PATENTE]],'BASE DATOS'!F:L,7,0)</f>
        <v>2016</v>
      </c>
      <c r="K1360" s="619">
        <f>+VLOOKUP(Tabla3[[#This Row],[PATENTE]],'BASE DATOS'!F:M,8,0)</f>
        <v>9</v>
      </c>
    </row>
    <row r="1361" spans="1:11" hidden="1">
      <c r="A1361" s="578" t="s">
        <v>905</v>
      </c>
      <c r="B1361" s="584">
        <v>3</v>
      </c>
      <c r="C1361" s="589">
        <v>46020</v>
      </c>
      <c r="D1361" s="582">
        <f t="shared" si="52"/>
        <v>53</v>
      </c>
      <c r="E1361" s="618" t="str">
        <f>+VLOOKUP(Tabla3[[#This Row],[PATENTE]],'BASE DATOS'!F:G,2,0)</f>
        <v xml:space="preserve">J RIMOLDI - AB312SE </v>
      </c>
      <c r="F1361" s="584" t="str">
        <f>+VLOOKUP(Tabla3[[#This Row],[PATENTE]],'BASE DATOS'!F:H,3,0)</f>
        <v>8P</v>
      </c>
      <c r="G1361" s="584" t="str">
        <f>+VLOOKUP(Tabla3[[#This Row],[PATENTE]],'BASE DATOS'!F:I,4,0)</f>
        <v>SI</v>
      </c>
      <c r="H1361" s="584" t="str">
        <f>+VLOOKUP(Tabla3[[#This Row],[PATENTE]],'BASE DATOS'!F:J,5,0)</f>
        <v>SI</v>
      </c>
      <c r="I1361" s="584" t="str">
        <f>+VLOOKUP(Tabla3[[#This Row],[PATENTE]],'BASE DATOS'!F:K,6,0)</f>
        <v>NO</v>
      </c>
      <c r="J1361" s="584">
        <f>+VLOOKUP(Tabla3[[#This Row],[PATENTE]],'BASE DATOS'!F:L,7,0)</f>
        <v>2017</v>
      </c>
      <c r="K1361" s="619">
        <f>+VLOOKUP(Tabla3[[#This Row],[PATENTE]],'BASE DATOS'!F:M,8,0)</f>
        <v>8</v>
      </c>
    </row>
    <row r="1362" spans="1:11" hidden="1">
      <c r="A1362" s="578" t="s">
        <v>883</v>
      </c>
      <c r="B1362" s="584">
        <v>3</v>
      </c>
      <c r="C1362" s="589">
        <v>46020</v>
      </c>
      <c r="D1362" s="582">
        <f t="shared" si="52"/>
        <v>53</v>
      </c>
      <c r="E1362" s="618" t="str">
        <f>+VLOOKUP(Tabla3[[#This Row],[PATENTE]],'BASE DATOS'!F:G,2,0)</f>
        <v xml:space="preserve">PACHECO JULIO - ACI503 </v>
      </c>
      <c r="F1362" s="584" t="str">
        <f>+VLOOKUP(Tabla3[[#This Row],[PATENTE]],'BASE DATOS'!F:H,3,0)</f>
        <v>12P</v>
      </c>
      <c r="G1362" s="584" t="str">
        <f>+VLOOKUP(Tabla3[[#This Row],[PATENTE]],'BASE DATOS'!F:I,4,0)</f>
        <v>NO</v>
      </c>
      <c r="H1362" s="584" t="str">
        <f>+VLOOKUP(Tabla3[[#This Row],[PATENTE]],'BASE DATOS'!F:J,5,0)</f>
        <v>SI</v>
      </c>
      <c r="I1362" s="584" t="str">
        <f>+VLOOKUP(Tabla3[[#This Row],[PATENTE]],'BASE DATOS'!F:K,6,0)</f>
        <v>SI</v>
      </c>
      <c r="J1362" s="584">
        <f>+VLOOKUP(Tabla3[[#This Row],[PATENTE]],'BASE DATOS'!F:L,7,0)</f>
        <v>2000</v>
      </c>
      <c r="K1362" s="619">
        <f>+VLOOKUP(Tabla3[[#This Row],[PATENTE]],'BASE DATOS'!F:M,8,0)</f>
        <v>25</v>
      </c>
    </row>
    <row r="1363" spans="1:11" hidden="1">
      <c r="A1363" s="578" t="s">
        <v>922</v>
      </c>
      <c r="B1363" s="584">
        <v>3</v>
      </c>
      <c r="C1363" s="589">
        <v>46020</v>
      </c>
      <c r="D1363" s="582">
        <f t="shared" si="52"/>
        <v>53</v>
      </c>
      <c r="E1363" s="618" t="str">
        <f>+VLOOKUP(Tabla3[[#This Row],[PATENTE]],'BASE DATOS'!F:G,2,0)</f>
        <v>LAURIA (SERVAL) - AF342ZY</v>
      </c>
      <c r="F1363" s="584" t="str">
        <f>+VLOOKUP(Tabla3[[#This Row],[PATENTE]],'BASE DATOS'!F:H,3,0)</f>
        <v>8P</v>
      </c>
      <c r="G1363" s="584" t="str">
        <f>+VLOOKUP(Tabla3[[#This Row],[PATENTE]],'BASE DATOS'!F:I,4,0)</f>
        <v>SI</v>
      </c>
      <c r="H1363" s="584" t="str">
        <f>+VLOOKUP(Tabla3[[#This Row],[PATENTE]],'BASE DATOS'!F:J,5,0)</f>
        <v>SI</v>
      </c>
      <c r="I1363" s="584" t="str">
        <f>+VLOOKUP(Tabla3[[#This Row],[PATENTE]],'BASE DATOS'!F:K,6,0)</f>
        <v>NO</v>
      </c>
      <c r="J1363" s="584">
        <f>+VLOOKUP(Tabla3[[#This Row],[PATENTE]],'BASE DATOS'!F:L,7,0)</f>
        <v>2022</v>
      </c>
      <c r="K1363" s="619">
        <f>+VLOOKUP(Tabla3[[#This Row],[PATENTE]],'BASE DATOS'!F:M,8,0)</f>
        <v>3</v>
      </c>
    </row>
    <row r="1364" spans="1:11" hidden="1">
      <c r="A1364" s="578" t="s">
        <v>895</v>
      </c>
      <c r="B1364" s="584">
        <v>3</v>
      </c>
      <c r="C1364" s="589">
        <v>46020</v>
      </c>
      <c r="D1364" s="582">
        <f t="shared" si="52"/>
        <v>53</v>
      </c>
      <c r="E1364" s="618" t="str">
        <f>+VLOOKUP(Tabla3[[#This Row],[PATENTE]],'BASE DATOS'!F:G,2,0)</f>
        <v xml:space="preserve">TRANSPORTE MICAELA </v>
      </c>
      <c r="F1364" s="584" t="str">
        <f>+VLOOKUP(Tabla3[[#This Row],[PATENTE]],'BASE DATOS'!F:H,3,0)</f>
        <v>2P</v>
      </c>
      <c r="G1364" s="584" t="str">
        <f>+VLOOKUP(Tabla3[[#This Row],[PATENTE]],'BASE DATOS'!F:I,4,0)</f>
        <v>NO</v>
      </c>
      <c r="H1364" s="584" t="str">
        <f>+VLOOKUP(Tabla3[[#This Row],[PATENTE]],'BASE DATOS'!F:J,5,0)</f>
        <v>SI</v>
      </c>
      <c r="I1364" s="584" t="str">
        <f>+VLOOKUP(Tabla3[[#This Row],[PATENTE]],'BASE DATOS'!F:K,6,0)</f>
        <v>NO</v>
      </c>
      <c r="J1364" s="584">
        <f>+VLOOKUP(Tabla3[[#This Row],[PATENTE]],'BASE DATOS'!F:L,7,0)</f>
        <v>2024</v>
      </c>
      <c r="K1364" s="619">
        <f>+VLOOKUP(Tabla3[[#This Row],[PATENTE]],'BASE DATOS'!F:M,8,0)</f>
        <v>1</v>
      </c>
    </row>
    <row r="1365" spans="1:11" hidden="1">
      <c r="A1365" s="578" t="s">
        <v>903</v>
      </c>
      <c r="B1365" s="584">
        <v>3</v>
      </c>
      <c r="C1365" s="589">
        <v>46020</v>
      </c>
      <c r="D1365" s="582">
        <f t="shared" si="52"/>
        <v>53</v>
      </c>
      <c r="E1365" s="618" t="str">
        <f>+VLOOKUP(Tabla3[[#This Row],[PATENTE]],'BASE DATOS'!F:G,2,0)</f>
        <v xml:space="preserve">TRANSP CLAUDIO BUSTOS - AG243PE </v>
      </c>
      <c r="F1365" s="584" t="str">
        <f>+VLOOKUP(Tabla3[[#This Row],[PATENTE]],'BASE DATOS'!F:H,3,0)</f>
        <v>1P</v>
      </c>
      <c r="G1365" s="584" t="str">
        <f>+VLOOKUP(Tabla3[[#This Row],[PATENTE]],'BASE DATOS'!F:I,4,0)</f>
        <v>SI</v>
      </c>
      <c r="H1365" s="584" t="str">
        <f>+VLOOKUP(Tabla3[[#This Row],[PATENTE]],'BASE DATOS'!F:J,5,0)</f>
        <v>SI</v>
      </c>
      <c r="I1365" s="584" t="str">
        <f>+VLOOKUP(Tabla3[[#This Row],[PATENTE]],'BASE DATOS'!F:K,6,0)</f>
        <v>NO</v>
      </c>
      <c r="J1365" s="584">
        <f>+VLOOKUP(Tabla3[[#This Row],[PATENTE]],'BASE DATOS'!F:L,7,0)</f>
        <v>2024</v>
      </c>
      <c r="K1365" s="619">
        <f>+VLOOKUP(Tabla3[[#This Row],[PATENTE]],'BASE DATOS'!F:M,8,0)</f>
        <v>1</v>
      </c>
    </row>
    <row r="1366" spans="1:11" hidden="1">
      <c r="A1366" s="578" t="s">
        <v>907</v>
      </c>
      <c r="B1366" s="584">
        <v>3</v>
      </c>
      <c r="C1366" s="589">
        <v>46020</v>
      </c>
      <c r="D1366" s="582">
        <f t="shared" si="52"/>
        <v>53</v>
      </c>
      <c r="E1366" s="618" t="str">
        <f>+VLOOKUP(Tabla3[[#This Row],[PATENTE]],'BASE DATOS'!F:G,2,0)</f>
        <v xml:space="preserve">LAURIA (SERVAL) - AH583GW </v>
      </c>
      <c r="F1366" s="584" t="str">
        <f>+VLOOKUP(Tabla3[[#This Row],[PATENTE]],'BASE DATOS'!F:H,3,0)</f>
        <v>8P</v>
      </c>
      <c r="G1366" s="584" t="str">
        <f>+VLOOKUP(Tabla3[[#This Row],[PATENTE]],'BASE DATOS'!F:I,4,0)</f>
        <v>SI</v>
      </c>
      <c r="H1366" s="584" t="str">
        <f>+VLOOKUP(Tabla3[[#This Row],[PATENTE]],'BASE DATOS'!F:J,5,0)</f>
        <v>SI</v>
      </c>
      <c r="I1366" s="584" t="str">
        <f>+VLOOKUP(Tabla3[[#This Row],[PATENTE]],'BASE DATOS'!F:K,6,0)</f>
        <v>NO</v>
      </c>
      <c r="J1366" s="584">
        <f>+VLOOKUP(Tabla3[[#This Row],[PATENTE]],'BASE DATOS'!F:L,7,0)</f>
        <v>2025</v>
      </c>
      <c r="K1366" s="619">
        <f>+VLOOKUP(Tabla3[[#This Row],[PATENTE]],'BASE DATOS'!F:M,8,0)</f>
        <v>0</v>
      </c>
    </row>
    <row r="1367" spans="1:11" hidden="1">
      <c r="A1367" s="578" t="s">
        <v>904</v>
      </c>
      <c r="B1367" s="584">
        <v>3</v>
      </c>
      <c r="C1367" s="589">
        <v>46020</v>
      </c>
      <c r="D1367" s="582">
        <f t="shared" si="52"/>
        <v>53</v>
      </c>
      <c r="E1367" s="618" t="str">
        <f>+VLOOKUP(Tabla3[[#This Row],[PATENTE]],'BASE DATOS'!F:G,2,0)</f>
        <v xml:space="preserve">ENRIQUE ROLLINO - DFO656 </v>
      </c>
      <c r="F1367" s="584" t="str">
        <f>+VLOOKUP(Tabla3[[#This Row],[PATENTE]],'BASE DATOS'!F:H,3,0)</f>
        <v>6P</v>
      </c>
      <c r="G1367" s="584" t="str">
        <f>+VLOOKUP(Tabla3[[#This Row],[PATENTE]],'BASE DATOS'!F:I,4,0)</f>
        <v>SI</v>
      </c>
      <c r="H1367" s="584" t="str">
        <f>+VLOOKUP(Tabla3[[#This Row],[PATENTE]],'BASE DATOS'!F:J,5,0)</f>
        <v>SI</v>
      </c>
      <c r="I1367" s="584" t="str">
        <f>+VLOOKUP(Tabla3[[#This Row],[PATENTE]],'BASE DATOS'!F:K,6,0)</f>
        <v>NO</v>
      </c>
      <c r="J1367" s="584">
        <f>+VLOOKUP(Tabla3[[#This Row],[PATENTE]],'BASE DATOS'!F:L,7,0)</f>
        <v>2000</v>
      </c>
      <c r="K1367" s="619">
        <f>+VLOOKUP(Tabla3[[#This Row],[PATENTE]],'BASE DATOS'!F:M,8,0)</f>
        <v>25</v>
      </c>
    </row>
    <row r="1368" spans="1:11" hidden="1">
      <c r="A1368" s="578" t="s">
        <v>916</v>
      </c>
      <c r="B1368" s="584">
        <v>3</v>
      </c>
      <c r="C1368" s="589">
        <v>46020</v>
      </c>
      <c r="D1368" s="582">
        <f t="shared" si="52"/>
        <v>53</v>
      </c>
      <c r="E1368" s="618" t="str">
        <f>+VLOOKUP(Tabla3[[#This Row],[PATENTE]],'BASE DATOS'!F:G,2,0)</f>
        <v xml:space="preserve">TRANSP MAIDANA CARLOS - EYP088 </v>
      </c>
      <c r="F1368" s="584" t="str">
        <f>+VLOOKUP(Tabla3[[#This Row],[PATENTE]],'BASE DATOS'!F:H,3,0)</f>
        <v>6P</v>
      </c>
      <c r="G1368" s="584" t="str">
        <f>+VLOOKUP(Tabla3[[#This Row],[PATENTE]],'BASE DATOS'!F:I,4,0)</f>
        <v>SI</v>
      </c>
      <c r="H1368" s="584" t="str">
        <f>+VLOOKUP(Tabla3[[#This Row],[PATENTE]],'BASE DATOS'!F:J,5,0)</f>
        <v>SI</v>
      </c>
      <c r="I1368" s="584" t="str">
        <f>+VLOOKUP(Tabla3[[#This Row],[PATENTE]],'BASE DATOS'!F:K,6,0)</f>
        <v>NO</v>
      </c>
      <c r="J1368" s="584">
        <f>+VLOOKUP(Tabla3[[#This Row],[PATENTE]],'BASE DATOS'!F:L,7,0)</f>
        <v>2006</v>
      </c>
      <c r="K1368" s="619">
        <f>+VLOOKUP(Tabla3[[#This Row],[PATENTE]],'BASE DATOS'!F:M,8,0)</f>
        <v>19</v>
      </c>
    </row>
    <row r="1369" spans="1:11" hidden="1">
      <c r="A1369" s="578" t="s">
        <v>915</v>
      </c>
      <c r="B1369" s="584">
        <v>3</v>
      </c>
      <c r="C1369" s="589">
        <v>46020</v>
      </c>
      <c r="D1369" s="582">
        <f t="shared" si="52"/>
        <v>53</v>
      </c>
      <c r="E1369" s="618" t="str">
        <f>+VLOOKUP(Tabla3[[#This Row],[PATENTE]],'BASE DATOS'!F:G,2,0)</f>
        <v>TRANSPORTE GRACIELA - FPL254</v>
      </c>
      <c r="F1369" s="584" t="str">
        <f>+VLOOKUP(Tabla3[[#This Row],[PATENTE]],'BASE DATOS'!F:H,3,0)</f>
        <v>2P</v>
      </c>
      <c r="G1369" s="584" t="str">
        <f>+VLOOKUP(Tabla3[[#This Row],[PATENTE]],'BASE DATOS'!F:I,4,0)</f>
        <v>SI</v>
      </c>
      <c r="H1369" s="584" t="str">
        <f>+VLOOKUP(Tabla3[[#This Row],[PATENTE]],'BASE DATOS'!F:J,5,0)</f>
        <v>NO (CAMI)</v>
      </c>
      <c r="I1369" s="584" t="str">
        <f>+VLOOKUP(Tabla3[[#This Row],[PATENTE]],'BASE DATOS'!F:K,6,0)</f>
        <v>NO</v>
      </c>
      <c r="J1369" s="584">
        <f>+VLOOKUP(Tabla3[[#This Row],[PATENTE]],'BASE DATOS'!F:L,7,0)</f>
        <v>2012</v>
      </c>
      <c r="K1369" s="619">
        <f>+VLOOKUP(Tabla3[[#This Row],[PATENTE]],'BASE DATOS'!F:M,8,0)</f>
        <v>13</v>
      </c>
    </row>
    <row r="1370" spans="1:11" hidden="1">
      <c r="A1370" s="578" t="s">
        <v>892</v>
      </c>
      <c r="B1370" s="584">
        <v>3</v>
      </c>
      <c r="C1370" s="589">
        <v>46020</v>
      </c>
      <c r="D1370" s="582">
        <f t="shared" si="52"/>
        <v>53</v>
      </c>
      <c r="E1370" s="618" t="str">
        <f>+VLOOKUP(Tabla3[[#This Row],[PATENTE]],'BASE DATOS'!F:G,2,0)</f>
        <v xml:space="preserve">COLO - FTL525 </v>
      </c>
      <c r="F1370" s="584" t="str">
        <f>+VLOOKUP(Tabla3[[#This Row],[PATENTE]],'BASE DATOS'!F:H,3,0)</f>
        <v>1P</v>
      </c>
      <c r="G1370" s="584" t="str">
        <f>+VLOOKUP(Tabla3[[#This Row],[PATENTE]],'BASE DATOS'!F:I,4,0)</f>
        <v>NO</v>
      </c>
      <c r="H1370" s="584" t="str">
        <f>+VLOOKUP(Tabla3[[#This Row],[PATENTE]],'BASE DATOS'!F:J,5,0)</f>
        <v>SI</v>
      </c>
      <c r="I1370" s="584" t="str">
        <f>+VLOOKUP(Tabla3[[#This Row],[PATENTE]],'BASE DATOS'!F:K,6,0)</f>
        <v>NO</v>
      </c>
      <c r="J1370" s="584">
        <f>+VLOOKUP(Tabla3[[#This Row],[PATENTE]],'BASE DATOS'!F:L,7,0)</f>
        <v>2008</v>
      </c>
      <c r="K1370" s="619">
        <f>+VLOOKUP(Tabla3[[#This Row],[PATENTE]],'BASE DATOS'!F:M,8,0)</f>
        <v>17</v>
      </c>
    </row>
    <row r="1371" spans="1:11" hidden="1">
      <c r="A1371" s="578" t="s">
        <v>891</v>
      </c>
      <c r="B1371" s="584">
        <v>3</v>
      </c>
      <c r="C1371" s="589">
        <v>46020</v>
      </c>
      <c r="D1371" s="582">
        <f t="shared" si="52"/>
        <v>53</v>
      </c>
      <c r="E1371" s="618" t="str">
        <f>+VLOOKUP(Tabla3[[#This Row],[PATENTE]],'BASE DATOS'!F:G,2,0)</f>
        <v xml:space="preserve">GANZINI HUGO - HHA085 </v>
      </c>
      <c r="F1371" s="584" t="str">
        <f>+VLOOKUP(Tabla3[[#This Row],[PATENTE]],'BASE DATOS'!F:H,3,0)</f>
        <v>2P</v>
      </c>
      <c r="G1371" s="584" t="str">
        <f>+VLOOKUP(Tabla3[[#This Row],[PATENTE]],'BASE DATOS'!F:I,4,0)</f>
        <v>SI</v>
      </c>
      <c r="H1371" s="584" t="str">
        <f>+VLOOKUP(Tabla3[[#This Row],[PATENTE]],'BASE DATOS'!F:J,5,0)</f>
        <v>SI</v>
      </c>
      <c r="I1371" s="584" t="str">
        <f>+VLOOKUP(Tabla3[[#This Row],[PATENTE]],'BASE DATOS'!F:K,6,0)</f>
        <v>NO</v>
      </c>
      <c r="J1371" s="584">
        <f>+VLOOKUP(Tabla3[[#This Row],[PATENTE]],'BASE DATOS'!F:L,7,0)</f>
        <v>2008</v>
      </c>
      <c r="K1371" s="619">
        <f>+VLOOKUP(Tabla3[[#This Row],[PATENTE]],'BASE DATOS'!F:M,8,0)</f>
        <v>17</v>
      </c>
    </row>
    <row r="1372" spans="1:11" hidden="1">
      <c r="A1372" s="578" t="s">
        <v>882</v>
      </c>
      <c r="B1372" s="584">
        <v>3</v>
      </c>
      <c r="C1372" s="589">
        <v>46020</v>
      </c>
      <c r="D1372" s="582">
        <f t="shared" si="52"/>
        <v>53</v>
      </c>
      <c r="E1372" s="618" t="str">
        <f>+VLOOKUP(Tabla3[[#This Row],[PATENTE]],'BASE DATOS'!F:G,2,0)</f>
        <v xml:space="preserve">MAÑAS - JWN279 </v>
      </c>
      <c r="F1372" s="584" t="str">
        <f>+VLOOKUP(Tabla3[[#This Row],[PATENTE]],'BASE DATOS'!F:H,3,0)</f>
        <v>7P</v>
      </c>
      <c r="G1372" s="584" t="str">
        <f>+VLOOKUP(Tabla3[[#This Row],[PATENTE]],'BASE DATOS'!F:I,4,0)</f>
        <v>SI</v>
      </c>
      <c r="H1372" s="584" t="str">
        <f>+VLOOKUP(Tabla3[[#This Row],[PATENTE]],'BASE DATOS'!F:J,5,0)</f>
        <v>SI</v>
      </c>
      <c r="I1372" s="584" t="str">
        <f>+VLOOKUP(Tabla3[[#This Row],[PATENTE]],'BASE DATOS'!F:K,6,0)</f>
        <v>NO</v>
      </c>
      <c r="J1372" s="584">
        <f>+VLOOKUP(Tabla3[[#This Row],[PATENTE]],'BASE DATOS'!F:L,7,0)</f>
        <v>2011</v>
      </c>
      <c r="K1372" s="619">
        <f>+VLOOKUP(Tabla3[[#This Row],[PATENTE]],'BASE DATOS'!F:M,8,0)</f>
        <v>14</v>
      </c>
    </row>
    <row r="1373" spans="1:11" hidden="1">
      <c r="A1373" s="578" t="s">
        <v>913</v>
      </c>
      <c r="B1373" s="584">
        <v>3</v>
      </c>
      <c r="C1373" s="589">
        <v>46020</v>
      </c>
      <c r="D1373" s="582">
        <f t="shared" si="52"/>
        <v>53</v>
      </c>
      <c r="E1373" s="618" t="str">
        <f>+VLOOKUP(Tabla3[[#This Row],[PATENTE]],'BASE DATOS'!F:G,2,0)</f>
        <v xml:space="preserve">TRANSP DON NENO - KSI803 </v>
      </c>
      <c r="F1373" s="584" t="str">
        <f>+VLOOKUP(Tabla3[[#This Row],[PATENTE]],'BASE DATOS'!F:H,3,0)</f>
        <v>2P</v>
      </c>
      <c r="G1373" s="584" t="str">
        <f>+VLOOKUP(Tabla3[[#This Row],[PATENTE]],'BASE DATOS'!F:I,4,0)</f>
        <v>SI</v>
      </c>
      <c r="H1373" s="584" t="str">
        <f>+VLOOKUP(Tabla3[[#This Row],[PATENTE]],'BASE DATOS'!F:J,5,0)</f>
        <v>SI</v>
      </c>
      <c r="I1373" s="584" t="str">
        <f>+VLOOKUP(Tabla3[[#This Row],[PATENTE]],'BASE DATOS'!F:K,6,0)</f>
        <v>NO</v>
      </c>
      <c r="J1373" s="584">
        <f>+VLOOKUP(Tabla3[[#This Row],[PATENTE]],'BASE DATOS'!F:L,7,0)</f>
        <v>2012</v>
      </c>
      <c r="K1373" s="619">
        <f>+VLOOKUP(Tabla3[[#This Row],[PATENTE]],'BASE DATOS'!F:M,8,0)</f>
        <v>13</v>
      </c>
    </row>
    <row r="1374" spans="1:11" hidden="1">
      <c r="A1374" s="578" t="s">
        <v>902</v>
      </c>
      <c r="B1374" s="584">
        <v>3</v>
      </c>
      <c r="C1374" s="589">
        <v>46020</v>
      </c>
      <c r="D1374" s="582">
        <f t="shared" si="52"/>
        <v>53</v>
      </c>
      <c r="E1374" s="618" t="str">
        <f>+VLOOKUP(Tabla3[[#This Row],[PATENTE]],'BASE DATOS'!F:G,2,0)</f>
        <v xml:space="preserve">GUSTAVO CERQUETTA - KZA644 </v>
      </c>
      <c r="F1374" s="584" t="str">
        <f>+VLOOKUP(Tabla3[[#This Row],[PATENTE]],'BASE DATOS'!F:H,3,0)</f>
        <v>2P</v>
      </c>
      <c r="G1374" s="584" t="str">
        <f>+VLOOKUP(Tabla3[[#This Row],[PATENTE]],'BASE DATOS'!F:I,4,0)</f>
        <v>NO</v>
      </c>
      <c r="H1374" s="584" t="str">
        <f>+VLOOKUP(Tabla3[[#This Row],[PATENTE]],'BASE DATOS'!F:J,5,0)</f>
        <v>SI</v>
      </c>
      <c r="I1374" s="584" t="str">
        <f>+VLOOKUP(Tabla3[[#This Row],[PATENTE]],'BASE DATOS'!F:K,6,0)</f>
        <v>NO</v>
      </c>
      <c r="J1374" s="584">
        <f>+VLOOKUP(Tabla3[[#This Row],[PATENTE]],'BASE DATOS'!F:L,7,0)</f>
        <v>2012</v>
      </c>
      <c r="K1374" s="619">
        <f>+VLOOKUP(Tabla3[[#This Row],[PATENTE]],'BASE DATOS'!F:M,8,0)</f>
        <v>13</v>
      </c>
    </row>
    <row r="1375" spans="1:11" hidden="1">
      <c r="A1375" s="578" t="s">
        <v>909</v>
      </c>
      <c r="B1375" s="584">
        <v>3</v>
      </c>
      <c r="C1375" s="589">
        <v>46020</v>
      </c>
      <c r="D1375" s="582">
        <f t="shared" si="52"/>
        <v>53</v>
      </c>
      <c r="E1375" s="618" t="str">
        <f>+VLOOKUP(Tabla3[[#This Row],[PATENTE]],'BASE DATOS'!F:G,2,0)</f>
        <v xml:space="preserve">CRISTIAN MOYA - NHR055 </v>
      </c>
      <c r="F1375" s="584" t="str">
        <f>+VLOOKUP(Tabla3[[#This Row],[PATENTE]],'BASE DATOS'!F:H,3,0)</f>
        <v>6P</v>
      </c>
      <c r="G1375" s="584" t="str">
        <f>+VLOOKUP(Tabla3[[#This Row],[PATENTE]],'BASE DATOS'!F:I,4,0)</f>
        <v>SI</v>
      </c>
      <c r="H1375" s="584" t="str">
        <f>+VLOOKUP(Tabla3[[#This Row],[PATENTE]],'BASE DATOS'!F:J,5,0)</f>
        <v>SI</v>
      </c>
      <c r="I1375" s="584" t="str">
        <f>+VLOOKUP(Tabla3[[#This Row],[PATENTE]],'BASE DATOS'!F:K,6,0)</f>
        <v>NO</v>
      </c>
      <c r="J1375" s="584">
        <f>+VLOOKUP(Tabla3[[#This Row],[PATENTE]],'BASE DATOS'!F:L,7,0)</f>
        <v>2013</v>
      </c>
      <c r="K1375" s="619">
        <f>+VLOOKUP(Tabla3[[#This Row],[PATENTE]],'BASE DATOS'!F:M,8,0)</f>
        <v>12</v>
      </c>
    </row>
    <row r="1376" spans="1:11" hidden="1">
      <c r="A1376" s="578" t="s">
        <v>877</v>
      </c>
      <c r="B1376" s="584">
        <v>3</v>
      </c>
      <c r="C1376" s="589">
        <v>46020</v>
      </c>
      <c r="D1376" s="582">
        <f t="shared" si="52"/>
        <v>53</v>
      </c>
      <c r="E1376" s="618" t="str">
        <f>+VLOOKUP(Tabla3[[#This Row],[PATENTE]],'BASE DATOS'!F:G,2,0)</f>
        <v>TRANSP MAIDANA CARLOS - OWA126</v>
      </c>
      <c r="F1376" s="584" t="str">
        <f>+VLOOKUP(Tabla3[[#This Row],[PATENTE]],'BASE DATOS'!F:H,3,0)</f>
        <v>4P</v>
      </c>
      <c r="G1376" s="584" t="str">
        <f>+VLOOKUP(Tabla3[[#This Row],[PATENTE]],'BASE DATOS'!F:I,4,0)</f>
        <v>SI</v>
      </c>
      <c r="H1376" s="584" t="str">
        <f>+VLOOKUP(Tabla3[[#This Row],[PATENTE]],'BASE DATOS'!F:J,5,0)</f>
        <v>SI</v>
      </c>
      <c r="I1376" s="584" t="str">
        <f>+VLOOKUP(Tabla3[[#This Row],[PATENTE]],'BASE DATOS'!F:K,6,0)</f>
        <v>NO</v>
      </c>
      <c r="J1376" s="584">
        <f>+VLOOKUP(Tabla3[[#This Row],[PATENTE]],'BASE DATOS'!F:L,7,0)</f>
        <v>2015</v>
      </c>
      <c r="K1376" s="619">
        <f>+VLOOKUP(Tabla3[[#This Row],[PATENTE]],'BASE DATOS'!F:M,8,0)</f>
        <v>10</v>
      </c>
    </row>
    <row r="1377" spans="1:11" hidden="1">
      <c r="A1377" s="578" t="s">
        <v>896</v>
      </c>
      <c r="B1377" s="584">
        <v>3</v>
      </c>
      <c r="C1377" s="589">
        <v>46020</v>
      </c>
      <c r="D1377" s="582">
        <f t="shared" si="52"/>
        <v>53</v>
      </c>
      <c r="E1377" s="618" t="str">
        <f>+VLOOKUP(Tabla3[[#This Row],[PATENTE]],'BASE DATOS'!F:G,2,0)</f>
        <v xml:space="preserve">TRANSP MAVIR - RHQ609 </v>
      </c>
      <c r="F1377" s="584" t="str">
        <f>+VLOOKUP(Tabla3[[#This Row],[PATENTE]],'BASE DATOS'!F:H,3,0)</f>
        <v>10P</v>
      </c>
      <c r="G1377" s="584" t="str">
        <f>+VLOOKUP(Tabla3[[#This Row],[PATENTE]],'BASE DATOS'!F:I,4,0)</f>
        <v>NO</v>
      </c>
      <c r="H1377" s="584" t="str">
        <f>+VLOOKUP(Tabla3[[#This Row],[PATENTE]],'BASE DATOS'!F:J,5,0)</f>
        <v xml:space="preserve">NO </v>
      </c>
      <c r="I1377" s="584" t="str">
        <f>+VLOOKUP(Tabla3[[#This Row],[PATENTE]],'BASE DATOS'!F:K,6,0)</f>
        <v>NO</v>
      </c>
      <c r="J1377" s="584">
        <f>+VLOOKUP(Tabla3[[#This Row],[PATENTE]],'BASE DATOS'!F:L,7,0)</f>
        <v>1995</v>
      </c>
      <c r="K1377" s="619">
        <f>+VLOOKUP(Tabla3[[#This Row],[PATENTE]],'BASE DATOS'!F:M,8,0)</f>
        <v>30</v>
      </c>
    </row>
    <row r="1378" spans="1:11" hidden="1">
      <c r="A1378" s="578" t="s">
        <v>878</v>
      </c>
      <c r="B1378" s="584">
        <v>2</v>
      </c>
      <c r="C1378" s="589">
        <v>46020</v>
      </c>
      <c r="D1378" s="582">
        <f t="shared" si="52"/>
        <v>53</v>
      </c>
      <c r="E1378" s="618" t="str">
        <f>+VLOOKUP(Tabla3[[#This Row],[PATENTE]],'BASE DATOS'!F:G,2,0)</f>
        <v xml:space="preserve">PACHECO JULIO - AA854LY </v>
      </c>
      <c r="F1378" s="584" t="str">
        <f>+VLOOKUP(Tabla3[[#This Row],[PATENTE]],'BASE DATOS'!F:H,3,0)</f>
        <v>7P</v>
      </c>
      <c r="G1378" s="584" t="str">
        <f>+VLOOKUP(Tabla3[[#This Row],[PATENTE]],'BASE DATOS'!F:I,4,0)</f>
        <v>SI</v>
      </c>
      <c r="H1378" s="584" t="str">
        <f>+VLOOKUP(Tabla3[[#This Row],[PATENTE]],'BASE DATOS'!F:J,5,0)</f>
        <v>SI</v>
      </c>
      <c r="I1378" s="584" t="str">
        <f>+VLOOKUP(Tabla3[[#This Row],[PATENTE]],'BASE DATOS'!F:K,6,0)</f>
        <v>NO</v>
      </c>
      <c r="J1378" s="584">
        <f>+VLOOKUP(Tabla3[[#This Row],[PATENTE]],'BASE DATOS'!F:L,7,0)</f>
        <v>2016</v>
      </c>
      <c r="K1378" s="619">
        <f>+VLOOKUP(Tabla3[[#This Row],[PATENTE]],'BASE DATOS'!F:M,8,0)</f>
        <v>9</v>
      </c>
    </row>
    <row r="1379" spans="1:11" hidden="1">
      <c r="A1379" s="578" t="s">
        <v>899</v>
      </c>
      <c r="B1379" s="584">
        <v>2</v>
      </c>
      <c r="C1379" s="589">
        <v>46020</v>
      </c>
      <c r="D1379" s="582">
        <f t="shared" si="52"/>
        <v>53</v>
      </c>
      <c r="E1379" s="618" t="str">
        <f>+VLOOKUP(Tabla3[[#This Row],[PATENTE]],'BASE DATOS'!F:G,2,0)</f>
        <v xml:space="preserve">VAZQUEZ (TRV SRL) - AB176KN </v>
      </c>
      <c r="F1379" s="584" t="str">
        <f>+VLOOKUP(Tabla3[[#This Row],[PATENTE]],'BASE DATOS'!F:H,3,0)</f>
        <v>8P</v>
      </c>
      <c r="G1379" s="584" t="str">
        <f>+VLOOKUP(Tabla3[[#This Row],[PATENTE]],'BASE DATOS'!F:I,4,0)</f>
        <v>SI</v>
      </c>
      <c r="H1379" s="584" t="str">
        <f>+VLOOKUP(Tabla3[[#This Row],[PATENTE]],'BASE DATOS'!F:J,5,0)</f>
        <v>SI</v>
      </c>
      <c r="I1379" s="584" t="str">
        <f>+VLOOKUP(Tabla3[[#This Row],[PATENTE]],'BASE DATOS'!F:K,6,0)</f>
        <v>SI</v>
      </c>
      <c r="J1379" s="584">
        <f>+VLOOKUP(Tabla3[[#This Row],[PATENTE]],'BASE DATOS'!F:L,7,0)</f>
        <v>2017</v>
      </c>
      <c r="K1379" s="619">
        <f>+VLOOKUP(Tabla3[[#This Row],[PATENTE]],'BASE DATOS'!F:M,8,0)</f>
        <v>8</v>
      </c>
    </row>
    <row r="1380" spans="1:11" hidden="1">
      <c r="A1380" s="578" t="s">
        <v>884</v>
      </c>
      <c r="B1380" s="584">
        <v>2</v>
      </c>
      <c r="C1380" s="589">
        <v>46020</v>
      </c>
      <c r="D1380" s="582">
        <f t="shared" si="52"/>
        <v>53</v>
      </c>
      <c r="E1380" s="618" t="str">
        <f>+VLOOKUP(Tabla3[[#This Row],[PATENTE]],'BASE DATOS'!F:G,2,0)</f>
        <v xml:space="preserve">LAURIA (SERVAL) - AB233IT </v>
      </c>
      <c r="F1380" s="584" t="str">
        <f>+VLOOKUP(Tabla3[[#This Row],[PATENTE]],'BASE DATOS'!F:H,3,0)</f>
        <v>6P</v>
      </c>
      <c r="G1380" s="584" t="str">
        <f>+VLOOKUP(Tabla3[[#This Row],[PATENTE]],'BASE DATOS'!F:I,4,0)</f>
        <v>SI</v>
      </c>
      <c r="H1380" s="584" t="str">
        <f>+VLOOKUP(Tabla3[[#This Row],[PATENTE]],'BASE DATOS'!F:J,5,0)</f>
        <v>SI</v>
      </c>
      <c r="I1380" s="584" t="str">
        <f>+VLOOKUP(Tabla3[[#This Row],[PATENTE]],'BASE DATOS'!F:K,6,0)</f>
        <v>NO</v>
      </c>
      <c r="J1380" s="584">
        <f>+VLOOKUP(Tabla3[[#This Row],[PATENTE]],'BASE DATOS'!F:L,7,0)</f>
        <v>2017</v>
      </c>
      <c r="K1380" s="619">
        <f>+VLOOKUP(Tabla3[[#This Row],[PATENTE]],'BASE DATOS'!F:M,8,0)</f>
        <v>8</v>
      </c>
    </row>
    <row r="1381" spans="1:11" hidden="1">
      <c r="A1381" s="578" t="s">
        <v>912</v>
      </c>
      <c r="B1381" s="584">
        <v>2</v>
      </c>
      <c r="C1381" s="589">
        <v>46020</v>
      </c>
      <c r="D1381" s="582">
        <f t="shared" si="52"/>
        <v>53</v>
      </c>
      <c r="E1381" s="618" t="str">
        <f>+VLOOKUP(Tabla3[[#This Row],[PATENTE]],'BASE DATOS'!F:G,2,0)</f>
        <v xml:space="preserve">PACHECO JULIO - AC028WN </v>
      </c>
      <c r="F1381" s="584" t="str">
        <f>+VLOOKUP(Tabla3[[#This Row],[PATENTE]],'BASE DATOS'!F:H,3,0)</f>
        <v>8P</v>
      </c>
      <c r="G1381" s="584" t="str">
        <f>+VLOOKUP(Tabla3[[#This Row],[PATENTE]],'BASE DATOS'!F:I,4,0)</f>
        <v>SI</v>
      </c>
      <c r="H1381" s="584" t="str">
        <f>+VLOOKUP(Tabla3[[#This Row],[PATENTE]],'BASE DATOS'!F:J,5,0)</f>
        <v>SI</v>
      </c>
      <c r="I1381" s="584" t="str">
        <f>+VLOOKUP(Tabla3[[#This Row],[PATENTE]],'BASE DATOS'!F:K,6,0)</f>
        <v>SI</v>
      </c>
      <c r="J1381" s="584">
        <f>+VLOOKUP(Tabla3[[#This Row],[PATENTE]],'BASE DATOS'!F:L,7,0)</f>
        <v>2017</v>
      </c>
      <c r="K1381" s="619">
        <f>+VLOOKUP(Tabla3[[#This Row],[PATENTE]],'BASE DATOS'!F:M,8,0)</f>
        <v>8</v>
      </c>
    </row>
    <row r="1382" spans="1:11" hidden="1">
      <c r="A1382" s="578" t="s">
        <v>888</v>
      </c>
      <c r="B1382" s="584">
        <v>2</v>
      </c>
      <c r="C1382" s="589">
        <v>46020</v>
      </c>
      <c r="D1382" s="582">
        <f t="shared" si="52"/>
        <v>53</v>
      </c>
      <c r="E1382" s="618" t="str">
        <f>+VLOOKUP(Tabla3[[#This Row],[PATENTE]],'BASE DATOS'!F:G,2,0)</f>
        <v xml:space="preserve">TRANSP FIRST CLASS - AD535UI </v>
      </c>
      <c r="F1382" s="584" t="str">
        <f>+VLOOKUP(Tabla3[[#This Row],[PATENTE]],'BASE DATOS'!F:H,3,0)</f>
        <v>6P</v>
      </c>
      <c r="G1382" s="584" t="str">
        <f>+VLOOKUP(Tabla3[[#This Row],[PATENTE]],'BASE DATOS'!F:I,4,0)</f>
        <v>SI</v>
      </c>
      <c r="H1382" s="584" t="str">
        <f>+VLOOKUP(Tabla3[[#This Row],[PATENTE]],'BASE DATOS'!F:J,5,0)</f>
        <v>SI</v>
      </c>
      <c r="I1382" s="584" t="str">
        <f>+VLOOKUP(Tabla3[[#This Row],[PATENTE]],'BASE DATOS'!F:K,6,0)</f>
        <v>NO</v>
      </c>
      <c r="J1382" s="584">
        <f>+VLOOKUP(Tabla3[[#This Row],[PATENTE]],'BASE DATOS'!F:L,7,0)</f>
        <v>2019</v>
      </c>
      <c r="K1382" s="619">
        <f>+VLOOKUP(Tabla3[[#This Row],[PATENTE]],'BASE DATOS'!F:M,8,0)</f>
        <v>6</v>
      </c>
    </row>
    <row r="1383" spans="1:11" hidden="1">
      <c r="A1383" s="578" t="s">
        <v>880</v>
      </c>
      <c r="B1383" s="584">
        <v>2</v>
      </c>
      <c r="C1383" s="589">
        <v>46020</v>
      </c>
      <c r="D1383" s="582">
        <f t="shared" si="52"/>
        <v>53</v>
      </c>
      <c r="E1383" s="618" t="str">
        <f>+VLOOKUP(Tabla3[[#This Row],[PATENTE]],'BASE DATOS'!F:G,2,0)</f>
        <v xml:space="preserve">LAURIA (SERVAL) - AD575XK </v>
      </c>
      <c r="F1383" s="584" t="str">
        <f>+VLOOKUP(Tabla3[[#This Row],[PATENTE]],'BASE DATOS'!F:H,3,0)</f>
        <v>8P</v>
      </c>
      <c r="G1383" s="584" t="str">
        <f>+VLOOKUP(Tabla3[[#This Row],[PATENTE]],'BASE DATOS'!F:I,4,0)</f>
        <v>SI</v>
      </c>
      <c r="H1383" s="584" t="str">
        <f>+VLOOKUP(Tabla3[[#This Row],[PATENTE]],'BASE DATOS'!F:J,5,0)</f>
        <v>SI</v>
      </c>
      <c r="I1383" s="584" t="str">
        <f>+VLOOKUP(Tabla3[[#This Row],[PATENTE]],'BASE DATOS'!F:K,6,0)</f>
        <v>NO</v>
      </c>
      <c r="J1383" s="584">
        <f>+VLOOKUP(Tabla3[[#This Row],[PATENTE]],'BASE DATOS'!F:L,7,0)</f>
        <v>2019</v>
      </c>
      <c r="K1383" s="619">
        <f>+VLOOKUP(Tabla3[[#This Row],[PATENTE]],'BASE DATOS'!F:M,8,0)</f>
        <v>6</v>
      </c>
    </row>
    <row r="1384" spans="1:11" hidden="1">
      <c r="A1384" s="578" t="s">
        <v>929</v>
      </c>
      <c r="B1384" s="584">
        <v>2</v>
      </c>
      <c r="C1384" s="589">
        <v>46020</v>
      </c>
      <c r="D1384" s="582">
        <f t="shared" si="52"/>
        <v>53</v>
      </c>
      <c r="E1384" s="618" t="str">
        <f>+VLOOKUP(Tabla3[[#This Row],[PATENTE]],'BASE DATOS'!F:G,2,0)</f>
        <v xml:space="preserve">PRONTOMAR - BAI674 </v>
      </c>
      <c r="F1384" s="584" t="str">
        <f>+VLOOKUP(Tabla3[[#This Row],[PATENTE]],'BASE DATOS'!F:H,3,0)</f>
        <v>14P</v>
      </c>
      <c r="G1384" s="584" t="str">
        <f>+VLOOKUP(Tabla3[[#This Row],[PATENTE]],'BASE DATOS'!F:I,4,0)</f>
        <v>NO</v>
      </c>
      <c r="H1384" s="584" t="str">
        <f>+VLOOKUP(Tabla3[[#This Row],[PATENTE]],'BASE DATOS'!F:J,5,0)</f>
        <v xml:space="preserve">NO </v>
      </c>
      <c r="I1384" s="584" t="str">
        <f>+VLOOKUP(Tabla3[[#This Row],[PATENTE]],'BASE DATOS'!F:K,6,0)</f>
        <v>NO</v>
      </c>
      <c r="J1384" s="584">
        <f>+VLOOKUP(Tabla3[[#This Row],[PATENTE]],'BASE DATOS'!F:L,7,0)</f>
        <v>1996</v>
      </c>
      <c r="K1384" s="619">
        <f>+VLOOKUP(Tabla3[[#This Row],[PATENTE]],'BASE DATOS'!F:M,8,0)</f>
        <v>29</v>
      </c>
    </row>
    <row r="1385" spans="1:11" hidden="1">
      <c r="A1385" s="578" t="s">
        <v>887</v>
      </c>
      <c r="B1385" s="584">
        <v>2</v>
      </c>
      <c r="C1385" s="589">
        <v>46020</v>
      </c>
      <c r="D1385" s="582">
        <f t="shared" si="52"/>
        <v>53</v>
      </c>
      <c r="E1385" s="618" t="str">
        <f>+VLOOKUP(Tabla3[[#This Row],[PATENTE]],'BASE DATOS'!F:G,2,0)</f>
        <v>ENRIQUE ROLLINO - BXB394</v>
      </c>
      <c r="F1385" s="584" t="str">
        <f>+VLOOKUP(Tabla3[[#This Row],[PATENTE]],'BASE DATOS'!F:H,3,0)</f>
        <v>2P</v>
      </c>
      <c r="G1385" s="584" t="str">
        <f>+VLOOKUP(Tabla3[[#This Row],[PATENTE]],'BASE DATOS'!F:I,4,0)</f>
        <v>SI</v>
      </c>
      <c r="H1385" s="584" t="str">
        <f>+VLOOKUP(Tabla3[[#This Row],[PATENTE]],'BASE DATOS'!F:J,5,0)</f>
        <v>SI</v>
      </c>
      <c r="I1385" s="584" t="str">
        <f>+VLOOKUP(Tabla3[[#This Row],[PATENTE]],'BASE DATOS'!F:K,6,0)</f>
        <v>NO</v>
      </c>
      <c r="J1385" s="584">
        <f>+VLOOKUP(Tabla3[[#This Row],[PATENTE]],'BASE DATOS'!F:L,7,0)</f>
        <v>1998</v>
      </c>
      <c r="K1385" s="619">
        <f>+VLOOKUP(Tabla3[[#This Row],[PATENTE]],'BASE DATOS'!F:M,8,0)</f>
        <v>27</v>
      </c>
    </row>
    <row r="1386" spans="1:11" hidden="1">
      <c r="A1386" s="578" t="s">
        <v>932</v>
      </c>
      <c r="B1386" s="584">
        <v>2</v>
      </c>
      <c r="C1386" s="589">
        <v>46020</v>
      </c>
      <c r="D1386" s="582">
        <f t="shared" si="52"/>
        <v>53</v>
      </c>
      <c r="E1386" s="618" t="str">
        <f>+VLOOKUP(Tabla3[[#This Row],[PATENTE]],'BASE DATOS'!F:G,2,0)</f>
        <v xml:space="preserve">TRANSP MAVIR - EFL176 </v>
      </c>
      <c r="F1386" s="584" t="str">
        <f>+VLOOKUP(Tabla3[[#This Row],[PATENTE]],'BASE DATOS'!F:H,3,0)</f>
        <v>12P</v>
      </c>
      <c r="G1386" s="584" t="str">
        <f>+VLOOKUP(Tabla3[[#This Row],[PATENTE]],'BASE DATOS'!F:I,4,0)</f>
        <v>SI</v>
      </c>
      <c r="H1386" s="584" t="str">
        <f>+VLOOKUP(Tabla3[[#This Row],[PATENTE]],'BASE DATOS'!F:J,5,0)</f>
        <v>SI</v>
      </c>
      <c r="I1386" s="584" t="str">
        <f>+VLOOKUP(Tabla3[[#This Row],[PATENTE]],'BASE DATOS'!F:K,6,0)</f>
        <v>NO</v>
      </c>
      <c r="J1386" s="584">
        <f>+VLOOKUP(Tabla3[[#This Row],[PATENTE]],'BASE DATOS'!F:L,7,0)</f>
        <v>1998</v>
      </c>
      <c r="K1386" s="619">
        <f>+VLOOKUP(Tabla3[[#This Row],[PATENTE]],'BASE DATOS'!F:M,8,0)</f>
        <v>27</v>
      </c>
    </row>
    <row r="1387" spans="1:11" hidden="1">
      <c r="A1387" s="578" t="s">
        <v>924</v>
      </c>
      <c r="B1387" s="584">
        <v>2</v>
      </c>
      <c r="C1387" s="589">
        <v>46020</v>
      </c>
      <c r="D1387" s="582">
        <f t="shared" si="52"/>
        <v>53</v>
      </c>
      <c r="E1387" s="618" t="str">
        <f>+VLOOKUP(Tabla3[[#This Row],[PATENTE]],'BASE DATOS'!F:G,2,0)</f>
        <v>TRANSP MAVIR - HRZ429 -16P</v>
      </c>
      <c r="F1387" s="584" t="str">
        <f>+VLOOKUP(Tabla3[[#This Row],[PATENTE]],'BASE DATOS'!F:H,3,0)</f>
        <v>16P</v>
      </c>
      <c r="G1387" s="584" t="str">
        <f>+VLOOKUP(Tabla3[[#This Row],[PATENTE]],'BASE DATOS'!F:I,4,0)</f>
        <v>SI</v>
      </c>
      <c r="H1387" s="584" t="str">
        <f>+VLOOKUP(Tabla3[[#This Row],[PATENTE]],'BASE DATOS'!F:J,5,0)</f>
        <v xml:space="preserve">NO </v>
      </c>
      <c r="I1387" s="584" t="str">
        <f>+VLOOKUP(Tabla3[[#This Row],[PATENTE]],'BASE DATOS'!F:K,6,0)</f>
        <v>NO</v>
      </c>
      <c r="J1387" s="584">
        <f>+VLOOKUP(Tabla3[[#This Row],[PATENTE]],'BASE DATOS'!F:L,7,0)</f>
        <v>2008</v>
      </c>
      <c r="K1387" s="619">
        <f>+VLOOKUP(Tabla3[[#This Row],[PATENTE]],'BASE DATOS'!F:M,8,0)</f>
        <v>17</v>
      </c>
    </row>
    <row r="1388" spans="1:11" hidden="1">
      <c r="A1388" s="578" t="s">
        <v>901</v>
      </c>
      <c r="B1388" s="584">
        <v>2</v>
      </c>
      <c r="C1388" s="589">
        <v>46020</v>
      </c>
      <c r="D1388" s="582">
        <f t="shared" si="52"/>
        <v>53</v>
      </c>
      <c r="E1388" s="618" t="str">
        <f>+VLOOKUP(Tabla3[[#This Row],[PATENTE]],'BASE DATOS'!F:G,2,0)</f>
        <v xml:space="preserve">TRANSPORTE  GRACIELA - IYE750 </v>
      </c>
      <c r="F1388" s="584" t="str">
        <f>+VLOOKUP(Tabla3[[#This Row],[PATENTE]],'BASE DATOS'!F:H,3,0)</f>
        <v>1P</v>
      </c>
      <c r="G1388" s="584" t="str">
        <f>+VLOOKUP(Tabla3[[#This Row],[PATENTE]],'BASE DATOS'!F:I,4,0)</f>
        <v>NO</v>
      </c>
      <c r="H1388" s="584" t="str">
        <f>+VLOOKUP(Tabla3[[#This Row],[PATENTE]],'BASE DATOS'!F:J,5,0)</f>
        <v>SI</v>
      </c>
      <c r="I1388" s="584" t="str">
        <f>+VLOOKUP(Tabla3[[#This Row],[PATENTE]],'BASE DATOS'!F:K,6,0)</f>
        <v>NO</v>
      </c>
      <c r="J1388" s="584">
        <f>+VLOOKUP(Tabla3[[#This Row],[PATENTE]],'BASE DATOS'!F:L,7,0)</f>
        <v>2009</v>
      </c>
      <c r="K1388" s="619">
        <f>+VLOOKUP(Tabla3[[#This Row],[PATENTE]],'BASE DATOS'!F:M,8,0)</f>
        <v>16</v>
      </c>
    </row>
    <row r="1389" spans="1:11" hidden="1">
      <c r="A1389" s="578" t="s">
        <v>939</v>
      </c>
      <c r="B1389" s="584">
        <v>2</v>
      </c>
      <c r="C1389" s="589">
        <v>46020</v>
      </c>
      <c r="D1389" s="582">
        <f t="shared" si="52"/>
        <v>53</v>
      </c>
      <c r="E1389" s="618" t="str">
        <f>+VLOOKUP(Tabla3[[#This Row],[PATENTE]],'BASE DATOS'!F:G,2,0)</f>
        <v>TRANSP CLAUDIO BUSTOS - JOQ178</v>
      </c>
      <c r="F1389" s="584" t="str">
        <f>+VLOOKUP(Tabla3[[#This Row],[PATENTE]],'BASE DATOS'!F:H,3,0)</f>
        <v>1P</v>
      </c>
      <c r="G1389" s="584" t="str">
        <f>+VLOOKUP(Tabla3[[#This Row],[PATENTE]],'BASE DATOS'!F:I,4,0)</f>
        <v>NO</v>
      </c>
      <c r="H1389" s="584" t="str">
        <f>+VLOOKUP(Tabla3[[#This Row],[PATENTE]],'BASE DATOS'!F:J,5,0)</f>
        <v>SI</v>
      </c>
      <c r="I1389" s="584" t="str">
        <f>+VLOOKUP(Tabla3[[#This Row],[PATENTE]],'BASE DATOS'!F:K,6,0)</f>
        <v>NO</v>
      </c>
      <c r="J1389" s="584">
        <f>+VLOOKUP(Tabla3[[#This Row],[PATENTE]],'BASE DATOS'!F:L,7,0)</f>
        <v>2010</v>
      </c>
      <c r="K1389" s="619">
        <f>+VLOOKUP(Tabla3[[#This Row],[PATENTE]],'BASE DATOS'!F:M,8,0)</f>
        <v>15</v>
      </c>
    </row>
    <row r="1390" spans="1:11" hidden="1">
      <c r="A1390" s="578" t="s">
        <v>920</v>
      </c>
      <c r="B1390" s="584">
        <v>2</v>
      </c>
      <c r="C1390" s="589">
        <v>46020</v>
      </c>
      <c r="D1390" s="582">
        <f t="shared" si="52"/>
        <v>53</v>
      </c>
      <c r="E1390" s="618" t="str">
        <f>+VLOOKUP(Tabla3[[#This Row],[PATENTE]],'BASE DATOS'!F:G,2,0)</f>
        <v xml:space="preserve">TRANSP LAGOS - MRV682 </v>
      </c>
      <c r="F1390" s="584" t="str">
        <f>+VLOOKUP(Tabla3[[#This Row],[PATENTE]],'BASE DATOS'!F:H,3,0)</f>
        <v>8P</v>
      </c>
      <c r="G1390" s="584" t="str">
        <f>+VLOOKUP(Tabla3[[#This Row],[PATENTE]],'BASE DATOS'!F:I,4,0)</f>
        <v>SI</v>
      </c>
      <c r="H1390" s="584" t="str">
        <f>+VLOOKUP(Tabla3[[#This Row],[PATENTE]],'BASE DATOS'!F:J,5,0)</f>
        <v>SI</v>
      </c>
      <c r="I1390" s="584" t="str">
        <f>+VLOOKUP(Tabla3[[#This Row],[PATENTE]],'BASE DATOS'!F:K,6,0)</f>
        <v>NO</v>
      </c>
      <c r="J1390" s="584">
        <f>+VLOOKUP(Tabla3[[#This Row],[PATENTE]],'BASE DATOS'!F:L,7,0)</f>
        <v>2013</v>
      </c>
      <c r="K1390" s="619">
        <f>+VLOOKUP(Tabla3[[#This Row],[PATENTE]],'BASE DATOS'!F:M,8,0)</f>
        <v>12</v>
      </c>
    </row>
    <row r="1391" spans="1:11" hidden="1">
      <c r="A1391" s="578" t="s">
        <v>886</v>
      </c>
      <c r="B1391" s="584">
        <v>2</v>
      </c>
      <c r="C1391" s="589">
        <v>46020</v>
      </c>
      <c r="D1391" s="582">
        <f t="shared" si="52"/>
        <v>53</v>
      </c>
      <c r="E1391" s="618" t="str">
        <f>+VLOOKUP(Tabla3[[#This Row],[PATENTE]],'BASE DATOS'!F:G,2,0)</f>
        <v xml:space="preserve">TRANSP LAGOS - NOO925 </v>
      </c>
      <c r="F1391" s="584" t="str">
        <f>+VLOOKUP(Tabla3[[#This Row],[PATENTE]],'BASE DATOS'!F:H,3,0)</f>
        <v>8P</v>
      </c>
      <c r="G1391" s="584" t="str">
        <f>+VLOOKUP(Tabla3[[#This Row],[PATENTE]],'BASE DATOS'!F:I,4,0)</f>
        <v>SI</v>
      </c>
      <c r="H1391" s="584" t="str">
        <f>+VLOOKUP(Tabla3[[#This Row],[PATENTE]],'BASE DATOS'!F:J,5,0)</f>
        <v>SI</v>
      </c>
      <c r="I1391" s="584" t="str">
        <f>+VLOOKUP(Tabla3[[#This Row],[PATENTE]],'BASE DATOS'!F:K,6,0)</f>
        <v>NO</v>
      </c>
      <c r="J1391" s="584">
        <f>+VLOOKUP(Tabla3[[#This Row],[PATENTE]],'BASE DATOS'!F:L,7,0)</f>
        <v>2014</v>
      </c>
      <c r="K1391" s="619">
        <f>+VLOOKUP(Tabla3[[#This Row],[PATENTE]],'BASE DATOS'!F:M,8,0)</f>
        <v>11</v>
      </c>
    </row>
    <row r="1392" spans="1:11" hidden="1">
      <c r="A1392" s="578" t="s">
        <v>879</v>
      </c>
      <c r="B1392" s="584">
        <v>2</v>
      </c>
      <c r="C1392" s="589">
        <v>46020</v>
      </c>
      <c r="D1392" s="582">
        <f t="shared" si="52"/>
        <v>53</v>
      </c>
      <c r="E1392" s="618" t="str">
        <f>+VLOOKUP(Tabla3[[#This Row],[PATENTE]],'BASE DATOS'!F:G,2,0)</f>
        <v xml:space="preserve">TRANSP JP - OYP470 </v>
      </c>
      <c r="F1392" s="584" t="str">
        <f>+VLOOKUP(Tabla3[[#This Row],[PATENTE]],'BASE DATOS'!F:H,3,0)</f>
        <v>8P</v>
      </c>
      <c r="G1392" s="584" t="str">
        <f>+VLOOKUP(Tabla3[[#This Row],[PATENTE]],'BASE DATOS'!F:I,4,0)</f>
        <v>SI</v>
      </c>
      <c r="H1392" s="584" t="str">
        <f>+VLOOKUP(Tabla3[[#This Row],[PATENTE]],'BASE DATOS'!F:J,5,0)</f>
        <v>SI</v>
      </c>
      <c r="I1392" s="584" t="str">
        <f>+VLOOKUP(Tabla3[[#This Row],[PATENTE]],'BASE DATOS'!F:K,6,0)</f>
        <v>NO</v>
      </c>
      <c r="J1392" s="584">
        <f>+VLOOKUP(Tabla3[[#This Row],[PATENTE]],'BASE DATOS'!F:L,7,0)</f>
        <v>2011</v>
      </c>
      <c r="K1392" s="619">
        <f>+VLOOKUP(Tabla3[[#This Row],[PATENTE]],'BASE DATOS'!F:M,8,0)</f>
        <v>14</v>
      </c>
    </row>
    <row r="1393" spans="1:14" hidden="1">
      <c r="A1393" s="578" t="s">
        <v>890</v>
      </c>
      <c r="B1393" s="584">
        <v>1</v>
      </c>
      <c r="C1393" s="589">
        <v>46020</v>
      </c>
      <c r="D1393" s="582">
        <f t="shared" si="52"/>
        <v>53</v>
      </c>
      <c r="E1393" s="618" t="str">
        <f>+VLOOKUP(Tabla3[[#This Row],[PATENTE]],'BASE DATOS'!F:G,2,0)</f>
        <v xml:space="preserve">TRANSPORTE GRACIELA - AC040RO </v>
      </c>
      <c r="F1393" s="584" t="str">
        <f>+VLOOKUP(Tabla3[[#This Row],[PATENTE]],'BASE DATOS'!F:H,3,0)</f>
        <v>1P</v>
      </c>
      <c r="G1393" s="584" t="str">
        <f>+VLOOKUP(Tabla3[[#This Row],[PATENTE]],'BASE DATOS'!F:I,4,0)</f>
        <v>SI</v>
      </c>
      <c r="H1393" s="584" t="str">
        <f>+VLOOKUP(Tabla3[[#This Row],[PATENTE]],'BASE DATOS'!F:J,5,0)</f>
        <v>ACEPTA( VER CAMI)</v>
      </c>
      <c r="I1393" s="584" t="str">
        <f>+VLOOKUP(Tabla3[[#This Row],[PATENTE]],'BASE DATOS'!F:K,6,0)</f>
        <v>NO</v>
      </c>
      <c r="J1393" s="584">
        <f>+VLOOKUP(Tabla3[[#This Row],[PATENTE]],'BASE DATOS'!F:L,7,0)</f>
        <v>2017</v>
      </c>
      <c r="K1393" s="619">
        <f>+VLOOKUP(Tabla3[[#This Row],[PATENTE]],'BASE DATOS'!F:M,8,0)</f>
        <v>8</v>
      </c>
    </row>
    <row r="1394" spans="1:14" hidden="1">
      <c r="A1394" s="578" t="s">
        <v>906</v>
      </c>
      <c r="B1394" s="584">
        <v>1</v>
      </c>
      <c r="C1394" s="589">
        <v>46020</v>
      </c>
      <c r="D1394" s="582">
        <f t="shared" si="52"/>
        <v>53</v>
      </c>
      <c r="E1394" s="618" t="str">
        <f>+VLOOKUP(Tabla3[[#This Row],[PATENTE]],'BASE DATOS'!F:G,2,0)</f>
        <v xml:space="preserve">VAZQUEZ (TRV SRL) - AD472GK </v>
      </c>
      <c r="F1394" s="584" t="str">
        <f>+VLOOKUP(Tabla3[[#This Row],[PATENTE]],'BASE DATOS'!F:H,3,0)</f>
        <v>8P</v>
      </c>
      <c r="G1394" s="584" t="str">
        <f>+VLOOKUP(Tabla3[[#This Row],[PATENTE]],'BASE DATOS'!F:I,4,0)</f>
        <v>NO</v>
      </c>
      <c r="H1394" s="584" t="str">
        <f>+VLOOKUP(Tabla3[[#This Row],[PATENTE]],'BASE DATOS'!F:J,5,0)</f>
        <v>NO</v>
      </c>
      <c r="I1394" s="584" t="str">
        <f>+VLOOKUP(Tabla3[[#This Row],[PATENTE]],'BASE DATOS'!F:K,6,0)</f>
        <v>SI</v>
      </c>
      <c r="J1394" s="584">
        <f>+VLOOKUP(Tabla3[[#This Row],[PATENTE]],'BASE DATOS'!F:L,7,0)</f>
        <v>2019</v>
      </c>
      <c r="K1394" s="619">
        <f>+VLOOKUP(Tabla3[[#This Row],[PATENTE]],'BASE DATOS'!F:M,8,0)</f>
        <v>6</v>
      </c>
    </row>
    <row r="1395" spans="1:14" hidden="1">
      <c r="A1395" s="578" t="s">
        <v>942</v>
      </c>
      <c r="B1395" s="584">
        <v>1</v>
      </c>
      <c r="C1395" s="589">
        <v>46020</v>
      </c>
      <c r="D1395" s="582">
        <f t="shared" si="52"/>
        <v>53</v>
      </c>
      <c r="E1395" s="618" t="str">
        <f>+VLOOKUP(Tabla3[[#This Row],[PATENTE]],'BASE DATOS'!F:G,2,0)</f>
        <v>GANZINI HUGO - AH599 - 1P</v>
      </c>
      <c r="F1395" s="584" t="str">
        <f>+VLOOKUP(Tabla3[[#This Row],[PATENTE]],'BASE DATOS'!F:H,3,0)</f>
        <v>1P</v>
      </c>
      <c r="G1395" s="584" t="str">
        <f>+VLOOKUP(Tabla3[[#This Row],[PATENTE]],'BASE DATOS'!F:I,4,0)</f>
        <v>NO</v>
      </c>
      <c r="H1395" s="584" t="str">
        <f>+VLOOKUP(Tabla3[[#This Row],[PATENTE]],'BASE DATOS'!F:J,5,0)</f>
        <v>NO</v>
      </c>
      <c r="I1395" s="584" t="str">
        <f>+VLOOKUP(Tabla3[[#This Row],[PATENTE]],'BASE DATOS'!F:K,6,0)</f>
        <v>NO</v>
      </c>
      <c r="J1395" s="584">
        <f>+VLOOKUP(Tabla3[[#This Row],[PATENTE]],'BASE DATOS'!F:L,7,0)</f>
        <v>2025</v>
      </c>
      <c r="K1395" s="619">
        <f>+VLOOKUP(Tabla3[[#This Row],[PATENTE]],'BASE DATOS'!F:M,8,0)</f>
        <v>0</v>
      </c>
    </row>
    <row r="1396" spans="1:14" hidden="1">
      <c r="A1396" s="578" t="s">
        <v>944</v>
      </c>
      <c r="B1396" s="584">
        <v>1</v>
      </c>
      <c r="C1396" s="589">
        <v>46020</v>
      </c>
      <c r="D1396" s="582">
        <f t="shared" si="52"/>
        <v>53</v>
      </c>
      <c r="E1396" s="618" t="str">
        <f>+VLOOKUP(Tabla3[[#This Row],[PATENTE]],'BASE DATOS'!F:G,2,0)</f>
        <v xml:space="preserve">TRANSPORTE GENA GAIA - BHG261 </v>
      </c>
      <c r="F1396" s="584" t="str">
        <f>+VLOOKUP(Tabla3[[#This Row],[PATENTE]],'BASE DATOS'!F:H,3,0)</f>
        <v>26P</v>
      </c>
      <c r="G1396" s="584" t="str">
        <f>+VLOOKUP(Tabla3[[#This Row],[PATENTE]],'BASE DATOS'!F:I,4,0)</f>
        <v>Gestya</v>
      </c>
      <c r="H1396" s="584" t="str">
        <f>+VLOOKUP(Tabla3[[#This Row],[PATENTE]],'BASE DATOS'!F:J,5,0)</f>
        <v xml:space="preserve">NO </v>
      </c>
      <c r="I1396" s="584" t="str">
        <f>+VLOOKUP(Tabla3[[#This Row],[PATENTE]],'BASE DATOS'!F:K,6,0)</f>
        <v>NO</v>
      </c>
      <c r="J1396" s="584">
        <f>+VLOOKUP(Tabla3[[#This Row],[PATENTE]],'BASE DATOS'!F:L,7,0)</f>
        <v>1997</v>
      </c>
      <c r="K1396" s="619">
        <f>+VLOOKUP(Tabla3[[#This Row],[PATENTE]],'BASE DATOS'!F:M,8,0)</f>
        <v>28</v>
      </c>
    </row>
    <row r="1397" spans="1:14" hidden="1">
      <c r="A1397" s="578" t="s">
        <v>921</v>
      </c>
      <c r="B1397" s="584">
        <v>1</v>
      </c>
      <c r="C1397" s="589">
        <v>46020</v>
      </c>
      <c r="D1397" s="582">
        <f t="shared" si="52"/>
        <v>53</v>
      </c>
      <c r="E1397" s="618" t="str">
        <f>+VLOOKUP(Tabla3[[#This Row],[PATENTE]],'BASE DATOS'!F:G,2,0)</f>
        <v xml:space="preserve">MAÑAS NORBERTO - CQQ304 </v>
      </c>
      <c r="F1397" s="584" t="str">
        <f>+VLOOKUP(Tabla3[[#This Row],[PATENTE]],'BASE DATOS'!F:H,3,0)</f>
        <v>11P</v>
      </c>
      <c r="G1397" s="584" t="str">
        <f>+VLOOKUP(Tabla3[[#This Row],[PATENTE]],'BASE DATOS'!F:I,4,0)</f>
        <v>SI</v>
      </c>
      <c r="H1397" s="584" t="str">
        <f>+VLOOKUP(Tabla3[[#This Row],[PATENTE]],'BASE DATOS'!F:J,5,0)</f>
        <v>SI</v>
      </c>
      <c r="I1397" s="584" t="str">
        <f>+VLOOKUP(Tabla3[[#This Row],[PATENTE]],'BASE DATOS'!F:K,6,0)</f>
        <v>NO</v>
      </c>
      <c r="J1397" s="584">
        <f>+VLOOKUP(Tabla3[[#This Row],[PATENTE]],'BASE DATOS'!F:L,7,0)</f>
        <v>2000</v>
      </c>
      <c r="K1397" s="619">
        <f>+VLOOKUP(Tabla3[[#This Row],[PATENTE]],'BASE DATOS'!F:M,8,0)</f>
        <v>25</v>
      </c>
    </row>
    <row r="1398" spans="1:14" hidden="1">
      <c r="A1398" s="578" t="s">
        <v>935</v>
      </c>
      <c r="B1398" s="584">
        <v>1</v>
      </c>
      <c r="C1398" s="589">
        <v>46020</v>
      </c>
      <c r="D1398" s="582">
        <f t="shared" si="52"/>
        <v>53</v>
      </c>
      <c r="E1398" s="618" t="str">
        <f>+VLOOKUP(Tabla3[[#This Row],[PATENTE]],'BASE DATOS'!F:G,2,0)</f>
        <v>GANZINI HUGO -DMP850</v>
      </c>
      <c r="F1398" s="584" t="str">
        <f>+VLOOKUP(Tabla3[[#This Row],[PATENTE]],'BASE DATOS'!F:H,3,0)</f>
        <v>2P</v>
      </c>
      <c r="G1398" s="584" t="str">
        <f>+VLOOKUP(Tabla3[[#This Row],[PATENTE]],'BASE DATOS'!F:I,4,0)</f>
        <v>NO</v>
      </c>
      <c r="H1398" s="584" t="str">
        <f>+VLOOKUP(Tabla3[[#This Row],[PATENTE]],'BASE DATOS'!F:J,5,0)</f>
        <v xml:space="preserve">NO </v>
      </c>
      <c r="I1398" s="584" t="str">
        <f>+VLOOKUP(Tabla3[[#This Row],[PATENTE]],'BASE DATOS'!F:K,6,0)</f>
        <v>NO</v>
      </c>
      <c r="J1398" s="584">
        <f>+VLOOKUP(Tabla3[[#This Row],[PATENTE]],'BASE DATOS'!F:L,7,0)</f>
        <v>2000</v>
      </c>
      <c r="K1398" s="619">
        <f>+VLOOKUP(Tabla3[[#This Row],[PATENTE]],'BASE DATOS'!F:M,8,0)</f>
        <v>25</v>
      </c>
      <c r="N1398" s="27"/>
    </row>
    <row r="1399" spans="1:14" hidden="1">
      <c r="A1399" s="578" t="s">
        <v>926</v>
      </c>
      <c r="B1399" s="584">
        <v>1</v>
      </c>
      <c r="C1399" s="589">
        <v>46020</v>
      </c>
      <c r="D1399" s="582">
        <f t="shared" si="52"/>
        <v>53</v>
      </c>
      <c r="E1399" s="618" t="str">
        <f>+VLOOKUP(Tabla3[[#This Row],[PATENTE]],'BASE DATOS'!F:G,2,0)</f>
        <v xml:space="preserve">TRANSPORTE GENA GAIA - DUF042 </v>
      </c>
      <c r="F1399" s="584" t="str">
        <f>+VLOOKUP(Tabla3[[#This Row],[PATENTE]],'BASE DATOS'!F:H,3,0)</f>
        <v>24P</v>
      </c>
      <c r="G1399" s="584" t="str">
        <f>+VLOOKUP(Tabla3[[#This Row],[PATENTE]],'BASE DATOS'!F:I,4,0)</f>
        <v>Gestya</v>
      </c>
      <c r="H1399" s="584" t="str">
        <f>+VLOOKUP(Tabla3[[#This Row],[PATENTE]],'BASE DATOS'!F:J,5,0)</f>
        <v xml:space="preserve">NO </v>
      </c>
      <c r="I1399" s="584" t="str">
        <f>+VLOOKUP(Tabla3[[#This Row],[PATENTE]],'BASE DATOS'!F:K,6,0)</f>
        <v>NO</v>
      </c>
      <c r="J1399" s="584">
        <f>+VLOOKUP(Tabla3[[#This Row],[PATENTE]],'BASE DATOS'!F:L,7,0)</f>
        <v>2001</v>
      </c>
      <c r="K1399" s="619">
        <f>+VLOOKUP(Tabla3[[#This Row],[PATENTE]],'BASE DATOS'!F:M,8,0)</f>
        <v>24</v>
      </c>
    </row>
    <row r="1400" spans="1:14" hidden="1">
      <c r="A1400" s="578" t="s">
        <v>881</v>
      </c>
      <c r="B1400" s="584">
        <v>1</v>
      </c>
      <c r="C1400" s="589">
        <v>46020</v>
      </c>
      <c r="D1400" s="582">
        <f t="shared" si="52"/>
        <v>53</v>
      </c>
      <c r="E1400" s="618" t="str">
        <f>+VLOOKUP(Tabla3[[#This Row],[PATENTE]],'BASE DATOS'!F:G,2,0)</f>
        <v xml:space="preserve">MAÑAS NORBERTO - DUQ686 </v>
      </c>
      <c r="F1400" s="584" t="str">
        <f>+VLOOKUP(Tabla3[[#This Row],[PATENTE]],'BASE DATOS'!F:H,3,0)</f>
        <v>8P</v>
      </c>
      <c r="G1400" s="584" t="str">
        <f>+VLOOKUP(Tabla3[[#This Row],[PATENTE]],'BASE DATOS'!F:I,4,0)</f>
        <v>SI</v>
      </c>
      <c r="H1400" s="584" t="str">
        <f>+VLOOKUP(Tabla3[[#This Row],[PATENTE]],'BASE DATOS'!F:J,5,0)</f>
        <v>SI</v>
      </c>
      <c r="I1400" s="584" t="str">
        <f>+VLOOKUP(Tabla3[[#This Row],[PATENTE]],'BASE DATOS'!F:K,6,0)</f>
        <v>NO</v>
      </c>
      <c r="J1400" s="584">
        <f>+VLOOKUP(Tabla3[[#This Row],[PATENTE]],'BASE DATOS'!F:L,7,0)</f>
        <v>2001</v>
      </c>
      <c r="K1400" s="619">
        <f>+VLOOKUP(Tabla3[[#This Row],[PATENTE]],'BASE DATOS'!F:M,8,0)</f>
        <v>24</v>
      </c>
    </row>
    <row r="1401" spans="1:14" hidden="1">
      <c r="A1401" s="578" t="s">
        <v>889</v>
      </c>
      <c r="B1401" s="584">
        <v>1</v>
      </c>
      <c r="C1401" s="589">
        <v>46020</v>
      </c>
      <c r="D1401" s="582">
        <f t="shared" si="52"/>
        <v>53</v>
      </c>
      <c r="E1401" s="618" t="str">
        <f>+VLOOKUP(Tabla3[[#This Row],[PATENTE]],'BASE DATOS'!F:G,2,0)</f>
        <v xml:space="preserve">COLO - HAW164 </v>
      </c>
      <c r="F1401" s="584" t="str">
        <f>+VLOOKUP(Tabla3[[#This Row],[PATENTE]],'BASE DATOS'!F:H,3,0)</f>
        <v>6P</v>
      </c>
      <c r="G1401" s="584" t="str">
        <f>+VLOOKUP(Tabla3[[#This Row],[PATENTE]],'BASE DATOS'!F:I,4,0)</f>
        <v>NO</v>
      </c>
      <c r="H1401" s="584" t="str">
        <f>+VLOOKUP(Tabla3[[#This Row],[PATENTE]],'BASE DATOS'!F:J,5,0)</f>
        <v>SI</v>
      </c>
      <c r="I1401" s="584" t="str">
        <f>+VLOOKUP(Tabla3[[#This Row],[PATENTE]],'BASE DATOS'!F:K,6,0)</f>
        <v>NO</v>
      </c>
      <c r="J1401" s="584">
        <f>+VLOOKUP(Tabla3[[#This Row],[PATENTE]],'BASE DATOS'!F:L,7,0)</f>
        <v>2009</v>
      </c>
      <c r="K1401" s="619">
        <f>+VLOOKUP(Tabla3[[#This Row],[PATENTE]],'BASE DATOS'!F:M,8,0)</f>
        <v>16</v>
      </c>
    </row>
    <row r="1402" spans="1:14" hidden="1">
      <c r="A1402" s="578" t="s">
        <v>885</v>
      </c>
      <c r="B1402" s="584">
        <v>1</v>
      </c>
      <c r="C1402" s="589">
        <v>46020</v>
      </c>
      <c r="D1402" s="582">
        <f t="shared" si="52"/>
        <v>53</v>
      </c>
      <c r="E1402" s="618" t="str">
        <f>+VLOOKUP(Tabla3[[#This Row],[PATENTE]],'BASE DATOS'!F:G,2,0)</f>
        <v xml:space="preserve">TRANSP DON NENO - IES288 </v>
      </c>
      <c r="F1402" s="584" t="str">
        <f>+VLOOKUP(Tabla3[[#This Row],[PATENTE]],'BASE DATOS'!F:H,3,0)</f>
        <v>2P</v>
      </c>
      <c r="G1402" s="584" t="str">
        <f>+VLOOKUP(Tabla3[[#This Row],[PATENTE]],'BASE DATOS'!F:I,4,0)</f>
        <v>SI</v>
      </c>
      <c r="H1402" s="584" t="str">
        <f>+VLOOKUP(Tabla3[[#This Row],[PATENTE]],'BASE DATOS'!F:J,5,0)</f>
        <v>SI</v>
      </c>
      <c r="I1402" s="584" t="str">
        <f>+VLOOKUP(Tabla3[[#This Row],[PATENTE]],'BASE DATOS'!F:K,6,0)</f>
        <v>NO</v>
      </c>
      <c r="J1402" s="584">
        <f>+VLOOKUP(Tabla3[[#This Row],[PATENTE]],'BASE DATOS'!F:L,7,0)</f>
        <v>2009</v>
      </c>
      <c r="K1402" s="619">
        <f>+VLOOKUP(Tabla3[[#This Row],[PATENTE]],'BASE DATOS'!F:M,8,0)</f>
        <v>16</v>
      </c>
    </row>
    <row r="1403" spans="1:14" hidden="1">
      <c r="A1403" s="578" t="s">
        <v>933</v>
      </c>
      <c r="B1403" s="584">
        <v>1</v>
      </c>
      <c r="C1403" s="589">
        <v>46020</v>
      </c>
      <c r="D1403" s="582">
        <f t="shared" si="52"/>
        <v>53</v>
      </c>
      <c r="E1403" s="618" t="str">
        <f>+VLOOKUP(Tabla3[[#This Row],[PATENTE]],'BASE DATOS'!F:G,2,0)</f>
        <v xml:space="preserve">TRANSPORTE GENA GAIA - IKE806 </v>
      </c>
      <c r="F1403" s="584" t="str">
        <f>+VLOOKUP(Tabla3[[#This Row],[PATENTE]],'BASE DATOS'!F:H,3,0)</f>
        <v>24P</v>
      </c>
      <c r="G1403" s="584" t="str">
        <f>+VLOOKUP(Tabla3[[#This Row],[PATENTE]],'BASE DATOS'!F:I,4,0)</f>
        <v>Gestya</v>
      </c>
      <c r="H1403" s="584" t="str">
        <f>+VLOOKUP(Tabla3[[#This Row],[PATENTE]],'BASE DATOS'!F:J,5,0)</f>
        <v xml:space="preserve">NO </v>
      </c>
      <c r="I1403" s="584" t="str">
        <f>+VLOOKUP(Tabla3[[#This Row],[PATENTE]],'BASE DATOS'!F:K,6,0)</f>
        <v>NO</v>
      </c>
      <c r="J1403" s="584">
        <f>+VLOOKUP(Tabla3[[#This Row],[PATENTE]],'BASE DATOS'!F:L,7,0)</f>
        <v>2010</v>
      </c>
      <c r="K1403" s="619">
        <f>+VLOOKUP(Tabla3[[#This Row],[PATENTE]],'BASE DATOS'!F:M,8,0)</f>
        <v>15</v>
      </c>
    </row>
    <row r="1404" spans="1:14" hidden="1">
      <c r="A1404" s="578" t="s">
        <v>900</v>
      </c>
      <c r="B1404" s="584">
        <v>1</v>
      </c>
      <c r="C1404" s="589">
        <v>46020</v>
      </c>
      <c r="D1404" s="582">
        <f t="shared" si="52"/>
        <v>53</v>
      </c>
      <c r="E1404" s="618" t="str">
        <f>+VLOOKUP(Tabla3[[#This Row],[PATENTE]],'BASE DATOS'!F:G,2,0)</f>
        <v>TRANSPORTE GENA GAIA - IMO939</v>
      </c>
      <c r="F1404" s="584" t="str">
        <f>+VLOOKUP(Tabla3[[#This Row],[PATENTE]],'BASE DATOS'!F:H,3,0)</f>
        <v>24P</v>
      </c>
      <c r="G1404" s="584" t="str">
        <f>+VLOOKUP(Tabla3[[#This Row],[PATENTE]],'BASE DATOS'!F:I,4,0)</f>
        <v>Gestya</v>
      </c>
      <c r="H1404" s="584" t="str">
        <f>+VLOOKUP(Tabla3[[#This Row],[PATENTE]],'BASE DATOS'!F:J,5,0)</f>
        <v xml:space="preserve">NO </v>
      </c>
      <c r="I1404" s="584" t="str">
        <f>+VLOOKUP(Tabla3[[#This Row],[PATENTE]],'BASE DATOS'!F:K,6,0)</f>
        <v>NO</v>
      </c>
      <c r="J1404" s="584">
        <f>+VLOOKUP(Tabla3[[#This Row],[PATENTE]],'BASE DATOS'!F:L,7,0)</f>
        <v>2010</v>
      </c>
      <c r="K1404" s="619">
        <f>+VLOOKUP(Tabla3[[#This Row],[PATENTE]],'BASE DATOS'!F:M,8,0)</f>
        <v>15</v>
      </c>
    </row>
    <row r="1405" spans="1:14" hidden="1">
      <c r="A1405" s="578" t="s">
        <v>925</v>
      </c>
      <c r="B1405" s="584">
        <v>1</v>
      </c>
      <c r="C1405" s="589">
        <v>46020</v>
      </c>
      <c r="D1405" s="582">
        <f t="shared" si="52"/>
        <v>53</v>
      </c>
      <c r="E1405" s="618" t="str">
        <f>+VLOOKUP(Tabla3[[#This Row],[PATENTE]],'BASE DATOS'!F:G,2,0)</f>
        <v xml:space="preserve">TRANSP MAIDANA FACUNDO - KOW745 </v>
      </c>
      <c r="F1405" s="584" t="str">
        <f>+VLOOKUP(Tabla3[[#This Row],[PATENTE]],'BASE DATOS'!F:H,3,0)</f>
        <v>8P</v>
      </c>
      <c r="G1405" s="584" t="str">
        <f>+VLOOKUP(Tabla3[[#This Row],[PATENTE]],'BASE DATOS'!F:I,4,0)</f>
        <v>SI</v>
      </c>
      <c r="H1405" s="584" t="str">
        <f>+VLOOKUP(Tabla3[[#This Row],[PATENTE]],'BASE DATOS'!F:J,5,0)</f>
        <v>SI</v>
      </c>
      <c r="I1405" s="584" t="str">
        <f>+VLOOKUP(Tabla3[[#This Row],[PATENTE]],'BASE DATOS'!F:K,6,0)</f>
        <v>NO</v>
      </c>
      <c r="J1405" s="584">
        <f>+VLOOKUP(Tabla3[[#This Row],[PATENTE]],'BASE DATOS'!F:L,7,0)</f>
        <v>2012</v>
      </c>
      <c r="K1405" s="619">
        <f>+VLOOKUP(Tabla3[[#This Row],[PATENTE]],'BASE DATOS'!F:M,8,0)</f>
        <v>13</v>
      </c>
    </row>
    <row r="1406" spans="1:14" hidden="1">
      <c r="A1406" s="581" t="s">
        <v>943</v>
      </c>
      <c r="B1406" s="587">
        <v>1</v>
      </c>
      <c r="C1406" s="589">
        <v>46020</v>
      </c>
      <c r="D1406" s="583">
        <f t="shared" si="52"/>
        <v>53</v>
      </c>
      <c r="E1406" s="620" t="str">
        <f>+VLOOKUP(Tabla3[[#This Row],[PATENTE]],'BASE DATOS'!F:G,2,0)</f>
        <v>GANZINI HUGO - KTJ626</v>
      </c>
      <c r="F1406" s="587" t="str">
        <f>+VLOOKUP(Tabla3[[#This Row],[PATENTE]],'BASE DATOS'!F:H,3,0)</f>
        <v>8P</v>
      </c>
      <c r="G1406" s="587" t="str">
        <f>+VLOOKUP(Tabla3[[#This Row],[PATENTE]],'BASE DATOS'!F:I,4,0)</f>
        <v>NO</v>
      </c>
      <c r="H1406" s="587" t="str">
        <f>+VLOOKUP(Tabla3[[#This Row],[PATENTE]],'BASE DATOS'!F:J,5,0)</f>
        <v xml:space="preserve">NO </v>
      </c>
      <c r="I1406" s="587" t="str">
        <f>+VLOOKUP(Tabla3[[#This Row],[PATENTE]],'BASE DATOS'!F:K,6,0)</f>
        <v>NO</v>
      </c>
      <c r="J1406" s="587">
        <f>+VLOOKUP(Tabla3[[#This Row],[PATENTE]],'BASE DATOS'!F:L,7,0)</f>
        <v>2011</v>
      </c>
      <c r="K1406" s="621">
        <f>+VLOOKUP(Tabla3[[#This Row],[PATENTE]],'BASE DATOS'!F:M,8,0)</f>
        <v>14</v>
      </c>
    </row>
    <row r="1407" spans="1:14" ht="15" hidden="1" customHeight="1">
      <c r="A1407" s="578" t="s">
        <v>895</v>
      </c>
      <c r="B1407" s="584">
        <v>6</v>
      </c>
      <c r="C1407" s="589">
        <v>46027</v>
      </c>
      <c r="D1407" s="582">
        <f t="shared" ref="D1407:D1452" si="53">+WEEKNUM(C1407)</f>
        <v>2</v>
      </c>
      <c r="E1407" s="618" t="str">
        <f>+VLOOKUP(Tabla3[[#This Row],[PATENTE]],'BASE DATOS'!F:G,2,0)</f>
        <v xml:space="preserve">TRANSPORTE MICAELA </v>
      </c>
      <c r="F1407" s="584" t="str">
        <f>+VLOOKUP(Tabla3[[#This Row],[PATENTE]],'BASE DATOS'!F:H,3,0)</f>
        <v>2P</v>
      </c>
      <c r="G1407" s="584" t="str">
        <f>+VLOOKUP(Tabla3[[#This Row],[PATENTE]],'BASE DATOS'!F:I,4,0)</f>
        <v>NO</v>
      </c>
      <c r="H1407" s="584" t="str">
        <f>+VLOOKUP(Tabla3[[#This Row],[PATENTE]],'BASE DATOS'!F:J,5,0)</f>
        <v>SI</v>
      </c>
      <c r="I1407" s="584" t="str">
        <f>+VLOOKUP(Tabla3[[#This Row],[PATENTE]],'BASE DATOS'!F:K,6,0)</f>
        <v>NO</v>
      </c>
      <c r="J1407" s="584">
        <f>+VLOOKUP(Tabla3[[#This Row],[PATENTE]],'BASE DATOS'!F:L,7,0)</f>
        <v>2024</v>
      </c>
      <c r="K1407" s="619">
        <f>+VLOOKUP(Tabla3[[#This Row],[PATENTE]],'BASE DATOS'!F:M,8,0)</f>
        <v>1</v>
      </c>
    </row>
    <row r="1408" spans="1:14" ht="15" hidden="1" customHeight="1">
      <c r="A1408" s="578" t="s">
        <v>907</v>
      </c>
      <c r="B1408" s="584">
        <v>6</v>
      </c>
      <c r="C1408" s="589">
        <v>46027</v>
      </c>
      <c r="D1408" s="582">
        <f t="shared" si="53"/>
        <v>2</v>
      </c>
      <c r="E1408" s="618" t="str">
        <f>+VLOOKUP(Tabla3[[#This Row],[PATENTE]],'BASE DATOS'!F:G,2,0)</f>
        <v xml:space="preserve">LAURIA (SERVAL) - AH583GW </v>
      </c>
      <c r="F1408" s="584" t="str">
        <f>+VLOOKUP(Tabla3[[#This Row],[PATENTE]],'BASE DATOS'!F:H,3,0)</f>
        <v>8P</v>
      </c>
      <c r="G1408" s="584" t="str">
        <f>+VLOOKUP(Tabla3[[#This Row],[PATENTE]],'BASE DATOS'!F:I,4,0)</f>
        <v>SI</v>
      </c>
      <c r="H1408" s="584" t="str">
        <f>+VLOOKUP(Tabla3[[#This Row],[PATENTE]],'BASE DATOS'!F:J,5,0)</f>
        <v>SI</v>
      </c>
      <c r="I1408" s="584" t="str">
        <f>+VLOOKUP(Tabla3[[#This Row],[PATENTE]],'BASE DATOS'!F:K,6,0)</f>
        <v>NO</v>
      </c>
      <c r="J1408" s="584">
        <f>+VLOOKUP(Tabla3[[#This Row],[PATENTE]],'BASE DATOS'!F:L,7,0)</f>
        <v>2025</v>
      </c>
      <c r="K1408" s="619">
        <f>+VLOOKUP(Tabla3[[#This Row],[PATENTE]],'BASE DATOS'!F:M,8,0)</f>
        <v>0</v>
      </c>
    </row>
    <row r="1409" spans="1:11" ht="15" hidden="1" customHeight="1">
      <c r="A1409" s="578" t="s">
        <v>887</v>
      </c>
      <c r="B1409" s="584">
        <v>6</v>
      </c>
      <c r="C1409" s="589">
        <v>46027</v>
      </c>
      <c r="D1409" s="582">
        <f t="shared" si="53"/>
        <v>2</v>
      </c>
      <c r="E1409" s="618" t="str">
        <f>+VLOOKUP(Tabla3[[#This Row],[PATENTE]],'BASE DATOS'!F:G,2,0)</f>
        <v>ENRIQUE ROLLINO - BXB394</v>
      </c>
      <c r="F1409" s="584" t="str">
        <f>+VLOOKUP(Tabla3[[#This Row],[PATENTE]],'BASE DATOS'!F:H,3,0)</f>
        <v>2P</v>
      </c>
      <c r="G1409" s="584" t="str">
        <f>+VLOOKUP(Tabla3[[#This Row],[PATENTE]],'BASE DATOS'!F:I,4,0)</f>
        <v>SI</v>
      </c>
      <c r="H1409" s="584" t="str">
        <f>+VLOOKUP(Tabla3[[#This Row],[PATENTE]],'BASE DATOS'!F:J,5,0)</f>
        <v>SI</v>
      </c>
      <c r="I1409" s="584" t="str">
        <f>+VLOOKUP(Tabla3[[#This Row],[PATENTE]],'BASE DATOS'!F:K,6,0)</f>
        <v>NO</v>
      </c>
      <c r="J1409" s="584">
        <f>+VLOOKUP(Tabla3[[#This Row],[PATENTE]],'BASE DATOS'!F:L,7,0)</f>
        <v>1998</v>
      </c>
      <c r="K1409" s="619">
        <f>+VLOOKUP(Tabla3[[#This Row],[PATENTE]],'BASE DATOS'!F:M,8,0)</f>
        <v>27</v>
      </c>
    </row>
    <row r="1410" spans="1:11" ht="15" hidden="1" customHeight="1">
      <c r="A1410" s="578" t="s">
        <v>904</v>
      </c>
      <c r="B1410" s="584">
        <v>6</v>
      </c>
      <c r="C1410" s="589">
        <v>46027</v>
      </c>
      <c r="D1410" s="582">
        <f t="shared" si="53"/>
        <v>2</v>
      </c>
      <c r="E1410" s="618" t="str">
        <f>+VLOOKUP(Tabla3[[#This Row],[PATENTE]],'BASE DATOS'!F:G,2,0)</f>
        <v xml:space="preserve">ENRIQUE ROLLINO - DFO656 </v>
      </c>
      <c r="F1410" s="584" t="str">
        <f>+VLOOKUP(Tabla3[[#This Row],[PATENTE]],'BASE DATOS'!F:H,3,0)</f>
        <v>6P</v>
      </c>
      <c r="G1410" s="584" t="str">
        <f>+VLOOKUP(Tabla3[[#This Row],[PATENTE]],'BASE DATOS'!F:I,4,0)</f>
        <v>SI</v>
      </c>
      <c r="H1410" s="584" t="str">
        <f>+VLOOKUP(Tabla3[[#This Row],[PATENTE]],'BASE DATOS'!F:J,5,0)</f>
        <v>SI</v>
      </c>
      <c r="I1410" s="584" t="str">
        <f>+VLOOKUP(Tabla3[[#This Row],[PATENTE]],'BASE DATOS'!F:K,6,0)</f>
        <v>NO</v>
      </c>
      <c r="J1410" s="584">
        <f>+VLOOKUP(Tabla3[[#This Row],[PATENTE]],'BASE DATOS'!F:L,7,0)</f>
        <v>2000</v>
      </c>
      <c r="K1410" s="619">
        <f>+VLOOKUP(Tabla3[[#This Row],[PATENTE]],'BASE DATOS'!F:M,8,0)</f>
        <v>25</v>
      </c>
    </row>
    <row r="1411" spans="1:11" ht="15" hidden="1" customHeight="1">
      <c r="A1411" s="578" t="s">
        <v>881</v>
      </c>
      <c r="B1411" s="584">
        <v>6</v>
      </c>
      <c r="C1411" s="589">
        <v>46027</v>
      </c>
      <c r="D1411" s="582">
        <f t="shared" si="53"/>
        <v>2</v>
      </c>
      <c r="E1411" s="618" t="str">
        <f>+VLOOKUP(Tabla3[[#This Row],[PATENTE]],'BASE DATOS'!F:G,2,0)</f>
        <v xml:space="preserve">MAÑAS NORBERTO - DUQ686 </v>
      </c>
      <c r="F1411" s="584" t="str">
        <f>+VLOOKUP(Tabla3[[#This Row],[PATENTE]],'BASE DATOS'!F:H,3,0)</f>
        <v>8P</v>
      </c>
      <c r="G1411" s="584" t="str">
        <f>+VLOOKUP(Tabla3[[#This Row],[PATENTE]],'BASE DATOS'!F:I,4,0)</f>
        <v>SI</v>
      </c>
      <c r="H1411" s="584" t="str">
        <f>+VLOOKUP(Tabla3[[#This Row],[PATENTE]],'BASE DATOS'!F:J,5,0)</f>
        <v>SI</v>
      </c>
      <c r="I1411" s="584" t="str">
        <f>+VLOOKUP(Tabla3[[#This Row],[PATENTE]],'BASE DATOS'!F:K,6,0)</f>
        <v>NO</v>
      </c>
      <c r="J1411" s="584">
        <f>+VLOOKUP(Tabla3[[#This Row],[PATENTE]],'BASE DATOS'!F:L,7,0)</f>
        <v>2001</v>
      </c>
      <c r="K1411" s="619">
        <f>+VLOOKUP(Tabla3[[#This Row],[PATENTE]],'BASE DATOS'!F:M,8,0)</f>
        <v>24</v>
      </c>
    </row>
    <row r="1412" spans="1:11" ht="15" hidden="1" customHeight="1">
      <c r="A1412" s="578" t="s">
        <v>885</v>
      </c>
      <c r="B1412" s="584">
        <v>6</v>
      </c>
      <c r="C1412" s="589">
        <v>46027</v>
      </c>
      <c r="D1412" s="582">
        <f t="shared" si="53"/>
        <v>2</v>
      </c>
      <c r="E1412" s="618" t="str">
        <f>+VLOOKUP(Tabla3[[#This Row],[PATENTE]],'BASE DATOS'!F:G,2,0)</f>
        <v xml:space="preserve">TRANSP DON NENO - IES288 </v>
      </c>
      <c r="F1412" s="584" t="str">
        <f>+VLOOKUP(Tabla3[[#This Row],[PATENTE]],'BASE DATOS'!F:H,3,0)</f>
        <v>2P</v>
      </c>
      <c r="G1412" s="584" t="str">
        <f>+VLOOKUP(Tabla3[[#This Row],[PATENTE]],'BASE DATOS'!F:I,4,0)</f>
        <v>SI</v>
      </c>
      <c r="H1412" s="584" t="str">
        <f>+VLOOKUP(Tabla3[[#This Row],[PATENTE]],'BASE DATOS'!F:J,5,0)</f>
        <v>SI</v>
      </c>
      <c r="I1412" s="584" t="str">
        <f>+VLOOKUP(Tabla3[[#This Row],[PATENTE]],'BASE DATOS'!F:K,6,0)</f>
        <v>NO</v>
      </c>
      <c r="J1412" s="584">
        <f>+VLOOKUP(Tabla3[[#This Row],[PATENTE]],'BASE DATOS'!F:L,7,0)</f>
        <v>2009</v>
      </c>
      <c r="K1412" s="619">
        <f>+VLOOKUP(Tabla3[[#This Row],[PATENTE]],'BASE DATOS'!F:M,8,0)</f>
        <v>16</v>
      </c>
    </row>
    <row r="1413" spans="1:11" ht="15" hidden="1" customHeight="1">
      <c r="A1413" s="578" t="s">
        <v>939</v>
      </c>
      <c r="B1413" s="584">
        <v>6</v>
      </c>
      <c r="C1413" s="589">
        <v>46027</v>
      </c>
      <c r="D1413" s="582">
        <f t="shared" si="53"/>
        <v>2</v>
      </c>
      <c r="E1413" s="618" t="str">
        <f>+VLOOKUP(Tabla3[[#This Row],[PATENTE]],'BASE DATOS'!F:G,2,0)</f>
        <v>TRANSP CLAUDIO BUSTOS - JOQ178</v>
      </c>
      <c r="F1413" s="584" t="str">
        <f>+VLOOKUP(Tabla3[[#This Row],[PATENTE]],'BASE DATOS'!F:H,3,0)</f>
        <v>1P</v>
      </c>
      <c r="G1413" s="584" t="str">
        <f>+VLOOKUP(Tabla3[[#This Row],[PATENTE]],'BASE DATOS'!F:I,4,0)</f>
        <v>NO</v>
      </c>
      <c r="H1413" s="584" t="str">
        <f>+VLOOKUP(Tabla3[[#This Row],[PATENTE]],'BASE DATOS'!F:J,5,0)</f>
        <v>SI</v>
      </c>
      <c r="I1413" s="584" t="str">
        <f>+VLOOKUP(Tabla3[[#This Row],[PATENTE]],'BASE DATOS'!F:K,6,0)</f>
        <v>NO</v>
      </c>
      <c r="J1413" s="584">
        <f>+VLOOKUP(Tabla3[[#This Row],[PATENTE]],'BASE DATOS'!F:L,7,0)</f>
        <v>2010</v>
      </c>
      <c r="K1413" s="619">
        <f>+VLOOKUP(Tabla3[[#This Row],[PATENTE]],'BASE DATOS'!F:M,8,0)</f>
        <v>15</v>
      </c>
    </row>
    <row r="1414" spans="1:11" ht="15" hidden="1" customHeight="1">
      <c r="A1414" s="578" t="s">
        <v>902</v>
      </c>
      <c r="B1414" s="584">
        <v>6</v>
      </c>
      <c r="C1414" s="589">
        <v>46027</v>
      </c>
      <c r="D1414" s="582">
        <f t="shared" si="53"/>
        <v>2</v>
      </c>
      <c r="E1414" s="618" t="str">
        <f>+VLOOKUP(Tabla3[[#This Row],[PATENTE]],'BASE DATOS'!F:G,2,0)</f>
        <v xml:space="preserve">GUSTAVO CERQUETTA - KZA644 </v>
      </c>
      <c r="F1414" s="584" t="str">
        <f>+VLOOKUP(Tabla3[[#This Row],[PATENTE]],'BASE DATOS'!F:H,3,0)</f>
        <v>2P</v>
      </c>
      <c r="G1414" s="584" t="str">
        <f>+VLOOKUP(Tabla3[[#This Row],[PATENTE]],'BASE DATOS'!F:I,4,0)</f>
        <v>NO</v>
      </c>
      <c r="H1414" s="584" t="str">
        <f>+VLOOKUP(Tabla3[[#This Row],[PATENTE]],'BASE DATOS'!F:J,5,0)</f>
        <v>SI</v>
      </c>
      <c r="I1414" s="584" t="str">
        <f>+VLOOKUP(Tabla3[[#This Row],[PATENTE]],'BASE DATOS'!F:K,6,0)</f>
        <v>NO</v>
      </c>
      <c r="J1414" s="584">
        <f>+VLOOKUP(Tabla3[[#This Row],[PATENTE]],'BASE DATOS'!F:L,7,0)</f>
        <v>2012</v>
      </c>
      <c r="K1414" s="619">
        <f>+VLOOKUP(Tabla3[[#This Row],[PATENTE]],'BASE DATOS'!F:M,8,0)</f>
        <v>13</v>
      </c>
    </row>
    <row r="1415" spans="1:11" ht="15" hidden="1" customHeight="1">
      <c r="A1415" s="578" t="s">
        <v>909</v>
      </c>
      <c r="B1415" s="584">
        <v>6</v>
      </c>
      <c r="C1415" s="589">
        <v>46027</v>
      </c>
      <c r="D1415" s="582">
        <f t="shared" si="53"/>
        <v>2</v>
      </c>
      <c r="E1415" s="618" t="str">
        <f>+VLOOKUP(Tabla3[[#This Row],[PATENTE]],'BASE DATOS'!F:G,2,0)</f>
        <v xml:space="preserve">CRISTIAN MOYA - NHR055 </v>
      </c>
      <c r="F1415" s="584" t="str">
        <f>+VLOOKUP(Tabla3[[#This Row],[PATENTE]],'BASE DATOS'!F:H,3,0)</f>
        <v>6P</v>
      </c>
      <c r="G1415" s="584" t="str">
        <f>+VLOOKUP(Tabla3[[#This Row],[PATENTE]],'BASE DATOS'!F:I,4,0)</f>
        <v>SI</v>
      </c>
      <c r="H1415" s="584" t="str">
        <f>+VLOOKUP(Tabla3[[#This Row],[PATENTE]],'BASE DATOS'!F:J,5,0)</f>
        <v>SI</v>
      </c>
      <c r="I1415" s="584" t="str">
        <f>+VLOOKUP(Tabla3[[#This Row],[PATENTE]],'BASE DATOS'!F:K,6,0)</f>
        <v>NO</v>
      </c>
      <c r="J1415" s="584">
        <f>+VLOOKUP(Tabla3[[#This Row],[PATENTE]],'BASE DATOS'!F:L,7,0)</f>
        <v>2013</v>
      </c>
      <c r="K1415" s="619">
        <f>+VLOOKUP(Tabla3[[#This Row],[PATENTE]],'BASE DATOS'!F:M,8,0)</f>
        <v>12</v>
      </c>
    </row>
    <row r="1416" spans="1:11" ht="15" hidden="1" customHeight="1">
      <c r="A1416" s="578" t="s">
        <v>898</v>
      </c>
      <c r="B1416" s="584">
        <v>6</v>
      </c>
      <c r="C1416" s="589">
        <v>46027</v>
      </c>
      <c r="D1416" s="582">
        <f t="shared" si="53"/>
        <v>2</v>
      </c>
      <c r="E1416" s="618" t="str">
        <f>+VLOOKUP(Tabla3[[#This Row],[PATENTE]],'BASE DATOS'!F:G,2,0)</f>
        <v xml:space="preserve">TRANSP BERMEJO - NXP980 </v>
      </c>
      <c r="F1416" s="584" t="str">
        <f>+VLOOKUP(Tabla3[[#This Row],[PATENTE]],'BASE DATOS'!F:H,3,0)</f>
        <v>12P</v>
      </c>
      <c r="G1416" s="584" t="str">
        <f>+VLOOKUP(Tabla3[[#This Row],[PATENTE]],'BASE DATOS'!F:I,4,0)</f>
        <v>SI</v>
      </c>
      <c r="H1416" s="584" t="str">
        <f>+VLOOKUP(Tabla3[[#This Row],[PATENTE]],'BASE DATOS'!F:J,5,0)</f>
        <v>SI</v>
      </c>
      <c r="I1416" s="584" t="str">
        <f>+VLOOKUP(Tabla3[[#This Row],[PATENTE]],'BASE DATOS'!F:K,6,0)</f>
        <v>SI</v>
      </c>
      <c r="J1416" s="584">
        <f>+VLOOKUP(Tabla3[[#This Row],[PATENTE]],'BASE DATOS'!F:L,7,0)</f>
        <v>2015</v>
      </c>
      <c r="K1416" s="619">
        <f>+VLOOKUP(Tabla3[[#This Row],[PATENTE]],'BASE DATOS'!F:M,8,0)</f>
        <v>10</v>
      </c>
    </row>
    <row r="1417" spans="1:11" ht="15" hidden="1" customHeight="1">
      <c r="A1417" s="578" t="s">
        <v>936</v>
      </c>
      <c r="B1417" s="584">
        <v>5</v>
      </c>
      <c r="C1417" s="589">
        <v>46027</v>
      </c>
      <c r="D1417" s="582">
        <f t="shared" si="53"/>
        <v>2</v>
      </c>
      <c r="E1417" s="618" t="str">
        <f>+VLOOKUP(Tabla3[[#This Row],[PATENTE]],'BASE DATOS'!F:G,2,0)</f>
        <v>TRANSP YANINA  LUONGO - AA050HC</v>
      </c>
      <c r="F1417" s="584" t="str">
        <f>+VLOOKUP(Tabla3[[#This Row],[PATENTE]],'BASE DATOS'!F:H,3,0)</f>
        <v>1.5P</v>
      </c>
      <c r="G1417" s="584" t="str">
        <f>+VLOOKUP(Tabla3[[#This Row],[PATENTE]],'BASE DATOS'!F:I,4,0)</f>
        <v>NO</v>
      </c>
      <c r="H1417" s="584" t="str">
        <f>+VLOOKUP(Tabla3[[#This Row],[PATENTE]],'BASE DATOS'!F:J,5,0)</f>
        <v>SI</v>
      </c>
      <c r="I1417" s="584" t="str">
        <f>+VLOOKUP(Tabla3[[#This Row],[PATENTE]],'BASE DATOS'!F:K,6,0)</f>
        <v>NO</v>
      </c>
      <c r="J1417" s="584">
        <f>+VLOOKUP(Tabla3[[#This Row],[PATENTE]],'BASE DATOS'!F:L,7,0)</f>
        <v>2016</v>
      </c>
      <c r="K1417" s="619">
        <f>+VLOOKUP(Tabla3[[#This Row],[PATENTE]],'BASE DATOS'!F:M,8,0)</f>
        <v>9</v>
      </c>
    </row>
    <row r="1418" spans="1:11" ht="15" hidden="1" customHeight="1">
      <c r="A1418" s="578" t="s">
        <v>899</v>
      </c>
      <c r="B1418" s="584">
        <v>5</v>
      </c>
      <c r="C1418" s="589">
        <v>46027</v>
      </c>
      <c r="D1418" s="582">
        <f t="shared" si="53"/>
        <v>2</v>
      </c>
      <c r="E1418" s="618" t="str">
        <f>+VLOOKUP(Tabla3[[#This Row],[PATENTE]],'BASE DATOS'!F:G,2,0)</f>
        <v xml:space="preserve">VAZQUEZ (TRV SRL) - AB176KN </v>
      </c>
      <c r="F1418" s="584" t="str">
        <f>+VLOOKUP(Tabla3[[#This Row],[PATENTE]],'BASE DATOS'!F:H,3,0)</f>
        <v>8P</v>
      </c>
      <c r="G1418" s="584" t="str">
        <f>+VLOOKUP(Tabla3[[#This Row],[PATENTE]],'BASE DATOS'!F:I,4,0)</f>
        <v>SI</v>
      </c>
      <c r="H1418" s="584" t="str">
        <f>+VLOOKUP(Tabla3[[#This Row],[PATENTE]],'BASE DATOS'!F:J,5,0)</f>
        <v>SI</v>
      </c>
      <c r="I1418" s="584" t="str">
        <f>+VLOOKUP(Tabla3[[#This Row],[PATENTE]],'BASE DATOS'!F:K,6,0)</f>
        <v>SI</v>
      </c>
      <c r="J1418" s="584">
        <f>+VLOOKUP(Tabla3[[#This Row],[PATENTE]],'BASE DATOS'!F:L,7,0)</f>
        <v>2017</v>
      </c>
      <c r="K1418" s="619">
        <f>+VLOOKUP(Tabla3[[#This Row],[PATENTE]],'BASE DATOS'!F:M,8,0)</f>
        <v>8</v>
      </c>
    </row>
    <row r="1419" spans="1:11" ht="15" hidden="1" customHeight="1">
      <c r="A1419" s="578" t="s">
        <v>884</v>
      </c>
      <c r="B1419" s="584">
        <v>5</v>
      </c>
      <c r="C1419" s="589">
        <v>46027</v>
      </c>
      <c r="D1419" s="582">
        <f t="shared" si="53"/>
        <v>2</v>
      </c>
      <c r="E1419" s="618" t="str">
        <f>+VLOOKUP(Tabla3[[#This Row],[PATENTE]],'BASE DATOS'!F:G,2,0)</f>
        <v xml:space="preserve">LAURIA (SERVAL) - AB233IT </v>
      </c>
      <c r="F1419" s="584" t="str">
        <f>+VLOOKUP(Tabla3[[#This Row],[PATENTE]],'BASE DATOS'!F:H,3,0)</f>
        <v>6P</v>
      </c>
      <c r="G1419" s="584" t="str">
        <f>+VLOOKUP(Tabla3[[#This Row],[PATENTE]],'BASE DATOS'!F:I,4,0)</f>
        <v>SI</v>
      </c>
      <c r="H1419" s="584" t="str">
        <f>+VLOOKUP(Tabla3[[#This Row],[PATENTE]],'BASE DATOS'!F:J,5,0)</f>
        <v>SI</v>
      </c>
      <c r="I1419" s="584" t="str">
        <f>+VLOOKUP(Tabla3[[#This Row],[PATENTE]],'BASE DATOS'!F:K,6,0)</f>
        <v>NO</v>
      </c>
      <c r="J1419" s="584">
        <f>+VLOOKUP(Tabla3[[#This Row],[PATENTE]],'BASE DATOS'!F:L,7,0)</f>
        <v>2017</v>
      </c>
      <c r="K1419" s="619">
        <f>+VLOOKUP(Tabla3[[#This Row],[PATENTE]],'BASE DATOS'!F:M,8,0)</f>
        <v>8</v>
      </c>
    </row>
    <row r="1420" spans="1:11" ht="15" hidden="1" customHeight="1">
      <c r="A1420" s="578" t="s">
        <v>912</v>
      </c>
      <c r="B1420" s="584">
        <v>5</v>
      </c>
      <c r="C1420" s="589">
        <v>46027</v>
      </c>
      <c r="D1420" s="582">
        <f t="shared" si="53"/>
        <v>2</v>
      </c>
      <c r="E1420" s="618" t="str">
        <f>+VLOOKUP(Tabla3[[#This Row],[PATENTE]],'BASE DATOS'!F:G,2,0)</f>
        <v xml:space="preserve">PACHECO JULIO - AC028WN </v>
      </c>
      <c r="F1420" s="584" t="str">
        <f>+VLOOKUP(Tabla3[[#This Row],[PATENTE]],'BASE DATOS'!F:H,3,0)</f>
        <v>8P</v>
      </c>
      <c r="G1420" s="584" t="str">
        <f>+VLOOKUP(Tabla3[[#This Row],[PATENTE]],'BASE DATOS'!F:I,4,0)</f>
        <v>SI</v>
      </c>
      <c r="H1420" s="584" t="str">
        <f>+VLOOKUP(Tabla3[[#This Row],[PATENTE]],'BASE DATOS'!F:J,5,0)</f>
        <v>SI</v>
      </c>
      <c r="I1420" s="584" t="str">
        <f>+VLOOKUP(Tabla3[[#This Row],[PATENTE]],'BASE DATOS'!F:K,6,0)</f>
        <v>SI</v>
      </c>
      <c r="J1420" s="584">
        <f>+VLOOKUP(Tabla3[[#This Row],[PATENTE]],'BASE DATOS'!F:L,7,0)</f>
        <v>2017</v>
      </c>
      <c r="K1420" s="619">
        <f>+VLOOKUP(Tabla3[[#This Row],[PATENTE]],'BASE DATOS'!F:M,8,0)</f>
        <v>8</v>
      </c>
    </row>
    <row r="1421" spans="1:11" ht="15" hidden="1" customHeight="1">
      <c r="A1421" s="578" t="s">
        <v>890</v>
      </c>
      <c r="B1421" s="584">
        <v>5</v>
      </c>
      <c r="C1421" s="589">
        <v>46027</v>
      </c>
      <c r="D1421" s="582">
        <f t="shared" si="53"/>
        <v>2</v>
      </c>
      <c r="E1421" s="618" t="str">
        <f>+VLOOKUP(Tabla3[[#This Row],[PATENTE]],'BASE DATOS'!F:G,2,0)</f>
        <v xml:space="preserve">TRANSPORTE GRACIELA - AC040RO </v>
      </c>
      <c r="F1421" s="584" t="str">
        <f>+VLOOKUP(Tabla3[[#This Row],[PATENTE]],'BASE DATOS'!F:H,3,0)</f>
        <v>1P</v>
      </c>
      <c r="G1421" s="584" t="str">
        <f>+VLOOKUP(Tabla3[[#This Row],[PATENTE]],'BASE DATOS'!F:I,4,0)</f>
        <v>SI</v>
      </c>
      <c r="H1421" s="1026" t="str">
        <f>+VLOOKUP(Tabla3[[#This Row],[PATENTE]],'BASE DATOS'!F:J,5,0)</f>
        <v>ACEPTA( VER CAMI)</v>
      </c>
      <c r="I1421" s="584" t="str">
        <f>+VLOOKUP(Tabla3[[#This Row],[PATENTE]],'BASE DATOS'!F:K,6,0)</f>
        <v>NO</v>
      </c>
      <c r="J1421" s="584">
        <f>+VLOOKUP(Tabla3[[#This Row],[PATENTE]],'BASE DATOS'!F:L,7,0)</f>
        <v>2017</v>
      </c>
      <c r="K1421" s="619">
        <f>+VLOOKUP(Tabla3[[#This Row],[PATENTE]],'BASE DATOS'!F:M,8,0)</f>
        <v>8</v>
      </c>
    </row>
    <row r="1422" spans="1:11" ht="15" hidden="1" customHeight="1">
      <c r="A1422" s="578" t="s">
        <v>888</v>
      </c>
      <c r="B1422" s="584">
        <v>5</v>
      </c>
      <c r="C1422" s="589">
        <v>46027</v>
      </c>
      <c r="D1422" s="582">
        <f t="shared" si="53"/>
        <v>2</v>
      </c>
      <c r="E1422" s="618" t="str">
        <f>+VLOOKUP(Tabla3[[#This Row],[PATENTE]],'BASE DATOS'!F:G,2,0)</f>
        <v xml:space="preserve">TRANSP FIRST CLASS - AD535UI </v>
      </c>
      <c r="F1422" s="584" t="str">
        <f>+VLOOKUP(Tabla3[[#This Row],[PATENTE]],'BASE DATOS'!F:H,3,0)</f>
        <v>6P</v>
      </c>
      <c r="G1422" s="584" t="str">
        <f>+VLOOKUP(Tabla3[[#This Row],[PATENTE]],'BASE DATOS'!F:I,4,0)</f>
        <v>SI</v>
      </c>
      <c r="H1422" s="584" t="str">
        <f>+VLOOKUP(Tabla3[[#This Row],[PATENTE]],'BASE DATOS'!F:J,5,0)</f>
        <v>SI</v>
      </c>
      <c r="I1422" s="584" t="str">
        <f>+VLOOKUP(Tabla3[[#This Row],[PATENTE]],'BASE DATOS'!F:K,6,0)</f>
        <v>NO</v>
      </c>
      <c r="J1422" s="584">
        <f>+VLOOKUP(Tabla3[[#This Row],[PATENTE]],'BASE DATOS'!F:L,7,0)</f>
        <v>2019</v>
      </c>
      <c r="K1422" s="619">
        <f>+VLOOKUP(Tabla3[[#This Row],[PATENTE]],'BASE DATOS'!F:M,8,0)</f>
        <v>6</v>
      </c>
    </row>
    <row r="1423" spans="1:11" ht="15" hidden="1" customHeight="1">
      <c r="A1423" s="578" t="s">
        <v>922</v>
      </c>
      <c r="B1423" s="584">
        <v>5</v>
      </c>
      <c r="C1423" s="589">
        <v>46027</v>
      </c>
      <c r="D1423" s="582">
        <f t="shared" si="53"/>
        <v>2</v>
      </c>
      <c r="E1423" s="618" t="str">
        <f>+VLOOKUP(Tabla3[[#This Row],[PATENTE]],'BASE DATOS'!F:G,2,0)</f>
        <v>LAURIA (SERVAL) - AF342ZY</v>
      </c>
      <c r="F1423" s="584" t="str">
        <f>+VLOOKUP(Tabla3[[#This Row],[PATENTE]],'BASE DATOS'!F:H,3,0)</f>
        <v>8P</v>
      </c>
      <c r="G1423" s="584" t="str">
        <f>+VLOOKUP(Tabla3[[#This Row],[PATENTE]],'BASE DATOS'!F:I,4,0)</f>
        <v>SI</v>
      </c>
      <c r="H1423" s="584" t="str">
        <f>+VLOOKUP(Tabla3[[#This Row],[PATENTE]],'BASE DATOS'!F:J,5,0)</f>
        <v>SI</v>
      </c>
      <c r="I1423" s="584" t="str">
        <f>+VLOOKUP(Tabla3[[#This Row],[PATENTE]],'BASE DATOS'!F:K,6,0)</f>
        <v>NO</v>
      </c>
      <c r="J1423" s="584">
        <f>+VLOOKUP(Tabla3[[#This Row],[PATENTE]],'BASE DATOS'!F:L,7,0)</f>
        <v>2022</v>
      </c>
      <c r="K1423" s="619">
        <f>+VLOOKUP(Tabla3[[#This Row],[PATENTE]],'BASE DATOS'!F:M,8,0)</f>
        <v>3</v>
      </c>
    </row>
    <row r="1424" spans="1:11" ht="15" hidden="1" customHeight="1">
      <c r="A1424" s="578" t="s">
        <v>903</v>
      </c>
      <c r="B1424" s="584">
        <v>5</v>
      </c>
      <c r="C1424" s="589">
        <v>46027</v>
      </c>
      <c r="D1424" s="582">
        <f t="shared" si="53"/>
        <v>2</v>
      </c>
      <c r="E1424" s="618" t="str">
        <f>+VLOOKUP(Tabla3[[#This Row],[PATENTE]],'BASE DATOS'!F:G,2,0)</f>
        <v xml:space="preserve">TRANSP CLAUDIO BUSTOS - AG243PE </v>
      </c>
      <c r="F1424" s="584" t="str">
        <f>+VLOOKUP(Tabla3[[#This Row],[PATENTE]],'BASE DATOS'!F:H,3,0)</f>
        <v>1P</v>
      </c>
      <c r="G1424" s="584" t="str">
        <f>+VLOOKUP(Tabla3[[#This Row],[PATENTE]],'BASE DATOS'!F:I,4,0)</f>
        <v>SI</v>
      </c>
      <c r="H1424" s="584" t="str">
        <f>+VLOOKUP(Tabla3[[#This Row],[PATENTE]],'BASE DATOS'!F:J,5,0)</f>
        <v>SI</v>
      </c>
      <c r="I1424" s="584" t="str">
        <f>+VLOOKUP(Tabla3[[#This Row],[PATENTE]],'BASE DATOS'!F:K,6,0)</f>
        <v>NO</v>
      </c>
      <c r="J1424" s="584">
        <f>+VLOOKUP(Tabla3[[#This Row],[PATENTE]],'BASE DATOS'!F:L,7,0)</f>
        <v>2024</v>
      </c>
      <c r="K1424" s="619">
        <f>+VLOOKUP(Tabla3[[#This Row],[PATENTE]],'BASE DATOS'!F:M,8,0)</f>
        <v>1</v>
      </c>
    </row>
    <row r="1425" spans="1:11" ht="15" hidden="1" customHeight="1">
      <c r="A1425" s="578" t="s">
        <v>916</v>
      </c>
      <c r="B1425" s="584">
        <v>5</v>
      </c>
      <c r="C1425" s="589">
        <v>46027</v>
      </c>
      <c r="D1425" s="582">
        <f t="shared" si="53"/>
        <v>2</v>
      </c>
      <c r="E1425" s="618" t="str">
        <f>+VLOOKUP(Tabla3[[#This Row],[PATENTE]],'BASE DATOS'!F:G,2,0)</f>
        <v xml:space="preserve">TRANSP MAIDANA CARLOS - EYP088 </v>
      </c>
      <c r="F1425" s="584" t="str">
        <f>+VLOOKUP(Tabla3[[#This Row],[PATENTE]],'BASE DATOS'!F:H,3,0)</f>
        <v>6P</v>
      </c>
      <c r="G1425" s="584" t="str">
        <f>+VLOOKUP(Tabla3[[#This Row],[PATENTE]],'BASE DATOS'!F:I,4,0)</f>
        <v>SI</v>
      </c>
      <c r="H1425" s="584" t="str">
        <f>+VLOOKUP(Tabla3[[#This Row],[PATENTE]],'BASE DATOS'!F:J,5,0)</f>
        <v>SI</v>
      </c>
      <c r="I1425" s="584" t="str">
        <f>+VLOOKUP(Tabla3[[#This Row],[PATENTE]],'BASE DATOS'!F:K,6,0)</f>
        <v>NO</v>
      </c>
      <c r="J1425" s="584">
        <f>+VLOOKUP(Tabla3[[#This Row],[PATENTE]],'BASE DATOS'!F:L,7,0)</f>
        <v>2006</v>
      </c>
      <c r="K1425" s="619">
        <f>+VLOOKUP(Tabla3[[#This Row],[PATENTE]],'BASE DATOS'!F:M,8,0)</f>
        <v>19</v>
      </c>
    </row>
    <row r="1426" spans="1:11" ht="15" hidden="1" customHeight="1">
      <c r="A1426" s="578" t="s">
        <v>892</v>
      </c>
      <c r="B1426" s="584">
        <v>5</v>
      </c>
      <c r="C1426" s="589">
        <v>46027</v>
      </c>
      <c r="D1426" s="582">
        <f t="shared" si="53"/>
        <v>2</v>
      </c>
      <c r="E1426" s="618" t="str">
        <f>+VLOOKUP(Tabla3[[#This Row],[PATENTE]],'BASE DATOS'!F:G,2,0)</f>
        <v xml:space="preserve">COLO - FTL525 </v>
      </c>
      <c r="F1426" s="584" t="str">
        <f>+VLOOKUP(Tabla3[[#This Row],[PATENTE]],'BASE DATOS'!F:H,3,0)</f>
        <v>1P</v>
      </c>
      <c r="G1426" s="584" t="str">
        <f>+VLOOKUP(Tabla3[[#This Row],[PATENTE]],'BASE DATOS'!F:I,4,0)</f>
        <v>NO</v>
      </c>
      <c r="H1426" s="584" t="str">
        <f>+VLOOKUP(Tabla3[[#This Row],[PATENTE]],'BASE DATOS'!F:J,5,0)</f>
        <v>SI</v>
      </c>
      <c r="I1426" s="584" t="str">
        <f>+VLOOKUP(Tabla3[[#This Row],[PATENTE]],'BASE DATOS'!F:K,6,0)</f>
        <v>NO</v>
      </c>
      <c r="J1426" s="584">
        <f>+VLOOKUP(Tabla3[[#This Row],[PATENTE]],'BASE DATOS'!F:L,7,0)</f>
        <v>2008</v>
      </c>
      <c r="K1426" s="619">
        <f>+VLOOKUP(Tabla3[[#This Row],[PATENTE]],'BASE DATOS'!F:M,8,0)</f>
        <v>17</v>
      </c>
    </row>
    <row r="1427" spans="1:11" ht="15" hidden="1" customHeight="1">
      <c r="A1427" s="578" t="s">
        <v>889</v>
      </c>
      <c r="B1427" s="584">
        <v>5</v>
      </c>
      <c r="C1427" s="589">
        <v>46027</v>
      </c>
      <c r="D1427" s="582">
        <f t="shared" si="53"/>
        <v>2</v>
      </c>
      <c r="E1427" s="618" t="str">
        <f>+VLOOKUP(Tabla3[[#This Row],[PATENTE]],'BASE DATOS'!F:G,2,0)</f>
        <v xml:space="preserve">COLO - HAW164 </v>
      </c>
      <c r="F1427" s="584" t="str">
        <f>+VLOOKUP(Tabla3[[#This Row],[PATENTE]],'BASE DATOS'!F:H,3,0)</f>
        <v>6P</v>
      </c>
      <c r="G1427" s="584" t="str">
        <f>+VLOOKUP(Tabla3[[#This Row],[PATENTE]],'BASE DATOS'!F:I,4,0)</f>
        <v>NO</v>
      </c>
      <c r="H1427" s="584" t="str">
        <f>+VLOOKUP(Tabla3[[#This Row],[PATENTE]],'BASE DATOS'!F:J,5,0)</f>
        <v>SI</v>
      </c>
      <c r="I1427" s="584" t="str">
        <f>+VLOOKUP(Tabla3[[#This Row],[PATENTE]],'BASE DATOS'!F:K,6,0)</f>
        <v>NO</v>
      </c>
      <c r="J1427" s="584">
        <f>+VLOOKUP(Tabla3[[#This Row],[PATENTE]],'BASE DATOS'!F:L,7,0)</f>
        <v>2009</v>
      </c>
      <c r="K1427" s="619">
        <f>+VLOOKUP(Tabla3[[#This Row],[PATENTE]],'BASE DATOS'!F:M,8,0)</f>
        <v>16</v>
      </c>
    </row>
    <row r="1428" spans="1:11" ht="15" hidden="1" customHeight="1">
      <c r="A1428" s="578" t="s">
        <v>891</v>
      </c>
      <c r="B1428" s="584">
        <v>5</v>
      </c>
      <c r="C1428" s="589">
        <v>46027</v>
      </c>
      <c r="D1428" s="582">
        <f t="shared" si="53"/>
        <v>2</v>
      </c>
      <c r="E1428" s="618" t="str">
        <f>+VLOOKUP(Tabla3[[#This Row],[PATENTE]],'BASE DATOS'!F:G,2,0)</f>
        <v xml:space="preserve">GANZINI HUGO - HHA085 </v>
      </c>
      <c r="F1428" s="584" t="str">
        <f>+VLOOKUP(Tabla3[[#This Row],[PATENTE]],'BASE DATOS'!F:H,3,0)</f>
        <v>2P</v>
      </c>
      <c r="G1428" s="584" t="str">
        <f>+VLOOKUP(Tabla3[[#This Row],[PATENTE]],'BASE DATOS'!F:I,4,0)</f>
        <v>SI</v>
      </c>
      <c r="H1428" s="584" t="str">
        <f>+VLOOKUP(Tabla3[[#This Row],[PATENTE]],'BASE DATOS'!F:J,5,0)</f>
        <v>SI</v>
      </c>
      <c r="I1428" s="584" t="str">
        <f>+VLOOKUP(Tabla3[[#This Row],[PATENTE]],'BASE DATOS'!F:K,6,0)</f>
        <v>NO</v>
      </c>
      <c r="J1428" s="584">
        <f>+VLOOKUP(Tabla3[[#This Row],[PATENTE]],'BASE DATOS'!F:L,7,0)</f>
        <v>2008</v>
      </c>
      <c r="K1428" s="619">
        <f>+VLOOKUP(Tabla3[[#This Row],[PATENTE]],'BASE DATOS'!F:M,8,0)</f>
        <v>17</v>
      </c>
    </row>
    <row r="1429" spans="1:11" ht="15" hidden="1" customHeight="1">
      <c r="A1429" s="578" t="s">
        <v>882</v>
      </c>
      <c r="B1429" s="584">
        <v>5</v>
      </c>
      <c r="C1429" s="589">
        <v>46027</v>
      </c>
      <c r="D1429" s="582">
        <f t="shared" si="53"/>
        <v>2</v>
      </c>
      <c r="E1429" s="618" t="str">
        <f>+VLOOKUP(Tabla3[[#This Row],[PATENTE]],'BASE DATOS'!F:G,2,0)</f>
        <v xml:space="preserve">MAÑAS - JWN279 </v>
      </c>
      <c r="F1429" s="584" t="str">
        <f>+VLOOKUP(Tabla3[[#This Row],[PATENTE]],'BASE DATOS'!F:H,3,0)</f>
        <v>7P</v>
      </c>
      <c r="G1429" s="584" t="str">
        <f>+VLOOKUP(Tabla3[[#This Row],[PATENTE]],'BASE DATOS'!F:I,4,0)</f>
        <v>SI</v>
      </c>
      <c r="H1429" s="584" t="str">
        <f>+VLOOKUP(Tabla3[[#This Row],[PATENTE]],'BASE DATOS'!F:J,5,0)</f>
        <v>SI</v>
      </c>
      <c r="I1429" s="584" t="str">
        <f>+VLOOKUP(Tabla3[[#This Row],[PATENTE]],'BASE DATOS'!F:K,6,0)</f>
        <v>NO</v>
      </c>
      <c r="J1429" s="584">
        <f>+VLOOKUP(Tabla3[[#This Row],[PATENTE]],'BASE DATOS'!F:L,7,0)</f>
        <v>2011</v>
      </c>
      <c r="K1429" s="619">
        <f>+VLOOKUP(Tabla3[[#This Row],[PATENTE]],'BASE DATOS'!F:M,8,0)</f>
        <v>14</v>
      </c>
    </row>
    <row r="1430" spans="1:11" ht="15" hidden="1" customHeight="1">
      <c r="A1430" s="578" t="s">
        <v>913</v>
      </c>
      <c r="B1430" s="584">
        <v>5</v>
      </c>
      <c r="C1430" s="589">
        <v>46027</v>
      </c>
      <c r="D1430" s="582">
        <f t="shared" si="53"/>
        <v>2</v>
      </c>
      <c r="E1430" s="618" t="str">
        <f>+VLOOKUP(Tabla3[[#This Row],[PATENTE]],'BASE DATOS'!F:G,2,0)</f>
        <v xml:space="preserve">TRANSP DON NENO - KSI803 </v>
      </c>
      <c r="F1430" s="584" t="str">
        <f>+VLOOKUP(Tabla3[[#This Row],[PATENTE]],'BASE DATOS'!F:H,3,0)</f>
        <v>2P</v>
      </c>
      <c r="G1430" s="584" t="str">
        <f>+VLOOKUP(Tabla3[[#This Row],[PATENTE]],'BASE DATOS'!F:I,4,0)</f>
        <v>SI</v>
      </c>
      <c r="H1430" s="584" t="str">
        <f>+VLOOKUP(Tabla3[[#This Row],[PATENTE]],'BASE DATOS'!F:J,5,0)</f>
        <v>SI</v>
      </c>
      <c r="I1430" s="584" t="str">
        <f>+VLOOKUP(Tabla3[[#This Row],[PATENTE]],'BASE DATOS'!F:K,6,0)</f>
        <v>NO</v>
      </c>
      <c r="J1430" s="584">
        <f>+VLOOKUP(Tabla3[[#This Row],[PATENTE]],'BASE DATOS'!F:L,7,0)</f>
        <v>2012</v>
      </c>
      <c r="K1430" s="619">
        <f>+VLOOKUP(Tabla3[[#This Row],[PATENTE]],'BASE DATOS'!F:M,8,0)</f>
        <v>13</v>
      </c>
    </row>
    <row r="1431" spans="1:11" ht="15" hidden="1" customHeight="1">
      <c r="A1431" s="578" t="s">
        <v>877</v>
      </c>
      <c r="B1431" s="584">
        <v>5</v>
      </c>
      <c r="C1431" s="589">
        <v>46027</v>
      </c>
      <c r="D1431" s="582">
        <f t="shared" si="53"/>
        <v>2</v>
      </c>
      <c r="E1431" s="618" t="str">
        <f>+VLOOKUP(Tabla3[[#This Row],[PATENTE]],'BASE DATOS'!F:G,2,0)</f>
        <v>TRANSP MAIDANA CARLOS - OWA126</v>
      </c>
      <c r="F1431" s="584" t="str">
        <f>+VLOOKUP(Tabla3[[#This Row],[PATENTE]],'BASE DATOS'!F:H,3,0)</f>
        <v>4P</v>
      </c>
      <c r="G1431" s="584" t="str">
        <f>+VLOOKUP(Tabla3[[#This Row],[PATENTE]],'BASE DATOS'!F:I,4,0)</f>
        <v>SI</v>
      </c>
      <c r="H1431" s="584" t="str">
        <f>+VLOOKUP(Tabla3[[#This Row],[PATENTE]],'BASE DATOS'!F:J,5,0)</f>
        <v>SI</v>
      </c>
      <c r="I1431" s="584" t="str">
        <f>+VLOOKUP(Tabla3[[#This Row],[PATENTE]],'BASE DATOS'!F:K,6,0)</f>
        <v>NO</v>
      </c>
      <c r="J1431" s="584">
        <f>+VLOOKUP(Tabla3[[#This Row],[PATENTE]],'BASE DATOS'!F:L,7,0)</f>
        <v>2015</v>
      </c>
      <c r="K1431" s="619">
        <f>+VLOOKUP(Tabla3[[#This Row],[PATENTE]],'BASE DATOS'!F:M,8,0)</f>
        <v>10</v>
      </c>
    </row>
    <row r="1432" spans="1:11" ht="15" hidden="1" customHeight="1">
      <c r="A1432" s="578" t="s">
        <v>879</v>
      </c>
      <c r="B1432" s="584">
        <v>5</v>
      </c>
      <c r="C1432" s="589">
        <v>46027</v>
      </c>
      <c r="D1432" s="582">
        <f t="shared" si="53"/>
        <v>2</v>
      </c>
      <c r="E1432" s="618" t="str">
        <f>+VLOOKUP(Tabla3[[#This Row],[PATENTE]],'BASE DATOS'!F:G,2,0)</f>
        <v xml:space="preserve">TRANSP JP - OYP470 </v>
      </c>
      <c r="F1432" s="584" t="str">
        <f>+VLOOKUP(Tabla3[[#This Row],[PATENTE]],'BASE DATOS'!F:H,3,0)</f>
        <v>8P</v>
      </c>
      <c r="G1432" s="584" t="str">
        <f>+VLOOKUP(Tabla3[[#This Row],[PATENTE]],'BASE DATOS'!F:I,4,0)</f>
        <v>SI</v>
      </c>
      <c r="H1432" s="584" t="str">
        <f>+VLOOKUP(Tabla3[[#This Row],[PATENTE]],'BASE DATOS'!F:J,5,0)</f>
        <v>SI</v>
      </c>
      <c r="I1432" s="584" t="str">
        <f>+VLOOKUP(Tabla3[[#This Row],[PATENTE]],'BASE DATOS'!F:K,6,0)</f>
        <v>NO</v>
      </c>
      <c r="J1432" s="584">
        <f>+VLOOKUP(Tabla3[[#This Row],[PATENTE]],'BASE DATOS'!F:L,7,0)</f>
        <v>2011</v>
      </c>
      <c r="K1432" s="619">
        <f>+VLOOKUP(Tabla3[[#This Row],[PATENTE]],'BASE DATOS'!F:M,8,0)</f>
        <v>14</v>
      </c>
    </row>
    <row r="1433" spans="1:11" ht="15" hidden="1" customHeight="1">
      <c r="A1433" s="578" t="s">
        <v>915</v>
      </c>
      <c r="B1433" s="584">
        <v>4</v>
      </c>
      <c r="C1433" s="589">
        <v>46027</v>
      </c>
      <c r="D1433" s="582">
        <f t="shared" si="53"/>
        <v>2</v>
      </c>
      <c r="E1433" s="618" t="str">
        <f>+VLOOKUP(Tabla3[[#This Row],[PATENTE]],'BASE DATOS'!F:G,2,0)</f>
        <v>TRANSPORTE GRACIELA - FPL254</v>
      </c>
      <c r="F1433" s="584" t="str">
        <f>+VLOOKUP(Tabla3[[#This Row],[PATENTE]],'BASE DATOS'!F:H,3,0)</f>
        <v>2P</v>
      </c>
      <c r="G1433" s="584" t="str">
        <f>+VLOOKUP(Tabla3[[#This Row],[PATENTE]],'BASE DATOS'!F:I,4,0)</f>
        <v>SI</v>
      </c>
      <c r="H1433" s="584" t="str">
        <f>+VLOOKUP(Tabla3[[#This Row],[PATENTE]],'BASE DATOS'!F:J,5,0)</f>
        <v>NO (CAMI)</v>
      </c>
      <c r="I1433" s="584" t="str">
        <f>+VLOOKUP(Tabla3[[#This Row],[PATENTE]],'BASE DATOS'!F:K,6,0)</f>
        <v>NO</v>
      </c>
      <c r="J1433" s="584">
        <f>+VLOOKUP(Tabla3[[#This Row],[PATENTE]],'BASE DATOS'!F:L,7,0)</f>
        <v>2012</v>
      </c>
      <c r="K1433" s="619">
        <f>+VLOOKUP(Tabla3[[#This Row],[PATENTE]],'BASE DATOS'!F:M,8,0)</f>
        <v>13</v>
      </c>
    </row>
    <row r="1434" spans="1:11" ht="15" hidden="1" customHeight="1">
      <c r="A1434" s="578" t="s">
        <v>924</v>
      </c>
      <c r="B1434" s="584">
        <v>4</v>
      </c>
      <c r="C1434" s="589">
        <v>46027</v>
      </c>
      <c r="D1434" s="582">
        <f t="shared" si="53"/>
        <v>2</v>
      </c>
      <c r="E1434" s="618" t="str">
        <f>+VLOOKUP(Tabla3[[#This Row],[PATENTE]],'BASE DATOS'!F:G,2,0)</f>
        <v>TRANSP MAVIR - HRZ429 -16P</v>
      </c>
      <c r="F1434" s="584" t="str">
        <f>+VLOOKUP(Tabla3[[#This Row],[PATENTE]],'BASE DATOS'!F:H,3,0)</f>
        <v>16P</v>
      </c>
      <c r="G1434" s="584" t="str">
        <f>+VLOOKUP(Tabla3[[#This Row],[PATENTE]],'BASE DATOS'!F:I,4,0)</f>
        <v>SI</v>
      </c>
      <c r="H1434" s="584" t="str">
        <f>+VLOOKUP(Tabla3[[#This Row],[PATENTE]],'BASE DATOS'!F:J,5,0)</f>
        <v xml:space="preserve">NO </v>
      </c>
      <c r="I1434" s="584" t="str">
        <f>+VLOOKUP(Tabla3[[#This Row],[PATENTE]],'BASE DATOS'!F:K,6,0)</f>
        <v>NO</v>
      </c>
      <c r="J1434" s="584">
        <f>+VLOOKUP(Tabla3[[#This Row],[PATENTE]],'BASE DATOS'!F:L,7,0)</f>
        <v>2008</v>
      </c>
      <c r="K1434" s="619">
        <f>+VLOOKUP(Tabla3[[#This Row],[PATENTE]],'BASE DATOS'!F:M,8,0)</f>
        <v>17</v>
      </c>
    </row>
    <row r="1435" spans="1:11" ht="15" hidden="1" customHeight="1">
      <c r="A1435" s="578" t="s">
        <v>901</v>
      </c>
      <c r="B1435" s="584">
        <v>4</v>
      </c>
      <c r="C1435" s="589">
        <v>46027</v>
      </c>
      <c r="D1435" s="582">
        <f t="shared" si="53"/>
        <v>2</v>
      </c>
      <c r="E1435" s="618" t="str">
        <f>+VLOOKUP(Tabla3[[#This Row],[PATENTE]],'BASE DATOS'!F:G,2,0)</f>
        <v xml:space="preserve">TRANSPORTE  GRACIELA - IYE750 </v>
      </c>
      <c r="F1435" s="584" t="str">
        <f>+VLOOKUP(Tabla3[[#This Row],[PATENTE]],'BASE DATOS'!F:H,3,0)</f>
        <v>1P</v>
      </c>
      <c r="G1435" s="584" t="str">
        <f>+VLOOKUP(Tabla3[[#This Row],[PATENTE]],'BASE DATOS'!F:I,4,0)</f>
        <v>NO</v>
      </c>
      <c r="H1435" s="584" t="str">
        <f>+VLOOKUP(Tabla3[[#This Row],[PATENTE]],'BASE DATOS'!F:J,5,0)</f>
        <v>SI</v>
      </c>
      <c r="I1435" s="584" t="str">
        <f>+VLOOKUP(Tabla3[[#This Row],[PATENTE]],'BASE DATOS'!F:K,6,0)</f>
        <v>NO</v>
      </c>
      <c r="J1435" s="584">
        <f>+VLOOKUP(Tabla3[[#This Row],[PATENTE]],'BASE DATOS'!F:L,7,0)</f>
        <v>2009</v>
      </c>
      <c r="K1435" s="619">
        <f>+VLOOKUP(Tabla3[[#This Row],[PATENTE]],'BASE DATOS'!F:M,8,0)</f>
        <v>16</v>
      </c>
    </row>
    <row r="1436" spans="1:11" ht="15" hidden="1" customHeight="1">
      <c r="A1436" s="578" t="s">
        <v>920</v>
      </c>
      <c r="B1436" s="584">
        <v>4</v>
      </c>
      <c r="C1436" s="589">
        <v>46027</v>
      </c>
      <c r="D1436" s="582">
        <f t="shared" si="53"/>
        <v>2</v>
      </c>
      <c r="E1436" s="618" t="str">
        <f>+VLOOKUP(Tabla3[[#This Row],[PATENTE]],'BASE DATOS'!F:G,2,0)</f>
        <v xml:space="preserve">TRANSP LAGOS - MRV682 </v>
      </c>
      <c r="F1436" s="584" t="str">
        <f>+VLOOKUP(Tabla3[[#This Row],[PATENTE]],'BASE DATOS'!F:H,3,0)</f>
        <v>8P</v>
      </c>
      <c r="G1436" s="584" t="str">
        <f>+VLOOKUP(Tabla3[[#This Row],[PATENTE]],'BASE DATOS'!F:I,4,0)</f>
        <v>SI</v>
      </c>
      <c r="H1436" s="584" t="str">
        <f>+VLOOKUP(Tabla3[[#This Row],[PATENTE]],'BASE DATOS'!F:J,5,0)</f>
        <v>SI</v>
      </c>
      <c r="I1436" s="584" t="str">
        <f>+VLOOKUP(Tabla3[[#This Row],[PATENTE]],'BASE DATOS'!F:K,6,0)</f>
        <v>NO</v>
      </c>
      <c r="J1436" s="584">
        <f>+VLOOKUP(Tabla3[[#This Row],[PATENTE]],'BASE DATOS'!F:L,7,0)</f>
        <v>2013</v>
      </c>
      <c r="K1436" s="619">
        <f>+VLOOKUP(Tabla3[[#This Row],[PATENTE]],'BASE DATOS'!F:M,8,0)</f>
        <v>12</v>
      </c>
    </row>
    <row r="1437" spans="1:11" ht="15" hidden="1" customHeight="1">
      <c r="A1437" s="578" t="s">
        <v>886</v>
      </c>
      <c r="B1437" s="584">
        <v>4</v>
      </c>
      <c r="C1437" s="589">
        <v>46027</v>
      </c>
      <c r="D1437" s="582">
        <f t="shared" si="53"/>
        <v>2</v>
      </c>
      <c r="E1437" s="618" t="str">
        <f>+VLOOKUP(Tabla3[[#This Row],[PATENTE]],'BASE DATOS'!F:G,2,0)</f>
        <v xml:space="preserve">TRANSP LAGOS - NOO925 </v>
      </c>
      <c r="F1437" s="584" t="str">
        <f>+VLOOKUP(Tabla3[[#This Row],[PATENTE]],'BASE DATOS'!F:H,3,0)</f>
        <v>8P</v>
      </c>
      <c r="G1437" s="584" t="str">
        <f>+VLOOKUP(Tabla3[[#This Row],[PATENTE]],'BASE DATOS'!F:I,4,0)</f>
        <v>SI</v>
      </c>
      <c r="H1437" s="584" t="str">
        <f>+VLOOKUP(Tabla3[[#This Row],[PATENTE]],'BASE DATOS'!F:J,5,0)</f>
        <v>SI</v>
      </c>
      <c r="I1437" s="584" t="str">
        <f>+VLOOKUP(Tabla3[[#This Row],[PATENTE]],'BASE DATOS'!F:K,6,0)</f>
        <v>NO</v>
      </c>
      <c r="J1437" s="584">
        <f>+VLOOKUP(Tabla3[[#This Row],[PATENTE]],'BASE DATOS'!F:L,7,0)</f>
        <v>2014</v>
      </c>
      <c r="K1437" s="619">
        <f>+VLOOKUP(Tabla3[[#This Row],[PATENTE]],'BASE DATOS'!F:M,8,0)</f>
        <v>11</v>
      </c>
    </row>
    <row r="1438" spans="1:11" ht="15" hidden="1" customHeight="1">
      <c r="A1438" s="578" t="s">
        <v>878</v>
      </c>
      <c r="B1438" s="584">
        <v>3</v>
      </c>
      <c r="C1438" s="589">
        <v>46027</v>
      </c>
      <c r="D1438" s="582">
        <f t="shared" si="53"/>
        <v>2</v>
      </c>
      <c r="E1438" s="618" t="str">
        <f>+VLOOKUP(Tabla3[[#This Row],[PATENTE]],'BASE DATOS'!F:G,2,0)</f>
        <v xml:space="preserve">PACHECO JULIO - AA854LY </v>
      </c>
      <c r="F1438" s="584" t="str">
        <f>+VLOOKUP(Tabla3[[#This Row],[PATENTE]],'BASE DATOS'!F:H,3,0)</f>
        <v>7P</v>
      </c>
      <c r="G1438" s="584" t="str">
        <f>+VLOOKUP(Tabla3[[#This Row],[PATENTE]],'BASE DATOS'!F:I,4,0)</f>
        <v>SI</v>
      </c>
      <c r="H1438" s="584" t="str">
        <f>+VLOOKUP(Tabla3[[#This Row],[PATENTE]],'BASE DATOS'!F:J,5,0)</f>
        <v>SI</v>
      </c>
      <c r="I1438" s="584" t="str">
        <f>+VLOOKUP(Tabla3[[#This Row],[PATENTE]],'BASE DATOS'!F:K,6,0)</f>
        <v>NO</v>
      </c>
      <c r="J1438" s="584">
        <f>+VLOOKUP(Tabla3[[#This Row],[PATENTE]],'BASE DATOS'!F:L,7,0)</f>
        <v>2016</v>
      </c>
      <c r="K1438" s="619">
        <f>+VLOOKUP(Tabla3[[#This Row],[PATENTE]],'BASE DATOS'!F:M,8,0)</f>
        <v>9</v>
      </c>
    </row>
    <row r="1439" spans="1:11" ht="15" hidden="1" customHeight="1">
      <c r="A1439" s="578" t="s">
        <v>883</v>
      </c>
      <c r="B1439" s="584">
        <v>3</v>
      </c>
      <c r="C1439" s="589">
        <v>46027</v>
      </c>
      <c r="D1439" s="582">
        <f t="shared" si="53"/>
        <v>2</v>
      </c>
      <c r="E1439" s="618" t="str">
        <f>+VLOOKUP(Tabla3[[#This Row],[PATENTE]],'BASE DATOS'!F:G,2,0)</f>
        <v xml:space="preserve">PACHECO JULIO - ACI503 </v>
      </c>
      <c r="F1439" s="584" t="str">
        <f>+VLOOKUP(Tabla3[[#This Row],[PATENTE]],'BASE DATOS'!F:H,3,0)</f>
        <v>12P</v>
      </c>
      <c r="G1439" s="584" t="str">
        <f>+VLOOKUP(Tabla3[[#This Row],[PATENTE]],'BASE DATOS'!F:I,4,0)</f>
        <v>NO</v>
      </c>
      <c r="H1439" s="584" t="str">
        <f>+VLOOKUP(Tabla3[[#This Row],[PATENTE]],'BASE DATOS'!F:J,5,0)</f>
        <v>SI</v>
      </c>
      <c r="I1439" s="584" t="str">
        <f>+VLOOKUP(Tabla3[[#This Row],[PATENTE]],'BASE DATOS'!F:K,6,0)</f>
        <v>SI</v>
      </c>
      <c r="J1439" s="584">
        <f>+VLOOKUP(Tabla3[[#This Row],[PATENTE]],'BASE DATOS'!F:L,7,0)</f>
        <v>2000</v>
      </c>
      <c r="K1439" s="619">
        <f>+VLOOKUP(Tabla3[[#This Row],[PATENTE]],'BASE DATOS'!F:M,8,0)</f>
        <v>25</v>
      </c>
    </row>
    <row r="1440" spans="1:11" ht="15" hidden="1" customHeight="1">
      <c r="A1440" s="578" t="s">
        <v>932</v>
      </c>
      <c r="B1440" s="584">
        <v>3</v>
      </c>
      <c r="C1440" s="589">
        <v>46027</v>
      </c>
      <c r="D1440" s="582">
        <f t="shared" si="53"/>
        <v>2</v>
      </c>
      <c r="E1440" s="618" t="str">
        <f>+VLOOKUP(Tabla3[[#This Row],[PATENTE]],'BASE DATOS'!F:G,2,0)</f>
        <v xml:space="preserve">TRANSP MAVIR - EFL176 </v>
      </c>
      <c r="F1440" s="584" t="str">
        <f>+VLOOKUP(Tabla3[[#This Row],[PATENTE]],'BASE DATOS'!F:H,3,0)</f>
        <v>12P</v>
      </c>
      <c r="G1440" s="584" t="str">
        <f>+VLOOKUP(Tabla3[[#This Row],[PATENTE]],'BASE DATOS'!F:I,4,0)</f>
        <v>SI</v>
      </c>
      <c r="H1440" s="584" t="str">
        <f>+VLOOKUP(Tabla3[[#This Row],[PATENTE]],'BASE DATOS'!F:J,5,0)</f>
        <v>SI</v>
      </c>
      <c r="I1440" s="584" t="str">
        <f>+VLOOKUP(Tabla3[[#This Row],[PATENTE]],'BASE DATOS'!F:K,6,0)</f>
        <v>NO</v>
      </c>
      <c r="J1440" s="584">
        <f>+VLOOKUP(Tabla3[[#This Row],[PATENTE]],'BASE DATOS'!F:L,7,0)</f>
        <v>1998</v>
      </c>
      <c r="K1440" s="619">
        <f>+VLOOKUP(Tabla3[[#This Row],[PATENTE]],'BASE DATOS'!F:M,8,0)</f>
        <v>27</v>
      </c>
    </row>
    <row r="1441" spans="1:11" ht="15" hidden="1" customHeight="1">
      <c r="A1441" s="578" t="s">
        <v>944</v>
      </c>
      <c r="B1441" s="584">
        <v>3</v>
      </c>
      <c r="C1441" s="589">
        <v>46027</v>
      </c>
      <c r="D1441" s="582">
        <f t="shared" si="53"/>
        <v>2</v>
      </c>
      <c r="E1441" s="618" t="str">
        <f>+VLOOKUP(Tabla3[[#This Row],[PATENTE]],'BASE DATOS'!F:G,2,0)</f>
        <v xml:space="preserve">TRANSPORTE GENA GAIA - BHG261 </v>
      </c>
      <c r="F1441" s="584" t="str">
        <f>+VLOOKUP(Tabla3[[#This Row],[PATENTE]],'BASE DATOS'!F:H,3,0)</f>
        <v>26P</v>
      </c>
      <c r="G1441" s="584" t="str">
        <f>+VLOOKUP(Tabla3[[#This Row],[PATENTE]],'BASE DATOS'!F:I,4,0)</f>
        <v>Gestya</v>
      </c>
      <c r="H1441" s="584" t="str">
        <f>+VLOOKUP(Tabla3[[#This Row],[PATENTE]],'BASE DATOS'!F:J,5,0)</f>
        <v xml:space="preserve">NO </v>
      </c>
      <c r="I1441" s="584" t="str">
        <f>+VLOOKUP(Tabla3[[#This Row],[PATENTE]],'BASE DATOS'!F:K,6,0)</f>
        <v>NO</v>
      </c>
      <c r="J1441" s="584">
        <f>+VLOOKUP(Tabla3[[#This Row],[PATENTE]],'BASE DATOS'!F:L,7,0)</f>
        <v>1997</v>
      </c>
      <c r="K1441" s="619">
        <f>+VLOOKUP(Tabla3[[#This Row],[PATENTE]],'BASE DATOS'!F:M,8,0)</f>
        <v>28</v>
      </c>
    </row>
    <row r="1442" spans="1:11" ht="15" hidden="1" customHeight="1">
      <c r="A1442" s="578" t="s">
        <v>896</v>
      </c>
      <c r="B1442" s="584">
        <v>3</v>
      </c>
      <c r="C1442" s="589">
        <v>46027</v>
      </c>
      <c r="D1442" s="582">
        <f t="shared" si="53"/>
        <v>2</v>
      </c>
      <c r="E1442" s="618" t="str">
        <f>+VLOOKUP(Tabla3[[#This Row],[PATENTE]],'BASE DATOS'!F:G,2,0)</f>
        <v xml:space="preserve">TRANSP MAVIR - RHQ609 </v>
      </c>
      <c r="F1442" s="584" t="str">
        <f>+VLOOKUP(Tabla3[[#This Row],[PATENTE]],'BASE DATOS'!F:H,3,0)</f>
        <v>10P</v>
      </c>
      <c r="G1442" s="584" t="str">
        <f>+VLOOKUP(Tabla3[[#This Row],[PATENTE]],'BASE DATOS'!F:I,4,0)</f>
        <v>NO</v>
      </c>
      <c r="H1442" s="584" t="str">
        <f>+VLOOKUP(Tabla3[[#This Row],[PATENTE]],'BASE DATOS'!F:J,5,0)</f>
        <v xml:space="preserve">NO </v>
      </c>
      <c r="I1442" s="584" t="str">
        <f>+VLOOKUP(Tabla3[[#This Row],[PATENTE]],'BASE DATOS'!F:K,6,0)</f>
        <v>NO</v>
      </c>
      <c r="J1442" s="584">
        <f>+VLOOKUP(Tabla3[[#This Row],[PATENTE]],'BASE DATOS'!F:L,7,0)</f>
        <v>1995</v>
      </c>
      <c r="K1442" s="619">
        <f>+VLOOKUP(Tabla3[[#This Row],[PATENTE]],'BASE DATOS'!F:M,8,0)</f>
        <v>30</v>
      </c>
    </row>
    <row r="1443" spans="1:11" ht="15" hidden="1" customHeight="1">
      <c r="A1443" s="578" t="s">
        <v>919</v>
      </c>
      <c r="B1443" s="584">
        <v>2</v>
      </c>
      <c r="C1443" s="589">
        <v>46027</v>
      </c>
      <c r="D1443" s="582">
        <f t="shared" si="53"/>
        <v>2</v>
      </c>
      <c r="E1443" s="618" t="str">
        <f>+VLOOKUP(Tabla3[[#This Row],[PATENTE]],'BASE DATOS'!F:G,2,0)</f>
        <v xml:space="preserve">GUSTAVO CERQUETTA - AA427LT </v>
      </c>
      <c r="F1443" s="584" t="str">
        <f>+VLOOKUP(Tabla3[[#This Row],[PATENTE]],'BASE DATOS'!F:H,3,0)</f>
        <v>1P</v>
      </c>
      <c r="G1443" s="584" t="str">
        <f>+VLOOKUP(Tabla3[[#This Row],[PATENTE]],'BASE DATOS'!F:I,4,0)</f>
        <v>NO</v>
      </c>
      <c r="H1443" s="584" t="str">
        <f>+VLOOKUP(Tabla3[[#This Row],[PATENTE]],'BASE DATOS'!F:J,5,0)</f>
        <v>SI</v>
      </c>
      <c r="I1443" s="584" t="str">
        <f>+VLOOKUP(Tabla3[[#This Row],[PATENTE]],'BASE DATOS'!F:K,6,0)</f>
        <v>NO</v>
      </c>
      <c r="J1443" s="584">
        <f>+VLOOKUP(Tabla3[[#This Row],[PATENTE]],'BASE DATOS'!F:L,7,0)</f>
        <v>2016</v>
      </c>
      <c r="K1443" s="619">
        <f>+VLOOKUP(Tabla3[[#This Row],[PATENTE]],'BASE DATOS'!F:M,8,0)</f>
        <v>9</v>
      </c>
    </row>
    <row r="1444" spans="1:11" ht="15" hidden="1" customHeight="1">
      <c r="A1444" s="578" t="s">
        <v>893</v>
      </c>
      <c r="B1444" s="584">
        <v>2</v>
      </c>
      <c r="C1444" s="589">
        <v>46027</v>
      </c>
      <c r="D1444" s="582">
        <f t="shared" si="53"/>
        <v>2</v>
      </c>
      <c r="E1444" s="618" t="str">
        <f>+VLOOKUP(Tabla3[[#This Row],[PATENTE]],'BASE DATOS'!F:G,2,0)</f>
        <v xml:space="preserve">GANZINI HUGO - CFF038 </v>
      </c>
      <c r="F1444" s="584" t="str">
        <f>+VLOOKUP(Tabla3[[#This Row],[PATENTE]],'BASE DATOS'!F:H,3,0)</f>
        <v>2P</v>
      </c>
      <c r="G1444" s="584" t="str">
        <f>+VLOOKUP(Tabla3[[#This Row],[PATENTE]],'BASE DATOS'!F:I,4,0)</f>
        <v>SI</v>
      </c>
      <c r="H1444" s="584" t="str">
        <f>+VLOOKUP(Tabla3[[#This Row],[PATENTE]],'BASE DATOS'!F:J,5,0)</f>
        <v>SI</v>
      </c>
      <c r="I1444" s="584" t="str">
        <f>+VLOOKUP(Tabla3[[#This Row],[PATENTE]],'BASE DATOS'!F:K,6,0)</f>
        <v>NO</v>
      </c>
      <c r="J1444" s="584">
        <f>+VLOOKUP(Tabla3[[#This Row],[PATENTE]],'BASE DATOS'!F:L,7,0)</f>
        <v>1999</v>
      </c>
      <c r="K1444" s="619">
        <f>+VLOOKUP(Tabla3[[#This Row],[PATENTE]],'BASE DATOS'!F:M,8,0)</f>
        <v>26</v>
      </c>
    </row>
    <row r="1445" spans="1:11" ht="15" hidden="1" customHeight="1">
      <c r="A1445" s="578" t="s">
        <v>880</v>
      </c>
      <c r="B1445" s="584">
        <v>1</v>
      </c>
      <c r="C1445" s="589">
        <v>46027</v>
      </c>
      <c r="D1445" s="582">
        <f t="shared" si="53"/>
        <v>2</v>
      </c>
      <c r="E1445" s="618" t="str">
        <f>+VLOOKUP(Tabla3[[#This Row],[PATENTE]],'BASE DATOS'!F:G,2,0)</f>
        <v xml:space="preserve">LAURIA (SERVAL) - AD575XK </v>
      </c>
      <c r="F1445" s="584" t="str">
        <f>+VLOOKUP(Tabla3[[#This Row],[PATENTE]],'BASE DATOS'!F:H,3,0)</f>
        <v>8P</v>
      </c>
      <c r="G1445" s="584" t="str">
        <f>+VLOOKUP(Tabla3[[#This Row],[PATENTE]],'BASE DATOS'!F:I,4,0)</f>
        <v>SI</v>
      </c>
      <c r="H1445" s="584" t="str">
        <f>+VLOOKUP(Tabla3[[#This Row],[PATENTE]],'BASE DATOS'!F:J,5,0)</f>
        <v>SI</v>
      </c>
      <c r="I1445" s="584" t="str">
        <f>+VLOOKUP(Tabla3[[#This Row],[PATENTE]],'BASE DATOS'!F:K,6,0)</f>
        <v>NO</v>
      </c>
      <c r="J1445" s="584">
        <f>+VLOOKUP(Tabla3[[#This Row],[PATENTE]],'BASE DATOS'!F:L,7,0)</f>
        <v>2019</v>
      </c>
      <c r="K1445" s="619">
        <f>+VLOOKUP(Tabla3[[#This Row],[PATENTE]],'BASE DATOS'!F:M,8,0)</f>
        <v>6</v>
      </c>
    </row>
    <row r="1446" spans="1:11" ht="15" hidden="1" customHeight="1">
      <c r="A1446" s="578" t="s">
        <v>929</v>
      </c>
      <c r="B1446" s="584">
        <v>1</v>
      </c>
      <c r="C1446" s="589">
        <v>46027</v>
      </c>
      <c r="D1446" s="582">
        <f t="shared" si="53"/>
        <v>2</v>
      </c>
      <c r="E1446" s="618" t="str">
        <f>+VLOOKUP(Tabla3[[#This Row],[PATENTE]],'BASE DATOS'!F:G,2,0)</f>
        <v xml:space="preserve">PRONTOMAR - BAI674 </v>
      </c>
      <c r="F1446" s="584" t="str">
        <f>+VLOOKUP(Tabla3[[#This Row],[PATENTE]],'BASE DATOS'!F:H,3,0)</f>
        <v>14P</v>
      </c>
      <c r="G1446" s="584" t="str">
        <f>+VLOOKUP(Tabla3[[#This Row],[PATENTE]],'BASE DATOS'!F:I,4,0)</f>
        <v>NO</v>
      </c>
      <c r="H1446" s="584" t="str">
        <f>+VLOOKUP(Tabla3[[#This Row],[PATENTE]],'BASE DATOS'!F:J,5,0)</f>
        <v xml:space="preserve">NO </v>
      </c>
      <c r="I1446" s="584" t="str">
        <f>+VLOOKUP(Tabla3[[#This Row],[PATENTE]],'BASE DATOS'!F:K,6,0)</f>
        <v>NO</v>
      </c>
      <c r="J1446" s="584">
        <f>+VLOOKUP(Tabla3[[#This Row],[PATENTE]],'BASE DATOS'!F:L,7,0)</f>
        <v>1996</v>
      </c>
      <c r="K1446" s="619">
        <f>+VLOOKUP(Tabla3[[#This Row],[PATENTE]],'BASE DATOS'!F:M,8,0)</f>
        <v>29</v>
      </c>
    </row>
    <row r="1447" spans="1:11" ht="15" hidden="1" customHeight="1">
      <c r="A1447" s="578" t="s">
        <v>917</v>
      </c>
      <c r="B1447" s="584">
        <v>1</v>
      </c>
      <c r="C1447" s="589">
        <v>46027</v>
      </c>
      <c r="D1447" s="582">
        <f t="shared" si="53"/>
        <v>2</v>
      </c>
      <c r="E1447" s="618" t="str">
        <f>+VLOOKUP(Tabla3[[#This Row],[PATENTE]],'BASE DATOS'!F:G,2,0)</f>
        <v xml:space="preserve">PRONTOMAR - BUZ242 </v>
      </c>
      <c r="F1447" s="584" t="str">
        <f>+VLOOKUP(Tabla3[[#This Row],[PATENTE]],'BASE DATOS'!F:H,3,0)</f>
        <v>16P</v>
      </c>
      <c r="G1447" s="584" t="str">
        <f>+VLOOKUP(Tabla3[[#This Row],[PATENTE]],'BASE DATOS'!F:I,4,0)</f>
        <v>NO</v>
      </c>
      <c r="H1447" s="584" t="str">
        <f>+VLOOKUP(Tabla3[[#This Row],[PATENTE]],'BASE DATOS'!F:J,5,0)</f>
        <v xml:space="preserve">NO </v>
      </c>
      <c r="I1447" s="584" t="str">
        <f>+VLOOKUP(Tabla3[[#This Row],[PATENTE]],'BASE DATOS'!F:K,6,0)</f>
        <v>NO</v>
      </c>
      <c r="J1447" s="584">
        <f>+VLOOKUP(Tabla3[[#This Row],[PATENTE]],'BASE DATOS'!F:L,7,0)</f>
        <v>1998</v>
      </c>
      <c r="K1447" s="619">
        <f>+VLOOKUP(Tabla3[[#This Row],[PATENTE]],'BASE DATOS'!F:M,8,0)</f>
        <v>27</v>
      </c>
    </row>
    <row r="1448" spans="1:11" ht="15" hidden="1" customHeight="1">
      <c r="A1448" s="578" t="s">
        <v>1128</v>
      </c>
      <c r="B1448" s="584">
        <v>1</v>
      </c>
      <c r="C1448" s="589">
        <v>46027</v>
      </c>
      <c r="D1448" s="582">
        <f t="shared" si="53"/>
        <v>2</v>
      </c>
      <c r="E1448" s="618" t="str">
        <f>+VLOOKUP(Tabla3[[#This Row],[PATENTE]],'BASE DATOS'!F:G,2,0)</f>
        <v xml:space="preserve">PRONTOMAR - EDW922 </v>
      </c>
      <c r="F1448" s="584" t="str">
        <f>+VLOOKUP(Tabla3[[#This Row],[PATENTE]],'BASE DATOS'!F:H,3,0)</f>
        <v>14P</v>
      </c>
      <c r="G1448" s="584" t="str">
        <f>+VLOOKUP(Tabla3[[#This Row],[PATENTE]],'BASE DATOS'!F:I,4,0)</f>
        <v>NO</v>
      </c>
      <c r="H1448" s="584" t="str">
        <f>+VLOOKUP(Tabla3[[#This Row],[PATENTE]],'BASE DATOS'!F:J,5,0)</f>
        <v xml:space="preserve">NO </v>
      </c>
      <c r="I1448" s="584" t="str">
        <f>+VLOOKUP(Tabla3[[#This Row],[PATENTE]],'BASE DATOS'!F:K,6,0)</f>
        <v>NO</v>
      </c>
      <c r="J1448" s="584">
        <f>+VLOOKUP(Tabla3[[#This Row],[PATENTE]],'BASE DATOS'!F:L,7,0)</f>
        <v>2003</v>
      </c>
      <c r="K1448" s="619">
        <f>+VLOOKUP(Tabla3[[#This Row],[PATENTE]],'BASE DATOS'!F:M,8,0)</f>
        <v>22</v>
      </c>
    </row>
    <row r="1449" spans="1:11" ht="15" hidden="1" customHeight="1">
      <c r="A1449" s="578" t="s">
        <v>927</v>
      </c>
      <c r="B1449" s="584">
        <v>1</v>
      </c>
      <c r="C1449" s="589">
        <v>46027</v>
      </c>
      <c r="D1449" s="582">
        <f t="shared" si="53"/>
        <v>2</v>
      </c>
      <c r="E1449" s="618" t="str">
        <f>+VLOOKUP(Tabla3[[#This Row],[PATENTE]],'BASE DATOS'!F:G,2,0)</f>
        <v xml:space="preserve">TRANSP MAVIR - EKE275 </v>
      </c>
      <c r="F1449" s="584" t="str">
        <f>+VLOOKUP(Tabla3[[#This Row],[PATENTE]],'BASE DATOS'!F:H,3,0)</f>
        <v>11P</v>
      </c>
      <c r="G1449" s="584" t="str">
        <f>+VLOOKUP(Tabla3[[#This Row],[PATENTE]],'BASE DATOS'!F:I,4,0)</f>
        <v>NO</v>
      </c>
      <c r="H1449" s="584" t="str">
        <f>+VLOOKUP(Tabla3[[#This Row],[PATENTE]],'BASE DATOS'!F:J,5,0)</f>
        <v xml:space="preserve">NO </v>
      </c>
      <c r="I1449" s="584" t="str">
        <f>+VLOOKUP(Tabla3[[#This Row],[PATENTE]],'BASE DATOS'!F:K,6,0)</f>
        <v>NO</v>
      </c>
      <c r="J1449" s="584">
        <f>+VLOOKUP(Tabla3[[#This Row],[PATENTE]],'BASE DATOS'!F:L,7,0)</f>
        <v>2004</v>
      </c>
      <c r="K1449" s="619">
        <f>+VLOOKUP(Tabla3[[#This Row],[PATENTE]],'BASE DATOS'!F:M,8,0)</f>
        <v>21</v>
      </c>
    </row>
    <row r="1450" spans="1:11" ht="15" hidden="1" customHeight="1">
      <c r="A1450" s="578" t="s">
        <v>930</v>
      </c>
      <c r="B1450" s="584">
        <v>1</v>
      </c>
      <c r="C1450" s="589">
        <v>46027</v>
      </c>
      <c r="D1450" s="582">
        <f t="shared" si="53"/>
        <v>2</v>
      </c>
      <c r="E1450" s="618" t="str">
        <f>+VLOOKUP(Tabla3[[#This Row],[PATENTE]],'BASE DATOS'!F:G,2,0)</f>
        <v xml:space="preserve">GANZINI HUGO - JJF375 </v>
      </c>
      <c r="F1450" s="584" t="str">
        <f>+VLOOKUP(Tabla3[[#This Row],[PATENTE]],'BASE DATOS'!F:H,3,0)</f>
        <v>14P</v>
      </c>
      <c r="G1450" s="584" t="str">
        <f>+VLOOKUP(Tabla3[[#This Row],[PATENTE]],'BASE DATOS'!F:I,4,0)</f>
        <v>SI</v>
      </c>
      <c r="H1450" s="584" t="str">
        <f>+VLOOKUP(Tabla3[[#This Row],[PATENTE]],'BASE DATOS'!F:J,5,0)</f>
        <v xml:space="preserve">NO </v>
      </c>
      <c r="I1450" s="584" t="str">
        <f>+VLOOKUP(Tabla3[[#This Row],[PATENTE]],'BASE DATOS'!F:K,6,0)</f>
        <v>NO</v>
      </c>
      <c r="J1450" s="584">
        <f>+VLOOKUP(Tabla3[[#This Row],[PATENTE]],'BASE DATOS'!F:L,7,0)</f>
        <v>2011</v>
      </c>
      <c r="K1450" s="619">
        <f>+VLOOKUP(Tabla3[[#This Row],[PATENTE]],'BASE DATOS'!F:M,8,0)</f>
        <v>14</v>
      </c>
    </row>
    <row r="1451" spans="1:11" ht="15" hidden="1" customHeight="1">
      <c r="A1451" s="578" t="s">
        <v>925</v>
      </c>
      <c r="B1451" s="584">
        <v>1</v>
      </c>
      <c r="C1451" s="589">
        <v>46027</v>
      </c>
      <c r="D1451" s="582">
        <f t="shared" si="53"/>
        <v>2</v>
      </c>
      <c r="E1451" s="618" t="str">
        <f>+VLOOKUP(Tabla3[[#This Row],[PATENTE]],'BASE DATOS'!F:G,2,0)</f>
        <v xml:space="preserve">TRANSP MAIDANA FACUNDO - KOW745 </v>
      </c>
      <c r="F1451" s="584" t="str">
        <f>+VLOOKUP(Tabla3[[#This Row],[PATENTE]],'BASE DATOS'!F:H,3,0)</f>
        <v>8P</v>
      </c>
      <c r="G1451" s="584" t="str">
        <f>+VLOOKUP(Tabla3[[#This Row],[PATENTE]],'BASE DATOS'!F:I,4,0)</f>
        <v>SI</v>
      </c>
      <c r="H1451" s="584" t="str">
        <f>+VLOOKUP(Tabla3[[#This Row],[PATENTE]],'BASE DATOS'!F:J,5,0)</f>
        <v>SI</v>
      </c>
      <c r="I1451" s="584" t="str">
        <f>+VLOOKUP(Tabla3[[#This Row],[PATENTE]],'BASE DATOS'!F:K,6,0)</f>
        <v>NO</v>
      </c>
      <c r="J1451" s="584">
        <f>+VLOOKUP(Tabla3[[#This Row],[PATENTE]],'BASE DATOS'!F:L,7,0)</f>
        <v>2012</v>
      </c>
      <c r="K1451" s="619">
        <f>+VLOOKUP(Tabla3[[#This Row],[PATENTE]],'BASE DATOS'!F:M,8,0)</f>
        <v>13</v>
      </c>
    </row>
    <row r="1452" spans="1:11" ht="15" hidden="1" customHeight="1">
      <c r="A1452" s="581" t="s">
        <v>926</v>
      </c>
      <c r="B1452" s="587">
        <v>1</v>
      </c>
      <c r="C1452" s="1023">
        <v>46027</v>
      </c>
      <c r="D1452" s="583">
        <f t="shared" si="53"/>
        <v>2</v>
      </c>
      <c r="E1452" s="620" t="str">
        <f>+VLOOKUP(Tabla3[[#This Row],[PATENTE]],'BASE DATOS'!F:G,2,0)</f>
        <v xml:space="preserve">TRANSPORTE GENA GAIA - DUF042 </v>
      </c>
      <c r="F1452" s="587" t="str">
        <f>+VLOOKUP(Tabla3[[#This Row],[PATENTE]],'BASE DATOS'!F:H,3,0)</f>
        <v>24P</v>
      </c>
      <c r="G1452" s="587" t="str">
        <f>+VLOOKUP(Tabla3[[#This Row],[PATENTE]],'BASE DATOS'!F:I,4,0)</f>
        <v>Gestya</v>
      </c>
      <c r="H1452" s="587" t="str">
        <f>+VLOOKUP(Tabla3[[#This Row],[PATENTE]],'BASE DATOS'!F:J,5,0)</f>
        <v xml:space="preserve">NO </v>
      </c>
      <c r="I1452" s="587" t="str">
        <f>+VLOOKUP(Tabla3[[#This Row],[PATENTE]],'BASE DATOS'!F:K,6,0)</f>
        <v>NO</v>
      </c>
      <c r="J1452" s="587">
        <f>+VLOOKUP(Tabla3[[#This Row],[PATENTE]],'BASE DATOS'!F:L,7,0)</f>
        <v>2001</v>
      </c>
      <c r="K1452" s="621">
        <f>+VLOOKUP(Tabla3[[#This Row],[PATENTE]],'BASE DATOS'!F:M,8,0)</f>
        <v>24</v>
      </c>
    </row>
    <row r="1453" spans="1:11" ht="15" hidden="1" customHeight="1">
      <c r="A1453" s="578" t="s">
        <v>922</v>
      </c>
      <c r="B1453" s="584">
        <v>6</v>
      </c>
      <c r="C1453" s="589">
        <v>46034</v>
      </c>
      <c r="D1453" s="582">
        <f t="shared" ref="D1453:D1484" si="54">+WEEKNUM(C1453)</f>
        <v>3</v>
      </c>
      <c r="E1453" s="618" t="str">
        <f>+VLOOKUP(Tabla3[[#This Row],[PATENTE]],'BASE DATOS'!F:G,2,0)</f>
        <v>LAURIA (SERVAL) - AF342ZY</v>
      </c>
      <c r="F1453" s="584" t="str">
        <f>+VLOOKUP(Tabla3[[#This Row],[PATENTE]],'BASE DATOS'!F:H,3,0)</f>
        <v>8P</v>
      </c>
      <c r="G1453" s="584" t="str">
        <f>+VLOOKUP(Tabla3[[#This Row],[PATENTE]],'BASE DATOS'!F:I,4,0)</f>
        <v>SI</v>
      </c>
      <c r="H1453" s="584" t="str">
        <f>+VLOOKUP(Tabla3[[#This Row],[PATENTE]],'BASE DATOS'!F:J,5,0)</f>
        <v>SI</v>
      </c>
      <c r="I1453" s="584" t="str">
        <f>+VLOOKUP(Tabla3[[#This Row],[PATENTE]],'BASE DATOS'!F:K,6,0)</f>
        <v>NO</v>
      </c>
      <c r="J1453" s="584">
        <f>+VLOOKUP(Tabla3[[#This Row],[PATENTE]],'BASE DATOS'!F:L,7,0)</f>
        <v>2022</v>
      </c>
      <c r="K1453" s="619">
        <f>+VLOOKUP(Tabla3[[#This Row],[PATENTE]],'BASE DATOS'!F:M,8,0)</f>
        <v>3</v>
      </c>
    </row>
    <row r="1454" spans="1:11" ht="15" hidden="1" customHeight="1">
      <c r="A1454" s="578" t="s">
        <v>889</v>
      </c>
      <c r="B1454" s="584">
        <v>6</v>
      </c>
      <c r="C1454" s="589">
        <v>46034</v>
      </c>
      <c r="D1454" s="582">
        <f t="shared" si="54"/>
        <v>3</v>
      </c>
      <c r="E1454" s="618" t="str">
        <f>+VLOOKUP(Tabla3[[#This Row],[PATENTE]],'BASE DATOS'!F:G,2,0)</f>
        <v xml:space="preserve">COLO - HAW164 </v>
      </c>
      <c r="F1454" s="584" t="str">
        <f>+VLOOKUP(Tabla3[[#This Row],[PATENTE]],'BASE DATOS'!F:H,3,0)</f>
        <v>6P</v>
      </c>
      <c r="G1454" s="584" t="str">
        <f>+VLOOKUP(Tabla3[[#This Row],[PATENTE]],'BASE DATOS'!F:I,4,0)</f>
        <v>NO</v>
      </c>
      <c r="H1454" s="584" t="str">
        <f>+VLOOKUP(Tabla3[[#This Row],[PATENTE]],'BASE DATOS'!F:J,5,0)</f>
        <v>SI</v>
      </c>
      <c r="I1454" s="584" t="str">
        <f>+VLOOKUP(Tabla3[[#This Row],[PATENTE]],'BASE DATOS'!F:K,6,0)</f>
        <v>NO</v>
      </c>
      <c r="J1454" s="584">
        <f>+VLOOKUP(Tabla3[[#This Row],[PATENTE]],'BASE DATOS'!F:L,7,0)</f>
        <v>2009</v>
      </c>
      <c r="K1454" s="619">
        <f>+VLOOKUP(Tabla3[[#This Row],[PATENTE]],'BASE DATOS'!F:M,8,0)</f>
        <v>16</v>
      </c>
    </row>
    <row r="1455" spans="1:11" ht="15" hidden="1" customHeight="1">
      <c r="A1455" s="578" t="s">
        <v>882</v>
      </c>
      <c r="B1455" s="584">
        <v>6</v>
      </c>
      <c r="C1455" s="589">
        <v>46034</v>
      </c>
      <c r="D1455" s="582">
        <f t="shared" si="54"/>
        <v>3</v>
      </c>
      <c r="E1455" s="618" t="str">
        <f>+VLOOKUP(Tabla3[[#This Row],[PATENTE]],'BASE DATOS'!F:G,2,0)</f>
        <v xml:space="preserve">MAÑAS - JWN279 </v>
      </c>
      <c r="F1455" s="584" t="str">
        <f>+VLOOKUP(Tabla3[[#This Row],[PATENTE]],'BASE DATOS'!F:H,3,0)</f>
        <v>7P</v>
      </c>
      <c r="G1455" s="584" t="str">
        <f>+VLOOKUP(Tabla3[[#This Row],[PATENTE]],'BASE DATOS'!F:I,4,0)</f>
        <v>SI</v>
      </c>
      <c r="H1455" s="584" t="str">
        <f>+VLOOKUP(Tabla3[[#This Row],[PATENTE]],'BASE DATOS'!F:J,5,0)</f>
        <v>SI</v>
      </c>
      <c r="I1455" s="584" t="str">
        <f>+VLOOKUP(Tabla3[[#This Row],[PATENTE]],'BASE DATOS'!F:K,6,0)</f>
        <v>NO</v>
      </c>
      <c r="J1455" s="584">
        <f>+VLOOKUP(Tabla3[[#This Row],[PATENTE]],'BASE DATOS'!F:L,7,0)</f>
        <v>2011</v>
      </c>
      <c r="K1455" s="619">
        <f>+VLOOKUP(Tabla3[[#This Row],[PATENTE]],'BASE DATOS'!F:M,8,0)</f>
        <v>14</v>
      </c>
    </row>
    <row r="1456" spans="1:11" ht="15" hidden="1" customHeight="1">
      <c r="A1456" s="578" t="s">
        <v>898</v>
      </c>
      <c r="B1456" s="584">
        <v>6</v>
      </c>
      <c r="C1456" s="589">
        <v>46034</v>
      </c>
      <c r="D1456" s="582">
        <f t="shared" si="54"/>
        <v>3</v>
      </c>
      <c r="E1456" s="618" t="str">
        <f>+VLOOKUP(Tabla3[[#This Row],[PATENTE]],'BASE DATOS'!F:G,2,0)</f>
        <v xml:space="preserve">TRANSP BERMEJO - NXP980 </v>
      </c>
      <c r="F1456" s="584" t="str">
        <f>+VLOOKUP(Tabla3[[#This Row],[PATENTE]],'BASE DATOS'!F:H,3,0)</f>
        <v>12P</v>
      </c>
      <c r="G1456" s="584" t="str">
        <f>+VLOOKUP(Tabla3[[#This Row],[PATENTE]],'BASE DATOS'!F:I,4,0)</f>
        <v>SI</v>
      </c>
      <c r="H1456" s="584" t="str">
        <f>+VLOOKUP(Tabla3[[#This Row],[PATENTE]],'BASE DATOS'!F:J,5,0)</f>
        <v>SI</v>
      </c>
      <c r="I1456" s="584" t="str">
        <f>+VLOOKUP(Tabla3[[#This Row],[PATENTE]],'BASE DATOS'!F:K,6,0)</f>
        <v>SI</v>
      </c>
      <c r="J1456" s="584">
        <f>+VLOOKUP(Tabla3[[#This Row],[PATENTE]],'BASE DATOS'!F:L,7,0)</f>
        <v>2015</v>
      </c>
      <c r="K1456" s="619">
        <f>+VLOOKUP(Tabla3[[#This Row],[PATENTE]],'BASE DATOS'!F:M,8,0)</f>
        <v>10</v>
      </c>
    </row>
    <row r="1457" spans="1:11" ht="15" hidden="1" customHeight="1">
      <c r="A1457" s="578" t="s">
        <v>884</v>
      </c>
      <c r="B1457" s="584">
        <v>5</v>
      </c>
      <c r="C1457" s="589">
        <v>46034</v>
      </c>
      <c r="D1457" s="582">
        <f t="shared" si="54"/>
        <v>3</v>
      </c>
      <c r="E1457" s="618" t="str">
        <f>+VLOOKUP(Tabla3[[#This Row],[PATENTE]],'BASE DATOS'!F:G,2,0)</f>
        <v xml:space="preserve">LAURIA (SERVAL) - AB233IT </v>
      </c>
      <c r="F1457" s="584" t="str">
        <f>+VLOOKUP(Tabla3[[#This Row],[PATENTE]],'BASE DATOS'!F:H,3,0)</f>
        <v>6P</v>
      </c>
      <c r="G1457" s="584" t="str">
        <f>+VLOOKUP(Tabla3[[#This Row],[PATENTE]],'BASE DATOS'!F:I,4,0)</f>
        <v>SI</v>
      </c>
      <c r="H1457" s="584" t="str">
        <f>+VLOOKUP(Tabla3[[#This Row],[PATENTE]],'BASE DATOS'!F:J,5,0)</f>
        <v>SI</v>
      </c>
      <c r="I1457" s="584" t="str">
        <f>+VLOOKUP(Tabla3[[#This Row],[PATENTE]],'BASE DATOS'!F:K,6,0)</f>
        <v>NO</v>
      </c>
      <c r="J1457" s="584">
        <f>+VLOOKUP(Tabla3[[#This Row],[PATENTE]],'BASE DATOS'!F:L,7,0)</f>
        <v>2017</v>
      </c>
      <c r="K1457" s="619">
        <f>+VLOOKUP(Tabla3[[#This Row],[PATENTE]],'BASE DATOS'!F:M,8,0)</f>
        <v>8</v>
      </c>
    </row>
    <row r="1458" spans="1:11" ht="15" hidden="1" customHeight="1">
      <c r="A1458" s="578" t="s">
        <v>905</v>
      </c>
      <c r="B1458" s="584">
        <v>5</v>
      </c>
      <c r="C1458" s="589">
        <v>46034</v>
      </c>
      <c r="D1458" s="582">
        <f t="shared" si="54"/>
        <v>3</v>
      </c>
      <c r="E1458" s="618" t="str">
        <f>+VLOOKUP(Tabla3[[#This Row],[PATENTE]],'BASE DATOS'!F:G,2,0)</f>
        <v xml:space="preserve">J RIMOLDI - AB312SE </v>
      </c>
      <c r="F1458" s="584" t="str">
        <f>+VLOOKUP(Tabla3[[#This Row],[PATENTE]],'BASE DATOS'!F:H,3,0)</f>
        <v>8P</v>
      </c>
      <c r="G1458" s="584" t="str">
        <f>+VLOOKUP(Tabla3[[#This Row],[PATENTE]],'BASE DATOS'!F:I,4,0)</f>
        <v>SI</v>
      </c>
      <c r="H1458" s="584" t="str">
        <f>+VLOOKUP(Tabla3[[#This Row],[PATENTE]],'BASE DATOS'!F:J,5,0)</f>
        <v>SI</v>
      </c>
      <c r="I1458" s="584" t="str">
        <f>+VLOOKUP(Tabla3[[#This Row],[PATENTE]],'BASE DATOS'!F:K,6,0)</f>
        <v>NO</v>
      </c>
      <c r="J1458" s="584">
        <f>+VLOOKUP(Tabla3[[#This Row],[PATENTE]],'BASE DATOS'!F:L,7,0)</f>
        <v>2017</v>
      </c>
      <c r="K1458" s="619">
        <f>+VLOOKUP(Tabla3[[#This Row],[PATENTE]],'BASE DATOS'!F:M,8,0)</f>
        <v>8</v>
      </c>
    </row>
    <row r="1459" spans="1:11" ht="15" hidden="1" customHeight="1">
      <c r="A1459" s="578" t="s">
        <v>912</v>
      </c>
      <c r="B1459" s="584">
        <v>5</v>
      </c>
      <c r="C1459" s="589">
        <v>46034</v>
      </c>
      <c r="D1459" s="582">
        <f t="shared" si="54"/>
        <v>3</v>
      </c>
      <c r="E1459" s="618" t="str">
        <f>+VLOOKUP(Tabla3[[#This Row],[PATENTE]],'BASE DATOS'!F:G,2,0)</f>
        <v xml:space="preserve">PACHECO JULIO - AC028WN </v>
      </c>
      <c r="F1459" s="584" t="str">
        <f>+VLOOKUP(Tabla3[[#This Row],[PATENTE]],'BASE DATOS'!F:H,3,0)</f>
        <v>8P</v>
      </c>
      <c r="G1459" s="584" t="str">
        <f>+VLOOKUP(Tabla3[[#This Row],[PATENTE]],'BASE DATOS'!F:I,4,0)</f>
        <v>SI</v>
      </c>
      <c r="H1459" s="584" t="str">
        <f>+VLOOKUP(Tabla3[[#This Row],[PATENTE]],'BASE DATOS'!F:J,5,0)</f>
        <v>SI</v>
      </c>
      <c r="I1459" s="584" t="str">
        <f>+VLOOKUP(Tabla3[[#This Row],[PATENTE]],'BASE DATOS'!F:K,6,0)</f>
        <v>SI</v>
      </c>
      <c r="J1459" s="584">
        <f>+VLOOKUP(Tabla3[[#This Row],[PATENTE]],'BASE DATOS'!F:L,7,0)</f>
        <v>2017</v>
      </c>
      <c r="K1459" s="619">
        <f>+VLOOKUP(Tabla3[[#This Row],[PATENTE]],'BASE DATOS'!F:M,8,0)</f>
        <v>8</v>
      </c>
    </row>
    <row r="1460" spans="1:11" ht="15" hidden="1" customHeight="1">
      <c r="A1460" s="578" t="s">
        <v>904</v>
      </c>
      <c r="B1460" s="584">
        <v>5</v>
      </c>
      <c r="C1460" s="589">
        <v>46034</v>
      </c>
      <c r="D1460" s="582">
        <f t="shared" si="54"/>
        <v>3</v>
      </c>
      <c r="E1460" s="618" t="str">
        <f>+VLOOKUP(Tabla3[[#This Row],[PATENTE]],'BASE DATOS'!F:G,2,0)</f>
        <v xml:space="preserve">ENRIQUE ROLLINO - DFO656 </v>
      </c>
      <c r="F1460" s="584" t="str">
        <f>+VLOOKUP(Tabla3[[#This Row],[PATENTE]],'BASE DATOS'!F:H,3,0)</f>
        <v>6P</v>
      </c>
      <c r="G1460" s="584" t="str">
        <f>+VLOOKUP(Tabla3[[#This Row],[PATENTE]],'BASE DATOS'!F:I,4,0)</f>
        <v>SI</v>
      </c>
      <c r="H1460" s="584" t="str">
        <f>+VLOOKUP(Tabla3[[#This Row],[PATENTE]],'BASE DATOS'!F:J,5,0)</f>
        <v>SI</v>
      </c>
      <c r="I1460" s="584" t="str">
        <f>+VLOOKUP(Tabla3[[#This Row],[PATENTE]],'BASE DATOS'!F:K,6,0)</f>
        <v>NO</v>
      </c>
      <c r="J1460" s="584">
        <f>+VLOOKUP(Tabla3[[#This Row],[PATENTE]],'BASE DATOS'!F:L,7,0)</f>
        <v>2000</v>
      </c>
      <c r="K1460" s="619">
        <f>+VLOOKUP(Tabla3[[#This Row],[PATENTE]],'BASE DATOS'!F:M,8,0)</f>
        <v>25</v>
      </c>
    </row>
    <row r="1461" spans="1:11" ht="15" hidden="1" customHeight="1">
      <c r="A1461" s="578" t="s">
        <v>881</v>
      </c>
      <c r="B1461" s="584">
        <v>5</v>
      </c>
      <c r="C1461" s="589">
        <v>46034</v>
      </c>
      <c r="D1461" s="582">
        <f t="shared" si="54"/>
        <v>3</v>
      </c>
      <c r="E1461" s="618" t="str">
        <f>+VLOOKUP(Tabla3[[#This Row],[PATENTE]],'BASE DATOS'!F:G,2,0)</f>
        <v xml:space="preserve">MAÑAS NORBERTO - DUQ686 </v>
      </c>
      <c r="F1461" s="584" t="str">
        <f>+VLOOKUP(Tabla3[[#This Row],[PATENTE]],'BASE DATOS'!F:H,3,0)</f>
        <v>8P</v>
      </c>
      <c r="G1461" s="584" t="str">
        <f>+VLOOKUP(Tabla3[[#This Row],[PATENTE]],'BASE DATOS'!F:I,4,0)</f>
        <v>SI</v>
      </c>
      <c r="H1461" s="584" t="str">
        <f>+VLOOKUP(Tabla3[[#This Row],[PATENTE]],'BASE DATOS'!F:J,5,0)</f>
        <v>SI</v>
      </c>
      <c r="I1461" s="584" t="str">
        <f>+VLOOKUP(Tabla3[[#This Row],[PATENTE]],'BASE DATOS'!F:K,6,0)</f>
        <v>NO</v>
      </c>
      <c r="J1461" s="584">
        <f>+VLOOKUP(Tabla3[[#This Row],[PATENTE]],'BASE DATOS'!F:L,7,0)</f>
        <v>2001</v>
      </c>
      <c r="K1461" s="619">
        <f>+VLOOKUP(Tabla3[[#This Row],[PATENTE]],'BASE DATOS'!F:M,8,0)</f>
        <v>24</v>
      </c>
    </row>
    <row r="1462" spans="1:11" ht="15" hidden="1" customHeight="1">
      <c r="A1462" s="578" t="s">
        <v>920</v>
      </c>
      <c r="B1462" s="584">
        <v>5</v>
      </c>
      <c r="C1462" s="589">
        <v>46034</v>
      </c>
      <c r="D1462" s="582">
        <f t="shared" si="54"/>
        <v>3</v>
      </c>
      <c r="E1462" s="618" t="str">
        <f>+VLOOKUP(Tabla3[[#This Row],[PATENTE]],'BASE DATOS'!F:G,2,0)</f>
        <v xml:space="preserve">TRANSP LAGOS - MRV682 </v>
      </c>
      <c r="F1462" s="584" t="str">
        <f>+VLOOKUP(Tabla3[[#This Row],[PATENTE]],'BASE DATOS'!F:H,3,0)</f>
        <v>8P</v>
      </c>
      <c r="G1462" s="584" t="str">
        <f>+VLOOKUP(Tabla3[[#This Row],[PATENTE]],'BASE DATOS'!F:I,4,0)</f>
        <v>SI</v>
      </c>
      <c r="H1462" s="584" t="str">
        <f>+VLOOKUP(Tabla3[[#This Row],[PATENTE]],'BASE DATOS'!F:J,5,0)</f>
        <v>SI</v>
      </c>
      <c r="I1462" s="584" t="str">
        <f>+VLOOKUP(Tabla3[[#This Row],[PATENTE]],'BASE DATOS'!F:K,6,0)</f>
        <v>NO</v>
      </c>
      <c r="J1462" s="584">
        <f>+VLOOKUP(Tabla3[[#This Row],[PATENTE]],'BASE DATOS'!F:L,7,0)</f>
        <v>2013</v>
      </c>
      <c r="K1462" s="619">
        <f>+VLOOKUP(Tabla3[[#This Row],[PATENTE]],'BASE DATOS'!F:M,8,0)</f>
        <v>12</v>
      </c>
    </row>
    <row r="1463" spans="1:11" ht="15" hidden="1" customHeight="1">
      <c r="A1463" s="578" t="s">
        <v>886</v>
      </c>
      <c r="B1463" s="584">
        <v>5</v>
      </c>
      <c r="C1463" s="589">
        <v>46034</v>
      </c>
      <c r="D1463" s="582">
        <f t="shared" si="54"/>
        <v>3</v>
      </c>
      <c r="E1463" s="618" t="str">
        <f>+VLOOKUP(Tabla3[[#This Row],[PATENTE]],'BASE DATOS'!F:G,2,0)</f>
        <v xml:space="preserve">TRANSP LAGOS - NOO925 </v>
      </c>
      <c r="F1463" s="584" t="str">
        <f>+VLOOKUP(Tabla3[[#This Row],[PATENTE]],'BASE DATOS'!F:H,3,0)</f>
        <v>8P</v>
      </c>
      <c r="G1463" s="584" t="str">
        <f>+VLOOKUP(Tabla3[[#This Row],[PATENTE]],'BASE DATOS'!F:I,4,0)</f>
        <v>SI</v>
      </c>
      <c r="H1463" s="584" t="str">
        <f>+VLOOKUP(Tabla3[[#This Row],[PATENTE]],'BASE DATOS'!F:J,5,0)</f>
        <v>SI</v>
      </c>
      <c r="I1463" s="584" t="str">
        <f>+VLOOKUP(Tabla3[[#This Row],[PATENTE]],'BASE DATOS'!F:K,6,0)</f>
        <v>NO</v>
      </c>
      <c r="J1463" s="584">
        <f>+VLOOKUP(Tabla3[[#This Row],[PATENTE]],'BASE DATOS'!F:L,7,0)</f>
        <v>2014</v>
      </c>
      <c r="K1463" s="619">
        <f>+VLOOKUP(Tabla3[[#This Row],[PATENTE]],'BASE DATOS'!F:M,8,0)</f>
        <v>11</v>
      </c>
    </row>
    <row r="1464" spans="1:11" ht="15" hidden="1" customHeight="1">
      <c r="A1464" s="578" t="s">
        <v>877</v>
      </c>
      <c r="B1464" s="584">
        <v>5</v>
      </c>
      <c r="C1464" s="589">
        <v>46034</v>
      </c>
      <c r="D1464" s="582">
        <f t="shared" si="54"/>
        <v>3</v>
      </c>
      <c r="E1464" s="618" t="str">
        <f>+VLOOKUP(Tabla3[[#This Row],[PATENTE]],'BASE DATOS'!F:G,2,0)</f>
        <v>TRANSP MAIDANA CARLOS - OWA126</v>
      </c>
      <c r="F1464" s="584" t="str">
        <f>+VLOOKUP(Tabla3[[#This Row],[PATENTE]],'BASE DATOS'!F:H,3,0)</f>
        <v>4P</v>
      </c>
      <c r="G1464" s="584" t="str">
        <f>+VLOOKUP(Tabla3[[#This Row],[PATENTE]],'BASE DATOS'!F:I,4,0)</f>
        <v>SI</v>
      </c>
      <c r="H1464" s="584" t="str">
        <f>+VLOOKUP(Tabla3[[#This Row],[PATENTE]],'BASE DATOS'!F:J,5,0)</f>
        <v>SI</v>
      </c>
      <c r="I1464" s="584" t="str">
        <f>+VLOOKUP(Tabla3[[#This Row],[PATENTE]],'BASE DATOS'!F:K,6,0)</f>
        <v>NO</v>
      </c>
      <c r="J1464" s="584">
        <f>+VLOOKUP(Tabla3[[#This Row],[PATENTE]],'BASE DATOS'!F:L,7,0)</f>
        <v>2015</v>
      </c>
      <c r="K1464" s="619">
        <f>+VLOOKUP(Tabla3[[#This Row],[PATENTE]],'BASE DATOS'!F:M,8,0)</f>
        <v>10</v>
      </c>
    </row>
    <row r="1465" spans="1:11" ht="15" hidden="1" customHeight="1">
      <c r="A1465" s="578" t="s">
        <v>879</v>
      </c>
      <c r="B1465" s="584">
        <v>5</v>
      </c>
      <c r="C1465" s="589">
        <v>46034</v>
      </c>
      <c r="D1465" s="582">
        <f t="shared" si="54"/>
        <v>3</v>
      </c>
      <c r="E1465" s="618" t="str">
        <f>+VLOOKUP(Tabla3[[#This Row],[PATENTE]],'BASE DATOS'!F:G,2,0)</f>
        <v xml:space="preserve">TRANSP JP - OYP470 </v>
      </c>
      <c r="F1465" s="584" t="str">
        <f>+VLOOKUP(Tabla3[[#This Row],[PATENTE]],'BASE DATOS'!F:H,3,0)</f>
        <v>8P</v>
      </c>
      <c r="G1465" s="584" t="str">
        <f>+VLOOKUP(Tabla3[[#This Row],[PATENTE]],'BASE DATOS'!F:I,4,0)</f>
        <v>SI</v>
      </c>
      <c r="H1465" s="584" t="str">
        <f>+VLOOKUP(Tabla3[[#This Row],[PATENTE]],'BASE DATOS'!F:J,5,0)</f>
        <v>SI</v>
      </c>
      <c r="I1465" s="584" t="str">
        <f>+VLOOKUP(Tabla3[[#This Row],[PATENTE]],'BASE DATOS'!F:K,6,0)</f>
        <v>NO</v>
      </c>
      <c r="J1465" s="584">
        <f>+VLOOKUP(Tabla3[[#This Row],[PATENTE]],'BASE DATOS'!F:L,7,0)</f>
        <v>2011</v>
      </c>
      <c r="K1465" s="619">
        <f>+VLOOKUP(Tabla3[[#This Row],[PATENTE]],'BASE DATOS'!F:M,8,0)</f>
        <v>14</v>
      </c>
    </row>
    <row r="1466" spans="1:11" ht="15" hidden="1" customHeight="1">
      <c r="A1466" s="578" t="s">
        <v>936</v>
      </c>
      <c r="B1466" s="584">
        <v>4</v>
      </c>
      <c r="C1466" s="589">
        <v>46034</v>
      </c>
      <c r="D1466" s="582">
        <f t="shared" si="54"/>
        <v>3</v>
      </c>
      <c r="E1466" s="618" t="str">
        <f>+VLOOKUP(Tabla3[[#This Row],[PATENTE]],'BASE DATOS'!F:G,2,0)</f>
        <v>TRANSP YANINA  LUONGO - AA050HC</v>
      </c>
      <c r="F1466" s="584" t="str">
        <f>+VLOOKUP(Tabla3[[#This Row],[PATENTE]],'BASE DATOS'!F:H,3,0)</f>
        <v>1.5P</v>
      </c>
      <c r="G1466" s="584" t="str">
        <f>+VLOOKUP(Tabla3[[#This Row],[PATENTE]],'BASE DATOS'!F:I,4,0)</f>
        <v>NO</v>
      </c>
      <c r="H1466" s="584" t="str">
        <f>+VLOOKUP(Tabla3[[#This Row],[PATENTE]],'BASE DATOS'!F:J,5,0)</f>
        <v>SI</v>
      </c>
      <c r="I1466" s="584" t="str">
        <f>+VLOOKUP(Tabla3[[#This Row],[PATENTE]],'BASE DATOS'!F:K,6,0)</f>
        <v>NO</v>
      </c>
      <c r="J1466" s="584">
        <f>+VLOOKUP(Tabla3[[#This Row],[PATENTE]],'BASE DATOS'!F:L,7,0)</f>
        <v>2016</v>
      </c>
      <c r="K1466" s="619">
        <f>+VLOOKUP(Tabla3[[#This Row],[PATENTE]],'BASE DATOS'!F:M,8,0)</f>
        <v>9</v>
      </c>
    </row>
    <row r="1467" spans="1:11" ht="15" hidden="1" customHeight="1">
      <c r="A1467" s="578" t="s">
        <v>890</v>
      </c>
      <c r="B1467" s="584">
        <v>4</v>
      </c>
      <c r="C1467" s="589">
        <v>46034</v>
      </c>
      <c r="D1467" s="582">
        <f t="shared" si="54"/>
        <v>3</v>
      </c>
      <c r="E1467" s="618" t="str">
        <f>+VLOOKUP(Tabla3[[#This Row],[PATENTE]],'BASE DATOS'!F:G,2,0)</f>
        <v xml:space="preserve">TRANSPORTE GRACIELA - AC040RO </v>
      </c>
      <c r="F1467" s="584" t="str">
        <f>+VLOOKUP(Tabla3[[#This Row],[PATENTE]],'BASE DATOS'!F:H,3,0)</f>
        <v>1P</v>
      </c>
      <c r="G1467" s="584" t="str">
        <f>+VLOOKUP(Tabla3[[#This Row],[PATENTE]],'BASE DATOS'!F:I,4,0)</f>
        <v>SI</v>
      </c>
      <c r="H1467" s="584" t="str">
        <f>+VLOOKUP(Tabla3[[#This Row],[PATENTE]],'BASE DATOS'!F:J,5,0)</f>
        <v>ACEPTA( VER CAMI)</v>
      </c>
      <c r="I1467" s="584" t="str">
        <f>+VLOOKUP(Tabla3[[#This Row],[PATENTE]],'BASE DATOS'!F:K,6,0)</f>
        <v>NO</v>
      </c>
      <c r="J1467" s="584">
        <f>+VLOOKUP(Tabla3[[#This Row],[PATENTE]],'BASE DATOS'!F:L,7,0)</f>
        <v>2017</v>
      </c>
      <c r="K1467" s="619">
        <f>+VLOOKUP(Tabla3[[#This Row],[PATENTE]],'BASE DATOS'!F:M,8,0)</f>
        <v>8</v>
      </c>
    </row>
    <row r="1468" spans="1:11" ht="15" hidden="1" customHeight="1">
      <c r="A1468" s="578" t="s">
        <v>883</v>
      </c>
      <c r="B1468" s="584">
        <v>4</v>
      </c>
      <c r="C1468" s="589">
        <v>46034</v>
      </c>
      <c r="D1468" s="582">
        <f t="shared" si="54"/>
        <v>3</v>
      </c>
      <c r="E1468" s="618" t="str">
        <f>+VLOOKUP(Tabla3[[#This Row],[PATENTE]],'BASE DATOS'!F:G,2,0)</f>
        <v xml:space="preserve">PACHECO JULIO - ACI503 </v>
      </c>
      <c r="F1468" s="584" t="str">
        <f>+VLOOKUP(Tabla3[[#This Row],[PATENTE]],'BASE DATOS'!F:H,3,0)</f>
        <v>12P</v>
      </c>
      <c r="G1468" s="584" t="str">
        <f>+VLOOKUP(Tabla3[[#This Row],[PATENTE]],'BASE DATOS'!F:I,4,0)</f>
        <v>NO</v>
      </c>
      <c r="H1468" s="584" t="str">
        <f>+VLOOKUP(Tabla3[[#This Row],[PATENTE]],'BASE DATOS'!F:J,5,0)</f>
        <v>SI</v>
      </c>
      <c r="I1468" s="584" t="str">
        <f>+VLOOKUP(Tabla3[[#This Row],[PATENTE]],'BASE DATOS'!F:K,6,0)</f>
        <v>SI</v>
      </c>
      <c r="J1468" s="584">
        <f>+VLOOKUP(Tabla3[[#This Row],[PATENTE]],'BASE DATOS'!F:L,7,0)</f>
        <v>2000</v>
      </c>
      <c r="K1468" s="619">
        <f>+VLOOKUP(Tabla3[[#This Row],[PATENTE]],'BASE DATOS'!F:M,8,0)</f>
        <v>25</v>
      </c>
    </row>
    <row r="1469" spans="1:11" ht="15" hidden="1" customHeight="1">
      <c r="A1469" s="578" t="s">
        <v>880</v>
      </c>
      <c r="B1469" s="584">
        <v>4</v>
      </c>
      <c r="C1469" s="589">
        <v>46034</v>
      </c>
      <c r="D1469" s="582">
        <f t="shared" si="54"/>
        <v>3</v>
      </c>
      <c r="E1469" s="618" t="str">
        <f>+VLOOKUP(Tabla3[[#This Row],[PATENTE]],'BASE DATOS'!F:G,2,0)</f>
        <v xml:space="preserve">LAURIA (SERVAL) - AD575XK </v>
      </c>
      <c r="F1469" s="584" t="str">
        <f>+VLOOKUP(Tabla3[[#This Row],[PATENTE]],'BASE DATOS'!F:H,3,0)</f>
        <v>8P</v>
      </c>
      <c r="G1469" s="584" t="str">
        <f>+VLOOKUP(Tabla3[[#This Row],[PATENTE]],'BASE DATOS'!F:I,4,0)</f>
        <v>SI</v>
      </c>
      <c r="H1469" s="584" t="str">
        <f>+VLOOKUP(Tabla3[[#This Row],[PATENTE]],'BASE DATOS'!F:J,5,0)</f>
        <v>SI</v>
      </c>
      <c r="I1469" s="584" t="str">
        <f>+VLOOKUP(Tabla3[[#This Row],[PATENTE]],'BASE DATOS'!F:K,6,0)</f>
        <v>NO</v>
      </c>
      <c r="J1469" s="584">
        <f>+VLOOKUP(Tabla3[[#This Row],[PATENTE]],'BASE DATOS'!F:L,7,0)</f>
        <v>2019</v>
      </c>
      <c r="K1469" s="619">
        <f>+VLOOKUP(Tabla3[[#This Row],[PATENTE]],'BASE DATOS'!F:M,8,0)</f>
        <v>6</v>
      </c>
    </row>
    <row r="1470" spans="1:11" ht="15" hidden="1" customHeight="1">
      <c r="A1470" s="578" t="s">
        <v>907</v>
      </c>
      <c r="B1470" s="584">
        <v>4</v>
      </c>
      <c r="C1470" s="589">
        <v>46034</v>
      </c>
      <c r="D1470" s="582">
        <f t="shared" si="54"/>
        <v>3</v>
      </c>
      <c r="E1470" s="618" t="str">
        <f>+VLOOKUP(Tabla3[[#This Row],[PATENTE]],'BASE DATOS'!F:G,2,0)</f>
        <v xml:space="preserve">LAURIA (SERVAL) - AH583GW </v>
      </c>
      <c r="F1470" s="584" t="str">
        <f>+VLOOKUP(Tabla3[[#This Row],[PATENTE]],'BASE DATOS'!F:H,3,0)</f>
        <v>8P</v>
      </c>
      <c r="G1470" s="584" t="str">
        <f>+VLOOKUP(Tabla3[[#This Row],[PATENTE]],'BASE DATOS'!F:I,4,0)</f>
        <v>SI</v>
      </c>
      <c r="H1470" s="584" t="str">
        <f>+VLOOKUP(Tabla3[[#This Row],[PATENTE]],'BASE DATOS'!F:J,5,0)</f>
        <v>SI</v>
      </c>
      <c r="I1470" s="584" t="str">
        <f>+VLOOKUP(Tabla3[[#This Row],[PATENTE]],'BASE DATOS'!F:K,6,0)</f>
        <v>NO</v>
      </c>
      <c r="J1470" s="584">
        <f>+VLOOKUP(Tabla3[[#This Row],[PATENTE]],'BASE DATOS'!F:L,7,0)</f>
        <v>2025</v>
      </c>
      <c r="K1470" s="619">
        <f>+VLOOKUP(Tabla3[[#This Row],[PATENTE]],'BASE DATOS'!F:M,8,0)</f>
        <v>0</v>
      </c>
    </row>
    <row r="1471" spans="1:11" ht="15" hidden="1" customHeight="1">
      <c r="A1471" s="578" t="s">
        <v>944</v>
      </c>
      <c r="B1471" s="584">
        <v>4</v>
      </c>
      <c r="C1471" s="589">
        <v>46034</v>
      </c>
      <c r="D1471" s="582">
        <f t="shared" si="54"/>
        <v>3</v>
      </c>
      <c r="E1471" s="618" t="str">
        <f>+VLOOKUP(Tabla3[[#This Row],[PATENTE]],'BASE DATOS'!F:G,2,0)</f>
        <v xml:space="preserve">TRANSPORTE GENA GAIA - BHG261 </v>
      </c>
      <c r="F1471" s="584" t="str">
        <f>+VLOOKUP(Tabla3[[#This Row],[PATENTE]],'BASE DATOS'!F:H,3,0)</f>
        <v>26P</v>
      </c>
      <c r="G1471" s="584" t="str">
        <f>+VLOOKUP(Tabla3[[#This Row],[PATENTE]],'BASE DATOS'!F:I,4,0)</f>
        <v>Gestya</v>
      </c>
      <c r="H1471" s="584" t="str">
        <f>+VLOOKUP(Tabla3[[#This Row],[PATENTE]],'BASE DATOS'!F:J,5,0)</f>
        <v xml:space="preserve">NO </v>
      </c>
      <c r="I1471" s="584" t="str">
        <f>+VLOOKUP(Tabla3[[#This Row],[PATENTE]],'BASE DATOS'!F:K,6,0)</f>
        <v>NO</v>
      </c>
      <c r="J1471" s="584">
        <f>+VLOOKUP(Tabla3[[#This Row],[PATENTE]],'BASE DATOS'!F:L,7,0)</f>
        <v>1997</v>
      </c>
      <c r="K1471" s="619">
        <f>+VLOOKUP(Tabla3[[#This Row],[PATENTE]],'BASE DATOS'!F:M,8,0)</f>
        <v>28</v>
      </c>
    </row>
    <row r="1472" spans="1:11" ht="15" hidden="1" customHeight="1">
      <c r="A1472" s="578" t="s">
        <v>892</v>
      </c>
      <c r="B1472" s="584">
        <v>4</v>
      </c>
      <c r="C1472" s="589">
        <v>46034</v>
      </c>
      <c r="D1472" s="582">
        <f t="shared" si="54"/>
        <v>3</v>
      </c>
      <c r="E1472" s="618" t="str">
        <f>+VLOOKUP(Tabla3[[#This Row],[PATENTE]],'BASE DATOS'!F:G,2,0)</f>
        <v xml:space="preserve">COLO - FTL525 </v>
      </c>
      <c r="F1472" s="584" t="str">
        <f>+VLOOKUP(Tabla3[[#This Row],[PATENTE]],'BASE DATOS'!F:H,3,0)</f>
        <v>1P</v>
      </c>
      <c r="G1472" s="584" t="str">
        <f>+VLOOKUP(Tabla3[[#This Row],[PATENTE]],'BASE DATOS'!F:I,4,0)</f>
        <v>NO</v>
      </c>
      <c r="H1472" s="584" t="str">
        <f>+VLOOKUP(Tabla3[[#This Row],[PATENTE]],'BASE DATOS'!F:J,5,0)</f>
        <v>SI</v>
      </c>
      <c r="I1472" s="584" t="str">
        <f>+VLOOKUP(Tabla3[[#This Row],[PATENTE]],'BASE DATOS'!F:K,6,0)</f>
        <v>NO</v>
      </c>
      <c r="J1472" s="584">
        <f>+VLOOKUP(Tabla3[[#This Row],[PATENTE]],'BASE DATOS'!F:L,7,0)</f>
        <v>2008</v>
      </c>
      <c r="K1472" s="619">
        <f>+VLOOKUP(Tabla3[[#This Row],[PATENTE]],'BASE DATOS'!F:M,8,0)</f>
        <v>17</v>
      </c>
    </row>
    <row r="1473" spans="1:11" ht="15" hidden="1" customHeight="1">
      <c r="A1473" s="578" t="s">
        <v>909</v>
      </c>
      <c r="B1473" s="584">
        <v>4</v>
      </c>
      <c r="C1473" s="589">
        <v>46034</v>
      </c>
      <c r="D1473" s="582">
        <f t="shared" si="54"/>
        <v>3</v>
      </c>
      <c r="E1473" s="618" t="str">
        <f>+VLOOKUP(Tabla3[[#This Row],[PATENTE]],'BASE DATOS'!F:G,2,0)</f>
        <v xml:space="preserve">CRISTIAN MOYA - NHR055 </v>
      </c>
      <c r="F1473" s="584" t="str">
        <f>+VLOOKUP(Tabla3[[#This Row],[PATENTE]],'BASE DATOS'!F:H,3,0)</f>
        <v>6P</v>
      </c>
      <c r="G1473" s="584" t="str">
        <f>+VLOOKUP(Tabla3[[#This Row],[PATENTE]],'BASE DATOS'!F:I,4,0)</f>
        <v>SI</v>
      </c>
      <c r="H1473" s="584" t="str">
        <f>+VLOOKUP(Tabla3[[#This Row],[PATENTE]],'BASE DATOS'!F:J,5,0)</f>
        <v>SI</v>
      </c>
      <c r="I1473" s="584" t="str">
        <f>+VLOOKUP(Tabla3[[#This Row],[PATENTE]],'BASE DATOS'!F:K,6,0)</f>
        <v>NO</v>
      </c>
      <c r="J1473" s="584">
        <f>+VLOOKUP(Tabla3[[#This Row],[PATENTE]],'BASE DATOS'!F:L,7,0)</f>
        <v>2013</v>
      </c>
      <c r="K1473" s="619">
        <f>+VLOOKUP(Tabla3[[#This Row],[PATENTE]],'BASE DATOS'!F:M,8,0)</f>
        <v>12</v>
      </c>
    </row>
    <row r="1474" spans="1:11" ht="15" hidden="1" customHeight="1">
      <c r="A1474" s="578" t="s">
        <v>878</v>
      </c>
      <c r="B1474" s="584">
        <v>3</v>
      </c>
      <c r="C1474" s="589">
        <v>46034</v>
      </c>
      <c r="D1474" s="582">
        <f t="shared" si="54"/>
        <v>3</v>
      </c>
      <c r="E1474" s="618" t="str">
        <f>+VLOOKUP(Tabla3[[#This Row],[PATENTE]],'BASE DATOS'!F:G,2,0)</f>
        <v xml:space="preserve">PACHECO JULIO - AA854LY </v>
      </c>
      <c r="F1474" s="584" t="str">
        <f>+VLOOKUP(Tabla3[[#This Row],[PATENTE]],'BASE DATOS'!F:H,3,0)</f>
        <v>7P</v>
      </c>
      <c r="G1474" s="584" t="str">
        <f>+VLOOKUP(Tabla3[[#This Row],[PATENTE]],'BASE DATOS'!F:I,4,0)</f>
        <v>SI</v>
      </c>
      <c r="H1474" s="584" t="str">
        <f>+VLOOKUP(Tabla3[[#This Row],[PATENTE]],'BASE DATOS'!F:J,5,0)</f>
        <v>SI</v>
      </c>
      <c r="I1474" s="584" t="str">
        <f>+VLOOKUP(Tabla3[[#This Row],[PATENTE]],'BASE DATOS'!F:K,6,0)</f>
        <v>NO</v>
      </c>
      <c r="J1474" s="584">
        <f>+VLOOKUP(Tabla3[[#This Row],[PATENTE]],'BASE DATOS'!F:L,7,0)</f>
        <v>2016</v>
      </c>
      <c r="K1474" s="619">
        <f>+VLOOKUP(Tabla3[[#This Row],[PATENTE]],'BASE DATOS'!F:M,8,0)</f>
        <v>9</v>
      </c>
    </row>
    <row r="1475" spans="1:11" ht="15" hidden="1" customHeight="1">
      <c r="A1475" s="578" t="s">
        <v>899</v>
      </c>
      <c r="B1475" s="584">
        <v>3</v>
      </c>
      <c r="C1475" s="589">
        <v>46034</v>
      </c>
      <c r="D1475" s="582">
        <f t="shared" si="54"/>
        <v>3</v>
      </c>
      <c r="E1475" s="618" t="str">
        <f>+VLOOKUP(Tabla3[[#This Row],[PATENTE]],'BASE DATOS'!F:G,2,0)</f>
        <v xml:space="preserve">VAZQUEZ (TRV SRL) - AB176KN </v>
      </c>
      <c r="F1475" s="584" t="str">
        <f>+VLOOKUP(Tabla3[[#This Row],[PATENTE]],'BASE DATOS'!F:H,3,0)</f>
        <v>8P</v>
      </c>
      <c r="G1475" s="584" t="str">
        <f>+VLOOKUP(Tabla3[[#This Row],[PATENTE]],'BASE DATOS'!F:I,4,0)</f>
        <v>SI</v>
      </c>
      <c r="H1475" s="584" t="str">
        <f>+VLOOKUP(Tabla3[[#This Row],[PATENTE]],'BASE DATOS'!F:J,5,0)</f>
        <v>SI</v>
      </c>
      <c r="I1475" s="584" t="str">
        <f>+VLOOKUP(Tabla3[[#This Row],[PATENTE]],'BASE DATOS'!F:K,6,0)</f>
        <v>SI</v>
      </c>
      <c r="J1475" s="584">
        <f>+VLOOKUP(Tabla3[[#This Row],[PATENTE]],'BASE DATOS'!F:L,7,0)</f>
        <v>2017</v>
      </c>
      <c r="K1475" s="619">
        <f>+VLOOKUP(Tabla3[[#This Row],[PATENTE]],'BASE DATOS'!F:M,8,0)</f>
        <v>8</v>
      </c>
    </row>
    <row r="1476" spans="1:11" ht="15" hidden="1" customHeight="1">
      <c r="A1476" s="578" t="s">
        <v>888</v>
      </c>
      <c r="B1476" s="584">
        <v>3</v>
      </c>
      <c r="C1476" s="589">
        <v>46034</v>
      </c>
      <c r="D1476" s="582">
        <f t="shared" si="54"/>
        <v>3</v>
      </c>
      <c r="E1476" s="618" t="str">
        <f>+VLOOKUP(Tabla3[[#This Row],[PATENTE]],'BASE DATOS'!F:G,2,0)</f>
        <v xml:space="preserve">TRANSP FIRST CLASS - AD535UI </v>
      </c>
      <c r="F1476" s="584" t="str">
        <f>+VLOOKUP(Tabla3[[#This Row],[PATENTE]],'BASE DATOS'!F:H,3,0)</f>
        <v>6P</v>
      </c>
      <c r="G1476" s="584" t="str">
        <f>+VLOOKUP(Tabla3[[#This Row],[PATENTE]],'BASE DATOS'!F:I,4,0)</f>
        <v>SI</v>
      </c>
      <c r="H1476" s="584" t="str">
        <f>+VLOOKUP(Tabla3[[#This Row],[PATENTE]],'BASE DATOS'!F:J,5,0)</f>
        <v>SI</v>
      </c>
      <c r="I1476" s="584" t="str">
        <f>+VLOOKUP(Tabla3[[#This Row],[PATENTE]],'BASE DATOS'!F:K,6,0)</f>
        <v>NO</v>
      </c>
      <c r="J1476" s="584">
        <f>+VLOOKUP(Tabla3[[#This Row],[PATENTE]],'BASE DATOS'!F:L,7,0)</f>
        <v>2019</v>
      </c>
      <c r="K1476" s="619">
        <f>+VLOOKUP(Tabla3[[#This Row],[PATENTE]],'BASE DATOS'!F:M,8,0)</f>
        <v>6</v>
      </c>
    </row>
    <row r="1477" spans="1:11" ht="15" hidden="1" customHeight="1">
      <c r="A1477" s="578" t="s">
        <v>895</v>
      </c>
      <c r="B1477" s="584">
        <v>3</v>
      </c>
      <c r="C1477" s="589">
        <v>46034</v>
      </c>
      <c r="D1477" s="582">
        <f t="shared" si="54"/>
        <v>3</v>
      </c>
      <c r="E1477" s="618" t="str">
        <f>+VLOOKUP(Tabla3[[#This Row],[PATENTE]],'BASE DATOS'!F:G,2,0)</f>
        <v xml:space="preserve">TRANSPORTE MICAELA </v>
      </c>
      <c r="F1477" s="584" t="str">
        <f>+VLOOKUP(Tabla3[[#This Row],[PATENTE]],'BASE DATOS'!F:H,3,0)</f>
        <v>2P</v>
      </c>
      <c r="G1477" s="584" t="str">
        <f>+VLOOKUP(Tabla3[[#This Row],[PATENTE]],'BASE DATOS'!F:I,4,0)</f>
        <v>NO</v>
      </c>
      <c r="H1477" s="584" t="str">
        <f>+VLOOKUP(Tabla3[[#This Row],[PATENTE]],'BASE DATOS'!F:J,5,0)</f>
        <v>SI</v>
      </c>
      <c r="I1477" s="584" t="str">
        <f>+VLOOKUP(Tabla3[[#This Row],[PATENTE]],'BASE DATOS'!F:K,6,0)</f>
        <v>NO</v>
      </c>
      <c r="J1477" s="584">
        <f>+VLOOKUP(Tabla3[[#This Row],[PATENTE]],'BASE DATOS'!F:L,7,0)</f>
        <v>2024</v>
      </c>
      <c r="K1477" s="619">
        <f>+VLOOKUP(Tabla3[[#This Row],[PATENTE]],'BASE DATOS'!F:M,8,0)</f>
        <v>1</v>
      </c>
    </row>
    <row r="1478" spans="1:11" ht="15" hidden="1" customHeight="1">
      <c r="A1478" s="578" t="s">
        <v>893</v>
      </c>
      <c r="B1478" s="584">
        <v>3</v>
      </c>
      <c r="C1478" s="589">
        <v>46034</v>
      </c>
      <c r="D1478" s="582">
        <f t="shared" si="54"/>
        <v>3</v>
      </c>
      <c r="E1478" s="618" t="str">
        <f>+VLOOKUP(Tabla3[[#This Row],[PATENTE]],'BASE DATOS'!F:G,2,0)</f>
        <v xml:space="preserve">GANZINI HUGO - CFF038 </v>
      </c>
      <c r="F1478" s="584" t="str">
        <f>+VLOOKUP(Tabla3[[#This Row],[PATENTE]],'BASE DATOS'!F:H,3,0)</f>
        <v>2P</v>
      </c>
      <c r="G1478" s="584" t="str">
        <f>+VLOOKUP(Tabla3[[#This Row],[PATENTE]],'BASE DATOS'!F:I,4,0)</f>
        <v>SI</v>
      </c>
      <c r="H1478" s="584" t="str">
        <f>+VLOOKUP(Tabla3[[#This Row],[PATENTE]],'BASE DATOS'!F:J,5,0)</f>
        <v>SI</v>
      </c>
      <c r="I1478" s="584" t="str">
        <f>+VLOOKUP(Tabla3[[#This Row],[PATENTE]],'BASE DATOS'!F:K,6,0)</f>
        <v>NO</v>
      </c>
      <c r="J1478" s="584">
        <f>+VLOOKUP(Tabla3[[#This Row],[PATENTE]],'BASE DATOS'!F:L,7,0)</f>
        <v>1999</v>
      </c>
      <c r="K1478" s="619">
        <f>+VLOOKUP(Tabla3[[#This Row],[PATENTE]],'BASE DATOS'!F:M,8,0)</f>
        <v>26</v>
      </c>
    </row>
    <row r="1479" spans="1:11" ht="15" hidden="1" customHeight="1">
      <c r="A1479" s="578" t="s">
        <v>926</v>
      </c>
      <c r="B1479" s="584">
        <v>3</v>
      </c>
      <c r="C1479" s="589">
        <v>46034</v>
      </c>
      <c r="D1479" s="582">
        <f t="shared" si="54"/>
        <v>3</v>
      </c>
      <c r="E1479" s="618" t="str">
        <f>+VLOOKUP(Tabla3[[#This Row],[PATENTE]],'BASE DATOS'!F:G,2,0)</f>
        <v xml:space="preserve">TRANSPORTE GENA GAIA - DUF042 </v>
      </c>
      <c r="F1479" s="584" t="str">
        <f>+VLOOKUP(Tabla3[[#This Row],[PATENTE]],'BASE DATOS'!F:H,3,0)</f>
        <v>24P</v>
      </c>
      <c r="G1479" s="584" t="str">
        <f>+VLOOKUP(Tabla3[[#This Row],[PATENTE]],'BASE DATOS'!F:I,4,0)</f>
        <v>Gestya</v>
      </c>
      <c r="H1479" s="584" t="str">
        <f>+VLOOKUP(Tabla3[[#This Row],[PATENTE]],'BASE DATOS'!F:J,5,0)</f>
        <v xml:space="preserve">NO </v>
      </c>
      <c r="I1479" s="584" t="str">
        <f>+VLOOKUP(Tabla3[[#This Row],[PATENTE]],'BASE DATOS'!F:K,6,0)</f>
        <v>NO</v>
      </c>
      <c r="J1479" s="584">
        <f>+VLOOKUP(Tabla3[[#This Row],[PATENTE]],'BASE DATOS'!F:L,7,0)</f>
        <v>2001</v>
      </c>
      <c r="K1479" s="619">
        <f>+VLOOKUP(Tabla3[[#This Row],[PATENTE]],'BASE DATOS'!F:M,8,0)</f>
        <v>24</v>
      </c>
    </row>
    <row r="1480" spans="1:11" ht="15" hidden="1" customHeight="1">
      <c r="A1480" s="578" t="s">
        <v>932</v>
      </c>
      <c r="B1480" s="584">
        <v>3</v>
      </c>
      <c r="C1480" s="589">
        <v>46034</v>
      </c>
      <c r="D1480" s="582">
        <f t="shared" si="54"/>
        <v>3</v>
      </c>
      <c r="E1480" s="618" t="str">
        <f>+VLOOKUP(Tabla3[[#This Row],[PATENTE]],'BASE DATOS'!F:G,2,0)</f>
        <v xml:space="preserve">TRANSP MAVIR - EFL176 </v>
      </c>
      <c r="F1480" s="584" t="str">
        <f>+VLOOKUP(Tabla3[[#This Row],[PATENTE]],'BASE DATOS'!F:H,3,0)</f>
        <v>12P</v>
      </c>
      <c r="G1480" s="584" t="str">
        <f>+VLOOKUP(Tabla3[[#This Row],[PATENTE]],'BASE DATOS'!F:I,4,0)</f>
        <v>SI</v>
      </c>
      <c r="H1480" s="584" t="str">
        <f>+VLOOKUP(Tabla3[[#This Row],[PATENTE]],'BASE DATOS'!F:J,5,0)</f>
        <v>SI</v>
      </c>
      <c r="I1480" s="584" t="str">
        <f>+VLOOKUP(Tabla3[[#This Row],[PATENTE]],'BASE DATOS'!F:K,6,0)</f>
        <v>NO</v>
      </c>
      <c r="J1480" s="584">
        <f>+VLOOKUP(Tabla3[[#This Row],[PATENTE]],'BASE DATOS'!F:L,7,0)</f>
        <v>1998</v>
      </c>
      <c r="K1480" s="619">
        <f>+VLOOKUP(Tabla3[[#This Row],[PATENTE]],'BASE DATOS'!F:M,8,0)</f>
        <v>27</v>
      </c>
    </row>
    <row r="1481" spans="1:11" ht="15" hidden="1" customHeight="1">
      <c r="A1481" s="578" t="s">
        <v>915</v>
      </c>
      <c r="B1481" s="584">
        <v>3</v>
      </c>
      <c r="C1481" s="589">
        <v>46034</v>
      </c>
      <c r="D1481" s="582">
        <f t="shared" si="54"/>
        <v>3</v>
      </c>
      <c r="E1481" s="618" t="str">
        <f>+VLOOKUP(Tabla3[[#This Row],[PATENTE]],'BASE DATOS'!F:G,2,0)</f>
        <v>TRANSPORTE GRACIELA - FPL254</v>
      </c>
      <c r="F1481" s="584" t="str">
        <f>+VLOOKUP(Tabla3[[#This Row],[PATENTE]],'BASE DATOS'!F:H,3,0)</f>
        <v>2P</v>
      </c>
      <c r="G1481" s="584" t="str">
        <f>+VLOOKUP(Tabla3[[#This Row],[PATENTE]],'BASE DATOS'!F:I,4,0)</f>
        <v>SI</v>
      </c>
      <c r="H1481" s="584" t="str">
        <f>+VLOOKUP(Tabla3[[#This Row],[PATENTE]],'BASE DATOS'!F:J,5,0)</f>
        <v>NO (CAMI)</v>
      </c>
      <c r="I1481" s="584" t="str">
        <f>+VLOOKUP(Tabla3[[#This Row],[PATENTE]],'BASE DATOS'!F:K,6,0)</f>
        <v>NO</v>
      </c>
      <c r="J1481" s="584">
        <f>+VLOOKUP(Tabla3[[#This Row],[PATENTE]],'BASE DATOS'!F:L,7,0)</f>
        <v>2012</v>
      </c>
      <c r="K1481" s="619">
        <f>+VLOOKUP(Tabla3[[#This Row],[PATENTE]],'BASE DATOS'!F:M,8,0)</f>
        <v>13</v>
      </c>
    </row>
    <row r="1482" spans="1:11" ht="15" hidden="1" customHeight="1">
      <c r="A1482" s="578" t="s">
        <v>891</v>
      </c>
      <c r="B1482" s="584">
        <v>3</v>
      </c>
      <c r="C1482" s="589">
        <v>46034</v>
      </c>
      <c r="D1482" s="582">
        <f t="shared" si="54"/>
        <v>3</v>
      </c>
      <c r="E1482" s="618" t="str">
        <f>+VLOOKUP(Tabla3[[#This Row],[PATENTE]],'BASE DATOS'!F:G,2,0)</f>
        <v xml:space="preserve">GANZINI HUGO - HHA085 </v>
      </c>
      <c r="F1482" s="584" t="str">
        <f>+VLOOKUP(Tabla3[[#This Row],[PATENTE]],'BASE DATOS'!F:H,3,0)</f>
        <v>2P</v>
      </c>
      <c r="G1482" s="584" t="str">
        <f>+VLOOKUP(Tabla3[[#This Row],[PATENTE]],'BASE DATOS'!F:I,4,0)</f>
        <v>SI</v>
      </c>
      <c r="H1482" s="584" t="str">
        <f>+VLOOKUP(Tabla3[[#This Row],[PATENTE]],'BASE DATOS'!F:J,5,0)</f>
        <v>SI</v>
      </c>
      <c r="I1482" s="584" t="str">
        <f>+VLOOKUP(Tabla3[[#This Row],[PATENTE]],'BASE DATOS'!F:K,6,0)</f>
        <v>NO</v>
      </c>
      <c r="J1482" s="584">
        <f>+VLOOKUP(Tabla3[[#This Row],[PATENTE]],'BASE DATOS'!F:L,7,0)</f>
        <v>2008</v>
      </c>
      <c r="K1482" s="619">
        <f>+VLOOKUP(Tabla3[[#This Row],[PATENTE]],'BASE DATOS'!F:M,8,0)</f>
        <v>17</v>
      </c>
    </row>
    <row r="1483" spans="1:11" ht="15" hidden="1" customHeight="1">
      <c r="A1483" s="578" t="s">
        <v>939</v>
      </c>
      <c r="B1483" s="584">
        <v>3</v>
      </c>
      <c r="C1483" s="589">
        <v>46034</v>
      </c>
      <c r="D1483" s="582">
        <f t="shared" si="54"/>
        <v>3</v>
      </c>
      <c r="E1483" s="618" t="str">
        <f>+VLOOKUP(Tabla3[[#This Row],[PATENTE]],'BASE DATOS'!F:G,2,0)</f>
        <v>TRANSP CLAUDIO BUSTOS - JOQ178</v>
      </c>
      <c r="F1483" s="584" t="str">
        <f>+VLOOKUP(Tabla3[[#This Row],[PATENTE]],'BASE DATOS'!F:H,3,0)</f>
        <v>1P</v>
      </c>
      <c r="G1483" s="584" t="str">
        <f>+VLOOKUP(Tabla3[[#This Row],[PATENTE]],'BASE DATOS'!F:I,4,0)</f>
        <v>NO</v>
      </c>
      <c r="H1483" s="584" t="str">
        <f>+VLOOKUP(Tabla3[[#This Row],[PATENTE]],'BASE DATOS'!F:J,5,0)</f>
        <v>SI</v>
      </c>
      <c r="I1483" s="584" t="str">
        <f>+VLOOKUP(Tabla3[[#This Row],[PATENTE]],'BASE DATOS'!F:K,6,0)</f>
        <v>NO</v>
      </c>
      <c r="J1483" s="584">
        <f>+VLOOKUP(Tabla3[[#This Row],[PATENTE]],'BASE DATOS'!F:L,7,0)</f>
        <v>2010</v>
      </c>
      <c r="K1483" s="619">
        <f>+VLOOKUP(Tabla3[[#This Row],[PATENTE]],'BASE DATOS'!F:M,8,0)</f>
        <v>15</v>
      </c>
    </row>
    <row r="1484" spans="1:11" ht="15" hidden="1" customHeight="1">
      <c r="A1484" s="578" t="s">
        <v>902</v>
      </c>
      <c r="B1484" s="584">
        <v>3</v>
      </c>
      <c r="C1484" s="589">
        <v>46034</v>
      </c>
      <c r="D1484" s="582">
        <f t="shared" si="54"/>
        <v>3</v>
      </c>
      <c r="E1484" s="618" t="str">
        <f>+VLOOKUP(Tabla3[[#This Row],[PATENTE]],'BASE DATOS'!F:G,2,0)</f>
        <v xml:space="preserve">GUSTAVO CERQUETTA - KZA644 </v>
      </c>
      <c r="F1484" s="584" t="str">
        <f>+VLOOKUP(Tabla3[[#This Row],[PATENTE]],'BASE DATOS'!F:H,3,0)</f>
        <v>2P</v>
      </c>
      <c r="G1484" s="584" t="str">
        <f>+VLOOKUP(Tabla3[[#This Row],[PATENTE]],'BASE DATOS'!F:I,4,0)</f>
        <v>NO</v>
      </c>
      <c r="H1484" s="584" t="str">
        <f>+VLOOKUP(Tabla3[[#This Row],[PATENTE]],'BASE DATOS'!F:J,5,0)</f>
        <v>SI</v>
      </c>
      <c r="I1484" s="584" t="str">
        <f>+VLOOKUP(Tabla3[[#This Row],[PATENTE]],'BASE DATOS'!F:K,6,0)</f>
        <v>NO</v>
      </c>
      <c r="J1484" s="584">
        <f>+VLOOKUP(Tabla3[[#This Row],[PATENTE]],'BASE DATOS'!F:L,7,0)</f>
        <v>2012</v>
      </c>
      <c r="K1484" s="619">
        <f>+VLOOKUP(Tabla3[[#This Row],[PATENTE]],'BASE DATOS'!F:M,8,0)</f>
        <v>13</v>
      </c>
    </row>
    <row r="1485" spans="1:11" ht="15" hidden="1" customHeight="1">
      <c r="A1485" s="578" t="s">
        <v>896</v>
      </c>
      <c r="B1485" s="584">
        <v>3</v>
      </c>
      <c r="C1485" s="589">
        <v>46034</v>
      </c>
      <c r="D1485" s="582">
        <f t="shared" ref="D1485:D1502" si="55">+WEEKNUM(C1485)</f>
        <v>3</v>
      </c>
      <c r="E1485" s="618" t="str">
        <f>+VLOOKUP(Tabla3[[#This Row],[PATENTE]],'BASE DATOS'!F:G,2,0)</f>
        <v xml:space="preserve">TRANSP MAVIR - RHQ609 </v>
      </c>
      <c r="F1485" s="584" t="str">
        <f>+VLOOKUP(Tabla3[[#This Row],[PATENTE]],'BASE DATOS'!F:H,3,0)</f>
        <v>10P</v>
      </c>
      <c r="G1485" s="584" t="str">
        <f>+VLOOKUP(Tabla3[[#This Row],[PATENTE]],'BASE DATOS'!F:I,4,0)</f>
        <v>NO</v>
      </c>
      <c r="H1485" s="584" t="str">
        <f>+VLOOKUP(Tabla3[[#This Row],[PATENTE]],'BASE DATOS'!F:J,5,0)</f>
        <v xml:space="preserve">NO </v>
      </c>
      <c r="I1485" s="584" t="str">
        <f>+VLOOKUP(Tabla3[[#This Row],[PATENTE]],'BASE DATOS'!F:K,6,0)</f>
        <v>NO</v>
      </c>
      <c r="J1485" s="584">
        <f>+VLOOKUP(Tabla3[[#This Row],[PATENTE]],'BASE DATOS'!F:L,7,0)</f>
        <v>1995</v>
      </c>
      <c r="K1485" s="619">
        <f>+VLOOKUP(Tabla3[[#This Row],[PATENTE]],'BASE DATOS'!F:M,8,0)</f>
        <v>30</v>
      </c>
    </row>
    <row r="1486" spans="1:11" ht="15" hidden="1" customHeight="1">
      <c r="A1486" s="578" t="s">
        <v>906</v>
      </c>
      <c r="B1486" s="584">
        <v>2</v>
      </c>
      <c r="C1486" s="589">
        <v>46034</v>
      </c>
      <c r="D1486" s="582">
        <f t="shared" si="55"/>
        <v>3</v>
      </c>
      <c r="E1486" s="618" t="str">
        <f>+VLOOKUP(Tabla3[[#This Row],[PATENTE]],'BASE DATOS'!F:G,2,0)</f>
        <v xml:space="preserve">VAZQUEZ (TRV SRL) - AD472GK </v>
      </c>
      <c r="F1486" s="584" t="str">
        <f>+VLOOKUP(Tabla3[[#This Row],[PATENTE]],'BASE DATOS'!F:H,3,0)</f>
        <v>8P</v>
      </c>
      <c r="G1486" s="584" t="str">
        <f>+VLOOKUP(Tabla3[[#This Row],[PATENTE]],'BASE DATOS'!F:I,4,0)</f>
        <v>NO</v>
      </c>
      <c r="H1486" s="584" t="str">
        <f>+VLOOKUP(Tabla3[[#This Row],[PATENTE]],'BASE DATOS'!F:J,5,0)</f>
        <v>NO</v>
      </c>
      <c r="I1486" s="584" t="str">
        <f>+VLOOKUP(Tabla3[[#This Row],[PATENTE]],'BASE DATOS'!F:K,6,0)</f>
        <v>SI</v>
      </c>
      <c r="J1486" s="584">
        <f>+VLOOKUP(Tabla3[[#This Row],[PATENTE]],'BASE DATOS'!F:L,7,0)</f>
        <v>2019</v>
      </c>
      <c r="K1486" s="619">
        <f>+VLOOKUP(Tabla3[[#This Row],[PATENTE]],'BASE DATOS'!F:M,8,0)</f>
        <v>6</v>
      </c>
    </row>
    <row r="1487" spans="1:11" ht="15" hidden="1" customHeight="1">
      <c r="A1487" s="578" t="s">
        <v>924</v>
      </c>
      <c r="B1487" s="584">
        <v>2</v>
      </c>
      <c r="C1487" s="589">
        <v>46034</v>
      </c>
      <c r="D1487" s="582">
        <f t="shared" si="55"/>
        <v>3</v>
      </c>
      <c r="E1487" s="618" t="str">
        <f>+VLOOKUP(Tabla3[[#This Row],[PATENTE]],'BASE DATOS'!F:G,2,0)</f>
        <v>TRANSP MAVIR - HRZ429 -16P</v>
      </c>
      <c r="F1487" s="584" t="str">
        <f>+VLOOKUP(Tabla3[[#This Row],[PATENTE]],'BASE DATOS'!F:H,3,0)</f>
        <v>16P</v>
      </c>
      <c r="G1487" s="584" t="str">
        <f>+VLOOKUP(Tabla3[[#This Row],[PATENTE]],'BASE DATOS'!F:I,4,0)</f>
        <v>SI</v>
      </c>
      <c r="H1487" s="584" t="str">
        <f>+VLOOKUP(Tabla3[[#This Row],[PATENTE]],'BASE DATOS'!F:J,5,0)</f>
        <v xml:space="preserve">NO </v>
      </c>
      <c r="I1487" s="584" t="str">
        <f>+VLOOKUP(Tabla3[[#This Row],[PATENTE]],'BASE DATOS'!F:K,6,0)</f>
        <v>NO</v>
      </c>
      <c r="J1487" s="584">
        <f>+VLOOKUP(Tabla3[[#This Row],[PATENTE]],'BASE DATOS'!F:L,7,0)</f>
        <v>2008</v>
      </c>
      <c r="K1487" s="619">
        <f>+VLOOKUP(Tabla3[[#This Row],[PATENTE]],'BASE DATOS'!F:M,8,0)</f>
        <v>17</v>
      </c>
    </row>
    <row r="1488" spans="1:11" ht="15" hidden="1" customHeight="1">
      <c r="A1488" s="578" t="s">
        <v>885</v>
      </c>
      <c r="B1488" s="584">
        <v>2</v>
      </c>
      <c r="C1488" s="589">
        <v>46034</v>
      </c>
      <c r="D1488" s="582">
        <f t="shared" si="55"/>
        <v>3</v>
      </c>
      <c r="E1488" s="618" t="str">
        <f>+VLOOKUP(Tabla3[[#This Row],[PATENTE]],'BASE DATOS'!F:G,2,0)</f>
        <v xml:space="preserve">TRANSP DON NENO - IES288 </v>
      </c>
      <c r="F1488" s="584" t="str">
        <f>+VLOOKUP(Tabla3[[#This Row],[PATENTE]],'BASE DATOS'!F:H,3,0)</f>
        <v>2P</v>
      </c>
      <c r="G1488" s="584" t="str">
        <f>+VLOOKUP(Tabla3[[#This Row],[PATENTE]],'BASE DATOS'!F:I,4,0)</f>
        <v>SI</v>
      </c>
      <c r="H1488" s="584" t="str">
        <f>+VLOOKUP(Tabla3[[#This Row],[PATENTE]],'BASE DATOS'!F:J,5,0)</f>
        <v>SI</v>
      </c>
      <c r="I1488" s="584" t="str">
        <f>+VLOOKUP(Tabla3[[#This Row],[PATENTE]],'BASE DATOS'!F:K,6,0)</f>
        <v>NO</v>
      </c>
      <c r="J1488" s="584">
        <f>+VLOOKUP(Tabla3[[#This Row],[PATENTE]],'BASE DATOS'!F:L,7,0)</f>
        <v>2009</v>
      </c>
      <c r="K1488" s="619">
        <f>+VLOOKUP(Tabla3[[#This Row],[PATENTE]],'BASE DATOS'!F:M,8,0)</f>
        <v>16</v>
      </c>
    </row>
    <row r="1489" spans="1:11" ht="15" hidden="1" customHeight="1">
      <c r="A1489" s="578" t="s">
        <v>901</v>
      </c>
      <c r="B1489" s="584">
        <v>2</v>
      </c>
      <c r="C1489" s="589">
        <v>46034</v>
      </c>
      <c r="D1489" s="582">
        <f t="shared" si="55"/>
        <v>3</v>
      </c>
      <c r="E1489" s="618" t="str">
        <f>+VLOOKUP(Tabla3[[#This Row],[PATENTE]],'BASE DATOS'!F:G,2,0)</f>
        <v xml:space="preserve">TRANSPORTE  GRACIELA - IYE750 </v>
      </c>
      <c r="F1489" s="584" t="str">
        <f>+VLOOKUP(Tabla3[[#This Row],[PATENTE]],'BASE DATOS'!F:H,3,0)</f>
        <v>1P</v>
      </c>
      <c r="G1489" s="584" t="str">
        <f>+VLOOKUP(Tabla3[[#This Row],[PATENTE]],'BASE DATOS'!F:I,4,0)</f>
        <v>NO</v>
      </c>
      <c r="H1489" s="584" t="str">
        <f>+VLOOKUP(Tabla3[[#This Row],[PATENTE]],'BASE DATOS'!F:J,5,0)</f>
        <v>SI</v>
      </c>
      <c r="I1489" s="584" t="str">
        <f>+VLOOKUP(Tabla3[[#This Row],[PATENTE]],'BASE DATOS'!F:K,6,0)</f>
        <v>NO</v>
      </c>
      <c r="J1489" s="584">
        <f>+VLOOKUP(Tabla3[[#This Row],[PATENTE]],'BASE DATOS'!F:L,7,0)</f>
        <v>2009</v>
      </c>
      <c r="K1489" s="619">
        <f>+VLOOKUP(Tabla3[[#This Row],[PATENTE]],'BASE DATOS'!F:M,8,0)</f>
        <v>16</v>
      </c>
    </row>
    <row r="1490" spans="1:11" ht="15" hidden="1" customHeight="1">
      <c r="A1490" s="578" t="s">
        <v>930</v>
      </c>
      <c r="B1490" s="584">
        <v>2</v>
      </c>
      <c r="C1490" s="589">
        <v>46034</v>
      </c>
      <c r="D1490" s="582">
        <f t="shared" si="55"/>
        <v>3</v>
      </c>
      <c r="E1490" s="618" t="str">
        <f>+VLOOKUP(Tabla3[[#This Row],[PATENTE]],'BASE DATOS'!F:G,2,0)</f>
        <v xml:space="preserve">GANZINI HUGO - JJF375 </v>
      </c>
      <c r="F1490" s="584" t="str">
        <f>+VLOOKUP(Tabla3[[#This Row],[PATENTE]],'BASE DATOS'!F:H,3,0)</f>
        <v>14P</v>
      </c>
      <c r="G1490" s="584" t="str">
        <f>+VLOOKUP(Tabla3[[#This Row],[PATENTE]],'BASE DATOS'!F:I,4,0)</f>
        <v>SI</v>
      </c>
      <c r="H1490" s="584" t="str">
        <f>+VLOOKUP(Tabla3[[#This Row],[PATENTE]],'BASE DATOS'!F:J,5,0)</f>
        <v xml:space="preserve">NO </v>
      </c>
      <c r="I1490" s="584" t="str">
        <f>+VLOOKUP(Tabla3[[#This Row],[PATENTE]],'BASE DATOS'!F:K,6,0)</f>
        <v>NO</v>
      </c>
      <c r="J1490" s="584">
        <f>+VLOOKUP(Tabla3[[#This Row],[PATENTE]],'BASE DATOS'!F:L,7,0)</f>
        <v>2011</v>
      </c>
      <c r="K1490" s="619">
        <f>+VLOOKUP(Tabla3[[#This Row],[PATENTE]],'BASE DATOS'!F:M,8,0)</f>
        <v>14</v>
      </c>
    </row>
    <row r="1491" spans="1:11" ht="15" hidden="1" customHeight="1">
      <c r="A1491" s="578" t="s">
        <v>1124</v>
      </c>
      <c r="B1491" s="584">
        <v>2</v>
      </c>
      <c r="C1491" s="589">
        <v>46034</v>
      </c>
      <c r="D1491" s="582">
        <f t="shared" si="55"/>
        <v>3</v>
      </c>
      <c r="E1491" s="618" t="str">
        <f>+VLOOKUP(Tabla3[[#This Row],[PATENTE]],'BASE DATOS'!F:G,2,0)</f>
        <v>TRANSP DON NENO - JNO540</v>
      </c>
      <c r="F1491" s="584" t="str">
        <f>+VLOOKUP(Tabla3[[#This Row],[PATENTE]],'BASE DATOS'!F:H,3,0)</f>
        <v>8P</v>
      </c>
      <c r="G1491" s="584" t="str">
        <f>+VLOOKUP(Tabla3[[#This Row],[PATENTE]],'BASE DATOS'!F:I,4,0)</f>
        <v>NO</v>
      </c>
      <c r="H1491" s="584" t="str">
        <f>+VLOOKUP(Tabla3[[#This Row],[PATENTE]],'BASE DATOS'!F:J,5,0)</f>
        <v xml:space="preserve">NO </v>
      </c>
      <c r="I1491" s="584" t="str">
        <f>+VLOOKUP(Tabla3[[#This Row],[PATENTE]],'BASE DATOS'!F:K,6,0)</f>
        <v>NO</v>
      </c>
      <c r="J1491" s="584">
        <f>+VLOOKUP(Tabla3[[#This Row],[PATENTE]],'BASE DATOS'!F:L,7,0)</f>
        <v>2011</v>
      </c>
      <c r="K1491" s="619">
        <f>+VLOOKUP(Tabla3[[#This Row],[PATENTE]],'BASE DATOS'!F:M,8,0)</f>
        <v>14</v>
      </c>
    </row>
    <row r="1492" spans="1:11" ht="15" hidden="1" customHeight="1">
      <c r="A1492" s="578" t="s">
        <v>925</v>
      </c>
      <c r="B1492" s="584">
        <v>2</v>
      </c>
      <c r="C1492" s="589">
        <v>46034</v>
      </c>
      <c r="D1492" s="582">
        <f t="shared" si="55"/>
        <v>3</v>
      </c>
      <c r="E1492" s="618" t="str">
        <f>+VLOOKUP(Tabla3[[#This Row],[PATENTE]],'BASE DATOS'!F:G,2,0)</f>
        <v xml:space="preserve">TRANSP MAIDANA FACUNDO - KOW745 </v>
      </c>
      <c r="F1492" s="584" t="str">
        <f>+VLOOKUP(Tabla3[[#This Row],[PATENTE]],'BASE DATOS'!F:H,3,0)</f>
        <v>8P</v>
      </c>
      <c r="G1492" s="584" t="str">
        <f>+VLOOKUP(Tabla3[[#This Row],[PATENTE]],'BASE DATOS'!F:I,4,0)</f>
        <v>SI</v>
      </c>
      <c r="H1492" s="584" t="str">
        <f>+VLOOKUP(Tabla3[[#This Row],[PATENTE]],'BASE DATOS'!F:J,5,0)</f>
        <v>SI</v>
      </c>
      <c r="I1492" s="584" t="str">
        <f>+VLOOKUP(Tabla3[[#This Row],[PATENTE]],'BASE DATOS'!F:K,6,0)</f>
        <v>NO</v>
      </c>
      <c r="J1492" s="584">
        <f>+VLOOKUP(Tabla3[[#This Row],[PATENTE]],'BASE DATOS'!F:L,7,0)</f>
        <v>2012</v>
      </c>
      <c r="K1492" s="619">
        <f>+VLOOKUP(Tabla3[[#This Row],[PATENTE]],'BASE DATOS'!F:M,8,0)</f>
        <v>13</v>
      </c>
    </row>
    <row r="1493" spans="1:11" ht="15" hidden="1" customHeight="1">
      <c r="A1493" s="578" t="s">
        <v>913</v>
      </c>
      <c r="B1493" s="584">
        <v>2</v>
      </c>
      <c r="C1493" s="589">
        <v>46034</v>
      </c>
      <c r="D1493" s="582">
        <f t="shared" si="55"/>
        <v>3</v>
      </c>
      <c r="E1493" s="618" t="str">
        <f>+VLOOKUP(Tabla3[[#This Row],[PATENTE]],'BASE DATOS'!F:G,2,0)</f>
        <v xml:space="preserve">TRANSP DON NENO - KSI803 </v>
      </c>
      <c r="F1493" s="584" t="str">
        <f>+VLOOKUP(Tabla3[[#This Row],[PATENTE]],'BASE DATOS'!F:H,3,0)</f>
        <v>2P</v>
      </c>
      <c r="G1493" s="584" t="str">
        <f>+VLOOKUP(Tabla3[[#This Row],[PATENTE]],'BASE DATOS'!F:I,4,0)</f>
        <v>SI</v>
      </c>
      <c r="H1493" s="584" t="str">
        <f>+VLOOKUP(Tabla3[[#This Row],[PATENTE]],'BASE DATOS'!F:J,5,0)</f>
        <v>SI</v>
      </c>
      <c r="I1493" s="584" t="str">
        <f>+VLOOKUP(Tabla3[[#This Row],[PATENTE]],'BASE DATOS'!F:K,6,0)</f>
        <v>NO</v>
      </c>
      <c r="J1493" s="584">
        <f>+VLOOKUP(Tabla3[[#This Row],[PATENTE]],'BASE DATOS'!F:L,7,0)</f>
        <v>2012</v>
      </c>
      <c r="K1493" s="619">
        <f>+VLOOKUP(Tabla3[[#This Row],[PATENTE]],'BASE DATOS'!F:M,8,0)</f>
        <v>13</v>
      </c>
    </row>
    <row r="1494" spans="1:11" ht="15" hidden="1" customHeight="1">
      <c r="A1494" s="578" t="s">
        <v>917</v>
      </c>
      <c r="B1494" s="584">
        <v>1</v>
      </c>
      <c r="C1494" s="589">
        <v>46034</v>
      </c>
      <c r="D1494" s="582">
        <f t="shared" si="55"/>
        <v>3</v>
      </c>
      <c r="E1494" s="618" t="str">
        <f>+VLOOKUP(Tabla3[[#This Row],[PATENTE]],'BASE DATOS'!F:G,2,0)</f>
        <v xml:space="preserve">PRONTOMAR - BUZ242 </v>
      </c>
      <c r="F1494" s="584" t="str">
        <f>+VLOOKUP(Tabla3[[#This Row],[PATENTE]],'BASE DATOS'!F:H,3,0)</f>
        <v>16P</v>
      </c>
      <c r="G1494" s="584" t="str">
        <f>+VLOOKUP(Tabla3[[#This Row],[PATENTE]],'BASE DATOS'!F:I,4,0)</f>
        <v>NO</v>
      </c>
      <c r="H1494" s="584" t="str">
        <f>+VLOOKUP(Tabla3[[#This Row],[PATENTE]],'BASE DATOS'!F:J,5,0)</f>
        <v xml:space="preserve">NO </v>
      </c>
      <c r="I1494" s="584" t="str">
        <f>+VLOOKUP(Tabla3[[#This Row],[PATENTE]],'BASE DATOS'!F:K,6,0)</f>
        <v>NO</v>
      </c>
      <c r="J1494" s="584">
        <f>+VLOOKUP(Tabla3[[#This Row],[PATENTE]],'BASE DATOS'!F:L,7,0)</f>
        <v>1998</v>
      </c>
      <c r="K1494" s="619">
        <f>+VLOOKUP(Tabla3[[#This Row],[PATENTE]],'BASE DATOS'!F:M,8,0)</f>
        <v>27</v>
      </c>
    </row>
    <row r="1495" spans="1:11" ht="15" hidden="1" customHeight="1">
      <c r="A1495" s="578" t="s">
        <v>887</v>
      </c>
      <c r="B1495" s="584">
        <v>1</v>
      </c>
      <c r="C1495" s="589">
        <v>46034</v>
      </c>
      <c r="D1495" s="582">
        <f t="shared" si="55"/>
        <v>3</v>
      </c>
      <c r="E1495" s="618" t="str">
        <f>+VLOOKUP(Tabla3[[#This Row],[PATENTE]],'BASE DATOS'!F:G,2,0)</f>
        <v>ENRIQUE ROLLINO - BXB394</v>
      </c>
      <c r="F1495" s="584" t="str">
        <f>+VLOOKUP(Tabla3[[#This Row],[PATENTE]],'BASE DATOS'!F:H,3,0)</f>
        <v>2P</v>
      </c>
      <c r="G1495" s="584" t="str">
        <f>+VLOOKUP(Tabla3[[#This Row],[PATENTE]],'BASE DATOS'!F:I,4,0)</f>
        <v>SI</v>
      </c>
      <c r="H1495" s="584" t="str">
        <f>+VLOOKUP(Tabla3[[#This Row],[PATENTE]],'BASE DATOS'!F:J,5,0)</f>
        <v>SI</v>
      </c>
      <c r="I1495" s="584" t="str">
        <f>+VLOOKUP(Tabla3[[#This Row],[PATENTE]],'BASE DATOS'!F:K,6,0)</f>
        <v>NO</v>
      </c>
      <c r="J1495" s="584">
        <f>+VLOOKUP(Tabla3[[#This Row],[PATENTE]],'BASE DATOS'!F:L,7,0)</f>
        <v>1998</v>
      </c>
      <c r="K1495" s="619">
        <f>+VLOOKUP(Tabla3[[#This Row],[PATENTE]],'BASE DATOS'!F:M,8,0)</f>
        <v>27</v>
      </c>
    </row>
    <row r="1496" spans="1:11" ht="15" hidden="1" customHeight="1">
      <c r="A1496" s="578" t="s">
        <v>921</v>
      </c>
      <c r="B1496" s="584">
        <v>1</v>
      </c>
      <c r="C1496" s="589">
        <v>46034</v>
      </c>
      <c r="D1496" s="582">
        <f t="shared" si="55"/>
        <v>3</v>
      </c>
      <c r="E1496" s="618" t="str">
        <f>+VLOOKUP(Tabla3[[#This Row],[PATENTE]],'BASE DATOS'!F:G,2,0)</f>
        <v xml:space="preserve">MAÑAS NORBERTO - CQQ304 </v>
      </c>
      <c r="F1496" s="584" t="str">
        <f>+VLOOKUP(Tabla3[[#This Row],[PATENTE]],'BASE DATOS'!F:H,3,0)</f>
        <v>11P</v>
      </c>
      <c r="G1496" s="584" t="str">
        <f>+VLOOKUP(Tabla3[[#This Row],[PATENTE]],'BASE DATOS'!F:I,4,0)</f>
        <v>SI</v>
      </c>
      <c r="H1496" s="584" t="str">
        <f>+VLOOKUP(Tabla3[[#This Row],[PATENTE]],'BASE DATOS'!F:J,5,0)</f>
        <v>SI</v>
      </c>
      <c r="I1496" s="584" t="str">
        <f>+VLOOKUP(Tabla3[[#This Row],[PATENTE]],'BASE DATOS'!F:K,6,0)</f>
        <v>NO</v>
      </c>
      <c r="J1496" s="584">
        <f>+VLOOKUP(Tabla3[[#This Row],[PATENTE]],'BASE DATOS'!F:L,7,0)</f>
        <v>2000</v>
      </c>
      <c r="K1496" s="619">
        <f>+VLOOKUP(Tabla3[[#This Row],[PATENTE]],'BASE DATOS'!F:M,8,0)</f>
        <v>25</v>
      </c>
    </row>
    <row r="1497" spans="1:11" ht="15" hidden="1" customHeight="1">
      <c r="A1497" s="578" t="s">
        <v>1128</v>
      </c>
      <c r="B1497" s="584">
        <v>1</v>
      </c>
      <c r="C1497" s="589">
        <v>46034</v>
      </c>
      <c r="D1497" s="582">
        <f t="shared" si="55"/>
        <v>3</v>
      </c>
      <c r="E1497" s="618" t="str">
        <f>+VLOOKUP(Tabla3[[#This Row],[PATENTE]],'BASE DATOS'!F:G,2,0)</f>
        <v xml:space="preserve">PRONTOMAR - EDW922 </v>
      </c>
      <c r="F1497" s="584" t="str">
        <f>+VLOOKUP(Tabla3[[#This Row],[PATENTE]],'BASE DATOS'!F:H,3,0)</f>
        <v>14P</v>
      </c>
      <c r="G1497" s="584" t="str">
        <f>+VLOOKUP(Tabla3[[#This Row],[PATENTE]],'BASE DATOS'!F:I,4,0)</f>
        <v>NO</v>
      </c>
      <c r="H1497" s="584" t="str">
        <f>+VLOOKUP(Tabla3[[#This Row],[PATENTE]],'BASE DATOS'!F:J,5,0)</f>
        <v xml:space="preserve">NO </v>
      </c>
      <c r="I1497" s="584" t="str">
        <f>+VLOOKUP(Tabla3[[#This Row],[PATENTE]],'BASE DATOS'!F:K,6,0)</f>
        <v>NO</v>
      </c>
      <c r="J1497" s="584">
        <f>+VLOOKUP(Tabla3[[#This Row],[PATENTE]],'BASE DATOS'!F:L,7,0)</f>
        <v>2003</v>
      </c>
      <c r="K1497" s="619">
        <f>+VLOOKUP(Tabla3[[#This Row],[PATENTE]],'BASE DATOS'!F:M,8,0)</f>
        <v>22</v>
      </c>
    </row>
    <row r="1498" spans="1:11" ht="15" hidden="1" customHeight="1">
      <c r="A1498" s="578" t="s">
        <v>927</v>
      </c>
      <c r="B1498" s="584">
        <v>1</v>
      </c>
      <c r="C1498" s="589">
        <v>46034</v>
      </c>
      <c r="D1498" s="582">
        <f t="shared" si="55"/>
        <v>3</v>
      </c>
      <c r="E1498" s="618" t="str">
        <f>+VLOOKUP(Tabla3[[#This Row],[PATENTE]],'BASE DATOS'!F:G,2,0)</f>
        <v xml:space="preserve">TRANSP MAVIR - EKE275 </v>
      </c>
      <c r="F1498" s="584" t="str">
        <f>+VLOOKUP(Tabla3[[#This Row],[PATENTE]],'BASE DATOS'!F:H,3,0)</f>
        <v>11P</v>
      </c>
      <c r="G1498" s="584" t="str">
        <f>+VLOOKUP(Tabla3[[#This Row],[PATENTE]],'BASE DATOS'!F:I,4,0)</f>
        <v>NO</v>
      </c>
      <c r="H1498" s="584" t="str">
        <f>+VLOOKUP(Tabla3[[#This Row],[PATENTE]],'BASE DATOS'!F:J,5,0)</f>
        <v xml:space="preserve">NO </v>
      </c>
      <c r="I1498" s="584" t="str">
        <f>+VLOOKUP(Tabla3[[#This Row],[PATENTE]],'BASE DATOS'!F:K,6,0)</f>
        <v>NO</v>
      </c>
      <c r="J1498" s="584">
        <f>+VLOOKUP(Tabla3[[#This Row],[PATENTE]],'BASE DATOS'!F:L,7,0)</f>
        <v>2004</v>
      </c>
      <c r="K1498" s="619">
        <f>+VLOOKUP(Tabla3[[#This Row],[PATENTE]],'BASE DATOS'!F:M,8,0)</f>
        <v>21</v>
      </c>
    </row>
    <row r="1499" spans="1:11" ht="15" hidden="1" customHeight="1">
      <c r="A1499" s="578" t="s">
        <v>916</v>
      </c>
      <c r="B1499" s="584">
        <v>1</v>
      </c>
      <c r="C1499" s="589">
        <v>46034</v>
      </c>
      <c r="D1499" s="582">
        <f t="shared" si="55"/>
        <v>3</v>
      </c>
      <c r="E1499" s="618" t="str">
        <f>+VLOOKUP(Tabla3[[#This Row],[PATENTE]],'BASE DATOS'!F:G,2,0)</f>
        <v xml:space="preserve">TRANSP MAIDANA CARLOS - EYP088 </v>
      </c>
      <c r="F1499" s="584" t="str">
        <f>+VLOOKUP(Tabla3[[#This Row],[PATENTE]],'BASE DATOS'!F:H,3,0)</f>
        <v>6P</v>
      </c>
      <c r="G1499" s="584" t="str">
        <f>+VLOOKUP(Tabla3[[#This Row],[PATENTE]],'BASE DATOS'!F:I,4,0)</f>
        <v>SI</v>
      </c>
      <c r="H1499" s="584" t="str">
        <f>+VLOOKUP(Tabla3[[#This Row],[PATENTE]],'BASE DATOS'!F:J,5,0)</f>
        <v>SI</v>
      </c>
      <c r="I1499" s="584" t="str">
        <f>+VLOOKUP(Tabla3[[#This Row],[PATENTE]],'BASE DATOS'!F:K,6,0)</f>
        <v>NO</v>
      </c>
      <c r="J1499" s="584">
        <f>+VLOOKUP(Tabla3[[#This Row],[PATENTE]],'BASE DATOS'!F:L,7,0)</f>
        <v>2006</v>
      </c>
      <c r="K1499" s="619">
        <f>+VLOOKUP(Tabla3[[#This Row],[PATENTE]],'BASE DATOS'!F:M,8,0)</f>
        <v>19</v>
      </c>
    </row>
    <row r="1500" spans="1:11" ht="15" hidden="1" customHeight="1">
      <c r="A1500" s="578" t="s">
        <v>914</v>
      </c>
      <c r="B1500" s="584">
        <v>1</v>
      </c>
      <c r="C1500" s="589">
        <v>46034</v>
      </c>
      <c r="D1500" s="582">
        <f t="shared" si="55"/>
        <v>3</v>
      </c>
      <c r="E1500" s="618" t="str">
        <f>+VLOOKUP(Tabla3[[#This Row],[PATENTE]],'BASE DATOS'!F:G,2,0)</f>
        <v>TRANSP DON NENO - HCP674</v>
      </c>
      <c r="F1500" s="584" t="str">
        <f>+VLOOKUP(Tabla3[[#This Row],[PATENTE]],'BASE DATOS'!F:H,3,0)</f>
        <v>2P</v>
      </c>
      <c r="G1500" s="584" t="str">
        <f>+VLOOKUP(Tabla3[[#This Row],[PATENTE]],'BASE DATOS'!F:I,4,0)</f>
        <v>NO</v>
      </c>
      <c r="H1500" s="584" t="str">
        <f>+VLOOKUP(Tabla3[[#This Row],[PATENTE]],'BASE DATOS'!F:J,5,0)</f>
        <v xml:space="preserve">NO </v>
      </c>
      <c r="I1500" s="584" t="str">
        <f>+VLOOKUP(Tabla3[[#This Row],[PATENTE]],'BASE DATOS'!F:K,6,0)</f>
        <v>NO</v>
      </c>
      <c r="J1500" s="584">
        <f>+VLOOKUP(Tabla3[[#This Row],[PATENTE]],'BASE DATOS'!F:L,7,0)</f>
        <v>2008</v>
      </c>
      <c r="K1500" s="619">
        <f>+VLOOKUP(Tabla3[[#This Row],[PATENTE]],'BASE DATOS'!F:M,8,0)</f>
        <v>17</v>
      </c>
    </row>
    <row r="1501" spans="1:11" ht="15" hidden="1" customHeight="1">
      <c r="A1501" s="578" t="s">
        <v>933</v>
      </c>
      <c r="B1501" s="584">
        <v>1</v>
      </c>
      <c r="C1501" s="589">
        <v>46034</v>
      </c>
      <c r="D1501" s="582">
        <f t="shared" si="55"/>
        <v>3</v>
      </c>
      <c r="E1501" s="618" t="str">
        <f>+VLOOKUP(Tabla3[[#This Row],[PATENTE]],'BASE DATOS'!F:G,2,0)</f>
        <v xml:space="preserve">TRANSPORTE GENA GAIA - IKE806 </v>
      </c>
      <c r="F1501" s="584" t="str">
        <f>+VLOOKUP(Tabla3[[#This Row],[PATENTE]],'BASE DATOS'!F:H,3,0)</f>
        <v>24P</v>
      </c>
      <c r="G1501" s="584" t="str">
        <f>+VLOOKUP(Tabla3[[#This Row],[PATENTE]],'BASE DATOS'!F:I,4,0)</f>
        <v>Gestya</v>
      </c>
      <c r="H1501" s="584" t="str">
        <f>+VLOOKUP(Tabla3[[#This Row],[PATENTE]],'BASE DATOS'!F:J,5,0)</f>
        <v xml:space="preserve">NO </v>
      </c>
      <c r="I1501" s="584" t="str">
        <f>+VLOOKUP(Tabla3[[#This Row],[PATENTE]],'BASE DATOS'!F:K,6,0)</f>
        <v>NO</v>
      </c>
      <c r="J1501" s="584">
        <f>+VLOOKUP(Tabla3[[#This Row],[PATENTE]],'BASE DATOS'!F:L,7,0)</f>
        <v>2010</v>
      </c>
      <c r="K1501" s="619">
        <f>+VLOOKUP(Tabla3[[#This Row],[PATENTE]],'BASE DATOS'!F:M,8,0)</f>
        <v>15</v>
      </c>
    </row>
    <row r="1502" spans="1:11" ht="15" hidden="1" customHeight="1">
      <c r="A1502" s="581" t="s">
        <v>900</v>
      </c>
      <c r="B1502" s="587">
        <v>1</v>
      </c>
      <c r="C1502" s="589">
        <v>46034</v>
      </c>
      <c r="D1502" s="583">
        <f t="shared" si="55"/>
        <v>3</v>
      </c>
      <c r="E1502" s="620" t="str">
        <f>+VLOOKUP(Tabla3[[#This Row],[PATENTE]],'BASE DATOS'!F:G,2,0)</f>
        <v>TRANSPORTE GENA GAIA - IMO939</v>
      </c>
      <c r="F1502" s="587" t="str">
        <f>+VLOOKUP(Tabla3[[#This Row],[PATENTE]],'BASE DATOS'!F:H,3,0)</f>
        <v>24P</v>
      </c>
      <c r="G1502" s="587" t="str">
        <f>+VLOOKUP(Tabla3[[#This Row],[PATENTE]],'BASE DATOS'!F:I,4,0)</f>
        <v>Gestya</v>
      </c>
      <c r="H1502" s="587" t="str">
        <f>+VLOOKUP(Tabla3[[#This Row],[PATENTE]],'BASE DATOS'!F:J,5,0)</f>
        <v xml:space="preserve">NO </v>
      </c>
      <c r="I1502" s="587" t="str">
        <f>+VLOOKUP(Tabla3[[#This Row],[PATENTE]],'BASE DATOS'!F:K,6,0)</f>
        <v>NO</v>
      </c>
      <c r="J1502" s="587">
        <f>+VLOOKUP(Tabla3[[#This Row],[PATENTE]],'BASE DATOS'!F:L,7,0)</f>
        <v>2010</v>
      </c>
      <c r="K1502" s="621">
        <f>+VLOOKUP(Tabla3[[#This Row],[PATENTE]],'BASE DATOS'!F:M,8,0)</f>
        <v>15</v>
      </c>
    </row>
    <row r="1503" spans="1:11" ht="15" hidden="1" customHeight="1">
      <c r="A1503" s="578" t="s">
        <v>905</v>
      </c>
      <c r="B1503" s="584">
        <v>6</v>
      </c>
      <c r="C1503" s="589">
        <v>46041</v>
      </c>
      <c r="D1503" s="582">
        <f t="shared" ref="D1503:D1549" si="56">+WEEKNUM(C1503)</f>
        <v>4</v>
      </c>
      <c r="E1503" s="618" t="str">
        <f>+VLOOKUP(Tabla3[[#This Row],[PATENTE]],'BASE DATOS'!F:G,2,0)</f>
        <v xml:space="preserve">J RIMOLDI - AB312SE </v>
      </c>
      <c r="F1503" s="584" t="str">
        <f>+VLOOKUP(Tabla3[[#This Row],[PATENTE]],'BASE DATOS'!F:H,3,0)</f>
        <v>8P</v>
      </c>
      <c r="G1503" s="584" t="str">
        <f>+VLOOKUP(Tabla3[[#This Row],[PATENTE]],'BASE DATOS'!F:I,4,0)</f>
        <v>SI</v>
      </c>
      <c r="H1503" s="584" t="str">
        <f>+VLOOKUP(Tabla3[[#This Row],[PATENTE]],'BASE DATOS'!F:J,5,0)</f>
        <v>SI</v>
      </c>
      <c r="I1503" s="584" t="str">
        <f>+VLOOKUP(Tabla3[[#This Row],[PATENTE]],'BASE DATOS'!F:K,6,0)</f>
        <v>NO</v>
      </c>
      <c r="J1503" s="584">
        <f>+VLOOKUP(Tabla3[[#This Row],[PATENTE]],'BASE DATOS'!F:L,7,0)</f>
        <v>2017</v>
      </c>
      <c r="K1503" s="619">
        <f>+VLOOKUP(Tabla3[[#This Row],[PATENTE]],'BASE DATOS'!F:M,8,0)</f>
        <v>8</v>
      </c>
    </row>
    <row r="1504" spans="1:11" ht="15" hidden="1" customHeight="1">
      <c r="A1504" s="578" t="s">
        <v>881</v>
      </c>
      <c r="B1504" s="584">
        <v>6</v>
      </c>
      <c r="C1504" s="589">
        <v>46041</v>
      </c>
      <c r="D1504" s="582">
        <f t="shared" si="56"/>
        <v>4</v>
      </c>
      <c r="E1504" s="618" t="str">
        <f>+VLOOKUP(Tabla3[[#This Row],[PATENTE]],'BASE DATOS'!F:G,2,0)</f>
        <v xml:space="preserve">MAÑAS NORBERTO - DUQ686 </v>
      </c>
      <c r="F1504" s="584" t="str">
        <f>+VLOOKUP(Tabla3[[#This Row],[PATENTE]],'BASE DATOS'!F:H,3,0)</f>
        <v>8P</v>
      </c>
      <c r="G1504" s="584" t="str">
        <f>+VLOOKUP(Tabla3[[#This Row],[PATENTE]],'BASE DATOS'!F:I,4,0)</f>
        <v>SI</v>
      </c>
      <c r="H1504" s="584" t="str">
        <f>+VLOOKUP(Tabla3[[#This Row],[PATENTE]],'BASE DATOS'!F:J,5,0)</f>
        <v>SI</v>
      </c>
      <c r="I1504" s="584" t="str">
        <f>+VLOOKUP(Tabla3[[#This Row],[PATENTE]],'BASE DATOS'!F:K,6,0)</f>
        <v>NO</v>
      </c>
      <c r="J1504" s="584">
        <f>+VLOOKUP(Tabla3[[#This Row],[PATENTE]],'BASE DATOS'!F:L,7,0)</f>
        <v>2001</v>
      </c>
      <c r="K1504" s="619">
        <f>+VLOOKUP(Tabla3[[#This Row],[PATENTE]],'BASE DATOS'!F:M,8,0)</f>
        <v>24</v>
      </c>
    </row>
    <row r="1505" spans="1:11" ht="15" hidden="1" customHeight="1">
      <c r="A1505" s="578" t="s">
        <v>909</v>
      </c>
      <c r="B1505" s="584">
        <v>6</v>
      </c>
      <c r="C1505" s="589">
        <v>46041</v>
      </c>
      <c r="D1505" s="582">
        <f t="shared" si="56"/>
        <v>4</v>
      </c>
      <c r="E1505" s="618" t="str">
        <f>+VLOOKUP(Tabla3[[#This Row],[PATENTE]],'BASE DATOS'!F:G,2,0)</f>
        <v xml:space="preserve">CRISTIAN MOYA - NHR055 </v>
      </c>
      <c r="F1505" s="584" t="str">
        <f>+VLOOKUP(Tabla3[[#This Row],[PATENTE]],'BASE DATOS'!F:H,3,0)</f>
        <v>6P</v>
      </c>
      <c r="G1505" s="584" t="str">
        <f>+VLOOKUP(Tabla3[[#This Row],[PATENTE]],'BASE DATOS'!F:I,4,0)</f>
        <v>SI</v>
      </c>
      <c r="H1505" s="584" t="str">
        <f>+VLOOKUP(Tabla3[[#This Row],[PATENTE]],'BASE DATOS'!F:J,5,0)</f>
        <v>SI</v>
      </c>
      <c r="I1505" s="584" t="str">
        <f>+VLOOKUP(Tabla3[[#This Row],[PATENTE]],'BASE DATOS'!F:K,6,0)</f>
        <v>NO</v>
      </c>
      <c r="J1505" s="584">
        <f>+VLOOKUP(Tabla3[[#This Row],[PATENTE]],'BASE DATOS'!F:L,7,0)</f>
        <v>2013</v>
      </c>
      <c r="K1505" s="619">
        <f>+VLOOKUP(Tabla3[[#This Row],[PATENTE]],'BASE DATOS'!F:M,8,0)</f>
        <v>12</v>
      </c>
    </row>
    <row r="1506" spans="1:11" ht="15" hidden="1" customHeight="1">
      <c r="A1506" s="578" t="s">
        <v>899</v>
      </c>
      <c r="B1506" s="584">
        <v>5</v>
      </c>
      <c r="C1506" s="589">
        <v>46041</v>
      </c>
      <c r="D1506" s="582">
        <f t="shared" si="56"/>
        <v>4</v>
      </c>
      <c r="E1506" s="618" t="str">
        <f>+VLOOKUP(Tabla3[[#This Row],[PATENTE]],'BASE DATOS'!F:G,2,0)</f>
        <v xml:space="preserve">VAZQUEZ (TRV SRL) - AB176KN </v>
      </c>
      <c r="F1506" s="584" t="str">
        <f>+VLOOKUP(Tabla3[[#This Row],[PATENTE]],'BASE DATOS'!F:H,3,0)</f>
        <v>8P</v>
      </c>
      <c r="G1506" s="584" t="str">
        <f>+VLOOKUP(Tabla3[[#This Row],[PATENTE]],'BASE DATOS'!F:I,4,0)</f>
        <v>SI</v>
      </c>
      <c r="H1506" s="584" t="str">
        <f>+VLOOKUP(Tabla3[[#This Row],[PATENTE]],'BASE DATOS'!F:J,5,0)</f>
        <v>SI</v>
      </c>
      <c r="I1506" s="584" t="str">
        <f>+VLOOKUP(Tabla3[[#This Row],[PATENTE]],'BASE DATOS'!F:K,6,0)</f>
        <v>SI</v>
      </c>
      <c r="J1506" s="584">
        <f>+VLOOKUP(Tabla3[[#This Row],[PATENTE]],'BASE DATOS'!F:L,7,0)</f>
        <v>2017</v>
      </c>
      <c r="K1506" s="619">
        <f>+VLOOKUP(Tabla3[[#This Row],[PATENTE]],'BASE DATOS'!F:M,8,0)</f>
        <v>8</v>
      </c>
    </row>
    <row r="1507" spans="1:11" ht="15" hidden="1" customHeight="1">
      <c r="A1507" s="578" t="s">
        <v>912</v>
      </c>
      <c r="B1507" s="584">
        <v>5</v>
      </c>
      <c r="C1507" s="589">
        <v>46041</v>
      </c>
      <c r="D1507" s="582">
        <f t="shared" si="56"/>
        <v>4</v>
      </c>
      <c r="E1507" s="618" t="str">
        <f>+VLOOKUP(Tabla3[[#This Row],[PATENTE]],'BASE DATOS'!F:G,2,0)</f>
        <v xml:space="preserve">PACHECO JULIO - AC028WN </v>
      </c>
      <c r="F1507" s="584" t="str">
        <f>+VLOOKUP(Tabla3[[#This Row],[PATENTE]],'BASE DATOS'!F:H,3,0)</f>
        <v>8P</v>
      </c>
      <c r="G1507" s="584" t="str">
        <f>+VLOOKUP(Tabla3[[#This Row],[PATENTE]],'BASE DATOS'!F:I,4,0)</f>
        <v>SI</v>
      </c>
      <c r="H1507" s="584" t="str">
        <f>+VLOOKUP(Tabla3[[#This Row],[PATENTE]],'BASE DATOS'!F:J,5,0)</f>
        <v>SI</v>
      </c>
      <c r="I1507" s="584" t="str">
        <f>+VLOOKUP(Tabla3[[#This Row],[PATENTE]],'BASE DATOS'!F:K,6,0)</f>
        <v>SI</v>
      </c>
      <c r="J1507" s="584">
        <f>+VLOOKUP(Tabla3[[#This Row],[PATENTE]],'BASE DATOS'!F:L,7,0)</f>
        <v>2017</v>
      </c>
      <c r="K1507" s="619">
        <f>+VLOOKUP(Tabla3[[#This Row],[PATENTE]],'BASE DATOS'!F:M,8,0)</f>
        <v>8</v>
      </c>
    </row>
    <row r="1508" spans="1:11" ht="15" hidden="1" customHeight="1">
      <c r="A1508" s="578" t="s">
        <v>888</v>
      </c>
      <c r="B1508" s="584">
        <v>5</v>
      </c>
      <c r="C1508" s="589">
        <v>46041</v>
      </c>
      <c r="D1508" s="582">
        <f t="shared" si="56"/>
        <v>4</v>
      </c>
      <c r="E1508" s="618" t="str">
        <f>+VLOOKUP(Tabla3[[#This Row],[PATENTE]],'BASE DATOS'!F:G,2,0)</f>
        <v xml:space="preserve">TRANSP FIRST CLASS - AD535UI </v>
      </c>
      <c r="F1508" s="584" t="str">
        <f>+VLOOKUP(Tabla3[[#This Row],[PATENTE]],'BASE DATOS'!F:H,3,0)</f>
        <v>6P</v>
      </c>
      <c r="G1508" s="584" t="str">
        <f>+VLOOKUP(Tabla3[[#This Row],[PATENTE]],'BASE DATOS'!F:I,4,0)</f>
        <v>SI</v>
      </c>
      <c r="H1508" s="584" t="str">
        <f>+VLOOKUP(Tabla3[[#This Row],[PATENTE]],'BASE DATOS'!F:J,5,0)</f>
        <v>SI</v>
      </c>
      <c r="I1508" s="584" t="str">
        <f>+VLOOKUP(Tabla3[[#This Row],[PATENTE]],'BASE DATOS'!F:K,6,0)</f>
        <v>NO</v>
      </c>
      <c r="J1508" s="584">
        <f>+VLOOKUP(Tabla3[[#This Row],[PATENTE]],'BASE DATOS'!F:L,7,0)</f>
        <v>2019</v>
      </c>
      <c r="K1508" s="619">
        <f>+VLOOKUP(Tabla3[[#This Row],[PATENTE]],'BASE DATOS'!F:M,8,0)</f>
        <v>6</v>
      </c>
    </row>
    <row r="1509" spans="1:11" ht="15" hidden="1" customHeight="1">
      <c r="A1509" s="578" t="s">
        <v>922</v>
      </c>
      <c r="B1509" s="584">
        <v>5</v>
      </c>
      <c r="C1509" s="589">
        <v>46041</v>
      </c>
      <c r="D1509" s="582">
        <f t="shared" si="56"/>
        <v>4</v>
      </c>
      <c r="E1509" s="618" t="str">
        <f>+VLOOKUP(Tabla3[[#This Row],[PATENTE]],'BASE DATOS'!F:G,2,0)</f>
        <v>LAURIA (SERVAL) - AF342ZY</v>
      </c>
      <c r="F1509" s="584" t="str">
        <f>+VLOOKUP(Tabla3[[#This Row],[PATENTE]],'BASE DATOS'!F:H,3,0)</f>
        <v>8P</v>
      </c>
      <c r="G1509" s="584" t="str">
        <f>+VLOOKUP(Tabla3[[#This Row],[PATENTE]],'BASE DATOS'!F:I,4,0)</f>
        <v>SI</v>
      </c>
      <c r="H1509" s="584" t="str">
        <f>+VLOOKUP(Tabla3[[#This Row],[PATENTE]],'BASE DATOS'!F:J,5,0)</f>
        <v>SI</v>
      </c>
      <c r="I1509" s="584" t="str">
        <f>+VLOOKUP(Tabla3[[#This Row],[PATENTE]],'BASE DATOS'!F:K,6,0)</f>
        <v>NO</v>
      </c>
      <c r="J1509" s="584">
        <f>+VLOOKUP(Tabla3[[#This Row],[PATENTE]],'BASE DATOS'!F:L,7,0)</f>
        <v>2022</v>
      </c>
      <c r="K1509" s="619">
        <f>+VLOOKUP(Tabla3[[#This Row],[PATENTE]],'BASE DATOS'!F:M,8,0)</f>
        <v>3</v>
      </c>
    </row>
    <row r="1510" spans="1:11" ht="15" hidden="1" customHeight="1">
      <c r="A1510" s="578" t="s">
        <v>904</v>
      </c>
      <c r="B1510" s="584">
        <v>5</v>
      </c>
      <c r="C1510" s="589">
        <v>46041</v>
      </c>
      <c r="D1510" s="582">
        <f t="shared" si="56"/>
        <v>4</v>
      </c>
      <c r="E1510" s="618" t="str">
        <f>+VLOOKUP(Tabla3[[#This Row],[PATENTE]],'BASE DATOS'!F:G,2,0)</f>
        <v xml:space="preserve">ENRIQUE ROLLINO - DFO656 </v>
      </c>
      <c r="F1510" s="584" t="str">
        <f>+VLOOKUP(Tabla3[[#This Row],[PATENTE]],'BASE DATOS'!F:H,3,0)</f>
        <v>6P</v>
      </c>
      <c r="G1510" s="584" t="str">
        <f>+VLOOKUP(Tabla3[[#This Row],[PATENTE]],'BASE DATOS'!F:I,4,0)</f>
        <v>SI</v>
      </c>
      <c r="H1510" s="584" t="str">
        <f>+VLOOKUP(Tabla3[[#This Row],[PATENTE]],'BASE DATOS'!F:J,5,0)</f>
        <v>SI</v>
      </c>
      <c r="I1510" s="584" t="str">
        <f>+VLOOKUP(Tabla3[[#This Row],[PATENTE]],'BASE DATOS'!F:K,6,0)</f>
        <v>NO</v>
      </c>
      <c r="J1510" s="584">
        <f>+VLOOKUP(Tabla3[[#This Row],[PATENTE]],'BASE DATOS'!F:L,7,0)</f>
        <v>2000</v>
      </c>
      <c r="K1510" s="619">
        <f>+VLOOKUP(Tabla3[[#This Row],[PATENTE]],'BASE DATOS'!F:M,8,0)</f>
        <v>25</v>
      </c>
    </row>
    <row r="1511" spans="1:11" ht="15" hidden="1" customHeight="1">
      <c r="A1511" s="578" t="s">
        <v>924</v>
      </c>
      <c r="B1511" s="584">
        <v>5</v>
      </c>
      <c r="C1511" s="589">
        <v>46041</v>
      </c>
      <c r="D1511" s="582">
        <f t="shared" si="56"/>
        <v>4</v>
      </c>
      <c r="E1511" s="618" t="str">
        <f>+VLOOKUP(Tabla3[[#This Row],[PATENTE]],'BASE DATOS'!F:G,2,0)</f>
        <v>TRANSP MAVIR - HRZ429 -16P</v>
      </c>
      <c r="F1511" s="584" t="str">
        <f>+VLOOKUP(Tabla3[[#This Row],[PATENTE]],'BASE DATOS'!F:H,3,0)</f>
        <v>16P</v>
      </c>
      <c r="G1511" s="584" t="str">
        <f>+VLOOKUP(Tabla3[[#This Row],[PATENTE]],'BASE DATOS'!F:I,4,0)</f>
        <v>SI</v>
      </c>
      <c r="H1511" s="584" t="str">
        <f>+VLOOKUP(Tabla3[[#This Row],[PATENTE]],'BASE DATOS'!F:J,5,0)</f>
        <v xml:space="preserve">NO </v>
      </c>
      <c r="I1511" s="584" t="str">
        <f>+VLOOKUP(Tabla3[[#This Row],[PATENTE]],'BASE DATOS'!F:K,6,0)</f>
        <v>NO</v>
      </c>
      <c r="J1511" s="584">
        <f>+VLOOKUP(Tabla3[[#This Row],[PATENTE]],'BASE DATOS'!F:L,7,0)</f>
        <v>2008</v>
      </c>
      <c r="K1511" s="619">
        <f>+VLOOKUP(Tabla3[[#This Row],[PATENTE]],'BASE DATOS'!F:M,8,0)</f>
        <v>17</v>
      </c>
    </row>
    <row r="1512" spans="1:11" ht="15" hidden="1" customHeight="1">
      <c r="A1512" s="578" t="s">
        <v>882</v>
      </c>
      <c r="B1512" s="584">
        <v>5</v>
      </c>
      <c r="C1512" s="589">
        <v>46041</v>
      </c>
      <c r="D1512" s="582">
        <f t="shared" si="56"/>
        <v>4</v>
      </c>
      <c r="E1512" s="618" t="str">
        <f>+VLOOKUP(Tabla3[[#This Row],[PATENTE]],'BASE DATOS'!F:G,2,0)</f>
        <v xml:space="preserve">MAÑAS - JWN279 </v>
      </c>
      <c r="F1512" s="584" t="str">
        <f>+VLOOKUP(Tabla3[[#This Row],[PATENTE]],'BASE DATOS'!F:H,3,0)</f>
        <v>7P</v>
      </c>
      <c r="G1512" s="584" t="str">
        <f>+VLOOKUP(Tabla3[[#This Row],[PATENTE]],'BASE DATOS'!F:I,4,0)</f>
        <v>SI</v>
      </c>
      <c r="H1512" s="584" t="str">
        <f>+VLOOKUP(Tabla3[[#This Row],[PATENTE]],'BASE DATOS'!F:J,5,0)</f>
        <v>SI</v>
      </c>
      <c r="I1512" s="584" t="str">
        <f>+VLOOKUP(Tabla3[[#This Row],[PATENTE]],'BASE DATOS'!F:K,6,0)</f>
        <v>NO</v>
      </c>
      <c r="J1512" s="584">
        <f>+VLOOKUP(Tabla3[[#This Row],[PATENTE]],'BASE DATOS'!F:L,7,0)</f>
        <v>2011</v>
      </c>
      <c r="K1512" s="619">
        <f>+VLOOKUP(Tabla3[[#This Row],[PATENTE]],'BASE DATOS'!F:M,8,0)</f>
        <v>14</v>
      </c>
    </row>
    <row r="1513" spans="1:11" ht="15" hidden="1" customHeight="1">
      <c r="A1513" s="578" t="s">
        <v>925</v>
      </c>
      <c r="B1513" s="584">
        <v>5</v>
      </c>
      <c r="C1513" s="589">
        <v>46041</v>
      </c>
      <c r="D1513" s="582">
        <f t="shared" si="56"/>
        <v>4</v>
      </c>
      <c r="E1513" s="618" t="str">
        <f>+VLOOKUP(Tabla3[[#This Row],[PATENTE]],'BASE DATOS'!F:G,2,0)</f>
        <v xml:space="preserve">TRANSP MAIDANA FACUNDO - KOW745 </v>
      </c>
      <c r="F1513" s="584" t="str">
        <f>+VLOOKUP(Tabla3[[#This Row],[PATENTE]],'BASE DATOS'!F:H,3,0)</f>
        <v>8P</v>
      </c>
      <c r="G1513" s="584" t="str">
        <f>+VLOOKUP(Tabla3[[#This Row],[PATENTE]],'BASE DATOS'!F:I,4,0)</f>
        <v>SI</v>
      </c>
      <c r="H1513" s="584" t="str">
        <f>+VLOOKUP(Tabla3[[#This Row],[PATENTE]],'BASE DATOS'!F:J,5,0)</f>
        <v>SI</v>
      </c>
      <c r="I1513" s="584" t="str">
        <f>+VLOOKUP(Tabla3[[#This Row],[PATENTE]],'BASE DATOS'!F:K,6,0)</f>
        <v>NO</v>
      </c>
      <c r="J1513" s="584">
        <f>+VLOOKUP(Tabla3[[#This Row],[PATENTE]],'BASE DATOS'!F:L,7,0)</f>
        <v>2012</v>
      </c>
      <c r="K1513" s="619">
        <f>+VLOOKUP(Tabla3[[#This Row],[PATENTE]],'BASE DATOS'!F:M,8,0)</f>
        <v>13</v>
      </c>
    </row>
    <row r="1514" spans="1:11" ht="15" hidden="1" customHeight="1">
      <c r="A1514" s="578" t="s">
        <v>902</v>
      </c>
      <c r="B1514" s="584">
        <v>5</v>
      </c>
      <c r="C1514" s="589">
        <v>46041</v>
      </c>
      <c r="D1514" s="582">
        <f t="shared" si="56"/>
        <v>4</v>
      </c>
      <c r="E1514" s="618" t="str">
        <f>+VLOOKUP(Tabla3[[#This Row],[PATENTE]],'BASE DATOS'!F:G,2,0)</f>
        <v xml:space="preserve">GUSTAVO CERQUETTA - KZA644 </v>
      </c>
      <c r="F1514" s="584" t="str">
        <f>+VLOOKUP(Tabla3[[#This Row],[PATENTE]],'BASE DATOS'!F:H,3,0)</f>
        <v>2P</v>
      </c>
      <c r="G1514" s="584" t="str">
        <f>+VLOOKUP(Tabla3[[#This Row],[PATENTE]],'BASE DATOS'!F:I,4,0)</f>
        <v>NO</v>
      </c>
      <c r="H1514" s="584" t="str">
        <f>+VLOOKUP(Tabla3[[#This Row],[PATENTE]],'BASE DATOS'!F:J,5,0)</f>
        <v>SI</v>
      </c>
      <c r="I1514" s="584" t="str">
        <f>+VLOOKUP(Tabla3[[#This Row],[PATENTE]],'BASE DATOS'!F:K,6,0)</f>
        <v>NO</v>
      </c>
      <c r="J1514" s="584">
        <f>+VLOOKUP(Tabla3[[#This Row],[PATENTE]],'BASE DATOS'!F:L,7,0)</f>
        <v>2012</v>
      </c>
      <c r="K1514" s="619">
        <f>+VLOOKUP(Tabla3[[#This Row],[PATENTE]],'BASE DATOS'!F:M,8,0)</f>
        <v>13</v>
      </c>
    </row>
    <row r="1515" spans="1:11" ht="15" hidden="1" customHeight="1">
      <c r="A1515" s="578" t="s">
        <v>920</v>
      </c>
      <c r="B1515" s="584">
        <v>5</v>
      </c>
      <c r="C1515" s="589">
        <v>46041</v>
      </c>
      <c r="D1515" s="582">
        <f t="shared" si="56"/>
        <v>4</v>
      </c>
      <c r="E1515" s="618" t="str">
        <f>+VLOOKUP(Tabla3[[#This Row],[PATENTE]],'BASE DATOS'!F:G,2,0)</f>
        <v xml:space="preserve">TRANSP LAGOS - MRV682 </v>
      </c>
      <c r="F1515" s="584" t="str">
        <f>+VLOOKUP(Tabla3[[#This Row],[PATENTE]],'BASE DATOS'!F:H,3,0)</f>
        <v>8P</v>
      </c>
      <c r="G1515" s="584" t="str">
        <f>+VLOOKUP(Tabla3[[#This Row],[PATENTE]],'BASE DATOS'!F:I,4,0)</f>
        <v>SI</v>
      </c>
      <c r="H1515" s="584" t="str">
        <f>+VLOOKUP(Tabla3[[#This Row],[PATENTE]],'BASE DATOS'!F:J,5,0)</f>
        <v>SI</v>
      </c>
      <c r="I1515" s="584" t="str">
        <f>+VLOOKUP(Tabla3[[#This Row],[PATENTE]],'BASE DATOS'!F:K,6,0)</f>
        <v>NO</v>
      </c>
      <c r="J1515" s="584">
        <f>+VLOOKUP(Tabla3[[#This Row],[PATENTE]],'BASE DATOS'!F:L,7,0)</f>
        <v>2013</v>
      </c>
      <c r="K1515" s="619">
        <f>+VLOOKUP(Tabla3[[#This Row],[PATENTE]],'BASE DATOS'!F:M,8,0)</f>
        <v>12</v>
      </c>
    </row>
    <row r="1516" spans="1:11" ht="15" hidden="1" customHeight="1">
      <c r="A1516" s="578" t="s">
        <v>886</v>
      </c>
      <c r="B1516" s="584">
        <v>5</v>
      </c>
      <c r="C1516" s="589">
        <v>46041</v>
      </c>
      <c r="D1516" s="582">
        <f t="shared" si="56"/>
        <v>4</v>
      </c>
      <c r="E1516" s="618" t="str">
        <f>+VLOOKUP(Tabla3[[#This Row],[PATENTE]],'BASE DATOS'!F:G,2,0)</f>
        <v xml:space="preserve">TRANSP LAGOS - NOO925 </v>
      </c>
      <c r="F1516" s="584" t="str">
        <f>+VLOOKUP(Tabla3[[#This Row],[PATENTE]],'BASE DATOS'!F:H,3,0)</f>
        <v>8P</v>
      </c>
      <c r="G1516" s="584" t="str">
        <f>+VLOOKUP(Tabla3[[#This Row],[PATENTE]],'BASE DATOS'!F:I,4,0)</f>
        <v>SI</v>
      </c>
      <c r="H1516" s="584" t="str">
        <f>+VLOOKUP(Tabla3[[#This Row],[PATENTE]],'BASE DATOS'!F:J,5,0)</f>
        <v>SI</v>
      </c>
      <c r="I1516" s="584" t="str">
        <f>+VLOOKUP(Tabla3[[#This Row],[PATENTE]],'BASE DATOS'!F:K,6,0)</f>
        <v>NO</v>
      </c>
      <c r="J1516" s="584">
        <f>+VLOOKUP(Tabla3[[#This Row],[PATENTE]],'BASE DATOS'!F:L,7,0)</f>
        <v>2014</v>
      </c>
      <c r="K1516" s="619">
        <f>+VLOOKUP(Tabla3[[#This Row],[PATENTE]],'BASE DATOS'!F:M,8,0)</f>
        <v>11</v>
      </c>
    </row>
    <row r="1517" spans="1:11" ht="15" hidden="1" customHeight="1">
      <c r="A1517" s="578" t="s">
        <v>878</v>
      </c>
      <c r="B1517" s="584">
        <v>4</v>
      </c>
      <c r="C1517" s="589">
        <v>46041</v>
      </c>
      <c r="D1517" s="582">
        <f t="shared" si="56"/>
        <v>4</v>
      </c>
      <c r="E1517" s="618" t="str">
        <f>+VLOOKUP(Tabla3[[#This Row],[PATENTE]],'BASE DATOS'!F:G,2,0)</f>
        <v xml:space="preserve">PACHECO JULIO - AA854LY </v>
      </c>
      <c r="F1517" s="584" t="str">
        <f>+VLOOKUP(Tabla3[[#This Row],[PATENTE]],'BASE DATOS'!F:H,3,0)</f>
        <v>7P</v>
      </c>
      <c r="G1517" s="584" t="str">
        <f>+VLOOKUP(Tabla3[[#This Row],[PATENTE]],'BASE DATOS'!F:I,4,0)</f>
        <v>SI</v>
      </c>
      <c r="H1517" s="584" t="str">
        <f>+VLOOKUP(Tabla3[[#This Row],[PATENTE]],'BASE DATOS'!F:J,5,0)</f>
        <v>SI</v>
      </c>
      <c r="I1517" s="584" t="str">
        <f>+VLOOKUP(Tabla3[[#This Row],[PATENTE]],'BASE DATOS'!F:K,6,0)</f>
        <v>NO</v>
      </c>
      <c r="J1517" s="584">
        <f>+VLOOKUP(Tabla3[[#This Row],[PATENTE]],'BASE DATOS'!F:L,7,0)</f>
        <v>2016</v>
      </c>
      <c r="K1517" s="619">
        <f>+VLOOKUP(Tabla3[[#This Row],[PATENTE]],'BASE DATOS'!F:M,8,0)</f>
        <v>9</v>
      </c>
    </row>
    <row r="1518" spans="1:11" ht="15" hidden="1" customHeight="1">
      <c r="A1518" s="578" t="s">
        <v>884</v>
      </c>
      <c r="B1518" s="584">
        <v>4</v>
      </c>
      <c r="C1518" s="589">
        <v>46041</v>
      </c>
      <c r="D1518" s="582">
        <f t="shared" si="56"/>
        <v>4</v>
      </c>
      <c r="E1518" s="618" t="str">
        <f>+VLOOKUP(Tabla3[[#This Row],[PATENTE]],'BASE DATOS'!F:G,2,0)</f>
        <v xml:space="preserve">LAURIA (SERVAL) - AB233IT </v>
      </c>
      <c r="F1518" s="584" t="str">
        <f>+VLOOKUP(Tabla3[[#This Row],[PATENTE]],'BASE DATOS'!F:H,3,0)</f>
        <v>6P</v>
      </c>
      <c r="G1518" s="584" t="str">
        <f>+VLOOKUP(Tabla3[[#This Row],[PATENTE]],'BASE DATOS'!F:I,4,0)</f>
        <v>SI</v>
      </c>
      <c r="H1518" s="584" t="str">
        <f>+VLOOKUP(Tabla3[[#This Row],[PATENTE]],'BASE DATOS'!F:J,5,0)</f>
        <v>SI</v>
      </c>
      <c r="I1518" s="584" t="str">
        <f>+VLOOKUP(Tabla3[[#This Row],[PATENTE]],'BASE DATOS'!F:K,6,0)</f>
        <v>NO</v>
      </c>
      <c r="J1518" s="584">
        <f>+VLOOKUP(Tabla3[[#This Row],[PATENTE]],'BASE DATOS'!F:L,7,0)</f>
        <v>2017</v>
      </c>
      <c r="K1518" s="619">
        <f>+VLOOKUP(Tabla3[[#This Row],[PATENTE]],'BASE DATOS'!F:M,8,0)</f>
        <v>8</v>
      </c>
    </row>
    <row r="1519" spans="1:11" ht="15" hidden="1" customHeight="1">
      <c r="A1519" s="578" t="s">
        <v>895</v>
      </c>
      <c r="B1519" s="584">
        <v>4</v>
      </c>
      <c r="C1519" s="589">
        <v>46041</v>
      </c>
      <c r="D1519" s="582">
        <f t="shared" si="56"/>
        <v>4</v>
      </c>
      <c r="E1519" s="618" t="str">
        <f>+VLOOKUP(Tabla3[[#This Row],[PATENTE]],'BASE DATOS'!F:G,2,0)</f>
        <v xml:space="preserve">TRANSPORTE MICAELA </v>
      </c>
      <c r="F1519" s="584" t="str">
        <f>+VLOOKUP(Tabla3[[#This Row],[PATENTE]],'BASE DATOS'!F:H,3,0)</f>
        <v>2P</v>
      </c>
      <c r="G1519" s="584" t="str">
        <f>+VLOOKUP(Tabla3[[#This Row],[PATENTE]],'BASE DATOS'!F:I,4,0)</f>
        <v>NO</v>
      </c>
      <c r="H1519" s="584" t="str">
        <f>+VLOOKUP(Tabla3[[#This Row],[PATENTE]],'BASE DATOS'!F:J,5,0)</f>
        <v>SI</v>
      </c>
      <c r="I1519" s="584" t="str">
        <f>+VLOOKUP(Tabla3[[#This Row],[PATENTE]],'BASE DATOS'!F:K,6,0)</f>
        <v>NO</v>
      </c>
      <c r="J1519" s="584">
        <f>+VLOOKUP(Tabla3[[#This Row],[PATENTE]],'BASE DATOS'!F:L,7,0)</f>
        <v>2024</v>
      </c>
      <c r="K1519" s="619">
        <f>+VLOOKUP(Tabla3[[#This Row],[PATENTE]],'BASE DATOS'!F:M,8,0)</f>
        <v>1</v>
      </c>
    </row>
    <row r="1520" spans="1:11" ht="15" hidden="1" customHeight="1">
      <c r="A1520" s="578" t="s">
        <v>907</v>
      </c>
      <c r="B1520" s="584">
        <v>4</v>
      </c>
      <c r="C1520" s="589">
        <v>46041</v>
      </c>
      <c r="D1520" s="582">
        <f t="shared" si="56"/>
        <v>4</v>
      </c>
      <c r="E1520" s="618" t="str">
        <f>+VLOOKUP(Tabla3[[#This Row],[PATENTE]],'BASE DATOS'!F:G,2,0)</f>
        <v xml:space="preserve">LAURIA (SERVAL) - AH583GW </v>
      </c>
      <c r="F1520" s="584" t="str">
        <f>+VLOOKUP(Tabla3[[#This Row],[PATENTE]],'BASE DATOS'!F:H,3,0)</f>
        <v>8P</v>
      </c>
      <c r="G1520" s="584" t="str">
        <f>+VLOOKUP(Tabla3[[#This Row],[PATENTE]],'BASE DATOS'!F:I,4,0)</f>
        <v>SI</v>
      </c>
      <c r="H1520" s="584" t="str">
        <f>+VLOOKUP(Tabla3[[#This Row],[PATENTE]],'BASE DATOS'!F:J,5,0)</f>
        <v>SI</v>
      </c>
      <c r="I1520" s="584" t="str">
        <f>+VLOOKUP(Tabla3[[#This Row],[PATENTE]],'BASE DATOS'!F:K,6,0)</f>
        <v>NO</v>
      </c>
      <c r="J1520" s="584">
        <f>+VLOOKUP(Tabla3[[#This Row],[PATENTE]],'BASE DATOS'!F:L,7,0)</f>
        <v>2025</v>
      </c>
      <c r="K1520" s="619">
        <f>+VLOOKUP(Tabla3[[#This Row],[PATENTE]],'BASE DATOS'!F:M,8,0)</f>
        <v>0</v>
      </c>
    </row>
    <row r="1521" spans="1:11" ht="15" hidden="1" customHeight="1">
      <c r="A1521" s="578" t="s">
        <v>887</v>
      </c>
      <c r="B1521" s="584">
        <v>4</v>
      </c>
      <c r="C1521" s="589">
        <v>46041</v>
      </c>
      <c r="D1521" s="582">
        <f t="shared" si="56"/>
        <v>4</v>
      </c>
      <c r="E1521" s="618" t="str">
        <f>+VLOOKUP(Tabla3[[#This Row],[PATENTE]],'BASE DATOS'!F:G,2,0)</f>
        <v>ENRIQUE ROLLINO - BXB394</v>
      </c>
      <c r="F1521" s="584" t="str">
        <f>+VLOOKUP(Tabla3[[#This Row],[PATENTE]],'BASE DATOS'!F:H,3,0)</f>
        <v>2P</v>
      </c>
      <c r="G1521" s="584" t="str">
        <f>+VLOOKUP(Tabla3[[#This Row],[PATENTE]],'BASE DATOS'!F:I,4,0)</f>
        <v>SI</v>
      </c>
      <c r="H1521" s="584" t="str">
        <f>+VLOOKUP(Tabla3[[#This Row],[PATENTE]],'BASE DATOS'!F:J,5,0)</f>
        <v>SI</v>
      </c>
      <c r="I1521" s="584" t="str">
        <f>+VLOOKUP(Tabla3[[#This Row],[PATENTE]],'BASE DATOS'!F:K,6,0)</f>
        <v>NO</v>
      </c>
      <c r="J1521" s="584">
        <f>+VLOOKUP(Tabla3[[#This Row],[PATENTE]],'BASE DATOS'!F:L,7,0)</f>
        <v>1998</v>
      </c>
      <c r="K1521" s="619">
        <f>+VLOOKUP(Tabla3[[#This Row],[PATENTE]],'BASE DATOS'!F:M,8,0)</f>
        <v>27</v>
      </c>
    </row>
    <row r="1522" spans="1:11" ht="15" hidden="1" customHeight="1">
      <c r="A1522" s="578" t="s">
        <v>892</v>
      </c>
      <c r="B1522" s="584">
        <v>4</v>
      </c>
      <c r="C1522" s="589">
        <v>46041</v>
      </c>
      <c r="D1522" s="582">
        <f t="shared" si="56"/>
        <v>4</v>
      </c>
      <c r="E1522" s="618" t="str">
        <f>+VLOOKUP(Tabla3[[#This Row],[PATENTE]],'BASE DATOS'!F:G,2,0)</f>
        <v xml:space="preserve">COLO - FTL525 </v>
      </c>
      <c r="F1522" s="584" t="str">
        <f>+VLOOKUP(Tabla3[[#This Row],[PATENTE]],'BASE DATOS'!F:H,3,0)</f>
        <v>1P</v>
      </c>
      <c r="G1522" s="584" t="str">
        <f>+VLOOKUP(Tabla3[[#This Row],[PATENTE]],'BASE DATOS'!F:I,4,0)</f>
        <v>NO</v>
      </c>
      <c r="H1522" s="584" t="str">
        <f>+VLOOKUP(Tabla3[[#This Row],[PATENTE]],'BASE DATOS'!F:J,5,0)</f>
        <v>SI</v>
      </c>
      <c r="I1522" s="584" t="str">
        <f>+VLOOKUP(Tabla3[[#This Row],[PATENTE]],'BASE DATOS'!F:K,6,0)</f>
        <v>NO</v>
      </c>
      <c r="J1522" s="584">
        <f>+VLOOKUP(Tabla3[[#This Row],[PATENTE]],'BASE DATOS'!F:L,7,0)</f>
        <v>2008</v>
      </c>
      <c r="K1522" s="619">
        <f>+VLOOKUP(Tabla3[[#This Row],[PATENTE]],'BASE DATOS'!F:M,8,0)</f>
        <v>17</v>
      </c>
    </row>
    <row r="1523" spans="1:11" ht="15" hidden="1" customHeight="1">
      <c r="A1523" s="578" t="s">
        <v>877</v>
      </c>
      <c r="B1523" s="584">
        <v>4</v>
      </c>
      <c r="C1523" s="589">
        <v>46041</v>
      </c>
      <c r="D1523" s="582">
        <f t="shared" si="56"/>
        <v>4</v>
      </c>
      <c r="E1523" s="618" t="str">
        <f>+VLOOKUP(Tabla3[[#This Row],[PATENTE]],'BASE DATOS'!F:G,2,0)</f>
        <v>TRANSP MAIDANA CARLOS - OWA126</v>
      </c>
      <c r="F1523" s="584" t="str">
        <f>+VLOOKUP(Tabla3[[#This Row],[PATENTE]],'BASE DATOS'!F:H,3,0)</f>
        <v>4P</v>
      </c>
      <c r="G1523" s="584" t="str">
        <f>+VLOOKUP(Tabla3[[#This Row],[PATENTE]],'BASE DATOS'!F:I,4,0)</f>
        <v>SI</v>
      </c>
      <c r="H1523" s="584" t="str">
        <f>+VLOOKUP(Tabla3[[#This Row],[PATENTE]],'BASE DATOS'!F:J,5,0)</f>
        <v>SI</v>
      </c>
      <c r="I1523" s="584" t="str">
        <f>+VLOOKUP(Tabla3[[#This Row],[PATENTE]],'BASE DATOS'!F:K,6,0)</f>
        <v>NO</v>
      </c>
      <c r="J1523" s="584">
        <f>+VLOOKUP(Tabla3[[#This Row],[PATENTE]],'BASE DATOS'!F:L,7,0)</f>
        <v>2015</v>
      </c>
      <c r="K1523" s="619">
        <f>+VLOOKUP(Tabla3[[#This Row],[PATENTE]],'BASE DATOS'!F:M,8,0)</f>
        <v>10</v>
      </c>
    </row>
    <row r="1524" spans="1:11" ht="15" hidden="1" customHeight="1">
      <c r="A1524" s="578" t="s">
        <v>903</v>
      </c>
      <c r="B1524" s="584">
        <v>3</v>
      </c>
      <c r="C1524" s="589">
        <v>46041</v>
      </c>
      <c r="D1524" s="582">
        <f t="shared" si="56"/>
        <v>4</v>
      </c>
      <c r="E1524" s="618" t="str">
        <f>+VLOOKUP(Tabla3[[#This Row],[PATENTE]],'BASE DATOS'!F:G,2,0)</f>
        <v xml:space="preserve">TRANSP CLAUDIO BUSTOS - AG243PE </v>
      </c>
      <c r="F1524" s="584" t="str">
        <f>+VLOOKUP(Tabla3[[#This Row],[PATENTE]],'BASE DATOS'!F:H,3,0)</f>
        <v>1P</v>
      </c>
      <c r="G1524" s="584" t="str">
        <f>+VLOOKUP(Tabla3[[#This Row],[PATENTE]],'BASE DATOS'!F:I,4,0)</f>
        <v>SI</v>
      </c>
      <c r="H1524" s="584" t="str">
        <f>+VLOOKUP(Tabla3[[#This Row],[PATENTE]],'BASE DATOS'!F:J,5,0)</f>
        <v>SI</v>
      </c>
      <c r="I1524" s="584" t="str">
        <f>+VLOOKUP(Tabla3[[#This Row],[PATENTE]],'BASE DATOS'!F:K,6,0)</f>
        <v>NO</v>
      </c>
      <c r="J1524" s="584">
        <f>+VLOOKUP(Tabla3[[#This Row],[PATENTE]],'BASE DATOS'!F:L,7,0)</f>
        <v>2024</v>
      </c>
      <c r="K1524" s="619">
        <f>+VLOOKUP(Tabla3[[#This Row],[PATENTE]],'BASE DATOS'!F:M,8,0)</f>
        <v>1</v>
      </c>
    </row>
    <row r="1525" spans="1:11" ht="15" hidden="1" customHeight="1">
      <c r="A1525" s="578" t="s">
        <v>916</v>
      </c>
      <c r="B1525" s="584">
        <v>3</v>
      </c>
      <c r="C1525" s="589">
        <v>46041</v>
      </c>
      <c r="D1525" s="582">
        <f t="shared" si="56"/>
        <v>4</v>
      </c>
      <c r="E1525" s="618" t="str">
        <f>+VLOOKUP(Tabla3[[#This Row],[PATENTE]],'BASE DATOS'!F:G,2,0)</f>
        <v xml:space="preserve">TRANSP MAIDANA CARLOS - EYP088 </v>
      </c>
      <c r="F1525" s="584" t="str">
        <f>+VLOOKUP(Tabla3[[#This Row],[PATENTE]],'BASE DATOS'!F:H,3,0)</f>
        <v>6P</v>
      </c>
      <c r="G1525" s="584" t="str">
        <f>+VLOOKUP(Tabla3[[#This Row],[PATENTE]],'BASE DATOS'!F:I,4,0)</f>
        <v>SI</v>
      </c>
      <c r="H1525" s="584" t="str">
        <f>+VLOOKUP(Tabla3[[#This Row],[PATENTE]],'BASE DATOS'!F:J,5,0)</f>
        <v>SI</v>
      </c>
      <c r="I1525" s="584" t="str">
        <f>+VLOOKUP(Tabla3[[#This Row],[PATENTE]],'BASE DATOS'!F:K,6,0)</f>
        <v>NO</v>
      </c>
      <c r="J1525" s="584">
        <f>+VLOOKUP(Tabla3[[#This Row],[PATENTE]],'BASE DATOS'!F:L,7,0)</f>
        <v>2006</v>
      </c>
      <c r="K1525" s="619">
        <f>+VLOOKUP(Tabla3[[#This Row],[PATENTE]],'BASE DATOS'!F:M,8,0)</f>
        <v>19</v>
      </c>
    </row>
    <row r="1526" spans="1:11" ht="15" hidden="1" customHeight="1">
      <c r="A1526" s="578" t="s">
        <v>889</v>
      </c>
      <c r="B1526" s="584">
        <v>3</v>
      </c>
      <c r="C1526" s="589">
        <v>46041</v>
      </c>
      <c r="D1526" s="582">
        <f t="shared" si="56"/>
        <v>4</v>
      </c>
      <c r="E1526" s="618" t="str">
        <f>+VLOOKUP(Tabla3[[#This Row],[PATENTE]],'BASE DATOS'!F:G,2,0)</f>
        <v xml:space="preserve">COLO - HAW164 </v>
      </c>
      <c r="F1526" s="584" t="str">
        <f>+VLOOKUP(Tabla3[[#This Row],[PATENTE]],'BASE DATOS'!F:H,3,0)</f>
        <v>6P</v>
      </c>
      <c r="G1526" s="584" t="str">
        <f>+VLOOKUP(Tabla3[[#This Row],[PATENTE]],'BASE DATOS'!F:I,4,0)</f>
        <v>NO</v>
      </c>
      <c r="H1526" s="584" t="str">
        <f>+VLOOKUP(Tabla3[[#This Row],[PATENTE]],'BASE DATOS'!F:J,5,0)</f>
        <v>SI</v>
      </c>
      <c r="I1526" s="584" t="str">
        <f>+VLOOKUP(Tabla3[[#This Row],[PATENTE]],'BASE DATOS'!F:K,6,0)</f>
        <v>NO</v>
      </c>
      <c r="J1526" s="584">
        <f>+VLOOKUP(Tabla3[[#This Row],[PATENTE]],'BASE DATOS'!F:L,7,0)</f>
        <v>2009</v>
      </c>
      <c r="K1526" s="619">
        <f>+VLOOKUP(Tabla3[[#This Row],[PATENTE]],'BASE DATOS'!F:M,8,0)</f>
        <v>16</v>
      </c>
    </row>
    <row r="1527" spans="1:11" ht="15" hidden="1" customHeight="1">
      <c r="A1527" s="578" t="s">
        <v>913</v>
      </c>
      <c r="B1527" s="584">
        <v>3</v>
      </c>
      <c r="C1527" s="589">
        <v>46041</v>
      </c>
      <c r="D1527" s="582">
        <f t="shared" si="56"/>
        <v>4</v>
      </c>
      <c r="E1527" s="618" t="str">
        <f>+VLOOKUP(Tabla3[[#This Row],[PATENTE]],'BASE DATOS'!F:G,2,0)</f>
        <v xml:space="preserve">TRANSP DON NENO - KSI803 </v>
      </c>
      <c r="F1527" s="584" t="str">
        <f>+VLOOKUP(Tabla3[[#This Row],[PATENTE]],'BASE DATOS'!F:H,3,0)</f>
        <v>2P</v>
      </c>
      <c r="G1527" s="584" t="str">
        <f>+VLOOKUP(Tabla3[[#This Row],[PATENTE]],'BASE DATOS'!F:I,4,0)</f>
        <v>SI</v>
      </c>
      <c r="H1527" s="584" t="str">
        <f>+VLOOKUP(Tabla3[[#This Row],[PATENTE]],'BASE DATOS'!F:J,5,0)</f>
        <v>SI</v>
      </c>
      <c r="I1527" s="584" t="str">
        <f>+VLOOKUP(Tabla3[[#This Row],[PATENTE]],'BASE DATOS'!F:K,6,0)</f>
        <v>NO</v>
      </c>
      <c r="J1527" s="584">
        <f>+VLOOKUP(Tabla3[[#This Row],[PATENTE]],'BASE DATOS'!F:L,7,0)</f>
        <v>2012</v>
      </c>
      <c r="K1527" s="619">
        <f>+VLOOKUP(Tabla3[[#This Row],[PATENTE]],'BASE DATOS'!F:M,8,0)</f>
        <v>13</v>
      </c>
    </row>
    <row r="1528" spans="1:11" ht="15" hidden="1" customHeight="1">
      <c r="A1528" s="578" t="s">
        <v>890</v>
      </c>
      <c r="B1528" s="584">
        <v>2</v>
      </c>
      <c r="C1528" s="589">
        <v>46041</v>
      </c>
      <c r="D1528" s="582">
        <f t="shared" si="56"/>
        <v>4</v>
      </c>
      <c r="E1528" s="618" t="str">
        <f>+VLOOKUP(Tabla3[[#This Row],[PATENTE]],'BASE DATOS'!F:G,2,0)</f>
        <v xml:space="preserve">TRANSPORTE GRACIELA - AC040RO </v>
      </c>
      <c r="F1528" s="584" t="str">
        <f>+VLOOKUP(Tabla3[[#This Row],[PATENTE]],'BASE DATOS'!F:H,3,0)</f>
        <v>1P</v>
      </c>
      <c r="G1528" s="584" t="str">
        <f>+VLOOKUP(Tabla3[[#This Row],[PATENTE]],'BASE DATOS'!F:I,4,0)</f>
        <v>SI</v>
      </c>
      <c r="H1528" s="584" t="str">
        <f>+VLOOKUP(Tabla3[[#This Row],[PATENTE]],'BASE DATOS'!F:J,5,0)</f>
        <v>ACEPTA( VER CAMI)</v>
      </c>
      <c r="I1528" s="584" t="str">
        <f>+VLOOKUP(Tabla3[[#This Row],[PATENTE]],'BASE DATOS'!F:K,6,0)</f>
        <v>NO</v>
      </c>
      <c r="J1528" s="584">
        <f>+VLOOKUP(Tabla3[[#This Row],[PATENTE]],'BASE DATOS'!F:L,7,0)</f>
        <v>2017</v>
      </c>
      <c r="K1528" s="619">
        <f>+VLOOKUP(Tabla3[[#This Row],[PATENTE]],'BASE DATOS'!F:M,8,0)</f>
        <v>8</v>
      </c>
    </row>
    <row r="1529" spans="1:11" ht="15" hidden="1" customHeight="1">
      <c r="A1529" s="578" t="s">
        <v>883</v>
      </c>
      <c r="B1529" s="584">
        <v>2</v>
      </c>
      <c r="C1529" s="589">
        <v>46041</v>
      </c>
      <c r="D1529" s="582">
        <f t="shared" si="56"/>
        <v>4</v>
      </c>
      <c r="E1529" s="618" t="str">
        <f>+VLOOKUP(Tabla3[[#This Row],[PATENTE]],'BASE DATOS'!F:G,2,0)</f>
        <v xml:space="preserve">PACHECO JULIO - ACI503 </v>
      </c>
      <c r="F1529" s="584" t="str">
        <f>+VLOOKUP(Tabla3[[#This Row],[PATENTE]],'BASE DATOS'!F:H,3,0)</f>
        <v>12P</v>
      </c>
      <c r="G1529" s="584" t="str">
        <f>+VLOOKUP(Tabla3[[#This Row],[PATENTE]],'BASE DATOS'!F:I,4,0)</f>
        <v>NO</v>
      </c>
      <c r="H1529" s="584" t="str">
        <f>+VLOOKUP(Tabla3[[#This Row],[PATENTE]],'BASE DATOS'!F:J,5,0)</f>
        <v>SI</v>
      </c>
      <c r="I1529" s="584" t="str">
        <f>+VLOOKUP(Tabla3[[#This Row],[PATENTE]],'BASE DATOS'!F:K,6,0)</f>
        <v>SI</v>
      </c>
      <c r="J1529" s="584">
        <f>+VLOOKUP(Tabla3[[#This Row],[PATENTE]],'BASE DATOS'!F:L,7,0)</f>
        <v>2000</v>
      </c>
      <c r="K1529" s="619">
        <f>+VLOOKUP(Tabla3[[#This Row],[PATENTE]],'BASE DATOS'!F:M,8,0)</f>
        <v>25</v>
      </c>
    </row>
    <row r="1530" spans="1:11" ht="15" hidden="1" customHeight="1">
      <c r="A1530" s="578" t="s">
        <v>880</v>
      </c>
      <c r="B1530" s="584">
        <v>2</v>
      </c>
      <c r="C1530" s="589">
        <v>46041</v>
      </c>
      <c r="D1530" s="582">
        <f t="shared" si="56"/>
        <v>4</v>
      </c>
      <c r="E1530" s="618" t="str">
        <f>+VLOOKUP(Tabla3[[#This Row],[PATENTE]],'BASE DATOS'!F:G,2,0)</f>
        <v xml:space="preserve">LAURIA (SERVAL) - AD575XK </v>
      </c>
      <c r="F1530" s="584" t="str">
        <f>+VLOOKUP(Tabla3[[#This Row],[PATENTE]],'BASE DATOS'!F:H,3,0)</f>
        <v>8P</v>
      </c>
      <c r="G1530" s="584" t="str">
        <f>+VLOOKUP(Tabla3[[#This Row],[PATENTE]],'BASE DATOS'!F:I,4,0)</f>
        <v>SI</v>
      </c>
      <c r="H1530" s="584" t="str">
        <f>+VLOOKUP(Tabla3[[#This Row],[PATENTE]],'BASE DATOS'!F:J,5,0)</f>
        <v>SI</v>
      </c>
      <c r="I1530" s="584" t="str">
        <f>+VLOOKUP(Tabla3[[#This Row],[PATENTE]],'BASE DATOS'!F:K,6,0)</f>
        <v>NO</v>
      </c>
      <c r="J1530" s="584">
        <f>+VLOOKUP(Tabla3[[#This Row],[PATENTE]],'BASE DATOS'!F:L,7,0)</f>
        <v>2019</v>
      </c>
      <c r="K1530" s="619">
        <f>+VLOOKUP(Tabla3[[#This Row],[PATENTE]],'BASE DATOS'!F:M,8,0)</f>
        <v>6</v>
      </c>
    </row>
    <row r="1531" spans="1:11" ht="15" hidden="1" customHeight="1">
      <c r="A1531" s="578" t="s">
        <v>927</v>
      </c>
      <c r="B1531" s="584">
        <v>2</v>
      </c>
      <c r="C1531" s="589">
        <v>46041</v>
      </c>
      <c r="D1531" s="582">
        <f t="shared" si="56"/>
        <v>4</v>
      </c>
      <c r="E1531" s="618" t="str">
        <f>+VLOOKUP(Tabla3[[#This Row],[PATENTE]],'BASE DATOS'!F:G,2,0)</f>
        <v xml:space="preserve">TRANSP MAVIR - EKE275 </v>
      </c>
      <c r="F1531" s="584" t="str">
        <f>+VLOOKUP(Tabla3[[#This Row],[PATENTE]],'BASE DATOS'!F:H,3,0)</f>
        <v>11P</v>
      </c>
      <c r="G1531" s="584" t="str">
        <f>+VLOOKUP(Tabla3[[#This Row],[PATENTE]],'BASE DATOS'!F:I,4,0)</f>
        <v>NO</v>
      </c>
      <c r="H1531" s="584" t="str">
        <f>+VLOOKUP(Tabla3[[#This Row],[PATENTE]],'BASE DATOS'!F:J,5,0)</f>
        <v xml:space="preserve">NO </v>
      </c>
      <c r="I1531" s="584" t="str">
        <f>+VLOOKUP(Tabla3[[#This Row],[PATENTE]],'BASE DATOS'!F:K,6,0)</f>
        <v>NO</v>
      </c>
      <c r="J1531" s="584">
        <f>+VLOOKUP(Tabla3[[#This Row],[PATENTE]],'BASE DATOS'!F:L,7,0)</f>
        <v>2004</v>
      </c>
      <c r="K1531" s="619">
        <f>+VLOOKUP(Tabla3[[#This Row],[PATENTE]],'BASE DATOS'!F:M,8,0)</f>
        <v>21</v>
      </c>
    </row>
    <row r="1532" spans="1:11" ht="15" hidden="1" customHeight="1">
      <c r="A1532" s="578" t="s">
        <v>933</v>
      </c>
      <c r="B1532" s="584">
        <v>2</v>
      </c>
      <c r="C1532" s="589">
        <v>46041</v>
      </c>
      <c r="D1532" s="582">
        <f t="shared" si="56"/>
        <v>4</v>
      </c>
      <c r="E1532" s="618" t="str">
        <f>+VLOOKUP(Tabla3[[#This Row],[PATENTE]],'BASE DATOS'!F:G,2,0)</f>
        <v xml:space="preserve">TRANSPORTE GENA GAIA - IKE806 </v>
      </c>
      <c r="F1532" s="584" t="str">
        <f>+VLOOKUP(Tabla3[[#This Row],[PATENTE]],'BASE DATOS'!F:H,3,0)</f>
        <v>24P</v>
      </c>
      <c r="G1532" s="584" t="str">
        <f>+VLOOKUP(Tabla3[[#This Row],[PATENTE]],'BASE DATOS'!F:I,4,0)</f>
        <v>Gestya</v>
      </c>
      <c r="H1532" s="584" t="str">
        <f>+VLOOKUP(Tabla3[[#This Row],[PATENTE]],'BASE DATOS'!F:J,5,0)</f>
        <v xml:space="preserve">NO </v>
      </c>
      <c r="I1532" s="584" t="str">
        <f>+VLOOKUP(Tabla3[[#This Row],[PATENTE]],'BASE DATOS'!F:K,6,0)</f>
        <v>NO</v>
      </c>
      <c r="J1532" s="584">
        <f>+VLOOKUP(Tabla3[[#This Row],[PATENTE]],'BASE DATOS'!F:L,7,0)</f>
        <v>2010</v>
      </c>
      <c r="K1532" s="619">
        <f>+VLOOKUP(Tabla3[[#This Row],[PATENTE]],'BASE DATOS'!F:M,8,0)</f>
        <v>15</v>
      </c>
    </row>
    <row r="1533" spans="1:11" ht="15" hidden="1" customHeight="1">
      <c r="A1533" s="578" t="s">
        <v>943</v>
      </c>
      <c r="B1533" s="584">
        <v>2</v>
      </c>
      <c r="C1533" s="589">
        <v>46041</v>
      </c>
      <c r="D1533" s="582">
        <f t="shared" si="56"/>
        <v>4</v>
      </c>
      <c r="E1533" s="618" t="str">
        <f>+VLOOKUP(Tabla3[[#This Row],[PATENTE]],'BASE DATOS'!F:G,2,0)</f>
        <v>GANZINI HUGO - KTJ626</v>
      </c>
      <c r="F1533" s="584" t="str">
        <f>+VLOOKUP(Tabla3[[#This Row],[PATENTE]],'BASE DATOS'!F:H,3,0)</f>
        <v>8P</v>
      </c>
      <c r="G1533" s="584" t="str">
        <f>+VLOOKUP(Tabla3[[#This Row],[PATENTE]],'BASE DATOS'!F:I,4,0)</f>
        <v>NO</v>
      </c>
      <c r="H1533" s="584" t="str">
        <f>+VLOOKUP(Tabla3[[#This Row],[PATENTE]],'BASE DATOS'!F:J,5,0)</f>
        <v xml:space="preserve">NO </v>
      </c>
      <c r="I1533" s="584" t="str">
        <f>+VLOOKUP(Tabla3[[#This Row],[PATENTE]],'BASE DATOS'!F:K,6,0)</f>
        <v>NO</v>
      </c>
      <c r="J1533" s="584">
        <f>+VLOOKUP(Tabla3[[#This Row],[PATENTE]],'BASE DATOS'!F:L,7,0)</f>
        <v>2011</v>
      </c>
      <c r="K1533" s="619">
        <f>+VLOOKUP(Tabla3[[#This Row],[PATENTE]],'BASE DATOS'!F:M,8,0)</f>
        <v>14</v>
      </c>
    </row>
    <row r="1534" spans="1:11" ht="15" hidden="1" customHeight="1">
      <c r="A1534" s="578" t="s">
        <v>1125</v>
      </c>
      <c r="B1534" s="584">
        <v>2</v>
      </c>
      <c r="C1534" s="589">
        <v>46041</v>
      </c>
      <c r="D1534" s="582">
        <f t="shared" si="56"/>
        <v>4</v>
      </c>
      <c r="E1534" s="618" t="str">
        <f>+VLOOKUP(Tabla3[[#This Row],[PATENTE]],'BASE DATOS'!F:G,2,0)</f>
        <v>TRANSPORTE FIGGINI - LYX479 - 12p (CON PALA)</v>
      </c>
      <c r="F1534" s="584" t="str">
        <f>+VLOOKUP(Tabla3[[#This Row],[PATENTE]],'BASE DATOS'!F:H,3,0)</f>
        <v>12P</v>
      </c>
      <c r="G1534" s="584" t="str">
        <f>+VLOOKUP(Tabla3[[#This Row],[PATENTE]],'BASE DATOS'!F:I,4,0)</f>
        <v>NO</v>
      </c>
      <c r="H1534" s="584" t="str">
        <f>+VLOOKUP(Tabla3[[#This Row],[PATENTE]],'BASE DATOS'!F:J,5,0)</f>
        <v>NO</v>
      </c>
      <c r="I1534" s="584" t="str">
        <f>+VLOOKUP(Tabla3[[#This Row],[PATENTE]],'BASE DATOS'!F:K,6,0)</f>
        <v>SI</v>
      </c>
      <c r="J1534" s="584">
        <f>+VLOOKUP(Tabla3[[#This Row],[PATENTE]],'BASE DATOS'!F:L,7,0)</f>
        <v>2012</v>
      </c>
      <c r="K1534" s="619">
        <f>+VLOOKUP(Tabla3[[#This Row],[PATENTE]],'BASE DATOS'!F:M,8,0)</f>
        <v>13</v>
      </c>
    </row>
    <row r="1535" spans="1:11" ht="15" hidden="1" customHeight="1">
      <c r="A1535" s="578" t="s">
        <v>879</v>
      </c>
      <c r="B1535" s="584">
        <v>2</v>
      </c>
      <c r="C1535" s="589">
        <v>46041</v>
      </c>
      <c r="D1535" s="582">
        <f t="shared" si="56"/>
        <v>4</v>
      </c>
      <c r="E1535" s="618" t="str">
        <f>+VLOOKUP(Tabla3[[#This Row],[PATENTE]],'BASE DATOS'!F:G,2,0)</f>
        <v xml:space="preserve">TRANSP JP - OYP470 </v>
      </c>
      <c r="F1535" s="584" t="str">
        <f>+VLOOKUP(Tabla3[[#This Row],[PATENTE]],'BASE DATOS'!F:H,3,0)</f>
        <v>8P</v>
      </c>
      <c r="G1535" s="584" t="str">
        <f>+VLOOKUP(Tabla3[[#This Row],[PATENTE]],'BASE DATOS'!F:I,4,0)</f>
        <v>SI</v>
      </c>
      <c r="H1535" s="584" t="str">
        <f>+VLOOKUP(Tabla3[[#This Row],[PATENTE]],'BASE DATOS'!F:J,5,0)</f>
        <v>SI</v>
      </c>
      <c r="I1535" s="584" t="str">
        <f>+VLOOKUP(Tabla3[[#This Row],[PATENTE]],'BASE DATOS'!F:K,6,0)</f>
        <v>NO</v>
      </c>
      <c r="J1535" s="584">
        <f>+VLOOKUP(Tabla3[[#This Row],[PATENTE]],'BASE DATOS'!F:L,7,0)</f>
        <v>2011</v>
      </c>
      <c r="K1535" s="619">
        <f>+VLOOKUP(Tabla3[[#This Row],[PATENTE]],'BASE DATOS'!F:M,8,0)</f>
        <v>14</v>
      </c>
    </row>
    <row r="1536" spans="1:11" ht="15" hidden="1" customHeight="1">
      <c r="A1536" s="578" t="s">
        <v>936</v>
      </c>
      <c r="B1536" s="584">
        <v>1</v>
      </c>
      <c r="C1536" s="589">
        <v>46041</v>
      </c>
      <c r="D1536" s="582">
        <f t="shared" si="56"/>
        <v>4</v>
      </c>
      <c r="E1536" s="618" t="str">
        <f>+VLOOKUP(Tabla3[[#This Row],[PATENTE]],'BASE DATOS'!F:G,2,0)</f>
        <v>TRANSP YANINA  LUONGO - AA050HC</v>
      </c>
      <c r="F1536" s="584" t="str">
        <f>+VLOOKUP(Tabla3[[#This Row],[PATENTE]],'BASE DATOS'!F:H,3,0)</f>
        <v>1.5P</v>
      </c>
      <c r="G1536" s="584" t="str">
        <f>+VLOOKUP(Tabla3[[#This Row],[PATENTE]],'BASE DATOS'!F:I,4,0)</f>
        <v>NO</v>
      </c>
      <c r="H1536" s="584" t="str">
        <f>+VLOOKUP(Tabla3[[#This Row],[PATENTE]],'BASE DATOS'!F:J,5,0)</f>
        <v>SI</v>
      </c>
      <c r="I1536" s="584" t="str">
        <f>+VLOOKUP(Tabla3[[#This Row],[PATENTE]],'BASE DATOS'!F:K,6,0)</f>
        <v>NO</v>
      </c>
      <c r="J1536" s="584">
        <f>+VLOOKUP(Tabla3[[#This Row],[PATENTE]],'BASE DATOS'!F:L,7,0)</f>
        <v>2016</v>
      </c>
      <c r="K1536" s="619">
        <f>+VLOOKUP(Tabla3[[#This Row],[PATENTE]],'BASE DATOS'!F:M,8,0)</f>
        <v>9</v>
      </c>
    </row>
    <row r="1537" spans="1:11" ht="15" hidden="1" customHeight="1">
      <c r="A1537" s="578" t="s">
        <v>893</v>
      </c>
      <c r="B1537" s="584">
        <v>1</v>
      </c>
      <c r="C1537" s="589">
        <v>46041</v>
      </c>
      <c r="D1537" s="582">
        <f t="shared" si="56"/>
        <v>4</v>
      </c>
      <c r="E1537" s="618" t="str">
        <f>+VLOOKUP(Tabla3[[#This Row],[PATENTE]],'BASE DATOS'!F:G,2,0)</f>
        <v xml:space="preserve">GANZINI HUGO - CFF038 </v>
      </c>
      <c r="F1537" s="584" t="str">
        <f>+VLOOKUP(Tabla3[[#This Row],[PATENTE]],'BASE DATOS'!F:H,3,0)</f>
        <v>2P</v>
      </c>
      <c r="G1537" s="584" t="str">
        <f>+VLOOKUP(Tabla3[[#This Row],[PATENTE]],'BASE DATOS'!F:I,4,0)</f>
        <v>SI</v>
      </c>
      <c r="H1537" s="584" t="str">
        <f>+VLOOKUP(Tabla3[[#This Row],[PATENTE]],'BASE DATOS'!F:J,5,0)</f>
        <v>SI</v>
      </c>
      <c r="I1537" s="584" t="str">
        <f>+VLOOKUP(Tabla3[[#This Row],[PATENTE]],'BASE DATOS'!F:K,6,0)</f>
        <v>NO</v>
      </c>
      <c r="J1537" s="584">
        <f>+VLOOKUP(Tabla3[[#This Row],[PATENTE]],'BASE DATOS'!F:L,7,0)</f>
        <v>1999</v>
      </c>
      <c r="K1537" s="619">
        <f>+VLOOKUP(Tabla3[[#This Row],[PATENTE]],'BASE DATOS'!F:M,8,0)</f>
        <v>26</v>
      </c>
    </row>
    <row r="1538" spans="1:11" ht="15" hidden="1" customHeight="1">
      <c r="A1538" s="578" t="s">
        <v>921</v>
      </c>
      <c r="B1538" s="584">
        <v>1</v>
      </c>
      <c r="C1538" s="589">
        <v>46041</v>
      </c>
      <c r="D1538" s="582">
        <f t="shared" si="56"/>
        <v>4</v>
      </c>
      <c r="E1538" s="618" t="str">
        <f>+VLOOKUP(Tabla3[[#This Row],[PATENTE]],'BASE DATOS'!F:G,2,0)</f>
        <v xml:space="preserve">MAÑAS NORBERTO - CQQ304 </v>
      </c>
      <c r="F1538" s="584" t="str">
        <f>+VLOOKUP(Tabla3[[#This Row],[PATENTE]],'BASE DATOS'!F:H,3,0)</f>
        <v>11P</v>
      </c>
      <c r="G1538" s="584" t="str">
        <f>+VLOOKUP(Tabla3[[#This Row],[PATENTE]],'BASE DATOS'!F:I,4,0)</f>
        <v>SI</v>
      </c>
      <c r="H1538" s="584" t="str">
        <f>+VLOOKUP(Tabla3[[#This Row],[PATENTE]],'BASE DATOS'!F:J,5,0)</f>
        <v>SI</v>
      </c>
      <c r="I1538" s="584" t="str">
        <f>+VLOOKUP(Tabla3[[#This Row],[PATENTE]],'BASE DATOS'!F:K,6,0)</f>
        <v>NO</v>
      </c>
      <c r="J1538" s="584">
        <f>+VLOOKUP(Tabla3[[#This Row],[PATENTE]],'BASE DATOS'!F:L,7,0)</f>
        <v>2000</v>
      </c>
      <c r="K1538" s="619">
        <f>+VLOOKUP(Tabla3[[#This Row],[PATENTE]],'BASE DATOS'!F:M,8,0)</f>
        <v>25</v>
      </c>
    </row>
    <row r="1539" spans="1:11" ht="15" hidden="1" customHeight="1">
      <c r="A1539" s="578" t="s">
        <v>926</v>
      </c>
      <c r="B1539" s="584">
        <v>1</v>
      </c>
      <c r="C1539" s="589">
        <v>46041</v>
      </c>
      <c r="D1539" s="582">
        <f t="shared" si="56"/>
        <v>4</v>
      </c>
      <c r="E1539" s="618" t="str">
        <f>+VLOOKUP(Tabla3[[#This Row],[PATENTE]],'BASE DATOS'!F:G,2,0)</f>
        <v xml:space="preserve">TRANSPORTE GENA GAIA - DUF042 </v>
      </c>
      <c r="F1539" s="584" t="str">
        <f>+VLOOKUP(Tabla3[[#This Row],[PATENTE]],'BASE DATOS'!F:H,3,0)</f>
        <v>24P</v>
      </c>
      <c r="G1539" s="584" t="str">
        <f>+VLOOKUP(Tabla3[[#This Row],[PATENTE]],'BASE DATOS'!F:I,4,0)</f>
        <v>Gestya</v>
      </c>
      <c r="H1539" s="584" t="str">
        <f>+VLOOKUP(Tabla3[[#This Row],[PATENTE]],'BASE DATOS'!F:J,5,0)</f>
        <v xml:space="preserve">NO </v>
      </c>
      <c r="I1539" s="584" t="str">
        <f>+VLOOKUP(Tabla3[[#This Row],[PATENTE]],'BASE DATOS'!F:K,6,0)</f>
        <v>NO</v>
      </c>
      <c r="J1539" s="584">
        <f>+VLOOKUP(Tabla3[[#This Row],[PATENTE]],'BASE DATOS'!F:L,7,0)</f>
        <v>2001</v>
      </c>
      <c r="K1539" s="619">
        <f>+VLOOKUP(Tabla3[[#This Row],[PATENTE]],'BASE DATOS'!F:M,8,0)</f>
        <v>24</v>
      </c>
    </row>
    <row r="1540" spans="1:11" ht="15" hidden="1" customHeight="1">
      <c r="A1540" s="578" t="s">
        <v>932</v>
      </c>
      <c r="B1540" s="584">
        <v>1</v>
      </c>
      <c r="C1540" s="589">
        <v>46041</v>
      </c>
      <c r="D1540" s="582">
        <f t="shared" si="56"/>
        <v>4</v>
      </c>
      <c r="E1540" s="618" t="str">
        <f>+VLOOKUP(Tabla3[[#This Row],[PATENTE]],'BASE DATOS'!F:G,2,0)</f>
        <v xml:space="preserve">TRANSP MAVIR - EFL176 </v>
      </c>
      <c r="F1540" s="584" t="str">
        <f>+VLOOKUP(Tabla3[[#This Row],[PATENTE]],'BASE DATOS'!F:H,3,0)</f>
        <v>12P</v>
      </c>
      <c r="G1540" s="584" t="str">
        <f>+VLOOKUP(Tabla3[[#This Row],[PATENTE]],'BASE DATOS'!F:I,4,0)</f>
        <v>SI</v>
      </c>
      <c r="H1540" s="584" t="str">
        <f>+VLOOKUP(Tabla3[[#This Row],[PATENTE]],'BASE DATOS'!F:J,5,0)</f>
        <v>SI</v>
      </c>
      <c r="I1540" s="584" t="str">
        <f>+VLOOKUP(Tabla3[[#This Row],[PATENTE]],'BASE DATOS'!F:K,6,0)</f>
        <v>NO</v>
      </c>
      <c r="J1540" s="584">
        <f>+VLOOKUP(Tabla3[[#This Row],[PATENTE]],'BASE DATOS'!F:L,7,0)</f>
        <v>1998</v>
      </c>
      <c r="K1540" s="619">
        <f>+VLOOKUP(Tabla3[[#This Row],[PATENTE]],'BASE DATOS'!F:M,8,0)</f>
        <v>27</v>
      </c>
    </row>
    <row r="1541" spans="1:11" ht="15" hidden="1" customHeight="1">
      <c r="A1541" s="578" t="s">
        <v>891</v>
      </c>
      <c r="B1541" s="584">
        <v>1</v>
      </c>
      <c r="C1541" s="589">
        <v>46041</v>
      </c>
      <c r="D1541" s="582">
        <f t="shared" si="56"/>
        <v>4</v>
      </c>
      <c r="E1541" s="618" t="str">
        <f>+VLOOKUP(Tabla3[[#This Row],[PATENTE]],'BASE DATOS'!F:G,2,0)</f>
        <v xml:space="preserve">GANZINI HUGO - HHA085 </v>
      </c>
      <c r="F1541" s="584" t="str">
        <f>+VLOOKUP(Tabla3[[#This Row],[PATENTE]],'BASE DATOS'!F:H,3,0)</f>
        <v>2P</v>
      </c>
      <c r="G1541" s="584" t="str">
        <f>+VLOOKUP(Tabla3[[#This Row],[PATENTE]],'BASE DATOS'!F:I,4,0)</f>
        <v>SI</v>
      </c>
      <c r="H1541" s="584" t="str">
        <f>+VLOOKUP(Tabla3[[#This Row],[PATENTE]],'BASE DATOS'!F:J,5,0)</f>
        <v>SI</v>
      </c>
      <c r="I1541" s="584" t="str">
        <f>+VLOOKUP(Tabla3[[#This Row],[PATENTE]],'BASE DATOS'!F:K,6,0)</f>
        <v>NO</v>
      </c>
      <c r="J1541" s="584">
        <f>+VLOOKUP(Tabla3[[#This Row],[PATENTE]],'BASE DATOS'!F:L,7,0)</f>
        <v>2008</v>
      </c>
      <c r="K1541" s="619">
        <f>+VLOOKUP(Tabla3[[#This Row],[PATENTE]],'BASE DATOS'!F:M,8,0)</f>
        <v>17</v>
      </c>
    </row>
    <row r="1542" spans="1:11" ht="15" hidden="1" customHeight="1">
      <c r="A1542" s="578" t="s">
        <v>1123</v>
      </c>
      <c r="B1542" s="584">
        <v>1</v>
      </c>
      <c r="C1542" s="589">
        <v>46041</v>
      </c>
      <c r="D1542" s="582">
        <f t="shared" si="56"/>
        <v>4</v>
      </c>
      <c r="E1542" s="618" t="str">
        <f>+VLOOKUP(Tabla3[[#This Row],[PATENTE]],'BASE DATOS'!F:G,2,0)</f>
        <v>TRANSP LAGOS - IDK392 - 2P</v>
      </c>
      <c r="F1542" s="584" t="str">
        <f>+VLOOKUP(Tabla3[[#This Row],[PATENTE]],'BASE DATOS'!F:H,3,0)</f>
        <v>2P</v>
      </c>
      <c r="G1542" s="584" t="str">
        <f>+VLOOKUP(Tabla3[[#This Row],[PATENTE]],'BASE DATOS'!F:I,4,0)</f>
        <v>NO</v>
      </c>
      <c r="H1542" s="584" t="str">
        <f>+VLOOKUP(Tabla3[[#This Row],[PATENTE]],'BASE DATOS'!F:J,5,0)</f>
        <v>NO</v>
      </c>
      <c r="I1542" s="584" t="str">
        <f>+VLOOKUP(Tabla3[[#This Row],[PATENTE]],'BASE DATOS'!F:K,6,0)</f>
        <v>NO</v>
      </c>
      <c r="J1542" s="584">
        <f>+VLOOKUP(Tabla3[[#This Row],[PATENTE]],'BASE DATOS'!F:L,7,0)</f>
        <v>2009</v>
      </c>
      <c r="K1542" s="619">
        <f>+VLOOKUP(Tabla3[[#This Row],[PATENTE]],'BASE DATOS'!F:M,8,0)</f>
        <v>16</v>
      </c>
    </row>
    <row r="1543" spans="1:11" ht="15" hidden="1" customHeight="1">
      <c r="A1543" s="578" t="s">
        <v>885</v>
      </c>
      <c r="B1543" s="584">
        <v>1</v>
      </c>
      <c r="C1543" s="589">
        <v>46041</v>
      </c>
      <c r="D1543" s="582">
        <f t="shared" si="56"/>
        <v>4</v>
      </c>
      <c r="E1543" s="618" t="str">
        <f>+VLOOKUP(Tabla3[[#This Row],[PATENTE]],'BASE DATOS'!F:G,2,0)</f>
        <v xml:space="preserve">TRANSP DON NENO - IES288 </v>
      </c>
      <c r="F1543" s="584" t="str">
        <f>+VLOOKUP(Tabla3[[#This Row],[PATENTE]],'BASE DATOS'!F:H,3,0)</f>
        <v>2P</v>
      </c>
      <c r="G1543" s="584" t="str">
        <f>+VLOOKUP(Tabla3[[#This Row],[PATENTE]],'BASE DATOS'!F:I,4,0)</f>
        <v>SI</v>
      </c>
      <c r="H1543" s="584" t="str">
        <f>+VLOOKUP(Tabla3[[#This Row],[PATENTE]],'BASE DATOS'!F:J,5,0)</f>
        <v>SI</v>
      </c>
      <c r="I1543" s="584" t="str">
        <f>+VLOOKUP(Tabla3[[#This Row],[PATENTE]],'BASE DATOS'!F:K,6,0)</f>
        <v>NO</v>
      </c>
      <c r="J1543" s="584">
        <f>+VLOOKUP(Tabla3[[#This Row],[PATENTE]],'BASE DATOS'!F:L,7,0)</f>
        <v>2009</v>
      </c>
      <c r="K1543" s="619">
        <f>+VLOOKUP(Tabla3[[#This Row],[PATENTE]],'BASE DATOS'!F:M,8,0)</f>
        <v>16</v>
      </c>
    </row>
    <row r="1544" spans="1:11" ht="15" hidden="1" customHeight="1">
      <c r="A1544" s="578" t="s">
        <v>950</v>
      </c>
      <c r="B1544" s="584">
        <v>1</v>
      </c>
      <c r="C1544" s="589">
        <v>46041</v>
      </c>
      <c r="D1544" s="582">
        <f t="shared" si="56"/>
        <v>4</v>
      </c>
      <c r="E1544" s="618" t="str">
        <f>+VLOOKUP(Tabla3[[#This Row],[PATENTE]],'BASE DATOS'!F:G,2,0)</f>
        <v>TRANSP DON NENO -IRK036- 2P</v>
      </c>
      <c r="F1544" s="584" t="str">
        <f>+VLOOKUP(Tabla3[[#This Row],[PATENTE]],'BASE DATOS'!F:H,3,0)</f>
        <v>2P</v>
      </c>
      <c r="G1544" s="584" t="str">
        <f>+VLOOKUP(Tabla3[[#This Row],[PATENTE]],'BASE DATOS'!F:I,4,0)</f>
        <v>NO</v>
      </c>
      <c r="H1544" s="584" t="str">
        <f>+VLOOKUP(Tabla3[[#This Row],[PATENTE]],'BASE DATOS'!F:J,5,0)</f>
        <v>NO</v>
      </c>
      <c r="I1544" s="584" t="str">
        <f>+VLOOKUP(Tabla3[[#This Row],[PATENTE]],'BASE DATOS'!F:K,6,0)</f>
        <v>NO</v>
      </c>
      <c r="J1544" s="584">
        <f>+VLOOKUP(Tabla3[[#This Row],[PATENTE]],'BASE DATOS'!F:L,7,0)</f>
        <v>2010</v>
      </c>
      <c r="K1544" s="619">
        <f>+VLOOKUP(Tabla3[[#This Row],[PATENTE]],'BASE DATOS'!F:M,8,0)</f>
        <v>15</v>
      </c>
    </row>
    <row r="1545" spans="1:11" ht="15" hidden="1" customHeight="1">
      <c r="A1545" s="578" t="s">
        <v>901</v>
      </c>
      <c r="B1545" s="584">
        <v>1</v>
      </c>
      <c r="C1545" s="589">
        <v>46041</v>
      </c>
      <c r="D1545" s="582">
        <f t="shared" si="56"/>
        <v>4</v>
      </c>
      <c r="E1545" s="618" t="str">
        <f>+VLOOKUP(Tabla3[[#This Row],[PATENTE]],'BASE DATOS'!F:G,2,0)</f>
        <v xml:space="preserve">TRANSPORTE  GRACIELA - IYE750 </v>
      </c>
      <c r="F1545" s="584" t="str">
        <f>+VLOOKUP(Tabla3[[#This Row],[PATENTE]],'BASE DATOS'!F:H,3,0)</f>
        <v>1P</v>
      </c>
      <c r="G1545" s="584" t="str">
        <f>+VLOOKUP(Tabla3[[#This Row],[PATENTE]],'BASE DATOS'!F:I,4,0)</f>
        <v>NO</v>
      </c>
      <c r="H1545" s="584" t="str">
        <f>+VLOOKUP(Tabla3[[#This Row],[PATENTE]],'BASE DATOS'!F:J,5,0)</f>
        <v>SI</v>
      </c>
      <c r="I1545" s="584" t="str">
        <f>+VLOOKUP(Tabla3[[#This Row],[PATENTE]],'BASE DATOS'!F:K,6,0)</f>
        <v>NO</v>
      </c>
      <c r="J1545" s="584">
        <f>+VLOOKUP(Tabla3[[#This Row],[PATENTE]],'BASE DATOS'!F:L,7,0)</f>
        <v>2009</v>
      </c>
      <c r="K1545" s="619">
        <f>+VLOOKUP(Tabla3[[#This Row],[PATENTE]],'BASE DATOS'!F:M,8,0)</f>
        <v>16</v>
      </c>
    </row>
    <row r="1546" spans="1:11" ht="15" hidden="1" customHeight="1">
      <c r="A1546" s="578" t="s">
        <v>930</v>
      </c>
      <c r="B1546" s="584">
        <v>1</v>
      </c>
      <c r="C1546" s="589">
        <v>46041</v>
      </c>
      <c r="D1546" s="582">
        <f t="shared" si="56"/>
        <v>4</v>
      </c>
      <c r="E1546" s="618" t="str">
        <f>+VLOOKUP(Tabla3[[#This Row],[PATENTE]],'BASE DATOS'!F:G,2,0)</f>
        <v xml:space="preserve">GANZINI HUGO - JJF375 </v>
      </c>
      <c r="F1546" s="584" t="str">
        <f>+VLOOKUP(Tabla3[[#This Row],[PATENTE]],'BASE DATOS'!F:H,3,0)</f>
        <v>14P</v>
      </c>
      <c r="G1546" s="584" t="str">
        <f>+VLOOKUP(Tabla3[[#This Row],[PATENTE]],'BASE DATOS'!F:I,4,0)</f>
        <v>SI</v>
      </c>
      <c r="H1546" s="584" t="str">
        <f>+VLOOKUP(Tabla3[[#This Row],[PATENTE]],'BASE DATOS'!F:J,5,0)</f>
        <v xml:space="preserve">NO </v>
      </c>
      <c r="I1546" s="584" t="str">
        <f>+VLOOKUP(Tabla3[[#This Row],[PATENTE]],'BASE DATOS'!F:K,6,0)</f>
        <v>NO</v>
      </c>
      <c r="J1546" s="584">
        <f>+VLOOKUP(Tabla3[[#This Row],[PATENTE]],'BASE DATOS'!F:L,7,0)</f>
        <v>2011</v>
      </c>
      <c r="K1546" s="619">
        <f>+VLOOKUP(Tabla3[[#This Row],[PATENTE]],'BASE DATOS'!F:M,8,0)</f>
        <v>14</v>
      </c>
    </row>
    <row r="1547" spans="1:11" ht="15" hidden="1" customHeight="1">
      <c r="A1547" s="578" t="s">
        <v>939</v>
      </c>
      <c r="B1547" s="584">
        <v>1</v>
      </c>
      <c r="C1547" s="589">
        <v>46041</v>
      </c>
      <c r="D1547" s="582">
        <f t="shared" si="56"/>
        <v>4</v>
      </c>
      <c r="E1547" s="618" t="str">
        <f>+VLOOKUP(Tabla3[[#This Row],[PATENTE]],'BASE DATOS'!F:G,2,0)</f>
        <v>TRANSP CLAUDIO BUSTOS - JOQ178</v>
      </c>
      <c r="F1547" s="584" t="str">
        <f>+VLOOKUP(Tabla3[[#This Row],[PATENTE]],'BASE DATOS'!F:H,3,0)</f>
        <v>1P</v>
      </c>
      <c r="G1547" s="584" t="str">
        <f>+VLOOKUP(Tabla3[[#This Row],[PATENTE]],'BASE DATOS'!F:I,4,0)</f>
        <v>NO</v>
      </c>
      <c r="H1547" s="584" t="str">
        <f>+VLOOKUP(Tabla3[[#This Row],[PATENTE]],'BASE DATOS'!F:J,5,0)</f>
        <v>SI</v>
      </c>
      <c r="I1547" s="584" t="str">
        <f>+VLOOKUP(Tabla3[[#This Row],[PATENTE]],'BASE DATOS'!F:K,6,0)</f>
        <v>NO</v>
      </c>
      <c r="J1547" s="584">
        <f>+VLOOKUP(Tabla3[[#This Row],[PATENTE]],'BASE DATOS'!F:L,7,0)</f>
        <v>2010</v>
      </c>
      <c r="K1547" s="619">
        <f>+VLOOKUP(Tabla3[[#This Row],[PATENTE]],'BASE DATOS'!F:M,8,0)</f>
        <v>15</v>
      </c>
    </row>
    <row r="1548" spans="1:11" ht="15" hidden="1" customHeight="1">
      <c r="A1548" s="578" t="s">
        <v>898</v>
      </c>
      <c r="B1548" s="584">
        <v>1</v>
      </c>
      <c r="C1548" s="589">
        <v>46041</v>
      </c>
      <c r="D1548" s="582">
        <f t="shared" si="56"/>
        <v>4</v>
      </c>
      <c r="E1548" s="618" t="str">
        <f>+VLOOKUP(Tabla3[[#This Row],[PATENTE]],'BASE DATOS'!F:G,2,0)</f>
        <v xml:space="preserve">TRANSP BERMEJO - NXP980 </v>
      </c>
      <c r="F1548" s="584" t="str">
        <f>+VLOOKUP(Tabla3[[#This Row],[PATENTE]],'BASE DATOS'!F:H,3,0)</f>
        <v>12P</v>
      </c>
      <c r="G1548" s="584" t="str">
        <f>+VLOOKUP(Tabla3[[#This Row],[PATENTE]],'BASE DATOS'!F:I,4,0)</f>
        <v>SI</v>
      </c>
      <c r="H1548" s="584" t="str">
        <f>+VLOOKUP(Tabla3[[#This Row],[PATENTE]],'BASE DATOS'!F:J,5,0)</f>
        <v>SI</v>
      </c>
      <c r="I1548" s="584" t="str">
        <f>+VLOOKUP(Tabla3[[#This Row],[PATENTE]],'BASE DATOS'!F:K,6,0)</f>
        <v>SI</v>
      </c>
      <c r="J1548" s="584">
        <f>+VLOOKUP(Tabla3[[#This Row],[PATENTE]],'BASE DATOS'!F:L,7,0)</f>
        <v>2015</v>
      </c>
      <c r="K1548" s="619">
        <f>+VLOOKUP(Tabla3[[#This Row],[PATENTE]],'BASE DATOS'!F:M,8,0)</f>
        <v>10</v>
      </c>
    </row>
    <row r="1549" spans="1:11" ht="15" hidden="1" customHeight="1">
      <c r="A1549" s="581" t="s">
        <v>896</v>
      </c>
      <c r="B1549" s="587">
        <v>1</v>
      </c>
      <c r="C1549" s="589">
        <v>46041</v>
      </c>
      <c r="D1549" s="583">
        <f t="shared" si="56"/>
        <v>4</v>
      </c>
      <c r="E1549" s="620" t="str">
        <f>+VLOOKUP(Tabla3[[#This Row],[PATENTE]],'BASE DATOS'!F:G,2,0)</f>
        <v xml:space="preserve">TRANSP MAVIR - RHQ609 </v>
      </c>
      <c r="F1549" s="587" t="str">
        <f>+VLOOKUP(Tabla3[[#This Row],[PATENTE]],'BASE DATOS'!F:H,3,0)</f>
        <v>10P</v>
      </c>
      <c r="G1549" s="587" t="str">
        <f>+VLOOKUP(Tabla3[[#This Row],[PATENTE]],'BASE DATOS'!F:I,4,0)</f>
        <v>NO</v>
      </c>
      <c r="H1549" s="587" t="str">
        <f>+VLOOKUP(Tabla3[[#This Row],[PATENTE]],'BASE DATOS'!F:J,5,0)</f>
        <v xml:space="preserve">NO </v>
      </c>
      <c r="I1549" s="587" t="str">
        <f>+VLOOKUP(Tabla3[[#This Row],[PATENTE]],'BASE DATOS'!F:K,6,0)</f>
        <v>NO</v>
      </c>
      <c r="J1549" s="587">
        <f>+VLOOKUP(Tabla3[[#This Row],[PATENTE]],'BASE DATOS'!F:L,7,0)</f>
        <v>1995</v>
      </c>
      <c r="K1549" s="621">
        <f>+VLOOKUP(Tabla3[[#This Row],[PATENTE]],'BASE DATOS'!F:M,8,0)</f>
        <v>30</v>
      </c>
    </row>
    <row r="1550" spans="1:11" ht="15" hidden="1" customHeight="1">
      <c r="A1550" s="1067" t="s">
        <v>936</v>
      </c>
      <c r="B1550" s="1068">
        <v>6</v>
      </c>
      <c r="C1550" s="1066">
        <v>46048</v>
      </c>
      <c r="D1550" s="582">
        <f t="shared" ref="D1550:D1581" si="57">+WEEKNUM(C1550)</f>
        <v>5</v>
      </c>
      <c r="E1550" s="618" t="str">
        <f>+VLOOKUP(Tabla3[[#This Row],[PATENTE]],'BASE DATOS'!F:G,2,0)</f>
        <v>TRANSP YANINA  LUONGO - AA050HC</v>
      </c>
      <c r="F1550" s="584" t="str">
        <f>+VLOOKUP(Tabla3[[#This Row],[PATENTE]],'BASE DATOS'!F:H,3,0)</f>
        <v>1.5P</v>
      </c>
      <c r="G1550" s="584" t="str">
        <f>+VLOOKUP(Tabla3[[#This Row],[PATENTE]],'BASE DATOS'!F:I,4,0)</f>
        <v>NO</v>
      </c>
      <c r="H1550" s="584" t="str">
        <f>+VLOOKUP(Tabla3[[#This Row],[PATENTE]],'BASE DATOS'!F:J,5,0)</f>
        <v>SI</v>
      </c>
      <c r="I1550" s="584" t="str">
        <f>+VLOOKUP(Tabla3[[#This Row],[PATENTE]],'BASE DATOS'!F:K,6,0)</f>
        <v>NO</v>
      </c>
      <c r="J1550" s="584">
        <f>+VLOOKUP(Tabla3[[#This Row],[PATENTE]],'BASE DATOS'!F:L,7,0)</f>
        <v>2016</v>
      </c>
      <c r="K1550" s="619">
        <f>+VLOOKUP(Tabla3[[#This Row],[PATENTE]],'BASE DATOS'!F:M,8,0)</f>
        <v>9</v>
      </c>
    </row>
    <row r="1551" spans="1:11" ht="15" hidden="1" customHeight="1">
      <c r="A1551" s="1067" t="s">
        <v>905</v>
      </c>
      <c r="B1551" s="1068">
        <v>6</v>
      </c>
      <c r="C1551" s="1066">
        <v>46048</v>
      </c>
      <c r="D1551" s="582">
        <f t="shared" si="57"/>
        <v>5</v>
      </c>
      <c r="E1551" s="618" t="str">
        <f>+VLOOKUP(Tabla3[[#This Row],[PATENTE]],'BASE DATOS'!F:G,2,0)</f>
        <v xml:space="preserve">J RIMOLDI - AB312SE </v>
      </c>
      <c r="F1551" s="584" t="str">
        <f>+VLOOKUP(Tabla3[[#This Row],[PATENTE]],'BASE DATOS'!F:H,3,0)</f>
        <v>8P</v>
      </c>
      <c r="G1551" s="584" t="str">
        <f>+VLOOKUP(Tabla3[[#This Row],[PATENTE]],'BASE DATOS'!F:I,4,0)</f>
        <v>SI</v>
      </c>
      <c r="H1551" s="584" t="str">
        <f>+VLOOKUP(Tabla3[[#This Row],[PATENTE]],'BASE DATOS'!F:J,5,0)</f>
        <v>SI</v>
      </c>
      <c r="I1551" s="584" t="str">
        <f>+VLOOKUP(Tabla3[[#This Row],[PATENTE]],'BASE DATOS'!F:K,6,0)</f>
        <v>NO</v>
      </c>
      <c r="J1551" s="584">
        <f>+VLOOKUP(Tabla3[[#This Row],[PATENTE]],'BASE DATOS'!F:L,7,0)</f>
        <v>2017</v>
      </c>
      <c r="K1551" s="619">
        <f>+VLOOKUP(Tabla3[[#This Row],[PATENTE]],'BASE DATOS'!F:M,8,0)</f>
        <v>8</v>
      </c>
    </row>
    <row r="1552" spans="1:11" ht="15" hidden="1" customHeight="1">
      <c r="A1552" s="1067" t="s">
        <v>922</v>
      </c>
      <c r="B1552" s="1068">
        <v>6</v>
      </c>
      <c r="C1552" s="1066">
        <v>46048</v>
      </c>
      <c r="D1552" s="582">
        <f t="shared" si="57"/>
        <v>5</v>
      </c>
      <c r="E1552" s="618" t="str">
        <f>+VLOOKUP(Tabla3[[#This Row],[PATENTE]],'BASE DATOS'!F:G,2,0)</f>
        <v>LAURIA (SERVAL) - AF342ZY</v>
      </c>
      <c r="F1552" s="584" t="str">
        <f>+VLOOKUP(Tabla3[[#This Row],[PATENTE]],'BASE DATOS'!F:H,3,0)</f>
        <v>8P</v>
      </c>
      <c r="G1552" s="584" t="str">
        <f>+VLOOKUP(Tabla3[[#This Row],[PATENTE]],'BASE DATOS'!F:I,4,0)</f>
        <v>SI</v>
      </c>
      <c r="H1552" s="584" t="str">
        <f>+VLOOKUP(Tabla3[[#This Row],[PATENTE]],'BASE DATOS'!F:J,5,0)</f>
        <v>SI</v>
      </c>
      <c r="I1552" s="584" t="str">
        <f>+VLOOKUP(Tabla3[[#This Row],[PATENTE]],'BASE DATOS'!F:K,6,0)</f>
        <v>NO</v>
      </c>
      <c r="J1552" s="584">
        <f>+VLOOKUP(Tabla3[[#This Row],[PATENTE]],'BASE DATOS'!F:L,7,0)</f>
        <v>2022</v>
      </c>
      <c r="K1552" s="619">
        <f>+VLOOKUP(Tabla3[[#This Row],[PATENTE]],'BASE DATOS'!F:M,8,0)</f>
        <v>3</v>
      </c>
    </row>
    <row r="1553" spans="1:11" ht="15" hidden="1" customHeight="1">
      <c r="A1553" s="1067" t="s">
        <v>903</v>
      </c>
      <c r="B1553" s="1068">
        <v>6</v>
      </c>
      <c r="C1553" s="1066">
        <v>46048</v>
      </c>
      <c r="D1553" s="582">
        <f t="shared" si="57"/>
        <v>5</v>
      </c>
      <c r="E1553" s="618" t="str">
        <f>+VLOOKUP(Tabla3[[#This Row],[PATENTE]],'BASE DATOS'!F:G,2,0)</f>
        <v xml:space="preserve">TRANSP CLAUDIO BUSTOS - AG243PE </v>
      </c>
      <c r="F1553" s="584" t="str">
        <f>+VLOOKUP(Tabla3[[#This Row],[PATENTE]],'BASE DATOS'!F:H,3,0)</f>
        <v>1P</v>
      </c>
      <c r="G1553" s="584" t="str">
        <f>+VLOOKUP(Tabla3[[#This Row],[PATENTE]],'BASE DATOS'!F:I,4,0)</f>
        <v>SI</v>
      </c>
      <c r="H1553" s="584" t="str">
        <f>+VLOOKUP(Tabla3[[#This Row],[PATENTE]],'BASE DATOS'!F:J,5,0)</f>
        <v>SI</v>
      </c>
      <c r="I1553" s="584" t="str">
        <f>+VLOOKUP(Tabla3[[#This Row],[PATENTE]],'BASE DATOS'!F:K,6,0)</f>
        <v>NO</v>
      </c>
      <c r="J1553" s="584">
        <f>+VLOOKUP(Tabla3[[#This Row],[PATENTE]],'BASE DATOS'!F:L,7,0)</f>
        <v>2024</v>
      </c>
      <c r="K1553" s="619">
        <f>+VLOOKUP(Tabla3[[#This Row],[PATENTE]],'BASE DATOS'!F:M,8,0)</f>
        <v>1</v>
      </c>
    </row>
    <row r="1554" spans="1:11" ht="15" hidden="1" customHeight="1">
      <c r="A1554" s="1067" t="s">
        <v>901</v>
      </c>
      <c r="B1554" s="1068">
        <v>6</v>
      </c>
      <c r="C1554" s="1066">
        <v>46048</v>
      </c>
      <c r="D1554" s="582">
        <f t="shared" si="57"/>
        <v>5</v>
      </c>
      <c r="E1554" s="618" t="str">
        <f>+VLOOKUP(Tabla3[[#This Row],[PATENTE]],'BASE DATOS'!F:G,2,0)</f>
        <v xml:space="preserve">TRANSPORTE  GRACIELA - IYE750 </v>
      </c>
      <c r="F1554" s="584" t="str">
        <f>+VLOOKUP(Tabla3[[#This Row],[PATENTE]],'BASE DATOS'!F:H,3,0)</f>
        <v>1P</v>
      </c>
      <c r="G1554" s="584" t="str">
        <f>+VLOOKUP(Tabla3[[#This Row],[PATENTE]],'BASE DATOS'!F:I,4,0)</f>
        <v>NO</v>
      </c>
      <c r="H1554" s="584" t="str">
        <f>+VLOOKUP(Tabla3[[#This Row],[PATENTE]],'BASE DATOS'!F:J,5,0)</f>
        <v>SI</v>
      </c>
      <c r="I1554" s="584" t="str">
        <f>+VLOOKUP(Tabla3[[#This Row],[PATENTE]],'BASE DATOS'!F:K,6,0)</f>
        <v>NO</v>
      </c>
      <c r="J1554" s="584">
        <f>+VLOOKUP(Tabla3[[#This Row],[PATENTE]],'BASE DATOS'!F:L,7,0)</f>
        <v>2009</v>
      </c>
      <c r="K1554" s="619">
        <f>+VLOOKUP(Tabla3[[#This Row],[PATENTE]],'BASE DATOS'!F:M,8,0)</f>
        <v>16</v>
      </c>
    </row>
    <row r="1555" spans="1:11" ht="15" hidden="1" customHeight="1">
      <c r="A1555" s="1067" t="s">
        <v>882</v>
      </c>
      <c r="B1555" s="1068">
        <v>6</v>
      </c>
      <c r="C1555" s="1066">
        <v>46048</v>
      </c>
      <c r="D1555" s="582">
        <f t="shared" si="57"/>
        <v>5</v>
      </c>
      <c r="E1555" s="618" t="str">
        <f>+VLOOKUP(Tabla3[[#This Row],[PATENTE]],'BASE DATOS'!F:G,2,0)</f>
        <v xml:space="preserve">MAÑAS - JWN279 </v>
      </c>
      <c r="F1555" s="584" t="str">
        <f>+VLOOKUP(Tabla3[[#This Row],[PATENTE]],'BASE DATOS'!F:H,3,0)</f>
        <v>7P</v>
      </c>
      <c r="G1555" s="584" t="str">
        <f>+VLOOKUP(Tabla3[[#This Row],[PATENTE]],'BASE DATOS'!F:I,4,0)</f>
        <v>SI</v>
      </c>
      <c r="H1555" s="584" t="str">
        <f>+VLOOKUP(Tabla3[[#This Row],[PATENTE]],'BASE DATOS'!F:J,5,0)</f>
        <v>SI</v>
      </c>
      <c r="I1555" s="584" t="str">
        <f>+VLOOKUP(Tabla3[[#This Row],[PATENTE]],'BASE DATOS'!F:K,6,0)</f>
        <v>NO</v>
      </c>
      <c r="J1555" s="584">
        <f>+VLOOKUP(Tabla3[[#This Row],[PATENTE]],'BASE DATOS'!F:L,7,0)</f>
        <v>2011</v>
      </c>
      <c r="K1555" s="619">
        <f>+VLOOKUP(Tabla3[[#This Row],[PATENTE]],'BASE DATOS'!F:M,8,0)</f>
        <v>14</v>
      </c>
    </row>
    <row r="1556" spans="1:11" ht="15" hidden="1" customHeight="1">
      <c r="A1556" s="1067" t="s">
        <v>909</v>
      </c>
      <c r="B1556" s="1068">
        <v>6</v>
      </c>
      <c r="C1556" s="1066">
        <v>46048</v>
      </c>
      <c r="D1556" s="582">
        <f t="shared" si="57"/>
        <v>5</v>
      </c>
      <c r="E1556" s="618" t="str">
        <f>+VLOOKUP(Tabla3[[#This Row],[PATENTE]],'BASE DATOS'!F:G,2,0)</f>
        <v xml:space="preserve">CRISTIAN MOYA - NHR055 </v>
      </c>
      <c r="F1556" s="584" t="str">
        <f>+VLOOKUP(Tabla3[[#This Row],[PATENTE]],'BASE DATOS'!F:H,3,0)</f>
        <v>6P</v>
      </c>
      <c r="G1556" s="584" t="str">
        <f>+VLOOKUP(Tabla3[[#This Row],[PATENTE]],'BASE DATOS'!F:I,4,0)</f>
        <v>SI</v>
      </c>
      <c r="H1556" s="584" t="str">
        <f>+VLOOKUP(Tabla3[[#This Row],[PATENTE]],'BASE DATOS'!F:J,5,0)</f>
        <v>SI</v>
      </c>
      <c r="I1556" s="584" t="str">
        <f>+VLOOKUP(Tabla3[[#This Row],[PATENTE]],'BASE DATOS'!F:K,6,0)</f>
        <v>NO</v>
      </c>
      <c r="J1556" s="584">
        <f>+VLOOKUP(Tabla3[[#This Row],[PATENTE]],'BASE DATOS'!F:L,7,0)</f>
        <v>2013</v>
      </c>
      <c r="K1556" s="619">
        <f>+VLOOKUP(Tabla3[[#This Row],[PATENTE]],'BASE DATOS'!F:M,8,0)</f>
        <v>12</v>
      </c>
    </row>
    <row r="1557" spans="1:11" ht="15" hidden="1" customHeight="1">
      <c r="A1557" s="1067" t="s">
        <v>888</v>
      </c>
      <c r="B1557" s="1068">
        <v>5</v>
      </c>
      <c r="C1557" s="1066">
        <v>46048</v>
      </c>
      <c r="D1557" s="582">
        <f t="shared" si="57"/>
        <v>5</v>
      </c>
      <c r="E1557" s="618" t="str">
        <f>+VLOOKUP(Tabla3[[#This Row],[PATENTE]],'BASE DATOS'!F:G,2,0)</f>
        <v xml:space="preserve">TRANSP FIRST CLASS - AD535UI </v>
      </c>
      <c r="F1557" s="584" t="str">
        <f>+VLOOKUP(Tabla3[[#This Row],[PATENTE]],'BASE DATOS'!F:H,3,0)</f>
        <v>6P</v>
      </c>
      <c r="G1557" s="584" t="str">
        <f>+VLOOKUP(Tabla3[[#This Row],[PATENTE]],'BASE DATOS'!F:I,4,0)</f>
        <v>SI</v>
      </c>
      <c r="H1557" s="584" t="str">
        <f>+VLOOKUP(Tabla3[[#This Row],[PATENTE]],'BASE DATOS'!F:J,5,0)</f>
        <v>SI</v>
      </c>
      <c r="I1557" s="584" t="str">
        <f>+VLOOKUP(Tabla3[[#This Row],[PATENTE]],'BASE DATOS'!F:K,6,0)</f>
        <v>NO</v>
      </c>
      <c r="J1557" s="584">
        <f>+VLOOKUP(Tabla3[[#This Row],[PATENTE]],'BASE DATOS'!F:L,7,0)</f>
        <v>2019</v>
      </c>
      <c r="K1557" s="619">
        <f>+VLOOKUP(Tabla3[[#This Row],[PATENTE]],'BASE DATOS'!F:M,8,0)</f>
        <v>6</v>
      </c>
    </row>
    <row r="1558" spans="1:11" ht="15" hidden="1" customHeight="1">
      <c r="A1558" s="1067" t="s">
        <v>907</v>
      </c>
      <c r="B1558" s="1068">
        <v>5</v>
      </c>
      <c r="C1558" s="1066">
        <v>46048</v>
      </c>
      <c r="D1558" s="582">
        <f t="shared" si="57"/>
        <v>5</v>
      </c>
      <c r="E1558" s="618" t="str">
        <f>+VLOOKUP(Tabla3[[#This Row],[PATENTE]],'BASE DATOS'!F:G,2,0)</f>
        <v xml:space="preserve">LAURIA (SERVAL) - AH583GW </v>
      </c>
      <c r="F1558" s="584" t="str">
        <f>+VLOOKUP(Tabla3[[#This Row],[PATENTE]],'BASE DATOS'!F:H,3,0)</f>
        <v>8P</v>
      </c>
      <c r="G1558" s="584" t="str">
        <f>+VLOOKUP(Tabla3[[#This Row],[PATENTE]],'BASE DATOS'!F:I,4,0)</f>
        <v>SI</v>
      </c>
      <c r="H1558" s="584" t="str">
        <f>+VLOOKUP(Tabla3[[#This Row],[PATENTE]],'BASE DATOS'!F:J,5,0)</f>
        <v>SI</v>
      </c>
      <c r="I1558" s="584" t="str">
        <f>+VLOOKUP(Tabla3[[#This Row],[PATENTE]],'BASE DATOS'!F:K,6,0)</f>
        <v>NO</v>
      </c>
      <c r="J1558" s="584">
        <f>+VLOOKUP(Tabla3[[#This Row],[PATENTE]],'BASE DATOS'!F:L,7,0)</f>
        <v>2025</v>
      </c>
      <c r="K1558" s="619">
        <f>+VLOOKUP(Tabla3[[#This Row],[PATENTE]],'BASE DATOS'!F:M,8,0)</f>
        <v>0</v>
      </c>
    </row>
    <row r="1559" spans="1:11" ht="15" hidden="1" customHeight="1">
      <c r="A1559" s="1067" t="s">
        <v>887</v>
      </c>
      <c r="B1559" s="1068">
        <v>5</v>
      </c>
      <c r="C1559" s="1066">
        <v>46048</v>
      </c>
      <c r="D1559" s="582">
        <f t="shared" si="57"/>
        <v>5</v>
      </c>
      <c r="E1559" s="618" t="str">
        <f>+VLOOKUP(Tabla3[[#This Row],[PATENTE]],'BASE DATOS'!F:G,2,0)</f>
        <v>ENRIQUE ROLLINO - BXB394</v>
      </c>
      <c r="F1559" s="584" t="str">
        <f>+VLOOKUP(Tabla3[[#This Row],[PATENTE]],'BASE DATOS'!F:H,3,0)</f>
        <v>2P</v>
      </c>
      <c r="G1559" s="584" t="str">
        <f>+VLOOKUP(Tabla3[[#This Row],[PATENTE]],'BASE DATOS'!F:I,4,0)</f>
        <v>SI</v>
      </c>
      <c r="H1559" s="584" t="str">
        <f>+VLOOKUP(Tabla3[[#This Row],[PATENTE]],'BASE DATOS'!F:J,5,0)</f>
        <v>SI</v>
      </c>
      <c r="I1559" s="584" t="str">
        <f>+VLOOKUP(Tabla3[[#This Row],[PATENTE]],'BASE DATOS'!F:K,6,0)</f>
        <v>NO</v>
      </c>
      <c r="J1559" s="584">
        <f>+VLOOKUP(Tabla3[[#This Row],[PATENTE]],'BASE DATOS'!F:L,7,0)</f>
        <v>1998</v>
      </c>
      <c r="K1559" s="619">
        <f>+VLOOKUP(Tabla3[[#This Row],[PATENTE]],'BASE DATOS'!F:M,8,0)</f>
        <v>27</v>
      </c>
    </row>
    <row r="1560" spans="1:11" ht="15" hidden="1" customHeight="1">
      <c r="A1560" s="1067" t="s">
        <v>921</v>
      </c>
      <c r="B1560" s="1068">
        <v>5</v>
      </c>
      <c r="C1560" s="1066">
        <v>46048</v>
      </c>
      <c r="D1560" s="582">
        <f t="shared" si="57"/>
        <v>5</v>
      </c>
      <c r="E1560" s="618" t="str">
        <f>+VLOOKUP(Tabla3[[#This Row],[PATENTE]],'BASE DATOS'!F:G,2,0)</f>
        <v xml:space="preserve">MAÑAS NORBERTO - CQQ304 </v>
      </c>
      <c r="F1560" s="584" t="str">
        <f>+VLOOKUP(Tabla3[[#This Row],[PATENTE]],'BASE DATOS'!F:H,3,0)</f>
        <v>11P</v>
      </c>
      <c r="G1560" s="584" t="str">
        <f>+VLOOKUP(Tabla3[[#This Row],[PATENTE]],'BASE DATOS'!F:I,4,0)</f>
        <v>SI</v>
      </c>
      <c r="H1560" s="584" t="str">
        <f>+VLOOKUP(Tabla3[[#This Row],[PATENTE]],'BASE DATOS'!F:J,5,0)</f>
        <v>SI</v>
      </c>
      <c r="I1560" s="584" t="str">
        <f>+VLOOKUP(Tabla3[[#This Row],[PATENTE]],'BASE DATOS'!F:K,6,0)</f>
        <v>NO</v>
      </c>
      <c r="J1560" s="584">
        <f>+VLOOKUP(Tabla3[[#This Row],[PATENTE]],'BASE DATOS'!F:L,7,0)</f>
        <v>2000</v>
      </c>
      <c r="K1560" s="619">
        <f>+VLOOKUP(Tabla3[[#This Row],[PATENTE]],'BASE DATOS'!F:M,8,0)</f>
        <v>25</v>
      </c>
    </row>
    <row r="1561" spans="1:11" ht="15" hidden="1" customHeight="1">
      <c r="A1561" s="1067" t="s">
        <v>904</v>
      </c>
      <c r="B1561" s="1068">
        <v>5</v>
      </c>
      <c r="C1561" s="1066">
        <v>46048</v>
      </c>
      <c r="D1561" s="582">
        <f t="shared" si="57"/>
        <v>5</v>
      </c>
      <c r="E1561" s="618" t="str">
        <f>+VLOOKUP(Tabla3[[#This Row],[PATENTE]],'BASE DATOS'!F:G,2,0)</f>
        <v xml:space="preserve">ENRIQUE ROLLINO - DFO656 </v>
      </c>
      <c r="F1561" s="584" t="str">
        <f>+VLOOKUP(Tabla3[[#This Row],[PATENTE]],'BASE DATOS'!F:H,3,0)</f>
        <v>6P</v>
      </c>
      <c r="G1561" s="584" t="str">
        <f>+VLOOKUP(Tabla3[[#This Row],[PATENTE]],'BASE DATOS'!F:I,4,0)</f>
        <v>SI</v>
      </c>
      <c r="H1561" s="584" t="str">
        <f>+VLOOKUP(Tabla3[[#This Row],[PATENTE]],'BASE DATOS'!F:J,5,0)</f>
        <v>SI</v>
      </c>
      <c r="I1561" s="584" t="str">
        <f>+VLOOKUP(Tabla3[[#This Row],[PATENTE]],'BASE DATOS'!F:K,6,0)</f>
        <v>NO</v>
      </c>
      <c r="J1561" s="584">
        <f>+VLOOKUP(Tabla3[[#This Row],[PATENTE]],'BASE DATOS'!F:L,7,0)</f>
        <v>2000</v>
      </c>
      <c r="K1561" s="619">
        <f>+VLOOKUP(Tabla3[[#This Row],[PATENTE]],'BASE DATOS'!F:M,8,0)</f>
        <v>25</v>
      </c>
    </row>
    <row r="1562" spans="1:11" ht="15" hidden="1" customHeight="1">
      <c r="A1562" s="1067" t="s">
        <v>916</v>
      </c>
      <c r="B1562" s="1068">
        <v>5</v>
      </c>
      <c r="C1562" s="1066">
        <v>46048</v>
      </c>
      <c r="D1562" s="582">
        <f t="shared" si="57"/>
        <v>5</v>
      </c>
      <c r="E1562" s="618" t="str">
        <f>+VLOOKUP(Tabla3[[#This Row],[PATENTE]],'BASE DATOS'!F:G,2,0)</f>
        <v xml:space="preserve">TRANSP MAIDANA CARLOS - EYP088 </v>
      </c>
      <c r="F1562" s="584" t="str">
        <f>+VLOOKUP(Tabla3[[#This Row],[PATENTE]],'BASE DATOS'!F:H,3,0)</f>
        <v>6P</v>
      </c>
      <c r="G1562" s="584" t="str">
        <f>+VLOOKUP(Tabla3[[#This Row],[PATENTE]],'BASE DATOS'!F:I,4,0)</f>
        <v>SI</v>
      </c>
      <c r="H1562" s="584" t="str">
        <f>+VLOOKUP(Tabla3[[#This Row],[PATENTE]],'BASE DATOS'!F:J,5,0)</f>
        <v>SI</v>
      </c>
      <c r="I1562" s="584" t="str">
        <f>+VLOOKUP(Tabla3[[#This Row],[PATENTE]],'BASE DATOS'!F:K,6,0)</f>
        <v>NO</v>
      </c>
      <c r="J1562" s="584">
        <f>+VLOOKUP(Tabla3[[#This Row],[PATENTE]],'BASE DATOS'!F:L,7,0)</f>
        <v>2006</v>
      </c>
      <c r="K1562" s="619">
        <f>+VLOOKUP(Tabla3[[#This Row],[PATENTE]],'BASE DATOS'!F:M,8,0)</f>
        <v>19</v>
      </c>
    </row>
    <row r="1563" spans="1:11" ht="15" hidden="1" customHeight="1">
      <c r="A1563" s="1067" t="s">
        <v>915</v>
      </c>
      <c r="B1563" s="1068">
        <v>5</v>
      </c>
      <c r="C1563" s="1066">
        <v>46048</v>
      </c>
      <c r="D1563" s="582">
        <f t="shared" si="57"/>
        <v>5</v>
      </c>
      <c r="E1563" s="618" t="str">
        <f>+VLOOKUP(Tabla3[[#This Row],[PATENTE]],'BASE DATOS'!F:G,2,0)</f>
        <v>TRANSPORTE GRACIELA - FPL254</v>
      </c>
      <c r="F1563" s="584" t="str">
        <f>+VLOOKUP(Tabla3[[#This Row],[PATENTE]],'BASE DATOS'!F:H,3,0)</f>
        <v>2P</v>
      </c>
      <c r="G1563" s="584" t="str">
        <f>+VLOOKUP(Tabla3[[#This Row],[PATENTE]],'BASE DATOS'!F:I,4,0)</f>
        <v>SI</v>
      </c>
      <c r="H1563" s="584" t="str">
        <f>+VLOOKUP(Tabla3[[#This Row],[PATENTE]],'BASE DATOS'!F:J,5,0)</f>
        <v>NO (CAMI)</v>
      </c>
      <c r="I1563" s="584" t="str">
        <f>+VLOOKUP(Tabla3[[#This Row],[PATENTE]],'BASE DATOS'!F:K,6,0)</f>
        <v>NO</v>
      </c>
      <c r="J1563" s="584">
        <f>+VLOOKUP(Tabla3[[#This Row],[PATENTE]],'BASE DATOS'!F:L,7,0)</f>
        <v>2012</v>
      </c>
      <c r="K1563" s="619">
        <f>+VLOOKUP(Tabla3[[#This Row],[PATENTE]],'BASE DATOS'!F:M,8,0)</f>
        <v>13</v>
      </c>
    </row>
    <row r="1564" spans="1:11" ht="15" hidden="1" customHeight="1">
      <c r="A1564" s="1067" t="s">
        <v>925</v>
      </c>
      <c r="B1564" s="1068">
        <v>5</v>
      </c>
      <c r="C1564" s="1066">
        <v>46048</v>
      </c>
      <c r="D1564" s="582">
        <f t="shared" si="57"/>
        <v>5</v>
      </c>
      <c r="E1564" s="618" t="str">
        <f>+VLOOKUP(Tabla3[[#This Row],[PATENTE]],'BASE DATOS'!F:G,2,0)</f>
        <v xml:space="preserve">TRANSP MAIDANA FACUNDO - KOW745 </v>
      </c>
      <c r="F1564" s="584" t="str">
        <f>+VLOOKUP(Tabla3[[#This Row],[PATENTE]],'BASE DATOS'!F:H,3,0)</f>
        <v>8P</v>
      </c>
      <c r="G1564" s="584" t="str">
        <f>+VLOOKUP(Tabla3[[#This Row],[PATENTE]],'BASE DATOS'!F:I,4,0)</f>
        <v>SI</v>
      </c>
      <c r="H1564" s="584" t="str">
        <f>+VLOOKUP(Tabla3[[#This Row],[PATENTE]],'BASE DATOS'!F:J,5,0)</f>
        <v>SI</v>
      </c>
      <c r="I1564" s="584" t="str">
        <f>+VLOOKUP(Tabla3[[#This Row],[PATENTE]],'BASE DATOS'!F:K,6,0)</f>
        <v>NO</v>
      </c>
      <c r="J1564" s="584">
        <f>+VLOOKUP(Tabla3[[#This Row],[PATENTE]],'BASE DATOS'!F:L,7,0)</f>
        <v>2012</v>
      </c>
      <c r="K1564" s="619">
        <f>+VLOOKUP(Tabla3[[#This Row],[PATENTE]],'BASE DATOS'!F:M,8,0)</f>
        <v>13</v>
      </c>
    </row>
    <row r="1565" spans="1:11" ht="15" hidden="1" customHeight="1">
      <c r="A1565" s="1067" t="s">
        <v>902</v>
      </c>
      <c r="B1565" s="1068">
        <v>5</v>
      </c>
      <c r="C1565" s="1066">
        <v>46048</v>
      </c>
      <c r="D1565" s="582">
        <f t="shared" si="57"/>
        <v>5</v>
      </c>
      <c r="E1565" s="618" t="str">
        <f>+VLOOKUP(Tabla3[[#This Row],[PATENTE]],'BASE DATOS'!F:G,2,0)</f>
        <v xml:space="preserve">GUSTAVO CERQUETTA - KZA644 </v>
      </c>
      <c r="F1565" s="584" t="str">
        <f>+VLOOKUP(Tabla3[[#This Row],[PATENTE]],'BASE DATOS'!F:H,3,0)</f>
        <v>2P</v>
      </c>
      <c r="G1565" s="584" t="str">
        <f>+VLOOKUP(Tabla3[[#This Row],[PATENTE]],'BASE DATOS'!F:I,4,0)</f>
        <v>NO</v>
      </c>
      <c r="H1565" s="584" t="str">
        <f>+VLOOKUP(Tabla3[[#This Row],[PATENTE]],'BASE DATOS'!F:J,5,0)</f>
        <v>SI</v>
      </c>
      <c r="I1565" s="584" t="str">
        <f>+VLOOKUP(Tabla3[[#This Row],[PATENTE]],'BASE DATOS'!F:K,6,0)</f>
        <v>NO</v>
      </c>
      <c r="J1565" s="584">
        <f>+VLOOKUP(Tabla3[[#This Row],[PATENTE]],'BASE DATOS'!F:L,7,0)</f>
        <v>2012</v>
      </c>
      <c r="K1565" s="619">
        <f>+VLOOKUP(Tabla3[[#This Row],[PATENTE]],'BASE DATOS'!F:M,8,0)</f>
        <v>13</v>
      </c>
    </row>
    <row r="1566" spans="1:11" ht="15" hidden="1" customHeight="1">
      <c r="A1566" s="1067" t="s">
        <v>886</v>
      </c>
      <c r="B1566" s="1068">
        <v>5</v>
      </c>
      <c r="C1566" s="1066">
        <v>46048</v>
      </c>
      <c r="D1566" s="582">
        <f t="shared" si="57"/>
        <v>5</v>
      </c>
      <c r="E1566" s="618" t="str">
        <f>+VLOOKUP(Tabla3[[#This Row],[PATENTE]],'BASE DATOS'!F:G,2,0)</f>
        <v xml:space="preserve">TRANSP LAGOS - NOO925 </v>
      </c>
      <c r="F1566" s="584" t="str">
        <f>+VLOOKUP(Tabla3[[#This Row],[PATENTE]],'BASE DATOS'!F:H,3,0)</f>
        <v>8P</v>
      </c>
      <c r="G1566" s="584" t="str">
        <f>+VLOOKUP(Tabla3[[#This Row],[PATENTE]],'BASE DATOS'!F:I,4,0)</f>
        <v>SI</v>
      </c>
      <c r="H1566" s="584" t="str">
        <f>+VLOOKUP(Tabla3[[#This Row],[PATENTE]],'BASE DATOS'!F:J,5,0)</f>
        <v>SI</v>
      </c>
      <c r="I1566" s="584" t="str">
        <f>+VLOOKUP(Tabla3[[#This Row],[PATENTE]],'BASE DATOS'!F:K,6,0)</f>
        <v>NO</v>
      </c>
      <c r="J1566" s="584">
        <f>+VLOOKUP(Tabla3[[#This Row],[PATENTE]],'BASE DATOS'!F:L,7,0)</f>
        <v>2014</v>
      </c>
      <c r="K1566" s="619">
        <f>+VLOOKUP(Tabla3[[#This Row],[PATENTE]],'BASE DATOS'!F:M,8,0)</f>
        <v>11</v>
      </c>
    </row>
    <row r="1567" spans="1:11" ht="15" hidden="1" customHeight="1">
      <c r="A1567" s="1067" t="s">
        <v>877</v>
      </c>
      <c r="B1567" s="1068">
        <v>5</v>
      </c>
      <c r="C1567" s="1066">
        <v>46048</v>
      </c>
      <c r="D1567" s="582">
        <f t="shared" si="57"/>
        <v>5</v>
      </c>
      <c r="E1567" s="618" t="str">
        <f>+VLOOKUP(Tabla3[[#This Row],[PATENTE]],'BASE DATOS'!F:G,2,0)</f>
        <v>TRANSP MAIDANA CARLOS - OWA126</v>
      </c>
      <c r="F1567" s="584" t="str">
        <f>+VLOOKUP(Tabla3[[#This Row],[PATENTE]],'BASE DATOS'!F:H,3,0)</f>
        <v>4P</v>
      </c>
      <c r="G1567" s="584" t="str">
        <f>+VLOOKUP(Tabla3[[#This Row],[PATENTE]],'BASE DATOS'!F:I,4,0)</f>
        <v>SI</v>
      </c>
      <c r="H1567" s="584" t="str">
        <f>+VLOOKUP(Tabla3[[#This Row],[PATENTE]],'BASE DATOS'!F:J,5,0)</f>
        <v>SI</v>
      </c>
      <c r="I1567" s="584" t="str">
        <f>+VLOOKUP(Tabla3[[#This Row],[PATENTE]],'BASE DATOS'!F:K,6,0)</f>
        <v>NO</v>
      </c>
      <c r="J1567" s="584">
        <f>+VLOOKUP(Tabla3[[#This Row],[PATENTE]],'BASE DATOS'!F:L,7,0)</f>
        <v>2015</v>
      </c>
      <c r="K1567" s="619">
        <f>+VLOOKUP(Tabla3[[#This Row],[PATENTE]],'BASE DATOS'!F:M,8,0)</f>
        <v>10</v>
      </c>
    </row>
    <row r="1568" spans="1:11" ht="15" hidden="1" customHeight="1">
      <c r="A1568" s="1067" t="s">
        <v>899</v>
      </c>
      <c r="B1568" s="1068">
        <v>4</v>
      </c>
      <c r="C1568" s="1066">
        <v>46048</v>
      </c>
      <c r="D1568" s="582">
        <f t="shared" si="57"/>
        <v>5</v>
      </c>
      <c r="E1568" s="618" t="str">
        <f>+VLOOKUP(Tabla3[[#This Row],[PATENTE]],'BASE DATOS'!F:G,2,0)</f>
        <v xml:space="preserve">VAZQUEZ (TRV SRL) - AB176KN </v>
      </c>
      <c r="F1568" s="584" t="str">
        <f>+VLOOKUP(Tabla3[[#This Row],[PATENTE]],'BASE DATOS'!F:H,3,0)</f>
        <v>8P</v>
      </c>
      <c r="G1568" s="584" t="str">
        <f>+VLOOKUP(Tabla3[[#This Row],[PATENTE]],'BASE DATOS'!F:I,4,0)</f>
        <v>SI</v>
      </c>
      <c r="H1568" s="584" t="str">
        <f>+VLOOKUP(Tabla3[[#This Row],[PATENTE]],'BASE DATOS'!F:J,5,0)</f>
        <v>SI</v>
      </c>
      <c r="I1568" s="584" t="str">
        <f>+VLOOKUP(Tabla3[[#This Row],[PATENTE]],'BASE DATOS'!F:K,6,0)</f>
        <v>SI</v>
      </c>
      <c r="J1568" s="584">
        <f>+VLOOKUP(Tabla3[[#This Row],[PATENTE]],'BASE DATOS'!F:L,7,0)</f>
        <v>2017</v>
      </c>
      <c r="K1568" s="619">
        <f>+VLOOKUP(Tabla3[[#This Row],[PATENTE]],'BASE DATOS'!F:M,8,0)</f>
        <v>8</v>
      </c>
    </row>
    <row r="1569" spans="1:11" ht="15" hidden="1" customHeight="1">
      <c r="A1569" s="1067" t="s">
        <v>912</v>
      </c>
      <c r="B1569" s="1068">
        <v>4</v>
      </c>
      <c r="C1569" s="1066">
        <v>46048</v>
      </c>
      <c r="D1569" s="582">
        <f t="shared" si="57"/>
        <v>5</v>
      </c>
      <c r="E1569" s="618" t="str">
        <f>+VLOOKUP(Tabla3[[#This Row],[PATENTE]],'BASE DATOS'!F:G,2,0)</f>
        <v xml:space="preserve">PACHECO JULIO - AC028WN </v>
      </c>
      <c r="F1569" s="584" t="str">
        <f>+VLOOKUP(Tabla3[[#This Row],[PATENTE]],'BASE DATOS'!F:H,3,0)</f>
        <v>8P</v>
      </c>
      <c r="G1569" s="584" t="str">
        <f>+VLOOKUP(Tabla3[[#This Row],[PATENTE]],'BASE DATOS'!F:I,4,0)</f>
        <v>SI</v>
      </c>
      <c r="H1569" s="584" t="str">
        <f>+VLOOKUP(Tabla3[[#This Row],[PATENTE]],'BASE DATOS'!F:J,5,0)</f>
        <v>SI</v>
      </c>
      <c r="I1569" s="584" t="str">
        <f>+VLOOKUP(Tabla3[[#This Row],[PATENTE]],'BASE DATOS'!F:K,6,0)</f>
        <v>SI</v>
      </c>
      <c r="J1569" s="584">
        <f>+VLOOKUP(Tabla3[[#This Row],[PATENTE]],'BASE DATOS'!F:L,7,0)</f>
        <v>2017</v>
      </c>
      <c r="K1569" s="619">
        <f>+VLOOKUP(Tabla3[[#This Row],[PATENTE]],'BASE DATOS'!F:M,8,0)</f>
        <v>8</v>
      </c>
    </row>
    <row r="1570" spans="1:11" ht="15" hidden="1" customHeight="1">
      <c r="A1570" s="1067" t="s">
        <v>883</v>
      </c>
      <c r="B1570" s="1068">
        <v>4</v>
      </c>
      <c r="C1570" s="1066">
        <v>46048</v>
      </c>
      <c r="D1570" s="582">
        <f t="shared" si="57"/>
        <v>5</v>
      </c>
      <c r="E1570" s="618" t="str">
        <f>+VLOOKUP(Tabla3[[#This Row],[PATENTE]],'BASE DATOS'!F:G,2,0)</f>
        <v xml:space="preserve">PACHECO JULIO - ACI503 </v>
      </c>
      <c r="F1570" s="584" t="str">
        <f>+VLOOKUP(Tabla3[[#This Row],[PATENTE]],'BASE DATOS'!F:H,3,0)</f>
        <v>12P</v>
      </c>
      <c r="G1570" s="584" t="str">
        <f>+VLOOKUP(Tabla3[[#This Row],[PATENTE]],'BASE DATOS'!F:I,4,0)</f>
        <v>NO</v>
      </c>
      <c r="H1570" s="584" t="str">
        <f>+VLOOKUP(Tabla3[[#This Row],[PATENTE]],'BASE DATOS'!F:J,5,0)</f>
        <v>SI</v>
      </c>
      <c r="I1570" s="584" t="str">
        <f>+VLOOKUP(Tabla3[[#This Row],[PATENTE]],'BASE DATOS'!F:K,6,0)</f>
        <v>SI</v>
      </c>
      <c r="J1570" s="584">
        <f>+VLOOKUP(Tabla3[[#This Row],[PATENTE]],'BASE DATOS'!F:L,7,0)</f>
        <v>2000</v>
      </c>
      <c r="K1570" s="619">
        <f>+VLOOKUP(Tabla3[[#This Row],[PATENTE]],'BASE DATOS'!F:M,8,0)</f>
        <v>25</v>
      </c>
    </row>
    <row r="1571" spans="1:11" ht="15" hidden="1" customHeight="1">
      <c r="A1571" s="1067" t="s">
        <v>895</v>
      </c>
      <c r="B1571" s="1068">
        <v>4</v>
      </c>
      <c r="C1571" s="1066">
        <v>46048</v>
      </c>
      <c r="D1571" s="582">
        <f t="shared" si="57"/>
        <v>5</v>
      </c>
      <c r="E1571" s="618" t="str">
        <f>+VLOOKUP(Tabla3[[#This Row],[PATENTE]],'BASE DATOS'!F:G,2,0)</f>
        <v xml:space="preserve">TRANSPORTE MICAELA </v>
      </c>
      <c r="F1571" s="584" t="str">
        <f>+VLOOKUP(Tabla3[[#This Row],[PATENTE]],'BASE DATOS'!F:H,3,0)</f>
        <v>2P</v>
      </c>
      <c r="G1571" s="584" t="str">
        <f>+VLOOKUP(Tabla3[[#This Row],[PATENTE]],'BASE DATOS'!F:I,4,0)</f>
        <v>NO</v>
      </c>
      <c r="H1571" s="584" t="str">
        <f>+VLOOKUP(Tabla3[[#This Row],[PATENTE]],'BASE DATOS'!F:J,5,0)</f>
        <v>SI</v>
      </c>
      <c r="I1571" s="584" t="str">
        <f>+VLOOKUP(Tabla3[[#This Row],[PATENTE]],'BASE DATOS'!F:K,6,0)</f>
        <v>NO</v>
      </c>
      <c r="J1571" s="584">
        <f>+VLOOKUP(Tabla3[[#This Row],[PATENTE]],'BASE DATOS'!F:L,7,0)</f>
        <v>2024</v>
      </c>
      <c r="K1571" s="619">
        <f>+VLOOKUP(Tabla3[[#This Row],[PATENTE]],'BASE DATOS'!F:M,8,0)</f>
        <v>1</v>
      </c>
    </row>
    <row r="1572" spans="1:11" ht="15" hidden="1" customHeight="1">
      <c r="A1572" s="1067" t="s">
        <v>944</v>
      </c>
      <c r="B1572" s="1068">
        <v>4</v>
      </c>
      <c r="C1572" s="1066">
        <v>46048</v>
      </c>
      <c r="D1572" s="582">
        <f t="shared" si="57"/>
        <v>5</v>
      </c>
      <c r="E1572" s="618" t="str">
        <f>+VLOOKUP(Tabla3[[#This Row],[PATENTE]],'BASE DATOS'!F:G,2,0)</f>
        <v xml:space="preserve">TRANSPORTE GENA GAIA - BHG261 </v>
      </c>
      <c r="F1572" s="584" t="str">
        <f>+VLOOKUP(Tabla3[[#This Row],[PATENTE]],'BASE DATOS'!F:H,3,0)</f>
        <v>26P</v>
      </c>
      <c r="G1572" s="584" t="str">
        <f>+VLOOKUP(Tabla3[[#This Row],[PATENTE]],'BASE DATOS'!F:I,4,0)</f>
        <v>Gestya</v>
      </c>
      <c r="H1572" s="584" t="str">
        <f>+VLOOKUP(Tabla3[[#This Row],[PATENTE]],'BASE DATOS'!F:J,5,0)</f>
        <v xml:space="preserve">NO </v>
      </c>
      <c r="I1572" s="584" t="str">
        <f>+VLOOKUP(Tabla3[[#This Row],[PATENTE]],'BASE DATOS'!F:K,6,0)</f>
        <v>NO</v>
      </c>
      <c r="J1572" s="584">
        <f>+VLOOKUP(Tabla3[[#This Row],[PATENTE]],'BASE DATOS'!F:L,7,0)</f>
        <v>1997</v>
      </c>
      <c r="K1572" s="619">
        <f>+VLOOKUP(Tabla3[[#This Row],[PATENTE]],'BASE DATOS'!F:M,8,0)</f>
        <v>28</v>
      </c>
    </row>
    <row r="1573" spans="1:11" ht="15" hidden="1" customHeight="1">
      <c r="A1573" s="1067" t="s">
        <v>893</v>
      </c>
      <c r="B1573" s="1068">
        <v>4</v>
      </c>
      <c r="C1573" s="1066">
        <v>46048</v>
      </c>
      <c r="D1573" s="582">
        <f t="shared" si="57"/>
        <v>5</v>
      </c>
      <c r="E1573" s="618" t="str">
        <f>+VLOOKUP(Tabla3[[#This Row],[PATENTE]],'BASE DATOS'!F:G,2,0)</f>
        <v xml:space="preserve">GANZINI HUGO - CFF038 </v>
      </c>
      <c r="F1573" s="584" t="str">
        <f>+VLOOKUP(Tabla3[[#This Row],[PATENTE]],'BASE DATOS'!F:H,3,0)</f>
        <v>2P</v>
      </c>
      <c r="G1573" s="584" t="str">
        <f>+VLOOKUP(Tabla3[[#This Row],[PATENTE]],'BASE DATOS'!F:I,4,0)</f>
        <v>SI</v>
      </c>
      <c r="H1573" s="584" t="str">
        <f>+VLOOKUP(Tabla3[[#This Row],[PATENTE]],'BASE DATOS'!F:J,5,0)</f>
        <v>SI</v>
      </c>
      <c r="I1573" s="584" t="str">
        <f>+VLOOKUP(Tabla3[[#This Row],[PATENTE]],'BASE DATOS'!F:K,6,0)</f>
        <v>NO</v>
      </c>
      <c r="J1573" s="584">
        <f>+VLOOKUP(Tabla3[[#This Row],[PATENTE]],'BASE DATOS'!F:L,7,0)</f>
        <v>1999</v>
      </c>
      <c r="K1573" s="619">
        <f>+VLOOKUP(Tabla3[[#This Row],[PATENTE]],'BASE DATOS'!F:M,8,0)</f>
        <v>26</v>
      </c>
    </row>
    <row r="1574" spans="1:11" ht="15" hidden="1" customHeight="1">
      <c r="A1574" s="1067" t="s">
        <v>885</v>
      </c>
      <c r="B1574" s="1068">
        <v>4</v>
      </c>
      <c r="C1574" s="1066">
        <v>46048</v>
      </c>
      <c r="D1574" s="582">
        <f t="shared" si="57"/>
        <v>5</v>
      </c>
      <c r="E1574" s="618" t="str">
        <f>+VLOOKUP(Tabla3[[#This Row],[PATENTE]],'BASE DATOS'!F:G,2,0)</f>
        <v xml:space="preserve">TRANSP DON NENO - IES288 </v>
      </c>
      <c r="F1574" s="584" t="str">
        <f>+VLOOKUP(Tabla3[[#This Row],[PATENTE]],'BASE DATOS'!F:H,3,0)</f>
        <v>2P</v>
      </c>
      <c r="G1574" s="584" t="str">
        <f>+VLOOKUP(Tabla3[[#This Row],[PATENTE]],'BASE DATOS'!F:I,4,0)</f>
        <v>SI</v>
      </c>
      <c r="H1574" s="584" t="str">
        <f>+VLOOKUP(Tabla3[[#This Row],[PATENTE]],'BASE DATOS'!F:J,5,0)</f>
        <v>SI</v>
      </c>
      <c r="I1574" s="584" t="str">
        <f>+VLOOKUP(Tabla3[[#This Row],[PATENTE]],'BASE DATOS'!F:K,6,0)</f>
        <v>NO</v>
      </c>
      <c r="J1574" s="584">
        <f>+VLOOKUP(Tabla3[[#This Row],[PATENTE]],'BASE DATOS'!F:L,7,0)</f>
        <v>2009</v>
      </c>
      <c r="K1574" s="619">
        <f>+VLOOKUP(Tabla3[[#This Row],[PATENTE]],'BASE DATOS'!F:M,8,0)</f>
        <v>16</v>
      </c>
    </row>
    <row r="1575" spans="1:11" ht="15" hidden="1" customHeight="1">
      <c r="A1575" s="1067" t="s">
        <v>943</v>
      </c>
      <c r="B1575" s="1068">
        <v>4</v>
      </c>
      <c r="C1575" s="1066">
        <v>46048</v>
      </c>
      <c r="D1575" s="582">
        <f t="shared" si="57"/>
        <v>5</v>
      </c>
      <c r="E1575" s="618" t="str">
        <f>+VLOOKUP(Tabla3[[#This Row],[PATENTE]],'BASE DATOS'!F:G,2,0)</f>
        <v>GANZINI HUGO - KTJ626</v>
      </c>
      <c r="F1575" s="584" t="str">
        <f>+VLOOKUP(Tabla3[[#This Row],[PATENTE]],'BASE DATOS'!F:H,3,0)</f>
        <v>8P</v>
      </c>
      <c r="G1575" s="584" t="str">
        <f>+VLOOKUP(Tabla3[[#This Row],[PATENTE]],'BASE DATOS'!F:I,4,0)</f>
        <v>NO</v>
      </c>
      <c r="H1575" s="584" t="str">
        <f>+VLOOKUP(Tabla3[[#This Row],[PATENTE]],'BASE DATOS'!F:J,5,0)</f>
        <v xml:space="preserve">NO </v>
      </c>
      <c r="I1575" s="584" t="str">
        <f>+VLOOKUP(Tabla3[[#This Row],[PATENTE]],'BASE DATOS'!F:K,6,0)</f>
        <v>NO</v>
      </c>
      <c r="J1575" s="584">
        <f>+VLOOKUP(Tabla3[[#This Row],[PATENTE]],'BASE DATOS'!F:L,7,0)</f>
        <v>2011</v>
      </c>
      <c r="K1575" s="619">
        <f>+VLOOKUP(Tabla3[[#This Row],[PATENTE]],'BASE DATOS'!F:M,8,0)</f>
        <v>14</v>
      </c>
    </row>
    <row r="1576" spans="1:11" ht="15" hidden="1" customHeight="1">
      <c r="A1576" s="1067" t="s">
        <v>920</v>
      </c>
      <c r="B1576" s="1068">
        <v>4</v>
      </c>
      <c r="C1576" s="1066">
        <v>46048</v>
      </c>
      <c r="D1576" s="582">
        <f t="shared" si="57"/>
        <v>5</v>
      </c>
      <c r="E1576" s="618" t="str">
        <f>+VLOOKUP(Tabla3[[#This Row],[PATENTE]],'BASE DATOS'!F:G,2,0)</f>
        <v xml:space="preserve">TRANSP LAGOS - MRV682 </v>
      </c>
      <c r="F1576" s="584" t="str">
        <f>+VLOOKUP(Tabla3[[#This Row],[PATENTE]],'BASE DATOS'!F:H,3,0)</f>
        <v>8P</v>
      </c>
      <c r="G1576" s="584" t="str">
        <f>+VLOOKUP(Tabla3[[#This Row],[PATENTE]],'BASE DATOS'!F:I,4,0)</f>
        <v>SI</v>
      </c>
      <c r="H1576" s="584" t="str">
        <f>+VLOOKUP(Tabla3[[#This Row],[PATENTE]],'BASE DATOS'!F:J,5,0)</f>
        <v>SI</v>
      </c>
      <c r="I1576" s="584" t="str">
        <f>+VLOOKUP(Tabla3[[#This Row],[PATENTE]],'BASE DATOS'!F:K,6,0)</f>
        <v>NO</v>
      </c>
      <c r="J1576" s="584">
        <f>+VLOOKUP(Tabla3[[#This Row],[PATENTE]],'BASE DATOS'!F:L,7,0)</f>
        <v>2013</v>
      </c>
      <c r="K1576" s="619">
        <f>+VLOOKUP(Tabla3[[#This Row],[PATENTE]],'BASE DATOS'!F:M,8,0)</f>
        <v>12</v>
      </c>
    </row>
    <row r="1577" spans="1:11" ht="15" hidden="1" customHeight="1">
      <c r="A1577" s="1067" t="s">
        <v>879</v>
      </c>
      <c r="B1577" s="1068">
        <v>4</v>
      </c>
      <c r="C1577" s="1066">
        <v>46048</v>
      </c>
      <c r="D1577" s="582">
        <f t="shared" si="57"/>
        <v>5</v>
      </c>
      <c r="E1577" s="618" t="str">
        <f>+VLOOKUP(Tabla3[[#This Row],[PATENTE]],'BASE DATOS'!F:G,2,0)</f>
        <v xml:space="preserve">TRANSP JP - OYP470 </v>
      </c>
      <c r="F1577" s="584" t="str">
        <f>+VLOOKUP(Tabla3[[#This Row],[PATENTE]],'BASE DATOS'!F:H,3,0)</f>
        <v>8P</v>
      </c>
      <c r="G1577" s="584" t="str">
        <f>+VLOOKUP(Tabla3[[#This Row],[PATENTE]],'BASE DATOS'!F:I,4,0)</f>
        <v>SI</v>
      </c>
      <c r="H1577" s="584" t="str">
        <f>+VLOOKUP(Tabla3[[#This Row],[PATENTE]],'BASE DATOS'!F:J,5,0)</f>
        <v>SI</v>
      </c>
      <c r="I1577" s="584" t="str">
        <f>+VLOOKUP(Tabla3[[#This Row],[PATENTE]],'BASE DATOS'!F:K,6,0)</f>
        <v>NO</v>
      </c>
      <c r="J1577" s="584">
        <f>+VLOOKUP(Tabla3[[#This Row],[PATENTE]],'BASE DATOS'!F:L,7,0)</f>
        <v>2011</v>
      </c>
      <c r="K1577" s="619">
        <f>+VLOOKUP(Tabla3[[#This Row],[PATENTE]],'BASE DATOS'!F:M,8,0)</f>
        <v>14</v>
      </c>
    </row>
    <row r="1578" spans="1:11" ht="15" hidden="1" customHeight="1">
      <c r="A1578" s="1067" t="s">
        <v>878</v>
      </c>
      <c r="B1578" s="1068">
        <v>3</v>
      </c>
      <c r="C1578" s="1066">
        <v>46048</v>
      </c>
      <c r="D1578" s="582">
        <f t="shared" si="57"/>
        <v>5</v>
      </c>
      <c r="E1578" s="618" t="str">
        <f>+VLOOKUP(Tabla3[[#This Row],[PATENTE]],'BASE DATOS'!F:G,2,0)</f>
        <v xml:space="preserve">PACHECO JULIO - AA854LY </v>
      </c>
      <c r="F1578" s="584" t="str">
        <f>+VLOOKUP(Tabla3[[#This Row],[PATENTE]],'BASE DATOS'!F:H,3,0)</f>
        <v>7P</v>
      </c>
      <c r="G1578" s="584" t="str">
        <f>+VLOOKUP(Tabla3[[#This Row],[PATENTE]],'BASE DATOS'!F:I,4,0)</f>
        <v>SI</v>
      </c>
      <c r="H1578" s="584" t="str">
        <f>+VLOOKUP(Tabla3[[#This Row],[PATENTE]],'BASE DATOS'!F:J,5,0)</f>
        <v>SI</v>
      </c>
      <c r="I1578" s="584" t="str">
        <f>+VLOOKUP(Tabla3[[#This Row],[PATENTE]],'BASE DATOS'!F:K,6,0)</f>
        <v>NO</v>
      </c>
      <c r="J1578" s="584">
        <f>+VLOOKUP(Tabla3[[#This Row],[PATENTE]],'BASE DATOS'!F:L,7,0)</f>
        <v>2016</v>
      </c>
      <c r="K1578" s="619">
        <f>+VLOOKUP(Tabla3[[#This Row],[PATENTE]],'BASE DATOS'!F:M,8,0)</f>
        <v>9</v>
      </c>
    </row>
    <row r="1579" spans="1:11" ht="15" hidden="1" customHeight="1">
      <c r="A1579" s="1067" t="s">
        <v>880</v>
      </c>
      <c r="B1579" s="1068">
        <v>3</v>
      </c>
      <c r="C1579" s="1066">
        <v>46048</v>
      </c>
      <c r="D1579" s="582">
        <f t="shared" si="57"/>
        <v>5</v>
      </c>
      <c r="E1579" s="618" t="str">
        <f>+VLOOKUP(Tabla3[[#This Row],[PATENTE]],'BASE DATOS'!F:G,2,0)</f>
        <v xml:space="preserve">LAURIA (SERVAL) - AD575XK </v>
      </c>
      <c r="F1579" s="584" t="str">
        <f>+VLOOKUP(Tabla3[[#This Row],[PATENTE]],'BASE DATOS'!F:H,3,0)</f>
        <v>8P</v>
      </c>
      <c r="G1579" s="584" t="str">
        <f>+VLOOKUP(Tabla3[[#This Row],[PATENTE]],'BASE DATOS'!F:I,4,0)</f>
        <v>SI</v>
      </c>
      <c r="H1579" s="584" t="str">
        <f>+VLOOKUP(Tabla3[[#This Row],[PATENTE]],'BASE DATOS'!F:J,5,0)</f>
        <v>SI</v>
      </c>
      <c r="I1579" s="584" t="str">
        <f>+VLOOKUP(Tabla3[[#This Row],[PATENTE]],'BASE DATOS'!F:K,6,0)</f>
        <v>NO</v>
      </c>
      <c r="J1579" s="584">
        <f>+VLOOKUP(Tabla3[[#This Row],[PATENTE]],'BASE DATOS'!F:L,7,0)</f>
        <v>2019</v>
      </c>
      <c r="K1579" s="619">
        <f>+VLOOKUP(Tabla3[[#This Row],[PATENTE]],'BASE DATOS'!F:M,8,0)</f>
        <v>6</v>
      </c>
    </row>
    <row r="1580" spans="1:11" ht="15" hidden="1" customHeight="1">
      <c r="A1580" s="1067" t="s">
        <v>926</v>
      </c>
      <c r="B1580" s="1068">
        <v>3</v>
      </c>
      <c r="C1580" s="1066">
        <v>46048</v>
      </c>
      <c r="D1580" s="582">
        <f t="shared" si="57"/>
        <v>5</v>
      </c>
      <c r="E1580" s="618" t="str">
        <f>+VLOOKUP(Tabla3[[#This Row],[PATENTE]],'BASE DATOS'!F:G,2,0)</f>
        <v xml:space="preserve">TRANSPORTE GENA GAIA - DUF042 </v>
      </c>
      <c r="F1580" s="584" t="str">
        <f>+VLOOKUP(Tabla3[[#This Row],[PATENTE]],'BASE DATOS'!F:H,3,0)</f>
        <v>24P</v>
      </c>
      <c r="G1580" s="584" t="str">
        <f>+VLOOKUP(Tabla3[[#This Row],[PATENTE]],'BASE DATOS'!F:I,4,0)</f>
        <v>Gestya</v>
      </c>
      <c r="H1580" s="584" t="str">
        <f>+VLOOKUP(Tabla3[[#This Row],[PATENTE]],'BASE DATOS'!F:J,5,0)</f>
        <v xml:space="preserve">NO </v>
      </c>
      <c r="I1580" s="584" t="str">
        <f>+VLOOKUP(Tabla3[[#This Row],[PATENTE]],'BASE DATOS'!F:K,6,0)</f>
        <v>NO</v>
      </c>
      <c r="J1580" s="584">
        <f>+VLOOKUP(Tabla3[[#This Row],[PATENTE]],'BASE DATOS'!F:L,7,0)</f>
        <v>2001</v>
      </c>
      <c r="K1580" s="619">
        <f>+VLOOKUP(Tabla3[[#This Row],[PATENTE]],'BASE DATOS'!F:M,8,0)</f>
        <v>24</v>
      </c>
    </row>
    <row r="1581" spans="1:11" ht="15" hidden="1" customHeight="1">
      <c r="A1581" s="1067" t="s">
        <v>881</v>
      </c>
      <c r="B1581" s="1068">
        <v>3</v>
      </c>
      <c r="C1581" s="1066">
        <v>46048</v>
      </c>
      <c r="D1581" s="582">
        <f t="shared" si="57"/>
        <v>5</v>
      </c>
      <c r="E1581" s="618" t="str">
        <f>+VLOOKUP(Tabla3[[#This Row],[PATENTE]],'BASE DATOS'!F:G,2,0)</f>
        <v xml:space="preserve">MAÑAS NORBERTO - DUQ686 </v>
      </c>
      <c r="F1581" s="584" t="str">
        <f>+VLOOKUP(Tabla3[[#This Row],[PATENTE]],'BASE DATOS'!F:H,3,0)</f>
        <v>8P</v>
      </c>
      <c r="G1581" s="584" t="str">
        <f>+VLOOKUP(Tabla3[[#This Row],[PATENTE]],'BASE DATOS'!F:I,4,0)</f>
        <v>SI</v>
      </c>
      <c r="H1581" s="584" t="str">
        <f>+VLOOKUP(Tabla3[[#This Row],[PATENTE]],'BASE DATOS'!F:J,5,0)</f>
        <v>SI</v>
      </c>
      <c r="I1581" s="584" t="str">
        <f>+VLOOKUP(Tabla3[[#This Row],[PATENTE]],'BASE DATOS'!F:K,6,0)</f>
        <v>NO</v>
      </c>
      <c r="J1581" s="584">
        <f>+VLOOKUP(Tabla3[[#This Row],[PATENTE]],'BASE DATOS'!F:L,7,0)</f>
        <v>2001</v>
      </c>
      <c r="K1581" s="619">
        <f>+VLOOKUP(Tabla3[[#This Row],[PATENTE]],'BASE DATOS'!F:M,8,0)</f>
        <v>24</v>
      </c>
    </row>
    <row r="1582" spans="1:11" ht="15" hidden="1" customHeight="1">
      <c r="A1582" s="1067" t="s">
        <v>892</v>
      </c>
      <c r="B1582" s="1068">
        <v>3</v>
      </c>
      <c r="C1582" s="1066">
        <v>46048</v>
      </c>
      <c r="D1582" s="582">
        <f t="shared" ref="D1582:D1613" si="58">+WEEKNUM(C1582)</f>
        <v>5</v>
      </c>
      <c r="E1582" s="618" t="str">
        <f>+VLOOKUP(Tabla3[[#This Row],[PATENTE]],'BASE DATOS'!F:G,2,0)</f>
        <v xml:space="preserve">COLO - FTL525 </v>
      </c>
      <c r="F1582" s="584" t="str">
        <f>+VLOOKUP(Tabla3[[#This Row],[PATENTE]],'BASE DATOS'!F:H,3,0)</f>
        <v>1P</v>
      </c>
      <c r="G1582" s="584" t="str">
        <f>+VLOOKUP(Tabla3[[#This Row],[PATENTE]],'BASE DATOS'!F:I,4,0)</f>
        <v>NO</v>
      </c>
      <c r="H1582" s="584" t="str">
        <f>+VLOOKUP(Tabla3[[#This Row],[PATENTE]],'BASE DATOS'!F:J,5,0)</f>
        <v>SI</v>
      </c>
      <c r="I1582" s="584" t="str">
        <f>+VLOOKUP(Tabla3[[#This Row],[PATENTE]],'BASE DATOS'!F:K,6,0)</f>
        <v>NO</v>
      </c>
      <c r="J1582" s="584">
        <f>+VLOOKUP(Tabla3[[#This Row],[PATENTE]],'BASE DATOS'!F:L,7,0)</f>
        <v>2008</v>
      </c>
      <c r="K1582" s="619">
        <f>+VLOOKUP(Tabla3[[#This Row],[PATENTE]],'BASE DATOS'!F:M,8,0)</f>
        <v>17</v>
      </c>
    </row>
    <row r="1583" spans="1:11" ht="15" hidden="1" customHeight="1">
      <c r="A1583" s="1067" t="s">
        <v>889</v>
      </c>
      <c r="B1583" s="1068">
        <v>3</v>
      </c>
      <c r="C1583" s="1066">
        <v>46048</v>
      </c>
      <c r="D1583" s="582">
        <f t="shared" si="58"/>
        <v>5</v>
      </c>
      <c r="E1583" s="618" t="str">
        <f>+VLOOKUP(Tabla3[[#This Row],[PATENTE]],'BASE DATOS'!F:G,2,0)</f>
        <v xml:space="preserve">COLO - HAW164 </v>
      </c>
      <c r="F1583" s="584" t="str">
        <f>+VLOOKUP(Tabla3[[#This Row],[PATENTE]],'BASE DATOS'!F:H,3,0)</f>
        <v>6P</v>
      </c>
      <c r="G1583" s="584" t="str">
        <f>+VLOOKUP(Tabla3[[#This Row],[PATENTE]],'BASE DATOS'!F:I,4,0)</f>
        <v>NO</v>
      </c>
      <c r="H1583" s="584" t="str">
        <f>+VLOOKUP(Tabla3[[#This Row],[PATENTE]],'BASE DATOS'!F:J,5,0)</f>
        <v>SI</v>
      </c>
      <c r="I1583" s="584" t="str">
        <f>+VLOOKUP(Tabla3[[#This Row],[PATENTE]],'BASE DATOS'!F:K,6,0)</f>
        <v>NO</v>
      </c>
      <c r="J1583" s="584">
        <f>+VLOOKUP(Tabla3[[#This Row],[PATENTE]],'BASE DATOS'!F:L,7,0)</f>
        <v>2009</v>
      </c>
      <c r="K1583" s="619">
        <f>+VLOOKUP(Tabla3[[#This Row],[PATENTE]],'BASE DATOS'!F:M,8,0)</f>
        <v>16</v>
      </c>
    </row>
    <row r="1584" spans="1:11" ht="15" hidden="1" customHeight="1">
      <c r="A1584" s="1067" t="s">
        <v>891</v>
      </c>
      <c r="B1584" s="1068">
        <v>3</v>
      </c>
      <c r="C1584" s="1066">
        <v>46048</v>
      </c>
      <c r="D1584" s="582">
        <f t="shared" si="58"/>
        <v>5</v>
      </c>
      <c r="E1584" s="618" t="str">
        <f>+VLOOKUP(Tabla3[[#This Row],[PATENTE]],'BASE DATOS'!F:G,2,0)</f>
        <v xml:space="preserve">GANZINI HUGO - HHA085 </v>
      </c>
      <c r="F1584" s="584" t="str">
        <f>+VLOOKUP(Tabla3[[#This Row],[PATENTE]],'BASE DATOS'!F:H,3,0)</f>
        <v>2P</v>
      </c>
      <c r="G1584" s="584" t="str">
        <f>+VLOOKUP(Tabla3[[#This Row],[PATENTE]],'BASE DATOS'!F:I,4,0)</f>
        <v>SI</v>
      </c>
      <c r="H1584" s="584" t="str">
        <f>+VLOOKUP(Tabla3[[#This Row],[PATENTE]],'BASE DATOS'!F:J,5,0)</f>
        <v>SI</v>
      </c>
      <c r="I1584" s="584" t="str">
        <f>+VLOOKUP(Tabla3[[#This Row],[PATENTE]],'BASE DATOS'!F:K,6,0)</f>
        <v>NO</v>
      </c>
      <c r="J1584" s="584">
        <f>+VLOOKUP(Tabla3[[#This Row],[PATENTE]],'BASE DATOS'!F:L,7,0)</f>
        <v>2008</v>
      </c>
      <c r="K1584" s="619">
        <f>+VLOOKUP(Tabla3[[#This Row],[PATENTE]],'BASE DATOS'!F:M,8,0)</f>
        <v>17</v>
      </c>
    </row>
    <row r="1585" spans="1:11" ht="15" hidden="1" customHeight="1">
      <c r="A1585" s="1067" t="s">
        <v>924</v>
      </c>
      <c r="B1585" s="1068">
        <v>3</v>
      </c>
      <c r="C1585" s="1066">
        <v>46048</v>
      </c>
      <c r="D1585" s="582">
        <f t="shared" si="58"/>
        <v>5</v>
      </c>
      <c r="E1585" s="618" t="str">
        <f>+VLOOKUP(Tabla3[[#This Row],[PATENTE]],'BASE DATOS'!F:G,2,0)</f>
        <v>TRANSP MAVIR - HRZ429 -16P</v>
      </c>
      <c r="F1585" s="584" t="str">
        <f>+VLOOKUP(Tabla3[[#This Row],[PATENTE]],'BASE DATOS'!F:H,3,0)</f>
        <v>16P</v>
      </c>
      <c r="G1585" s="584" t="str">
        <f>+VLOOKUP(Tabla3[[#This Row],[PATENTE]],'BASE DATOS'!F:I,4,0)</f>
        <v>SI</v>
      </c>
      <c r="H1585" s="584" t="str">
        <f>+VLOOKUP(Tabla3[[#This Row],[PATENTE]],'BASE DATOS'!F:J,5,0)</f>
        <v xml:space="preserve">NO </v>
      </c>
      <c r="I1585" s="584" t="str">
        <f>+VLOOKUP(Tabla3[[#This Row],[PATENTE]],'BASE DATOS'!F:K,6,0)</f>
        <v>NO</v>
      </c>
      <c r="J1585" s="584">
        <f>+VLOOKUP(Tabla3[[#This Row],[PATENTE]],'BASE DATOS'!F:L,7,0)</f>
        <v>2008</v>
      </c>
      <c r="K1585" s="619">
        <f>+VLOOKUP(Tabla3[[#This Row],[PATENTE]],'BASE DATOS'!F:M,8,0)</f>
        <v>17</v>
      </c>
    </row>
    <row r="1586" spans="1:11" ht="15" hidden="1" customHeight="1">
      <c r="A1586" s="1067" t="s">
        <v>900</v>
      </c>
      <c r="B1586" s="1068">
        <v>3</v>
      </c>
      <c r="C1586" s="1066">
        <v>46048</v>
      </c>
      <c r="D1586" s="582">
        <f t="shared" si="58"/>
        <v>5</v>
      </c>
      <c r="E1586" s="618" t="str">
        <f>+VLOOKUP(Tabla3[[#This Row],[PATENTE]],'BASE DATOS'!F:G,2,0)</f>
        <v>TRANSPORTE GENA GAIA - IMO939</v>
      </c>
      <c r="F1586" s="584" t="str">
        <f>+VLOOKUP(Tabla3[[#This Row],[PATENTE]],'BASE DATOS'!F:H,3,0)</f>
        <v>24P</v>
      </c>
      <c r="G1586" s="584" t="str">
        <f>+VLOOKUP(Tabla3[[#This Row],[PATENTE]],'BASE DATOS'!F:I,4,0)</f>
        <v>Gestya</v>
      </c>
      <c r="H1586" s="584" t="str">
        <f>+VLOOKUP(Tabla3[[#This Row],[PATENTE]],'BASE DATOS'!F:J,5,0)</f>
        <v xml:space="preserve">NO </v>
      </c>
      <c r="I1586" s="584" t="str">
        <f>+VLOOKUP(Tabla3[[#This Row],[PATENTE]],'BASE DATOS'!F:K,6,0)</f>
        <v>NO</v>
      </c>
      <c r="J1586" s="584">
        <f>+VLOOKUP(Tabla3[[#This Row],[PATENTE]],'BASE DATOS'!F:L,7,0)</f>
        <v>2010</v>
      </c>
      <c r="K1586" s="619">
        <f>+VLOOKUP(Tabla3[[#This Row],[PATENTE]],'BASE DATOS'!F:M,8,0)</f>
        <v>15</v>
      </c>
    </row>
    <row r="1587" spans="1:11" ht="15" hidden="1" customHeight="1">
      <c r="A1587" s="1067" t="s">
        <v>950</v>
      </c>
      <c r="B1587" s="1068">
        <v>3</v>
      </c>
      <c r="C1587" s="1066">
        <v>46048</v>
      </c>
      <c r="D1587" s="582">
        <f t="shared" si="58"/>
        <v>5</v>
      </c>
      <c r="E1587" s="618" t="str">
        <f>+VLOOKUP(Tabla3[[#This Row],[PATENTE]],'BASE DATOS'!F:G,2,0)</f>
        <v>TRANSP DON NENO -IRK036- 2P</v>
      </c>
      <c r="F1587" s="584" t="str">
        <f>+VLOOKUP(Tabla3[[#This Row],[PATENTE]],'BASE DATOS'!F:H,3,0)</f>
        <v>2P</v>
      </c>
      <c r="G1587" s="584" t="str">
        <f>+VLOOKUP(Tabla3[[#This Row],[PATENTE]],'BASE DATOS'!F:I,4,0)</f>
        <v>NO</v>
      </c>
      <c r="H1587" s="584" t="str">
        <f>+VLOOKUP(Tabla3[[#This Row],[PATENTE]],'BASE DATOS'!F:J,5,0)</f>
        <v>NO</v>
      </c>
      <c r="I1587" s="584" t="str">
        <f>+VLOOKUP(Tabla3[[#This Row],[PATENTE]],'BASE DATOS'!F:K,6,0)</f>
        <v>NO</v>
      </c>
      <c r="J1587" s="584">
        <f>+VLOOKUP(Tabla3[[#This Row],[PATENTE]],'BASE DATOS'!F:L,7,0)</f>
        <v>2010</v>
      </c>
      <c r="K1587" s="619">
        <f>+VLOOKUP(Tabla3[[#This Row],[PATENTE]],'BASE DATOS'!F:M,8,0)</f>
        <v>15</v>
      </c>
    </row>
    <row r="1588" spans="1:11" ht="15" hidden="1" customHeight="1">
      <c r="A1588" s="1067" t="s">
        <v>896</v>
      </c>
      <c r="B1588" s="1068">
        <v>3</v>
      </c>
      <c r="C1588" s="1066">
        <v>46048</v>
      </c>
      <c r="D1588" s="582">
        <f t="shared" si="58"/>
        <v>5</v>
      </c>
      <c r="E1588" s="618" t="str">
        <f>+VLOOKUP(Tabla3[[#This Row],[PATENTE]],'BASE DATOS'!F:G,2,0)</f>
        <v xml:space="preserve">TRANSP MAVIR - RHQ609 </v>
      </c>
      <c r="F1588" s="584" t="str">
        <f>+VLOOKUP(Tabla3[[#This Row],[PATENTE]],'BASE DATOS'!F:H,3,0)</f>
        <v>10P</v>
      </c>
      <c r="G1588" s="584" t="str">
        <f>+VLOOKUP(Tabla3[[#This Row],[PATENTE]],'BASE DATOS'!F:I,4,0)</f>
        <v>NO</v>
      </c>
      <c r="H1588" s="584" t="str">
        <f>+VLOOKUP(Tabla3[[#This Row],[PATENTE]],'BASE DATOS'!F:J,5,0)</f>
        <v xml:space="preserve">NO </v>
      </c>
      <c r="I1588" s="584" t="str">
        <f>+VLOOKUP(Tabla3[[#This Row],[PATENTE]],'BASE DATOS'!F:K,6,0)</f>
        <v>NO</v>
      </c>
      <c r="J1588" s="584">
        <f>+VLOOKUP(Tabla3[[#This Row],[PATENTE]],'BASE DATOS'!F:L,7,0)</f>
        <v>1995</v>
      </c>
      <c r="K1588" s="619">
        <f>+VLOOKUP(Tabla3[[#This Row],[PATENTE]],'BASE DATOS'!F:M,8,0)</f>
        <v>30</v>
      </c>
    </row>
    <row r="1589" spans="1:11" ht="15" hidden="1" customHeight="1">
      <c r="A1589" s="1067" t="s">
        <v>942</v>
      </c>
      <c r="B1589" s="1068">
        <v>2</v>
      </c>
      <c r="C1589" s="1066">
        <v>46048</v>
      </c>
      <c r="D1589" s="582">
        <f t="shared" si="58"/>
        <v>5</v>
      </c>
      <c r="E1589" s="618" t="str">
        <f>+VLOOKUP(Tabla3[[#This Row],[PATENTE]],'BASE DATOS'!F:G,2,0)</f>
        <v>GANZINI HUGO - AH599 - 1P</v>
      </c>
      <c r="F1589" s="584" t="str">
        <f>+VLOOKUP(Tabla3[[#This Row],[PATENTE]],'BASE DATOS'!F:H,3,0)</f>
        <v>1P</v>
      </c>
      <c r="G1589" s="584" t="str">
        <f>+VLOOKUP(Tabla3[[#This Row],[PATENTE]],'BASE DATOS'!F:I,4,0)</f>
        <v>NO</v>
      </c>
      <c r="H1589" s="584" t="str">
        <f>+VLOOKUP(Tabla3[[#This Row],[PATENTE]],'BASE DATOS'!F:J,5,0)</f>
        <v>NO</v>
      </c>
      <c r="I1589" s="584" t="str">
        <f>+VLOOKUP(Tabla3[[#This Row],[PATENTE]],'BASE DATOS'!F:K,6,0)</f>
        <v>NO</v>
      </c>
      <c r="J1589" s="584">
        <f>+VLOOKUP(Tabla3[[#This Row],[PATENTE]],'BASE DATOS'!F:L,7,0)</f>
        <v>2025</v>
      </c>
      <c r="K1589" s="619">
        <f>+VLOOKUP(Tabla3[[#This Row],[PATENTE]],'BASE DATOS'!F:M,8,0)</f>
        <v>0</v>
      </c>
    </row>
    <row r="1590" spans="1:11" ht="15" hidden="1" customHeight="1">
      <c r="A1590" s="1067" t="s">
        <v>927</v>
      </c>
      <c r="B1590" s="1068">
        <v>2</v>
      </c>
      <c r="C1590" s="1066">
        <v>46048</v>
      </c>
      <c r="D1590" s="582">
        <f t="shared" si="58"/>
        <v>5</v>
      </c>
      <c r="E1590" s="618" t="str">
        <f>+VLOOKUP(Tabla3[[#This Row],[PATENTE]],'BASE DATOS'!F:G,2,0)</f>
        <v xml:space="preserve">TRANSP MAVIR - EKE275 </v>
      </c>
      <c r="F1590" s="584" t="str">
        <f>+VLOOKUP(Tabla3[[#This Row],[PATENTE]],'BASE DATOS'!F:H,3,0)</f>
        <v>11P</v>
      </c>
      <c r="G1590" s="584" t="str">
        <f>+VLOOKUP(Tabla3[[#This Row],[PATENTE]],'BASE DATOS'!F:I,4,0)</f>
        <v>NO</v>
      </c>
      <c r="H1590" s="584" t="str">
        <f>+VLOOKUP(Tabla3[[#This Row],[PATENTE]],'BASE DATOS'!F:J,5,0)</f>
        <v xml:space="preserve">NO </v>
      </c>
      <c r="I1590" s="584" t="str">
        <f>+VLOOKUP(Tabla3[[#This Row],[PATENTE]],'BASE DATOS'!F:K,6,0)</f>
        <v>NO</v>
      </c>
      <c r="J1590" s="584">
        <f>+VLOOKUP(Tabla3[[#This Row],[PATENTE]],'BASE DATOS'!F:L,7,0)</f>
        <v>2004</v>
      </c>
      <c r="K1590" s="619">
        <f>+VLOOKUP(Tabla3[[#This Row],[PATENTE]],'BASE DATOS'!F:M,8,0)</f>
        <v>21</v>
      </c>
    </row>
    <row r="1591" spans="1:11" ht="15" hidden="1" customHeight="1">
      <c r="A1591" s="1067" t="s">
        <v>938</v>
      </c>
      <c r="B1591" s="1068">
        <v>2</v>
      </c>
      <c r="C1591" s="1066">
        <v>46048</v>
      </c>
      <c r="D1591" s="582">
        <f t="shared" si="58"/>
        <v>5</v>
      </c>
      <c r="E1591" s="618" t="str">
        <f>+VLOOKUP(Tabla3[[#This Row],[PATENTE]],'BASE DATOS'!F:G,2,0)</f>
        <v>TRANSPORTE GENA GAIA - GYH519  - 26P</v>
      </c>
      <c r="F1591" s="584" t="str">
        <f>+VLOOKUP(Tabla3[[#This Row],[PATENTE]],'BASE DATOS'!F:H,3,0)</f>
        <v>26P</v>
      </c>
      <c r="G1591" s="584" t="str">
        <f>+VLOOKUP(Tabla3[[#This Row],[PATENTE]],'BASE DATOS'!F:I,4,0)</f>
        <v>GESTYA</v>
      </c>
      <c r="H1591" s="584" t="str">
        <f>+VLOOKUP(Tabla3[[#This Row],[PATENTE]],'BASE DATOS'!F:J,5,0)</f>
        <v xml:space="preserve">NO </v>
      </c>
      <c r="I1591" s="584" t="str">
        <f>+VLOOKUP(Tabla3[[#This Row],[PATENTE]],'BASE DATOS'!F:K,6,0)</f>
        <v>NO</v>
      </c>
      <c r="J1591" s="584">
        <f>+VLOOKUP(Tabla3[[#This Row],[PATENTE]],'BASE DATOS'!F:L,7,0)</f>
        <v>2008</v>
      </c>
      <c r="K1591" s="619">
        <f>+VLOOKUP(Tabla3[[#This Row],[PATENTE]],'BASE DATOS'!F:M,8,0)</f>
        <v>17</v>
      </c>
    </row>
    <row r="1592" spans="1:11" ht="15" hidden="1" customHeight="1">
      <c r="A1592" s="1067" t="s">
        <v>914</v>
      </c>
      <c r="B1592" s="1068">
        <v>2</v>
      </c>
      <c r="C1592" s="1066">
        <v>46048</v>
      </c>
      <c r="D1592" s="582">
        <f t="shared" si="58"/>
        <v>5</v>
      </c>
      <c r="E1592" s="618" t="str">
        <f>+VLOOKUP(Tabla3[[#This Row],[PATENTE]],'BASE DATOS'!F:G,2,0)</f>
        <v>TRANSP DON NENO - HCP674</v>
      </c>
      <c r="F1592" s="584" t="str">
        <f>+VLOOKUP(Tabla3[[#This Row],[PATENTE]],'BASE DATOS'!F:H,3,0)</f>
        <v>2P</v>
      </c>
      <c r="G1592" s="584" t="str">
        <f>+VLOOKUP(Tabla3[[#This Row],[PATENTE]],'BASE DATOS'!F:I,4,0)</f>
        <v>NO</v>
      </c>
      <c r="H1592" s="584" t="str">
        <f>+VLOOKUP(Tabla3[[#This Row],[PATENTE]],'BASE DATOS'!F:J,5,0)</f>
        <v xml:space="preserve">NO </v>
      </c>
      <c r="I1592" s="584" t="str">
        <f>+VLOOKUP(Tabla3[[#This Row],[PATENTE]],'BASE DATOS'!F:K,6,0)</f>
        <v>NO</v>
      </c>
      <c r="J1592" s="584">
        <f>+VLOOKUP(Tabla3[[#This Row],[PATENTE]],'BASE DATOS'!F:L,7,0)</f>
        <v>2008</v>
      </c>
      <c r="K1592" s="619">
        <f>+VLOOKUP(Tabla3[[#This Row],[PATENTE]],'BASE DATOS'!F:M,8,0)</f>
        <v>17</v>
      </c>
    </row>
    <row r="1593" spans="1:11" ht="15" hidden="1" customHeight="1">
      <c r="A1593" s="1067" t="s">
        <v>1123</v>
      </c>
      <c r="B1593" s="1068">
        <v>2</v>
      </c>
      <c r="C1593" s="1066">
        <v>46048</v>
      </c>
      <c r="D1593" s="582">
        <f t="shared" si="58"/>
        <v>5</v>
      </c>
      <c r="E1593" s="618" t="str">
        <f>+VLOOKUP(Tabla3[[#This Row],[PATENTE]],'BASE DATOS'!F:G,2,0)</f>
        <v>TRANSP LAGOS - IDK392 - 2P</v>
      </c>
      <c r="F1593" s="584" t="str">
        <f>+VLOOKUP(Tabla3[[#This Row],[PATENTE]],'BASE DATOS'!F:H,3,0)</f>
        <v>2P</v>
      </c>
      <c r="G1593" s="584" t="str">
        <f>+VLOOKUP(Tabla3[[#This Row],[PATENTE]],'BASE DATOS'!F:I,4,0)</f>
        <v>NO</v>
      </c>
      <c r="H1593" s="584" t="str">
        <f>+VLOOKUP(Tabla3[[#This Row],[PATENTE]],'BASE DATOS'!F:J,5,0)</f>
        <v>NO</v>
      </c>
      <c r="I1593" s="584" t="str">
        <f>+VLOOKUP(Tabla3[[#This Row],[PATENTE]],'BASE DATOS'!F:K,6,0)</f>
        <v>NO</v>
      </c>
      <c r="J1593" s="584">
        <f>+VLOOKUP(Tabla3[[#This Row],[PATENTE]],'BASE DATOS'!F:L,7,0)</f>
        <v>2009</v>
      </c>
      <c r="K1593" s="619">
        <f>+VLOOKUP(Tabla3[[#This Row],[PATENTE]],'BASE DATOS'!F:M,8,0)</f>
        <v>16</v>
      </c>
    </row>
    <row r="1594" spans="1:11" ht="15" hidden="1" customHeight="1">
      <c r="A1594" s="1067" t="s">
        <v>1124</v>
      </c>
      <c r="B1594" s="1068">
        <v>2</v>
      </c>
      <c r="C1594" s="1066">
        <v>46048</v>
      </c>
      <c r="D1594" s="582">
        <f t="shared" si="58"/>
        <v>5</v>
      </c>
      <c r="E1594" s="618" t="str">
        <f>+VLOOKUP(Tabla3[[#This Row],[PATENTE]],'BASE DATOS'!F:G,2,0)</f>
        <v>TRANSP DON NENO - JNO540</v>
      </c>
      <c r="F1594" s="584" t="str">
        <f>+VLOOKUP(Tabla3[[#This Row],[PATENTE]],'BASE DATOS'!F:H,3,0)</f>
        <v>8P</v>
      </c>
      <c r="G1594" s="584" t="str">
        <f>+VLOOKUP(Tabla3[[#This Row],[PATENTE]],'BASE DATOS'!F:I,4,0)</f>
        <v>NO</v>
      </c>
      <c r="H1594" s="584" t="str">
        <f>+VLOOKUP(Tabla3[[#This Row],[PATENTE]],'BASE DATOS'!F:J,5,0)</f>
        <v xml:space="preserve">NO </v>
      </c>
      <c r="I1594" s="584" t="str">
        <f>+VLOOKUP(Tabla3[[#This Row],[PATENTE]],'BASE DATOS'!F:K,6,0)</f>
        <v>NO</v>
      </c>
      <c r="J1594" s="584">
        <f>+VLOOKUP(Tabla3[[#This Row],[PATENTE]],'BASE DATOS'!F:L,7,0)</f>
        <v>2011</v>
      </c>
      <c r="K1594" s="619">
        <f>+VLOOKUP(Tabla3[[#This Row],[PATENTE]],'BASE DATOS'!F:M,8,0)</f>
        <v>14</v>
      </c>
    </row>
    <row r="1595" spans="1:11" ht="15" hidden="1" customHeight="1">
      <c r="A1595" s="1067" t="s">
        <v>1125</v>
      </c>
      <c r="B1595" s="1068">
        <v>2</v>
      </c>
      <c r="C1595" s="1066">
        <v>46048</v>
      </c>
      <c r="D1595" s="582">
        <f t="shared" si="58"/>
        <v>5</v>
      </c>
      <c r="E1595" s="618" t="str">
        <f>+VLOOKUP(Tabla3[[#This Row],[PATENTE]],'BASE DATOS'!F:G,2,0)</f>
        <v>TRANSPORTE FIGGINI - LYX479 - 12p (CON PALA)</v>
      </c>
      <c r="F1595" s="584" t="str">
        <f>+VLOOKUP(Tabla3[[#This Row],[PATENTE]],'BASE DATOS'!F:H,3,0)</f>
        <v>12P</v>
      </c>
      <c r="G1595" s="584" t="str">
        <f>+VLOOKUP(Tabla3[[#This Row],[PATENTE]],'BASE DATOS'!F:I,4,0)</f>
        <v>NO</v>
      </c>
      <c r="H1595" s="584" t="str">
        <f>+VLOOKUP(Tabla3[[#This Row],[PATENTE]],'BASE DATOS'!F:J,5,0)</f>
        <v>NO</v>
      </c>
      <c r="I1595" s="584" t="str">
        <f>+VLOOKUP(Tabla3[[#This Row],[PATENTE]],'BASE DATOS'!F:K,6,0)</f>
        <v>SI</v>
      </c>
      <c r="J1595" s="584">
        <f>+VLOOKUP(Tabla3[[#This Row],[PATENTE]],'BASE DATOS'!F:L,7,0)</f>
        <v>2012</v>
      </c>
      <c r="K1595" s="619">
        <f>+VLOOKUP(Tabla3[[#This Row],[PATENTE]],'BASE DATOS'!F:M,8,0)</f>
        <v>13</v>
      </c>
    </row>
    <row r="1596" spans="1:11" ht="15" hidden="1" customHeight="1">
      <c r="A1596" s="1067" t="s">
        <v>890</v>
      </c>
      <c r="B1596" s="1068">
        <v>1</v>
      </c>
      <c r="C1596" s="1066">
        <v>46048</v>
      </c>
      <c r="D1596" s="582">
        <f t="shared" si="58"/>
        <v>5</v>
      </c>
      <c r="E1596" s="618" t="str">
        <f>+VLOOKUP(Tabla3[[#This Row],[PATENTE]],'BASE DATOS'!F:G,2,0)</f>
        <v xml:space="preserve">TRANSPORTE GRACIELA - AC040RO </v>
      </c>
      <c r="F1596" s="584" t="str">
        <f>+VLOOKUP(Tabla3[[#This Row],[PATENTE]],'BASE DATOS'!F:H,3,0)</f>
        <v>1P</v>
      </c>
      <c r="G1596" s="584" t="str">
        <f>+VLOOKUP(Tabla3[[#This Row],[PATENTE]],'BASE DATOS'!F:I,4,0)</f>
        <v>SI</v>
      </c>
      <c r="H1596" s="584" t="str">
        <f>+VLOOKUP(Tabla3[[#This Row],[PATENTE]],'BASE DATOS'!F:J,5,0)</f>
        <v>ACEPTA( VER CAMI)</v>
      </c>
      <c r="I1596" s="584" t="str">
        <f>+VLOOKUP(Tabla3[[#This Row],[PATENTE]],'BASE DATOS'!F:K,6,0)</f>
        <v>NO</v>
      </c>
      <c r="J1596" s="584">
        <f>+VLOOKUP(Tabla3[[#This Row],[PATENTE]],'BASE DATOS'!F:L,7,0)</f>
        <v>2017</v>
      </c>
      <c r="K1596" s="619">
        <f>+VLOOKUP(Tabla3[[#This Row],[PATENTE]],'BASE DATOS'!F:M,8,0)</f>
        <v>8</v>
      </c>
    </row>
    <row r="1597" spans="1:11" ht="15" hidden="1" customHeight="1">
      <c r="A1597" s="1067" t="s">
        <v>1134</v>
      </c>
      <c r="B1597" s="1068">
        <v>1</v>
      </c>
      <c r="C1597" s="1066">
        <v>46048</v>
      </c>
      <c r="D1597" s="582">
        <f t="shared" si="58"/>
        <v>5</v>
      </c>
      <c r="E1597" s="618" t="str">
        <f>+VLOOKUP(Tabla3[[#This Row],[PATENTE]],'BASE DATOS'!F:G,2,0)</f>
        <v>GANZINI HUGO- 8P</v>
      </c>
      <c r="F1597" s="584" t="str">
        <f>+VLOOKUP(Tabla3[[#This Row],[PATENTE]],'BASE DATOS'!F:H,3,0)</f>
        <v>8P</v>
      </c>
      <c r="G1597" s="584" t="str">
        <f>+VLOOKUP(Tabla3[[#This Row],[PATENTE]],'BASE DATOS'!F:I,4,0)</f>
        <v>NO</v>
      </c>
      <c r="H1597" s="584" t="str">
        <f>+VLOOKUP(Tabla3[[#This Row],[PATENTE]],'BASE DATOS'!F:J,5,0)</f>
        <v xml:space="preserve">NO </v>
      </c>
      <c r="I1597" s="584" t="str">
        <f>+VLOOKUP(Tabla3[[#This Row],[PATENTE]],'BASE DATOS'!F:K,6,0)</f>
        <v>NO</v>
      </c>
      <c r="J1597" s="584">
        <f>+VLOOKUP(Tabla3[[#This Row],[PATENTE]],'BASE DATOS'!F:L,7,0)</f>
        <v>2018</v>
      </c>
      <c r="K1597" s="619">
        <f>+VLOOKUP(Tabla3[[#This Row],[PATENTE]],'BASE DATOS'!F:M,8,0)</f>
        <v>7</v>
      </c>
    </row>
    <row r="1598" spans="1:11" ht="15" hidden="1" customHeight="1">
      <c r="A1598" s="1067" t="s">
        <v>1135</v>
      </c>
      <c r="B1598" s="1068">
        <v>1</v>
      </c>
      <c r="C1598" s="1066">
        <v>46048</v>
      </c>
      <c r="D1598" s="582">
        <f t="shared" si="58"/>
        <v>5</v>
      </c>
      <c r="E1598" s="618" t="str">
        <f>+VLOOKUP(Tabla3[[#This Row],[PATENTE]],'BASE DATOS'!F:G,2,0)</f>
        <v>BELLIMAR SRL - AF582BJ - 28P</v>
      </c>
      <c r="F1598" s="584" t="str">
        <f>+VLOOKUP(Tabla3[[#This Row],[PATENTE]],'BASE DATOS'!F:H,3,0)</f>
        <v>28P</v>
      </c>
      <c r="G1598" s="584" t="str">
        <f>+VLOOKUP(Tabla3[[#This Row],[PATENTE]],'BASE DATOS'!F:I,4,0)</f>
        <v>NO</v>
      </c>
      <c r="H1598" s="584" t="str">
        <f>+VLOOKUP(Tabla3[[#This Row],[PATENTE]],'BASE DATOS'!F:J,5,0)</f>
        <v xml:space="preserve">NO </v>
      </c>
      <c r="I1598" s="584" t="str">
        <f>+VLOOKUP(Tabla3[[#This Row],[PATENTE]],'BASE DATOS'!F:K,6,0)</f>
        <v>NO</v>
      </c>
      <c r="J1598" s="584">
        <f>+VLOOKUP(Tabla3[[#This Row],[PATENTE]],'BASE DATOS'!F:L,7,0)</f>
        <v>2022</v>
      </c>
      <c r="K1598" s="619">
        <f>+VLOOKUP(Tabla3[[#This Row],[PATENTE]],'BASE DATOS'!F:M,8,0)</f>
        <v>3</v>
      </c>
    </row>
    <row r="1599" spans="1:11" ht="15" hidden="1" customHeight="1">
      <c r="A1599" s="1067" t="s">
        <v>1127</v>
      </c>
      <c r="B1599" s="1068">
        <v>1</v>
      </c>
      <c r="C1599" s="1066">
        <v>46048</v>
      </c>
      <c r="D1599" s="582">
        <f t="shared" si="58"/>
        <v>5</v>
      </c>
      <c r="E1599" s="618" t="str">
        <f>+VLOOKUP(Tabla3[[#This Row],[PATENTE]],'BASE DATOS'!F:G,2,0)</f>
        <v xml:space="preserve">BELLIMAR SRL - BIS283 </v>
      </c>
      <c r="F1599" s="584" t="str">
        <f>+VLOOKUP(Tabla3[[#This Row],[PATENTE]],'BASE DATOS'!F:H,3,0)</f>
        <v>28P</v>
      </c>
      <c r="G1599" s="584" t="str">
        <f>+VLOOKUP(Tabla3[[#This Row],[PATENTE]],'BASE DATOS'!F:I,4,0)</f>
        <v>NO</v>
      </c>
      <c r="H1599" s="584" t="str">
        <f>+VLOOKUP(Tabla3[[#This Row],[PATENTE]],'BASE DATOS'!F:J,5,0)</f>
        <v xml:space="preserve">NO </v>
      </c>
      <c r="I1599" s="584" t="str">
        <f>+VLOOKUP(Tabla3[[#This Row],[PATENTE]],'BASE DATOS'!F:K,6,0)</f>
        <v>NO</v>
      </c>
      <c r="J1599" s="584">
        <f>+VLOOKUP(Tabla3[[#This Row],[PATENTE]],'BASE DATOS'!F:L,7,0)</f>
        <v>1999</v>
      </c>
      <c r="K1599" s="619">
        <f>+VLOOKUP(Tabla3[[#This Row],[PATENTE]],'BASE DATOS'!F:M,8,0)</f>
        <v>26</v>
      </c>
    </row>
    <row r="1600" spans="1:11" ht="15" hidden="1" customHeight="1">
      <c r="A1600" s="1067" t="s">
        <v>923</v>
      </c>
      <c r="B1600" s="1068">
        <v>1</v>
      </c>
      <c r="C1600" s="1066">
        <v>46048</v>
      </c>
      <c r="D1600" s="582">
        <f t="shared" si="58"/>
        <v>5</v>
      </c>
      <c r="E1600" s="618" t="str">
        <f>+VLOOKUP(Tabla3[[#This Row],[PATENTE]],'BASE DATOS'!F:G,2,0)</f>
        <v xml:space="preserve">TRANSPORTE GENA GAIA - DLP830 </v>
      </c>
      <c r="F1600" s="584" t="str">
        <f>+VLOOKUP(Tabla3[[#This Row],[PATENTE]],'BASE DATOS'!F:H,3,0)</f>
        <v>24P</v>
      </c>
      <c r="G1600" s="584" t="str">
        <f>+VLOOKUP(Tabla3[[#This Row],[PATENTE]],'BASE DATOS'!F:I,4,0)</f>
        <v>Gestya</v>
      </c>
      <c r="H1600" s="584" t="str">
        <f>+VLOOKUP(Tabla3[[#This Row],[PATENTE]],'BASE DATOS'!F:J,5,0)</f>
        <v xml:space="preserve">NO </v>
      </c>
      <c r="I1600" s="584" t="str">
        <f>+VLOOKUP(Tabla3[[#This Row],[PATENTE]],'BASE DATOS'!F:K,6,0)</f>
        <v>NO</v>
      </c>
      <c r="J1600" s="584">
        <f>+VLOOKUP(Tabla3[[#This Row],[PATENTE]],'BASE DATOS'!F:L,7,0)</f>
        <v>2001</v>
      </c>
      <c r="K1600" s="619">
        <f>+VLOOKUP(Tabla3[[#This Row],[PATENTE]],'BASE DATOS'!F:M,8,0)</f>
        <v>24</v>
      </c>
    </row>
    <row r="1601" spans="1:11" ht="15" hidden="1" customHeight="1">
      <c r="A1601" s="1067" t="s">
        <v>932</v>
      </c>
      <c r="B1601" s="1068">
        <v>1</v>
      </c>
      <c r="C1601" s="1066">
        <v>46048</v>
      </c>
      <c r="D1601" s="582">
        <f t="shared" si="58"/>
        <v>5</v>
      </c>
      <c r="E1601" s="618" t="str">
        <f>+VLOOKUP(Tabla3[[#This Row],[PATENTE]],'BASE DATOS'!F:G,2,0)</f>
        <v xml:space="preserve">TRANSP MAVIR - EFL176 </v>
      </c>
      <c r="F1601" s="584" t="str">
        <f>+VLOOKUP(Tabla3[[#This Row],[PATENTE]],'BASE DATOS'!F:H,3,0)</f>
        <v>12P</v>
      </c>
      <c r="G1601" s="584" t="str">
        <f>+VLOOKUP(Tabla3[[#This Row],[PATENTE]],'BASE DATOS'!F:I,4,0)</f>
        <v>SI</v>
      </c>
      <c r="H1601" s="584" t="str">
        <f>+VLOOKUP(Tabla3[[#This Row],[PATENTE]],'BASE DATOS'!F:J,5,0)</f>
        <v>SI</v>
      </c>
      <c r="I1601" s="584" t="str">
        <f>+VLOOKUP(Tabla3[[#This Row],[PATENTE]],'BASE DATOS'!F:K,6,0)</f>
        <v>NO</v>
      </c>
      <c r="J1601" s="584">
        <f>+VLOOKUP(Tabla3[[#This Row],[PATENTE]],'BASE DATOS'!F:L,7,0)</f>
        <v>1998</v>
      </c>
      <c r="K1601" s="619">
        <f>+VLOOKUP(Tabla3[[#This Row],[PATENTE]],'BASE DATOS'!F:M,8,0)</f>
        <v>27</v>
      </c>
    </row>
    <row r="1602" spans="1:11" ht="15" hidden="1" customHeight="1">
      <c r="A1602" s="1067" t="s">
        <v>933</v>
      </c>
      <c r="B1602" s="1068">
        <v>1</v>
      </c>
      <c r="C1602" s="1066">
        <v>46048</v>
      </c>
      <c r="D1602" s="582">
        <f t="shared" si="58"/>
        <v>5</v>
      </c>
      <c r="E1602" s="618" t="str">
        <f>+VLOOKUP(Tabla3[[#This Row],[PATENTE]],'BASE DATOS'!F:G,2,0)</f>
        <v xml:space="preserve">TRANSPORTE GENA GAIA - IKE806 </v>
      </c>
      <c r="F1602" s="584" t="str">
        <f>+VLOOKUP(Tabla3[[#This Row],[PATENTE]],'BASE DATOS'!F:H,3,0)</f>
        <v>24P</v>
      </c>
      <c r="G1602" s="584" t="str">
        <f>+VLOOKUP(Tabla3[[#This Row],[PATENTE]],'BASE DATOS'!F:I,4,0)</f>
        <v>Gestya</v>
      </c>
      <c r="H1602" s="584" t="str">
        <f>+VLOOKUP(Tabla3[[#This Row],[PATENTE]],'BASE DATOS'!F:J,5,0)</f>
        <v xml:space="preserve">NO </v>
      </c>
      <c r="I1602" s="584" t="str">
        <f>+VLOOKUP(Tabla3[[#This Row],[PATENTE]],'BASE DATOS'!F:K,6,0)</f>
        <v>NO</v>
      </c>
      <c r="J1602" s="584">
        <f>+VLOOKUP(Tabla3[[#This Row],[PATENTE]],'BASE DATOS'!F:L,7,0)</f>
        <v>2010</v>
      </c>
      <c r="K1602" s="619">
        <f>+VLOOKUP(Tabla3[[#This Row],[PATENTE]],'BASE DATOS'!F:M,8,0)</f>
        <v>15</v>
      </c>
    </row>
    <row r="1603" spans="1:11" ht="15" hidden="1" customHeight="1">
      <c r="A1603" s="1067" t="s">
        <v>930</v>
      </c>
      <c r="B1603" s="1068">
        <v>1</v>
      </c>
      <c r="C1603" s="1066">
        <v>46048</v>
      </c>
      <c r="D1603" s="582">
        <f t="shared" si="58"/>
        <v>5</v>
      </c>
      <c r="E1603" s="618" t="str">
        <f>+VLOOKUP(Tabla3[[#This Row],[PATENTE]],'BASE DATOS'!F:G,2,0)</f>
        <v xml:space="preserve">GANZINI HUGO - JJF375 </v>
      </c>
      <c r="F1603" s="584" t="str">
        <f>+VLOOKUP(Tabla3[[#This Row],[PATENTE]],'BASE DATOS'!F:H,3,0)</f>
        <v>14P</v>
      </c>
      <c r="G1603" s="584" t="str">
        <f>+VLOOKUP(Tabla3[[#This Row],[PATENTE]],'BASE DATOS'!F:I,4,0)</f>
        <v>SI</v>
      </c>
      <c r="H1603" s="584" t="str">
        <f>+VLOOKUP(Tabla3[[#This Row],[PATENTE]],'BASE DATOS'!F:J,5,0)</f>
        <v xml:space="preserve">NO </v>
      </c>
      <c r="I1603" s="584" t="str">
        <f>+VLOOKUP(Tabla3[[#This Row],[PATENTE]],'BASE DATOS'!F:K,6,0)</f>
        <v>NO</v>
      </c>
      <c r="J1603" s="584">
        <f>+VLOOKUP(Tabla3[[#This Row],[PATENTE]],'BASE DATOS'!F:L,7,0)</f>
        <v>2011</v>
      </c>
      <c r="K1603" s="619">
        <f>+VLOOKUP(Tabla3[[#This Row],[PATENTE]],'BASE DATOS'!F:M,8,0)</f>
        <v>14</v>
      </c>
    </row>
    <row r="1604" spans="1:11" ht="15" hidden="1" customHeight="1">
      <c r="A1604" s="1067" t="s">
        <v>913</v>
      </c>
      <c r="B1604" s="1068">
        <v>1</v>
      </c>
      <c r="C1604" s="1066">
        <v>46048</v>
      </c>
      <c r="D1604" s="582">
        <f t="shared" si="58"/>
        <v>5</v>
      </c>
      <c r="E1604" s="618" t="str">
        <f>+VLOOKUP(Tabla3[[#This Row],[PATENTE]],'BASE DATOS'!F:G,2,0)</f>
        <v xml:space="preserve">TRANSP DON NENO - KSI803 </v>
      </c>
      <c r="F1604" s="584" t="str">
        <f>+VLOOKUP(Tabla3[[#This Row],[PATENTE]],'BASE DATOS'!F:H,3,0)</f>
        <v>2P</v>
      </c>
      <c r="G1604" s="584" t="str">
        <f>+VLOOKUP(Tabla3[[#This Row],[PATENTE]],'BASE DATOS'!F:I,4,0)</f>
        <v>SI</v>
      </c>
      <c r="H1604" s="584" t="str">
        <f>+VLOOKUP(Tabla3[[#This Row],[PATENTE]],'BASE DATOS'!F:J,5,0)</f>
        <v>SI</v>
      </c>
      <c r="I1604" s="584" t="str">
        <f>+VLOOKUP(Tabla3[[#This Row],[PATENTE]],'BASE DATOS'!F:K,6,0)</f>
        <v>NO</v>
      </c>
      <c r="J1604" s="584">
        <f>+VLOOKUP(Tabla3[[#This Row],[PATENTE]],'BASE DATOS'!F:L,7,0)</f>
        <v>2012</v>
      </c>
      <c r="K1604" s="619">
        <f>+VLOOKUP(Tabla3[[#This Row],[PATENTE]],'BASE DATOS'!F:M,8,0)</f>
        <v>13</v>
      </c>
    </row>
    <row r="1605" spans="1:11" ht="15" hidden="1" customHeight="1">
      <c r="A1605" s="1067" t="s">
        <v>1136</v>
      </c>
      <c r="B1605" s="1068">
        <v>1</v>
      </c>
      <c r="C1605" s="1066">
        <v>46048</v>
      </c>
      <c r="D1605" s="582">
        <f t="shared" si="58"/>
        <v>5</v>
      </c>
      <c r="E1605" s="618" t="str">
        <f>+VLOOKUP(Tabla3[[#This Row],[PATENTE]],'BASE DATOS'!F:G,2,0)</f>
        <v>GANZINI HUGO - LEK390</v>
      </c>
      <c r="F1605" s="584" t="str">
        <f>+VLOOKUP(Tabla3[[#This Row],[PATENTE]],'BASE DATOS'!F:H,3,0)</f>
        <v>8P</v>
      </c>
      <c r="G1605" s="584" t="str">
        <f>+VLOOKUP(Tabla3[[#This Row],[PATENTE]],'BASE DATOS'!F:I,4,0)</f>
        <v>NO</v>
      </c>
      <c r="H1605" s="584" t="str">
        <f>+VLOOKUP(Tabla3[[#This Row],[PATENTE]],'BASE DATOS'!F:J,5,0)</f>
        <v xml:space="preserve">NO </v>
      </c>
      <c r="I1605" s="584" t="str">
        <f>+VLOOKUP(Tabla3[[#This Row],[PATENTE]],'BASE DATOS'!F:K,6,0)</f>
        <v>NO</v>
      </c>
      <c r="J1605" s="584">
        <f>+VLOOKUP(Tabla3[[#This Row],[PATENTE]],'BASE DATOS'!F:L,7,0)</f>
        <v>2013</v>
      </c>
      <c r="K1605" s="619">
        <f>+VLOOKUP(Tabla3[[#This Row],[PATENTE]],'BASE DATOS'!F:M,8,0)</f>
        <v>12</v>
      </c>
    </row>
    <row r="1606" spans="1:11" ht="15" hidden="1" customHeight="1">
      <c r="A1606" s="1067" t="s">
        <v>1131</v>
      </c>
      <c r="B1606" s="1068">
        <v>1</v>
      </c>
      <c r="C1606" s="1066">
        <v>46048</v>
      </c>
      <c r="D1606" s="583">
        <f t="shared" si="58"/>
        <v>5</v>
      </c>
      <c r="E1606" s="620" t="str">
        <f>+VLOOKUP(Tabla3[[#This Row],[PATENTE]],'BASE DATOS'!F:G,2,0)</f>
        <v>TRANSPORTE GENA GAIA - MCJ008</v>
      </c>
      <c r="F1606" s="587" t="str">
        <f>+VLOOKUP(Tabla3[[#This Row],[PATENTE]],'BASE DATOS'!F:H,3,0)</f>
        <v>10P</v>
      </c>
      <c r="G1606" s="587" t="str">
        <f>+VLOOKUP(Tabla3[[#This Row],[PATENTE]],'BASE DATOS'!F:I,4,0)</f>
        <v>NO</v>
      </c>
      <c r="H1606" s="587" t="str">
        <f>+VLOOKUP(Tabla3[[#This Row],[PATENTE]],'BASE DATOS'!F:J,5,0)</f>
        <v>NO</v>
      </c>
      <c r="I1606" s="587" t="str">
        <f>+VLOOKUP(Tabla3[[#This Row],[PATENTE]],'BASE DATOS'!F:K,6,0)</f>
        <v>NO</v>
      </c>
      <c r="J1606" s="587">
        <f>+VLOOKUP(Tabla3[[#This Row],[PATENTE]],'BASE DATOS'!F:L,7,0)</f>
        <v>2012</v>
      </c>
      <c r="K1606" s="621">
        <f>+VLOOKUP(Tabla3[[#This Row],[PATENTE]],'BASE DATOS'!F:M,8,0)</f>
        <v>13</v>
      </c>
    </row>
    <row r="1607" spans="1:11" ht="15" hidden="1" customHeight="1">
      <c r="A1607" s="578" t="s">
        <v>899</v>
      </c>
      <c r="B1607" s="584">
        <v>8</v>
      </c>
      <c r="C1607" s="589">
        <v>46055</v>
      </c>
      <c r="D1607" s="582">
        <f t="shared" si="58"/>
        <v>6</v>
      </c>
      <c r="E1607" s="618" t="str">
        <f>+VLOOKUP(Tabla3[[#This Row],[PATENTE]],'BASE DATOS'!F:G,2,0)</f>
        <v xml:space="preserve">VAZQUEZ (TRV SRL) - AB176KN </v>
      </c>
      <c r="F1607" s="584" t="str">
        <f>+VLOOKUP(Tabla3[[#This Row],[PATENTE]],'BASE DATOS'!F:H,3,0)</f>
        <v>8P</v>
      </c>
      <c r="G1607" s="584" t="str">
        <f>+VLOOKUP(Tabla3[[#This Row],[PATENTE]],'BASE DATOS'!F:I,4,0)</f>
        <v>SI</v>
      </c>
      <c r="H1607" s="584" t="str">
        <f>+VLOOKUP(Tabla3[[#This Row],[PATENTE]],'BASE DATOS'!F:J,5,0)</f>
        <v>SI</v>
      </c>
      <c r="I1607" s="584" t="str">
        <f>+VLOOKUP(Tabla3[[#This Row],[PATENTE]],'BASE DATOS'!F:K,6,0)</f>
        <v>SI</v>
      </c>
      <c r="J1607" s="584">
        <f>+VLOOKUP(Tabla3[[#This Row],[PATENTE]],'BASE DATOS'!F:L,7,0)</f>
        <v>2017</v>
      </c>
      <c r="K1607" s="619">
        <f>+VLOOKUP(Tabla3[[#This Row],[PATENTE]],'BASE DATOS'!F:M,8,0)</f>
        <v>8</v>
      </c>
    </row>
    <row r="1608" spans="1:11" ht="15" hidden="1" customHeight="1">
      <c r="A1608" s="578" t="s">
        <v>916</v>
      </c>
      <c r="B1608" s="584">
        <v>6</v>
      </c>
      <c r="C1608" s="589">
        <v>46055</v>
      </c>
      <c r="D1608" s="582">
        <f t="shared" si="58"/>
        <v>6</v>
      </c>
      <c r="E1608" s="618" t="str">
        <f>+VLOOKUP(Tabla3[[#This Row],[PATENTE]],'BASE DATOS'!F:G,2,0)</f>
        <v xml:space="preserve">TRANSP MAIDANA CARLOS - EYP088 </v>
      </c>
      <c r="F1608" s="584" t="str">
        <f>+VLOOKUP(Tabla3[[#This Row],[PATENTE]],'BASE DATOS'!F:H,3,0)</f>
        <v>6P</v>
      </c>
      <c r="G1608" s="584" t="str">
        <f>+VLOOKUP(Tabla3[[#This Row],[PATENTE]],'BASE DATOS'!F:I,4,0)</f>
        <v>SI</v>
      </c>
      <c r="H1608" s="584" t="str">
        <f>+VLOOKUP(Tabla3[[#This Row],[PATENTE]],'BASE DATOS'!F:J,5,0)</f>
        <v>SI</v>
      </c>
      <c r="I1608" s="584" t="str">
        <f>+VLOOKUP(Tabla3[[#This Row],[PATENTE]],'BASE DATOS'!F:K,6,0)</f>
        <v>NO</v>
      </c>
      <c r="J1608" s="584">
        <f>+VLOOKUP(Tabla3[[#This Row],[PATENTE]],'BASE DATOS'!F:L,7,0)</f>
        <v>2006</v>
      </c>
      <c r="K1608" s="619">
        <f>+VLOOKUP(Tabla3[[#This Row],[PATENTE]],'BASE DATOS'!F:M,8,0)</f>
        <v>19</v>
      </c>
    </row>
    <row r="1609" spans="1:11" ht="15" hidden="1" customHeight="1">
      <c r="A1609" s="578" t="s">
        <v>909</v>
      </c>
      <c r="B1609" s="584">
        <v>6</v>
      </c>
      <c r="C1609" s="589">
        <v>46055</v>
      </c>
      <c r="D1609" s="582">
        <f t="shared" si="58"/>
        <v>6</v>
      </c>
      <c r="E1609" s="618" t="str">
        <f>+VLOOKUP(Tabla3[[#This Row],[PATENTE]],'BASE DATOS'!F:G,2,0)</f>
        <v xml:space="preserve">CRISTIAN MOYA - NHR055 </v>
      </c>
      <c r="F1609" s="584" t="str">
        <f>+VLOOKUP(Tabla3[[#This Row],[PATENTE]],'BASE DATOS'!F:H,3,0)</f>
        <v>6P</v>
      </c>
      <c r="G1609" s="584" t="str">
        <f>+VLOOKUP(Tabla3[[#This Row],[PATENTE]],'BASE DATOS'!F:I,4,0)</f>
        <v>SI</v>
      </c>
      <c r="H1609" s="584" t="str">
        <f>+VLOOKUP(Tabla3[[#This Row],[PATENTE]],'BASE DATOS'!F:J,5,0)</f>
        <v>SI</v>
      </c>
      <c r="I1609" s="584" t="str">
        <f>+VLOOKUP(Tabla3[[#This Row],[PATENTE]],'BASE DATOS'!F:K,6,0)</f>
        <v>NO</v>
      </c>
      <c r="J1609" s="584">
        <f>+VLOOKUP(Tabla3[[#This Row],[PATENTE]],'BASE DATOS'!F:L,7,0)</f>
        <v>2013</v>
      </c>
      <c r="K1609" s="619">
        <f>+VLOOKUP(Tabla3[[#This Row],[PATENTE]],'BASE DATOS'!F:M,8,0)</f>
        <v>12</v>
      </c>
    </row>
    <row r="1610" spans="1:11" ht="15" hidden="1" customHeight="1">
      <c r="A1610" s="578" t="s">
        <v>901</v>
      </c>
      <c r="B1610" s="584">
        <v>6</v>
      </c>
      <c r="C1610" s="589">
        <v>46055</v>
      </c>
      <c r="D1610" s="582">
        <f t="shared" si="58"/>
        <v>6</v>
      </c>
      <c r="E1610" s="618" t="str">
        <f>+VLOOKUP(Tabla3[[#This Row],[PATENTE]],'BASE DATOS'!F:G,2,0)</f>
        <v xml:space="preserve">TRANSPORTE  GRACIELA - IYE750 </v>
      </c>
      <c r="F1610" s="584" t="str">
        <f>+VLOOKUP(Tabla3[[#This Row],[PATENTE]],'BASE DATOS'!F:H,3,0)</f>
        <v>1P</v>
      </c>
      <c r="G1610" s="584" t="str">
        <f>+VLOOKUP(Tabla3[[#This Row],[PATENTE]],'BASE DATOS'!F:I,4,0)</f>
        <v>NO</v>
      </c>
      <c r="H1610" s="584" t="str">
        <f>+VLOOKUP(Tabla3[[#This Row],[PATENTE]],'BASE DATOS'!F:J,5,0)</f>
        <v>SI</v>
      </c>
      <c r="I1610" s="584" t="str">
        <f>+VLOOKUP(Tabla3[[#This Row],[PATENTE]],'BASE DATOS'!F:K,6,0)</f>
        <v>NO</v>
      </c>
      <c r="J1610" s="584">
        <f>+VLOOKUP(Tabla3[[#This Row],[PATENTE]],'BASE DATOS'!F:L,7,0)</f>
        <v>2009</v>
      </c>
      <c r="K1610" s="619">
        <f>+VLOOKUP(Tabla3[[#This Row],[PATENTE]],'BASE DATOS'!F:M,8,0)</f>
        <v>16</v>
      </c>
    </row>
    <row r="1611" spans="1:11" ht="15" hidden="1" customHeight="1">
      <c r="A1611" s="578" t="s">
        <v>902</v>
      </c>
      <c r="B1611" s="584">
        <v>6</v>
      </c>
      <c r="C1611" s="589">
        <v>46055</v>
      </c>
      <c r="D1611" s="582">
        <f t="shared" si="58"/>
        <v>6</v>
      </c>
      <c r="E1611" s="618" t="str">
        <f>+VLOOKUP(Tabla3[[#This Row],[PATENTE]],'BASE DATOS'!F:G,2,0)</f>
        <v xml:space="preserve">GUSTAVO CERQUETTA - KZA644 </v>
      </c>
      <c r="F1611" s="584" t="str">
        <f>+VLOOKUP(Tabla3[[#This Row],[PATENTE]],'BASE DATOS'!F:H,3,0)</f>
        <v>2P</v>
      </c>
      <c r="G1611" s="584" t="str">
        <f>+VLOOKUP(Tabla3[[#This Row],[PATENTE]],'BASE DATOS'!F:I,4,0)</f>
        <v>NO</v>
      </c>
      <c r="H1611" s="584" t="str">
        <f>+VLOOKUP(Tabla3[[#This Row],[PATENTE]],'BASE DATOS'!F:J,5,0)</f>
        <v>SI</v>
      </c>
      <c r="I1611" s="584" t="str">
        <f>+VLOOKUP(Tabla3[[#This Row],[PATENTE]],'BASE DATOS'!F:K,6,0)</f>
        <v>NO</v>
      </c>
      <c r="J1611" s="584">
        <f>+VLOOKUP(Tabla3[[#This Row],[PATENTE]],'BASE DATOS'!F:L,7,0)</f>
        <v>2012</v>
      </c>
      <c r="K1611" s="619">
        <f>+VLOOKUP(Tabla3[[#This Row],[PATENTE]],'BASE DATOS'!F:M,8,0)</f>
        <v>13</v>
      </c>
    </row>
    <row r="1612" spans="1:11" ht="15" hidden="1" customHeight="1">
      <c r="A1612" s="578" t="s">
        <v>883</v>
      </c>
      <c r="B1612" s="584">
        <v>6</v>
      </c>
      <c r="C1612" s="589">
        <v>46055</v>
      </c>
      <c r="D1612" s="582">
        <f t="shared" si="58"/>
        <v>6</v>
      </c>
      <c r="E1612" s="618" t="str">
        <f>+VLOOKUP(Tabla3[[#This Row],[PATENTE]],'BASE DATOS'!F:G,2,0)</f>
        <v xml:space="preserve">PACHECO JULIO - ACI503 </v>
      </c>
      <c r="F1612" s="584" t="str">
        <f>+VLOOKUP(Tabla3[[#This Row],[PATENTE]],'BASE DATOS'!F:H,3,0)</f>
        <v>12P</v>
      </c>
      <c r="G1612" s="584" t="str">
        <f>+VLOOKUP(Tabla3[[#This Row],[PATENTE]],'BASE DATOS'!F:I,4,0)</f>
        <v>NO</v>
      </c>
      <c r="H1612" s="584" t="str">
        <f>+VLOOKUP(Tabla3[[#This Row],[PATENTE]],'BASE DATOS'!F:J,5,0)</f>
        <v>SI</v>
      </c>
      <c r="I1612" s="584" t="str">
        <f>+VLOOKUP(Tabla3[[#This Row],[PATENTE]],'BASE DATOS'!F:K,6,0)</f>
        <v>SI</v>
      </c>
      <c r="J1612" s="584">
        <f>+VLOOKUP(Tabla3[[#This Row],[PATENTE]],'BASE DATOS'!F:L,7,0)</f>
        <v>2000</v>
      </c>
      <c r="K1612" s="619">
        <f>+VLOOKUP(Tabla3[[#This Row],[PATENTE]],'BASE DATOS'!F:M,8,0)</f>
        <v>25</v>
      </c>
    </row>
    <row r="1613" spans="1:11" ht="15" hidden="1" customHeight="1">
      <c r="A1613" s="578" t="s">
        <v>936</v>
      </c>
      <c r="B1613" s="584">
        <v>6</v>
      </c>
      <c r="C1613" s="589">
        <v>46055</v>
      </c>
      <c r="D1613" s="582">
        <f t="shared" si="58"/>
        <v>6</v>
      </c>
      <c r="E1613" s="618" t="str">
        <f>+VLOOKUP(Tabla3[[#This Row],[PATENTE]],'BASE DATOS'!F:G,2,0)</f>
        <v>TRANSP YANINA  LUONGO - AA050HC</v>
      </c>
      <c r="F1613" s="584" t="str">
        <f>+VLOOKUP(Tabla3[[#This Row],[PATENTE]],'BASE DATOS'!F:H,3,0)</f>
        <v>1.5P</v>
      </c>
      <c r="G1613" s="584" t="str">
        <f>+VLOOKUP(Tabla3[[#This Row],[PATENTE]],'BASE DATOS'!F:I,4,0)</f>
        <v>NO</v>
      </c>
      <c r="H1613" s="584" t="str">
        <f>+VLOOKUP(Tabla3[[#This Row],[PATENTE]],'BASE DATOS'!F:J,5,0)</f>
        <v>SI</v>
      </c>
      <c r="I1613" s="584" t="str">
        <f>+VLOOKUP(Tabla3[[#This Row],[PATENTE]],'BASE DATOS'!F:K,6,0)</f>
        <v>NO</v>
      </c>
      <c r="J1613" s="584">
        <f>+VLOOKUP(Tabla3[[#This Row],[PATENTE]],'BASE DATOS'!F:L,7,0)</f>
        <v>2016</v>
      </c>
      <c r="K1613" s="619">
        <f>+VLOOKUP(Tabla3[[#This Row],[PATENTE]],'BASE DATOS'!F:M,8,0)</f>
        <v>9</v>
      </c>
    </row>
    <row r="1614" spans="1:11" ht="15" hidden="1" customHeight="1">
      <c r="A1614" s="578" t="s">
        <v>922</v>
      </c>
      <c r="B1614" s="584">
        <v>6</v>
      </c>
      <c r="C1614" s="589">
        <v>46055</v>
      </c>
      <c r="D1614" s="582">
        <f t="shared" ref="D1614:D1645" si="59">+WEEKNUM(C1614)</f>
        <v>6</v>
      </c>
      <c r="E1614" s="618" t="str">
        <f>+VLOOKUP(Tabla3[[#This Row],[PATENTE]],'BASE DATOS'!F:G,2,0)</f>
        <v>LAURIA (SERVAL) - AF342ZY</v>
      </c>
      <c r="F1614" s="584" t="str">
        <f>+VLOOKUP(Tabla3[[#This Row],[PATENTE]],'BASE DATOS'!F:H,3,0)</f>
        <v>8P</v>
      </c>
      <c r="G1614" s="584" t="str">
        <f>+VLOOKUP(Tabla3[[#This Row],[PATENTE]],'BASE DATOS'!F:I,4,0)</f>
        <v>SI</v>
      </c>
      <c r="H1614" s="584" t="str">
        <f>+VLOOKUP(Tabla3[[#This Row],[PATENTE]],'BASE DATOS'!F:J,5,0)</f>
        <v>SI</v>
      </c>
      <c r="I1614" s="584" t="str">
        <f>+VLOOKUP(Tabla3[[#This Row],[PATENTE]],'BASE DATOS'!F:K,6,0)</f>
        <v>NO</v>
      </c>
      <c r="J1614" s="584">
        <f>+VLOOKUP(Tabla3[[#This Row],[PATENTE]],'BASE DATOS'!F:L,7,0)</f>
        <v>2022</v>
      </c>
      <c r="K1614" s="619">
        <f>+VLOOKUP(Tabla3[[#This Row],[PATENTE]],'BASE DATOS'!F:M,8,0)</f>
        <v>3</v>
      </c>
    </row>
    <row r="1615" spans="1:11" ht="15" hidden="1" customHeight="1">
      <c r="A1615" s="578" t="s">
        <v>885</v>
      </c>
      <c r="B1615" s="584">
        <v>6</v>
      </c>
      <c r="C1615" s="589">
        <v>46055</v>
      </c>
      <c r="D1615" s="582">
        <f t="shared" si="59"/>
        <v>6</v>
      </c>
      <c r="E1615" s="618" t="str">
        <f>+VLOOKUP(Tabla3[[#This Row],[PATENTE]],'BASE DATOS'!F:G,2,0)</f>
        <v xml:space="preserve">TRANSP DON NENO - IES288 </v>
      </c>
      <c r="F1615" s="584" t="str">
        <f>+VLOOKUP(Tabla3[[#This Row],[PATENTE]],'BASE DATOS'!F:H,3,0)</f>
        <v>2P</v>
      </c>
      <c r="G1615" s="584" t="str">
        <f>+VLOOKUP(Tabla3[[#This Row],[PATENTE]],'BASE DATOS'!F:I,4,0)</f>
        <v>SI</v>
      </c>
      <c r="H1615" s="584" t="str">
        <f>+VLOOKUP(Tabla3[[#This Row],[PATENTE]],'BASE DATOS'!F:J,5,0)</f>
        <v>SI</v>
      </c>
      <c r="I1615" s="584" t="str">
        <f>+VLOOKUP(Tabla3[[#This Row],[PATENTE]],'BASE DATOS'!F:K,6,0)</f>
        <v>NO</v>
      </c>
      <c r="J1615" s="584">
        <f>+VLOOKUP(Tabla3[[#This Row],[PATENTE]],'BASE DATOS'!F:L,7,0)</f>
        <v>2009</v>
      </c>
      <c r="K1615" s="619">
        <f>+VLOOKUP(Tabla3[[#This Row],[PATENTE]],'BASE DATOS'!F:M,8,0)</f>
        <v>16</v>
      </c>
    </row>
    <row r="1616" spans="1:11" ht="15" hidden="1" customHeight="1">
      <c r="A1616" s="578" t="s">
        <v>895</v>
      </c>
      <c r="B1616" s="584">
        <v>6</v>
      </c>
      <c r="C1616" s="589">
        <v>46055</v>
      </c>
      <c r="D1616" s="582">
        <f t="shared" si="59"/>
        <v>6</v>
      </c>
      <c r="E1616" s="618" t="str">
        <f>+VLOOKUP(Tabla3[[#This Row],[PATENTE]],'BASE DATOS'!F:G,2,0)</f>
        <v xml:space="preserve">TRANSPORTE MICAELA </v>
      </c>
      <c r="F1616" s="584" t="str">
        <f>+VLOOKUP(Tabla3[[#This Row],[PATENTE]],'BASE DATOS'!F:H,3,0)</f>
        <v>2P</v>
      </c>
      <c r="G1616" s="584" t="str">
        <f>+VLOOKUP(Tabla3[[#This Row],[PATENTE]],'BASE DATOS'!F:I,4,0)</f>
        <v>NO</v>
      </c>
      <c r="H1616" s="584" t="str">
        <f>+VLOOKUP(Tabla3[[#This Row],[PATENTE]],'BASE DATOS'!F:J,5,0)</f>
        <v>SI</v>
      </c>
      <c r="I1616" s="584" t="str">
        <f>+VLOOKUP(Tabla3[[#This Row],[PATENTE]],'BASE DATOS'!F:K,6,0)</f>
        <v>NO</v>
      </c>
      <c r="J1616" s="584">
        <f>+VLOOKUP(Tabla3[[#This Row],[PATENTE]],'BASE DATOS'!F:L,7,0)</f>
        <v>2024</v>
      </c>
      <c r="K1616" s="619">
        <f>+VLOOKUP(Tabla3[[#This Row],[PATENTE]],'BASE DATOS'!F:M,8,0)</f>
        <v>1</v>
      </c>
    </row>
    <row r="1617" spans="1:11" ht="15" hidden="1" customHeight="1">
      <c r="A1617" s="578" t="s">
        <v>882</v>
      </c>
      <c r="B1617" s="584">
        <v>6</v>
      </c>
      <c r="C1617" s="589">
        <v>46055</v>
      </c>
      <c r="D1617" s="582">
        <f t="shared" si="59"/>
        <v>6</v>
      </c>
      <c r="E1617" s="618" t="str">
        <f>+VLOOKUP(Tabla3[[#This Row],[PATENTE]],'BASE DATOS'!F:G,2,0)</f>
        <v xml:space="preserve">MAÑAS - JWN279 </v>
      </c>
      <c r="F1617" s="584" t="str">
        <f>+VLOOKUP(Tabla3[[#This Row],[PATENTE]],'BASE DATOS'!F:H,3,0)</f>
        <v>7P</v>
      </c>
      <c r="G1617" s="584" t="str">
        <f>+VLOOKUP(Tabla3[[#This Row],[PATENTE]],'BASE DATOS'!F:I,4,0)</f>
        <v>SI</v>
      </c>
      <c r="H1617" s="584" t="str">
        <f>+VLOOKUP(Tabla3[[#This Row],[PATENTE]],'BASE DATOS'!F:J,5,0)</f>
        <v>SI</v>
      </c>
      <c r="I1617" s="584" t="str">
        <f>+VLOOKUP(Tabla3[[#This Row],[PATENTE]],'BASE DATOS'!F:K,6,0)</f>
        <v>NO</v>
      </c>
      <c r="J1617" s="584">
        <f>+VLOOKUP(Tabla3[[#This Row],[PATENTE]],'BASE DATOS'!F:L,7,0)</f>
        <v>2011</v>
      </c>
      <c r="K1617" s="619">
        <f>+VLOOKUP(Tabla3[[#This Row],[PATENTE]],'BASE DATOS'!F:M,8,0)</f>
        <v>14</v>
      </c>
    </row>
    <row r="1618" spans="1:11" ht="15" hidden="1" customHeight="1">
      <c r="A1618" s="578" t="s">
        <v>907</v>
      </c>
      <c r="B1618" s="584">
        <v>6</v>
      </c>
      <c r="C1618" s="589">
        <v>46055</v>
      </c>
      <c r="D1618" s="582">
        <f t="shared" si="59"/>
        <v>6</v>
      </c>
      <c r="E1618" s="618" t="str">
        <f>+VLOOKUP(Tabla3[[#This Row],[PATENTE]],'BASE DATOS'!F:G,2,0)</f>
        <v xml:space="preserve">LAURIA (SERVAL) - AH583GW </v>
      </c>
      <c r="F1618" s="584" t="str">
        <f>+VLOOKUP(Tabla3[[#This Row],[PATENTE]],'BASE DATOS'!F:H,3,0)</f>
        <v>8P</v>
      </c>
      <c r="G1618" s="584" t="str">
        <f>+VLOOKUP(Tabla3[[#This Row],[PATENTE]],'BASE DATOS'!F:I,4,0)</f>
        <v>SI</v>
      </c>
      <c r="H1618" s="584" t="str">
        <f>+VLOOKUP(Tabla3[[#This Row],[PATENTE]],'BASE DATOS'!F:J,5,0)</f>
        <v>SI</v>
      </c>
      <c r="I1618" s="584" t="str">
        <f>+VLOOKUP(Tabla3[[#This Row],[PATENTE]],'BASE DATOS'!F:K,6,0)</f>
        <v>NO</v>
      </c>
      <c r="J1618" s="584">
        <f>+VLOOKUP(Tabla3[[#This Row],[PATENTE]],'BASE DATOS'!F:L,7,0)</f>
        <v>2025</v>
      </c>
      <c r="K1618" s="619">
        <f>+VLOOKUP(Tabla3[[#This Row],[PATENTE]],'BASE DATOS'!F:M,8,0)</f>
        <v>0</v>
      </c>
    </row>
    <row r="1619" spans="1:11" ht="15" hidden="1" customHeight="1">
      <c r="A1619" s="578" t="s">
        <v>920</v>
      </c>
      <c r="B1619" s="584">
        <v>6</v>
      </c>
      <c r="C1619" s="589">
        <v>46055</v>
      </c>
      <c r="D1619" s="582">
        <f t="shared" si="59"/>
        <v>6</v>
      </c>
      <c r="E1619" s="618" t="str">
        <f>+VLOOKUP(Tabla3[[#This Row],[PATENTE]],'BASE DATOS'!F:G,2,0)</f>
        <v xml:space="preserve">TRANSP LAGOS - MRV682 </v>
      </c>
      <c r="F1619" s="584" t="str">
        <f>+VLOOKUP(Tabla3[[#This Row],[PATENTE]],'BASE DATOS'!F:H,3,0)</f>
        <v>8P</v>
      </c>
      <c r="G1619" s="584" t="str">
        <f>+VLOOKUP(Tabla3[[#This Row],[PATENTE]],'BASE DATOS'!F:I,4,0)</f>
        <v>SI</v>
      </c>
      <c r="H1619" s="584" t="str">
        <f>+VLOOKUP(Tabla3[[#This Row],[PATENTE]],'BASE DATOS'!F:J,5,0)</f>
        <v>SI</v>
      </c>
      <c r="I1619" s="584" t="str">
        <f>+VLOOKUP(Tabla3[[#This Row],[PATENTE]],'BASE DATOS'!F:K,6,0)</f>
        <v>NO</v>
      </c>
      <c r="J1619" s="584">
        <f>+VLOOKUP(Tabla3[[#This Row],[PATENTE]],'BASE DATOS'!F:L,7,0)</f>
        <v>2013</v>
      </c>
      <c r="K1619" s="619">
        <f>+VLOOKUP(Tabla3[[#This Row],[PATENTE]],'BASE DATOS'!F:M,8,0)</f>
        <v>12</v>
      </c>
    </row>
    <row r="1620" spans="1:11" ht="15" hidden="1" customHeight="1">
      <c r="A1620" s="578" t="s">
        <v>887</v>
      </c>
      <c r="B1620" s="584">
        <v>6</v>
      </c>
      <c r="C1620" s="589">
        <v>46055</v>
      </c>
      <c r="D1620" s="582">
        <f t="shared" si="59"/>
        <v>6</v>
      </c>
      <c r="E1620" s="618" t="str">
        <f>+VLOOKUP(Tabla3[[#This Row],[PATENTE]],'BASE DATOS'!F:G,2,0)</f>
        <v>ENRIQUE ROLLINO - BXB394</v>
      </c>
      <c r="F1620" s="584" t="str">
        <f>+VLOOKUP(Tabla3[[#This Row],[PATENTE]],'BASE DATOS'!F:H,3,0)</f>
        <v>2P</v>
      </c>
      <c r="G1620" s="584" t="str">
        <f>+VLOOKUP(Tabla3[[#This Row],[PATENTE]],'BASE DATOS'!F:I,4,0)</f>
        <v>SI</v>
      </c>
      <c r="H1620" s="584" t="str">
        <f>+VLOOKUP(Tabla3[[#This Row],[PATENTE]],'BASE DATOS'!F:J,5,0)</f>
        <v>SI</v>
      </c>
      <c r="I1620" s="584" t="str">
        <f>+VLOOKUP(Tabla3[[#This Row],[PATENTE]],'BASE DATOS'!F:K,6,0)</f>
        <v>NO</v>
      </c>
      <c r="J1620" s="584">
        <f>+VLOOKUP(Tabla3[[#This Row],[PATENTE]],'BASE DATOS'!F:L,7,0)</f>
        <v>1998</v>
      </c>
      <c r="K1620" s="619">
        <f>+VLOOKUP(Tabla3[[#This Row],[PATENTE]],'BASE DATOS'!F:M,8,0)</f>
        <v>27</v>
      </c>
    </row>
    <row r="1621" spans="1:11" ht="15" hidden="1" customHeight="1">
      <c r="A1621" s="578" t="s">
        <v>881</v>
      </c>
      <c r="B1621" s="584">
        <v>6</v>
      </c>
      <c r="C1621" s="589">
        <v>46055</v>
      </c>
      <c r="D1621" s="582">
        <f t="shared" si="59"/>
        <v>6</v>
      </c>
      <c r="E1621" s="618" t="str">
        <f>+VLOOKUP(Tabla3[[#This Row],[PATENTE]],'BASE DATOS'!F:G,2,0)</f>
        <v xml:space="preserve">MAÑAS NORBERTO - DUQ686 </v>
      </c>
      <c r="F1621" s="584" t="str">
        <f>+VLOOKUP(Tabla3[[#This Row],[PATENTE]],'BASE DATOS'!F:H,3,0)</f>
        <v>8P</v>
      </c>
      <c r="G1621" s="584" t="str">
        <f>+VLOOKUP(Tabla3[[#This Row],[PATENTE]],'BASE DATOS'!F:I,4,0)</f>
        <v>SI</v>
      </c>
      <c r="H1621" s="584" t="str">
        <f>+VLOOKUP(Tabla3[[#This Row],[PATENTE]],'BASE DATOS'!F:J,5,0)</f>
        <v>SI</v>
      </c>
      <c r="I1621" s="584" t="str">
        <f>+VLOOKUP(Tabla3[[#This Row],[PATENTE]],'BASE DATOS'!F:K,6,0)</f>
        <v>NO</v>
      </c>
      <c r="J1621" s="584">
        <f>+VLOOKUP(Tabla3[[#This Row],[PATENTE]],'BASE DATOS'!F:L,7,0)</f>
        <v>2001</v>
      </c>
      <c r="K1621" s="619">
        <f>+VLOOKUP(Tabla3[[#This Row],[PATENTE]],'BASE DATOS'!F:M,8,0)</f>
        <v>24</v>
      </c>
    </row>
    <row r="1622" spans="1:11" ht="15" hidden="1" customHeight="1">
      <c r="A1622" s="578" t="s">
        <v>904</v>
      </c>
      <c r="B1622" s="584">
        <v>6</v>
      </c>
      <c r="C1622" s="589">
        <v>46055</v>
      </c>
      <c r="D1622" s="582">
        <f t="shared" si="59"/>
        <v>6</v>
      </c>
      <c r="E1622" s="618" t="str">
        <f>+VLOOKUP(Tabla3[[#This Row],[PATENTE]],'BASE DATOS'!F:G,2,0)</f>
        <v xml:space="preserve">ENRIQUE ROLLINO - DFO656 </v>
      </c>
      <c r="F1622" s="584" t="str">
        <f>+VLOOKUP(Tabla3[[#This Row],[PATENTE]],'BASE DATOS'!F:H,3,0)</f>
        <v>6P</v>
      </c>
      <c r="G1622" s="584" t="str">
        <f>+VLOOKUP(Tabla3[[#This Row],[PATENTE]],'BASE DATOS'!F:I,4,0)</f>
        <v>SI</v>
      </c>
      <c r="H1622" s="584" t="str">
        <f>+VLOOKUP(Tabla3[[#This Row],[PATENTE]],'BASE DATOS'!F:J,5,0)</f>
        <v>SI</v>
      </c>
      <c r="I1622" s="584" t="str">
        <f>+VLOOKUP(Tabla3[[#This Row],[PATENTE]],'BASE DATOS'!F:K,6,0)</f>
        <v>NO</v>
      </c>
      <c r="J1622" s="584">
        <f>+VLOOKUP(Tabla3[[#This Row],[PATENTE]],'BASE DATOS'!F:L,7,0)</f>
        <v>2000</v>
      </c>
      <c r="K1622" s="619">
        <f>+VLOOKUP(Tabla3[[#This Row],[PATENTE]],'BASE DATOS'!F:M,8,0)</f>
        <v>25</v>
      </c>
    </row>
    <row r="1623" spans="1:11" ht="15" hidden="1" customHeight="1">
      <c r="A1623" s="578" t="s">
        <v>891</v>
      </c>
      <c r="B1623" s="584">
        <v>5</v>
      </c>
      <c r="C1623" s="589">
        <v>46055</v>
      </c>
      <c r="D1623" s="582">
        <f t="shared" si="59"/>
        <v>6</v>
      </c>
      <c r="E1623" s="618" t="str">
        <f>+VLOOKUP(Tabla3[[#This Row],[PATENTE]],'BASE DATOS'!F:G,2,0)</f>
        <v xml:space="preserve">GANZINI HUGO - HHA085 </v>
      </c>
      <c r="F1623" s="584" t="str">
        <f>+VLOOKUP(Tabla3[[#This Row],[PATENTE]],'BASE DATOS'!F:H,3,0)</f>
        <v>2P</v>
      </c>
      <c r="G1623" s="584" t="str">
        <f>+VLOOKUP(Tabla3[[#This Row],[PATENTE]],'BASE DATOS'!F:I,4,0)</f>
        <v>SI</v>
      </c>
      <c r="H1623" s="584" t="str">
        <f>+VLOOKUP(Tabla3[[#This Row],[PATENTE]],'BASE DATOS'!F:J,5,0)</f>
        <v>SI</v>
      </c>
      <c r="I1623" s="584" t="str">
        <f>+VLOOKUP(Tabla3[[#This Row],[PATENTE]],'BASE DATOS'!F:K,6,0)</f>
        <v>NO</v>
      </c>
      <c r="J1623" s="584">
        <f>+VLOOKUP(Tabla3[[#This Row],[PATENTE]],'BASE DATOS'!F:L,7,0)</f>
        <v>2008</v>
      </c>
      <c r="K1623" s="619">
        <f>+VLOOKUP(Tabla3[[#This Row],[PATENTE]],'BASE DATOS'!F:M,8,0)</f>
        <v>17</v>
      </c>
    </row>
    <row r="1624" spans="1:11" ht="15" hidden="1" customHeight="1">
      <c r="A1624" s="578" t="s">
        <v>888</v>
      </c>
      <c r="B1624" s="584">
        <v>5</v>
      </c>
      <c r="C1624" s="589">
        <v>46055</v>
      </c>
      <c r="D1624" s="582">
        <f t="shared" si="59"/>
        <v>6</v>
      </c>
      <c r="E1624" s="618" t="str">
        <f>+VLOOKUP(Tabla3[[#This Row],[PATENTE]],'BASE DATOS'!F:G,2,0)</f>
        <v xml:space="preserve">TRANSP FIRST CLASS - AD535UI </v>
      </c>
      <c r="F1624" s="584" t="str">
        <f>+VLOOKUP(Tabla3[[#This Row],[PATENTE]],'BASE DATOS'!F:H,3,0)</f>
        <v>6P</v>
      </c>
      <c r="G1624" s="584" t="str">
        <f>+VLOOKUP(Tabla3[[#This Row],[PATENTE]],'BASE DATOS'!F:I,4,0)</f>
        <v>SI</v>
      </c>
      <c r="H1624" s="584" t="str">
        <f>+VLOOKUP(Tabla3[[#This Row],[PATENTE]],'BASE DATOS'!F:J,5,0)</f>
        <v>SI</v>
      </c>
      <c r="I1624" s="584" t="str">
        <f>+VLOOKUP(Tabla3[[#This Row],[PATENTE]],'BASE DATOS'!F:K,6,0)</f>
        <v>NO</v>
      </c>
      <c r="J1624" s="584">
        <f>+VLOOKUP(Tabla3[[#This Row],[PATENTE]],'BASE DATOS'!F:L,7,0)</f>
        <v>2019</v>
      </c>
      <c r="K1624" s="619">
        <f>+VLOOKUP(Tabla3[[#This Row],[PATENTE]],'BASE DATOS'!F:M,8,0)</f>
        <v>6</v>
      </c>
    </row>
    <row r="1625" spans="1:11" ht="15" hidden="1" customHeight="1">
      <c r="A1625" s="578" t="s">
        <v>912</v>
      </c>
      <c r="B1625" s="584">
        <v>5</v>
      </c>
      <c r="C1625" s="589">
        <v>46055</v>
      </c>
      <c r="D1625" s="582">
        <f t="shared" si="59"/>
        <v>6</v>
      </c>
      <c r="E1625" s="618" t="str">
        <f>+VLOOKUP(Tabla3[[#This Row],[PATENTE]],'BASE DATOS'!F:G,2,0)</f>
        <v xml:space="preserve">PACHECO JULIO - AC028WN </v>
      </c>
      <c r="F1625" s="584" t="str">
        <f>+VLOOKUP(Tabla3[[#This Row],[PATENTE]],'BASE DATOS'!F:H,3,0)</f>
        <v>8P</v>
      </c>
      <c r="G1625" s="584" t="str">
        <f>+VLOOKUP(Tabla3[[#This Row],[PATENTE]],'BASE DATOS'!F:I,4,0)</f>
        <v>SI</v>
      </c>
      <c r="H1625" s="584" t="str">
        <f>+VLOOKUP(Tabla3[[#This Row],[PATENTE]],'BASE DATOS'!F:J,5,0)</f>
        <v>SI</v>
      </c>
      <c r="I1625" s="584" t="str">
        <f>+VLOOKUP(Tabla3[[#This Row],[PATENTE]],'BASE DATOS'!F:K,6,0)</f>
        <v>SI</v>
      </c>
      <c r="J1625" s="584">
        <f>+VLOOKUP(Tabla3[[#This Row],[PATENTE]],'BASE DATOS'!F:L,7,0)</f>
        <v>2017</v>
      </c>
      <c r="K1625" s="619">
        <f>+VLOOKUP(Tabla3[[#This Row],[PATENTE]],'BASE DATOS'!F:M,8,0)</f>
        <v>8</v>
      </c>
    </row>
    <row r="1626" spans="1:11" ht="15" hidden="1" customHeight="1">
      <c r="A1626" s="578" t="s">
        <v>921</v>
      </c>
      <c r="B1626" s="584">
        <v>5</v>
      </c>
      <c r="C1626" s="589">
        <v>46055</v>
      </c>
      <c r="D1626" s="582">
        <f t="shared" si="59"/>
        <v>6</v>
      </c>
      <c r="E1626" s="618" t="str">
        <f>+VLOOKUP(Tabla3[[#This Row],[PATENTE]],'BASE DATOS'!F:G,2,0)</f>
        <v xml:space="preserve">MAÑAS NORBERTO - CQQ304 </v>
      </c>
      <c r="F1626" s="584" t="str">
        <f>+VLOOKUP(Tabla3[[#This Row],[PATENTE]],'BASE DATOS'!F:H,3,0)</f>
        <v>11P</v>
      </c>
      <c r="G1626" s="584" t="str">
        <f>+VLOOKUP(Tabla3[[#This Row],[PATENTE]],'BASE DATOS'!F:I,4,0)</f>
        <v>SI</v>
      </c>
      <c r="H1626" s="584" t="str">
        <f>+VLOOKUP(Tabla3[[#This Row],[PATENTE]],'BASE DATOS'!F:J,5,0)</f>
        <v>SI</v>
      </c>
      <c r="I1626" s="584" t="str">
        <f>+VLOOKUP(Tabla3[[#This Row],[PATENTE]],'BASE DATOS'!F:K,6,0)</f>
        <v>NO</v>
      </c>
      <c r="J1626" s="584">
        <f>+VLOOKUP(Tabla3[[#This Row],[PATENTE]],'BASE DATOS'!F:L,7,0)</f>
        <v>2000</v>
      </c>
      <c r="K1626" s="619">
        <f>+VLOOKUP(Tabla3[[#This Row],[PATENTE]],'BASE DATOS'!F:M,8,0)</f>
        <v>25</v>
      </c>
    </row>
    <row r="1627" spans="1:11" ht="15" hidden="1" customHeight="1">
      <c r="A1627" s="578" t="s">
        <v>889</v>
      </c>
      <c r="B1627" s="584">
        <v>5</v>
      </c>
      <c r="C1627" s="589">
        <v>46055</v>
      </c>
      <c r="D1627" s="582">
        <f t="shared" si="59"/>
        <v>6</v>
      </c>
      <c r="E1627" s="618" t="str">
        <f>+VLOOKUP(Tabla3[[#This Row],[PATENTE]],'BASE DATOS'!F:G,2,0)</f>
        <v xml:space="preserve">COLO - HAW164 </v>
      </c>
      <c r="F1627" s="584" t="str">
        <f>+VLOOKUP(Tabla3[[#This Row],[PATENTE]],'BASE DATOS'!F:H,3,0)</f>
        <v>6P</v>
      </c>
      <c r="G1627" s="584" t="str">
        <f>+VLOOKUP(Tabla3[[#This Row],[PATENTE]],'BASE DATOS'!F:I,4,0)</f>
        <v>NO</v>
      </c>
      <c r="H1627" s="584" t="str">
        <f>+VLOOKUP(Tabla3[[#This Row],[PATENTE]],'BASE DATOS'!F:J,5,0)</f>
        <v>SI</v>
      </c>
      <c r="I1627" s="584" t="str">
        <f>+VLOOKUP(Tabla3[[#This Row],[PATENTE]],'BASE DATOS'!F:K,6,0)</f>
        <v>NO</v>
      </c>
      <c r="J1627" s="584">
        <f>+VLOOKUP(Tabla3[[#This Row],[PATENTE]],'BASE DATOS'!F:L,7,0)</f>
        <v>2009</v>
      </c>
      <c r="K1627" s="619">
        <f>+VLOOKUP(Tabla3[[#This Row],[PATENTE]],'BASE DATOS'!F:M,8,0)</f>
        <v>16</v>
      </c>
    </row>
    <row r="1628" spans="1:11" ht="15" hidden="1" customHeight="1">
      <c r="A1628" s="578" t="s">
        <v>877</v>
      </c>
      <c r="B1628" s="584">
        <v>5</v>
      </c>
      <c r="C1628" s="589">
        <v>46055</v>
      </c>
      <c r="D1628" s="582">
        <f t="shared" si="59"/>
        <v>6</v>
      </c>
      <c r="E1628" s="618" t="str">
        <f>+VLOOKUP(Tabla3[[#This Row],[PATENTE]],'BASE DATOS'!F:G,2,0)</f>
        <v>TRANSP MAIDANA CARLOS - OWA126</v>
      </c>
      <c r="F1628" s="584" t="str">
        <f>+VLOOKUP(Tabla3[[#This Row],[PATENTE]],'BASE DATOS'!F:H,3,0)</f>
        <v>4P</v>
      </c>
      <c r="G1628" s="584" t="str">
        <f>+VLOOKUP(Tabla3[[#This Row],[PATENTE]],'BASE DATOS'!F:I,4,0)</f>
        <v>SI</v>
      </c>
      <c r="H1628" s="584" t="str">
        <f>+VLOOKUP(Tabla3[[#This Row],[PATENTE]],'BASE DATOS'!F:J,5,0)</f>
        <v>SI</v>
      </c>
      <c r="I1628" s="584" t="str">
        <f>+VLOOKUP(Tabla3[[#This Row],[PATENTE]],'BASE DATOS'!F:K,6,0)</f>
        <v>NO</v>
      </c>
      <c r="J1628" s="584">
        <f>+VLOOKUP(Tabla3[[#This Row],[PATENTE]],'BASE DATOS'!F:L,7,0)</f>
        <v>2015</v>
      </c>
      <c r="K1628" s="619">
        <f>+VLOOKUP(Tabla3[[#This Row],[PATENTE]],'BASE DATOS'!F:M,8,0)</f>
        <v>10</v>
      </c>
    </row>
    <row r="1629" spans="1:11" ht="15" hidden="1" customHeight="1">
      <c r="A1629" s="578" t="s">
        <v>903</v>
      </c>
      <c r="B1629" s="584">
        <v>5</v>
      </c>
      <c r="C1629" s="589">
        <v>46055</v>
      </c>
      <c r="D1629" s="582">
        <f t="shared" si="59"/>
        <v>6</v>
      </c>
      <c r="E1629" s="618" t="str">
        <f>+VLOOKUP(Tabla3[[#This Row],[PATENTE]],'BASE DATOS'!F:G,2,0)</f>
        <v xml:space="preserve">TRANSP CLAUDIO BUSTOS - AG243PE </v>
      </c>
      <c r="F1629" s="584" t="str">
        <f>+VLOOKUP(Tabla3[[#This Row],[PATENTE]],'BASE DATOS'!F:H,3,0)</f>
        <v>1P</v>
      </c>
      <c r="G1629" s="584" t="str">
        <f>+VLOOKUP(Tabla3[[#This Row],[PATENTE]],'BASE DATOS'!F:I,4,0)</f>
        <v>SI</v>
      </c>
      <c r="H1629" s="584" t="str">
        <f>+VLOOKUP(Tabla3[[#This Row],[PATENTE]],'BASE DATOS'!F:J,5,0)</f>
        <v>SI</v>
      </c>
      <c r="I1629" s="584" t="str">
        <f>+VLOOKUP(Tabla3[[#This Row],[PATENTE]],'BASE DATOS'!F:K,6,0)</f>
        <v>NO</v>
      </c>
      <c r="J1629" s="584">
        <f>+VLOOKUP(Tabla3[[#This Row],[PATENTE]],'BASE DATOS'!F:L,7,0)</f>
        <v>2024</v>
      </c>
      <c r="K1629" s="619">
        <f>+VLOOKUP(Tabla3[[#This Row],[PATENTE]],'BASE DATOS'!F:M,8,0)</f>
        <v>1</v>
      </c>
    </row>
    <row r="1630" spans="1:11" ht="15" hidden="1" customHeight="1">
      <c r="A1630" s="578" t="s">
        <v>932</v>
      </c>
      <c r="B1630" s="584">
        <v>5</v>
      </c>
      <c r="C1630" s="589">
        <v>46055</v>
      </c>
      <c r="D1630" s="582">
        <f t="shared" si="59"/>
        <v>6</v>
      </c>
      <c r="E1630" s="618" t="str">
        <f>+VLOOKUP(Tabla3[[#This Row],[PATENTE]],'BASE DATOS'!F:G,2,0)</f>
        <v xml:space="preserve">TRANSP MAVIR - EFL176 </v>
      </c>
      <c r="F1630" s="584" t="str">
        <f>+VLOOKUP(Tabla3[[#This Row],[PATENTE]],'BASE DATOS'!F:H,3,0)</f>
        <v>12P</v>
      </c>
      <c r="G1630" s="584" t="str">
        <f>+VLOOKUP(Tabla3[[#This Row],[PATENTE]],'BASE DATOS'!F:I,4,0)</f>
        <v>SI</v>
      </c>
      <c r="H1630" s="584" t="str">
        <f>+VLOOKUP(Tabla3[[#This Row],[PATENTE]],'BASE DATOS'!F:J,5,0)</f>
        <v>SI</v>
      </c>
      <c r="I1630" s="584" t="str">
        <f>+VLOOKUP(Tabla3[[#This Row],[PATENTE]],'BASE DATOS'!F:K,6,0)</f>
        <v>NO</v>
      </c>
      <c r="J1630" s="584">
        <f>+VLOOKUP(Tabla3[[#This Row],[PATENTE]],'BASE DATOS'!F:L,7,0)</f>
        <v>1998</v>
      </c>
      <c r="K1630" s="619">
        <f>+VLOOKUP(Tabla3[[#This Row],[PATENTE]],'BASE DATOS'!F:M,8,0)</f>
        <v>27</v>
      </c>
    </row>
    <row r="1631" spans="1:11" ht="15" hidden="1" customHeight="1">
      <c r="A1631" s="578" t="s">
        <v>879</v>
      </c>
      <c r="B1631" s="584">
        <v>4</v>
      </c>
      <c r="C1631" s="589">
        <v>46055</v>
      </c>
      <c r="D1631" s="582">
        <f t="shared" si="59"/>
        <v>6</v>
      </c>
      <c r="E1631" s="618" t="str">
        <f>+VLOOKUP(Tabla3[[#This Row],[PATENTE]],'BASE DATOS'!F:G,2,0)</f>
        <v xml:space="preserve">TRANSP JP - OYP470 </v>
      </c>
      <c r="F1631" s="584" t="str">
        <f>+VLOOKUP(Tabla3[[#This Row],[PATENTE]],'BASE DATOS'!F:H,3,0)</f>
        <v>8P</v>
      </c>
      <c r="G1631" s="584" t="str">
        <f>+VLOOKUP(Tabla3[[#This Row],[PATENTE]],'BASE DATOS'!F:I,4,0)</f>
        <v>SI</v>
      </c>
      <c r="H1631" s="584" t="str">
        <f>+VLOOKUP(Tabla3[[#This Row],[PATENTE]],'BASE DATOS'!F:J,5,0)</f>
        <v>SI</v>
      </c>
      <c r="I1631" s="584" t="str">
        <f>+VLOOKUP(Tabla3[[#This Row],[PATENTE]],'BASE DATOS'!F:K,6,0)</f>
        <v>NO</v>
      </c>
      <c r="J1631" s="584">
        <f>+VLOOKUP(Tabla3[[#This Row],[PATENTE]],'BASE DATOS'!F:L,7,0)</f>
        <v>2011</v>
      </c>
      <c r="K1631" s="619">
        <f>+VLOOKUP(Tabla3[[#This Row],[PATENTE]],'BASE DATOS'!F:M,8,0)</f>
        <v>14</v>
      </c>
    </row>
    <row r="1632" spans="1:11" ht="15" hidden="1" customHeight="1">
      <c r="A1632" s="578" t="s">
        <v>905</v>
      </c>
      <c r="B1632" s="584">
        <v>4</v>
      </c>
      <c r="C1632" s="589">
        <v>46055</v>
      </c>
      <c r="D1632" s="582">
        <f t="shared" si="59"/>
        <v>6</v>
      </c>
      <c r="E1632" s="618" t="str">
        <f>+VLOOKUP(Tabla3[[#This Row],[PATENTE]],'BASE DATOS'!F:G,2,0)</f>
        <v xml:space="preserve">J RIMOLDI - AB312SE </v>
      </c>
      <c r="F1632" s="584" t="str">
        <f>+VLOOKUP(Tabla3[[#This Row],[PATENTE]],'BASE DATOS'!F:H,3,0)</f>
        <v>8P</v>
      </c>
      <c r="G1632" s="584" t="str">
        <f>+VLOOKUP(Tabla3[[#This Row],[PATENTE]],'BASE DATOS'!F:I,4,0)</f>
        <v>SI</v>
      </c>
      <c r="H1632" s="584" t="str">
        <f>+VLOOKUP(Tabla3[[#This Row],[PATENTE]],'BASE DATOS'!F:J,5,0)</f>
        <v>SI</v>
      </c>
      <c r="I1632" s="584" t="str">
        <f>+VLOOKUP(Tabla3[[#This Row],[PATENTE]],'BASE DATOS'!F:K,6,0)</f>
        <v>NO</v>
      </c>
      <c r="J1632" s="584">
        <f>+VLOOKUP(Tabla3[[#This Row],[PATENTE]],'BASE DATOS'!F:L,7,0)</f>
        <v>2017</v>
      </c>
      <c r="K1632" s="619">
        <f>+VLOOKUP(Tabla3[[#This Row],[PATENTE]],'BASE DATOS'!F:M,8,0)</f>
        <v>8</v>
      </c>
    </row>
    <row r="1633" spans="1:11" ht="15" hidden="1" customHeight="1">
      <c r="A1633" s="578" t="s">
        <v>878</v>
      </c>
      <c r="B1633" s="584">
        <v>4</v>
      </c>
      <c r="C1633" s="589">
        <v>46055</v>
      </c>
      <c r="D1633" s="582">
        <f t="shared" si="59"/>
        <v>6</v>
      </c>
      <c r="E1633" s="618" t="str">
        <f>+VLOOKUP(Tabla3[[#This Row],[PATENTE]],'BASE DATOS'!F:G,2,0)</f>
        <v xml:space="preserve">PACHECO JULIO - AA854LY </v>
      </c>
      <c r="F1633" s="584" t="str">
        <f>+VLOOKUP(Tabla3[[#This Row],[PATENTE]],'BASE DATOS'!F:H,3,0)</f>
        <v>7P</v>
      </c>
      <c r="G1633" s="584" t="str">
        <f>+VLOOKUP(Tabla3[[#This Row],[PATENTE]],'BASE DATOS'!F:I,4,0)</f>
        <v>SI</v>
      </c>
      <c r="H1633" s="584" t="str">
        <f>+VLOOKUP(Tabla3[[#This Row],[PATENTE]],'BASE DATOS'!F:J,5,0)</f>
        <v>SI</v>
      </c>
      <c r="I1633" s="584" t="str">
        <f>+VLOOKUP(Tabla3[[#This Row],[PATENTE]],'BASE DATOS'!F:K,6,0)</f>
        <v>NO</v>
      </c>
      <c r="J1633" s="584">
        <f>+VLOOKUP(Tabla3[[#This Row],[PATENTE]],'BASE DATOS'!F:L,7,0)</f>
        <v>2016</v>
      </c>
      <c r="K1633" s="619">
        <f>+VLOOKUP(Tabla3[[#This Row],[PATENTE]],'BASE DATOS'!F:M,8,0)</f>
        <v>9</v>
      </c>
    </row>
    <row r="1634" spans="1:11" ht="15" hidden="1" customHeight="1">
      <c r="A1634" s="578" t="s">
        <v>892</v>
      </c>
      <c r="B1634" s="584">
        <v>4</v>
      </c>
      <c r="C1634" s="589">
        <v>46055</v>
      </c>
      <c r="D1634" s="582">
        <f t="shared" si="59"/>
        <v>6</v>
      </c>
      <c r="E1634" s="618" t="str">
        <f>+VLOOKUP(Tabla3[[#This Row],[PATENTE]],'BASE DATOS'!F:G,2,0)</f>
        <v xml:space="preserve">COLO - FTL525 </v>
      </c>
      <c r="F1634" s="584" t="str">
        <f>+VLOOKUP(Tabla3[[#This Row],[PATENTE]],'BASE DATOS'!F:H,3,0)</f>
        <v>1P</v>
      </c>
      <c r="G1634" s="584" t="str">
        <f>+VLOOKUP(Tabla3[[#This Row],[PATENTE]],'BASE DATOS'!F:I,4,0)</f>
        <v>NO</v>
      </c>
      <c r="H1634" s="584" t="str">
        <f>+VLOOKUP(Tabla3[[#This Row],[PATENTE]],'BASE DATOS'!F:J,5,0)</f>
        <v>SI</v>
      </c>
      <c r="I1634" s="584" t="str">
        <f>+VLOOKUP(Tabla3[[#This Row],[PATENTE]],'BASE DATOS'!F:K,6,0)</f>
        <v>NO</v>
      </c>
      <c r="J1634" s="584">
        <f>+VLOOKUP(Tabla3[[#This Row],[PATENTE]],'BASE DATOS'!F:L,7,0)</f>
        <v>2008</v>
      </c>
      <c r="K1634" s="619">
        <f>+VLOOKUP(Tabla3[[#This Row],[PATENTE]],'BASE DATOS'!F:M,8,0)</f>
        <v>17</v>
      </c>
    </row>
    <row r="1635" spans="1:11" ht="15" hidden="1" customHeight="1">
      <c r="A1635" s="578" t="s">
        <v>925</v>
      </c>
      <c r="B1635" s="584">
        <v>4</v>
      </c>
      <c r="C1635" s="589">
        <v>46055</v>
      </c>
      <c r="D1635" s="582">
        <f t="shared" si="59"/>
        <v>6</v>
      </c>
      <c r="E1635" s="618" t="str">
        <f>+VLOOKUP(Tabla3[[#This Row],[PATENTE]],'BASE DATOS'!F:G,2,0)</f>
        <v xml:space="preserve">TRANSP MAIDANA FACUNDO - KOW745 </v>
      </c>
      <c r="F1635" s="584" t="str">
        <f>+VLOOKUP(Tabla3[[#This Row],[PATENTE]],'BASE DATOS'!F:H,3,0)</f>
        <v>8P</v>
      </c>
      <c r="G1635" s="584" t="str">
        <f>+VLOOKUP(Tabla3[[#This Row],[PATENTE]],'BASE DATOS'!F:I,4,0)</f>
        <v>SI</v>
      </c>
      <c r="H1635" s="584" t="str">
        <f>+VLOOKUP(Tabla3[[#This Row],[PATENTE]],'BASE DATOS'!F:J,5,0)</f>
        <v>SI</v>
      </c>
      <c r="I1635" s="584" t="str">
        <f>+VLOOKUP(Tabla3[[#This Row],[PATENTE]],'BASE DATOS'!F:K,6,0)</f>
        <v>NO</v>
      </c>
      <c r="J1635" s="584">
        <f>+VLOOKUP(Tabla3[[#This Row],[PATENTE]],'BASE DATOS'!F:L,7,0)</f>
        <v>2012</v>
      </c>
      <c r="K1635" s="619">
        <f>+VLOOKUP(Tabla3[[#This Row],[PATENTE]],'BASE DATOS'!F:M,8,0)</f>
        <v>13</v>
      </c>
    </row>
    <row r="1636" spans="1:11" ht="15" hidden="1" customHeight="1">
      <c r="A1636" s="578" t="s">
        <v>880</v>
      </c>
      <c r="B1636" s="584">
        <v>4</v>
      </c>
      <c r="C1636" s="589">
        <v>46055</v>
      </c>
      <c r="D1636" s="582">
        <f t="shared" si="59"/>
        <v>6</v>
      </c>
      <c r="E1636" s="618" t="str">
        <f>+VLOOKUP(Tabla3[[#This Row],[PATENTE]],'BASE DATOS'!F:G,2,0)</f>
        <v xml:space="preserve">LAURIA (SERVAL) - AD575XK </v>
      </c>
      <c r="F1636" s="584" t="str">
        <f>+VLOOKUP(Tabla3[[#This Row],[PATENTE]],'BASE DATOS'!F:H,3,0)</f>
        <v>8P</v>
      </c>
      <c r="G1636" s="584" t="str">
        <f>+VLOOKUP(Tabla3[[#This Row],[PATENTE]],'BASE DATOS'!F:I,4,0)</f>
        <v>SI</v>
      </c>
      <c r="H1636" s="584" t="str">
        <f>+VLOOKUP(Tabla3[[#This Row],[PATENTE]],'BASE DATOS'!F:J,5,0)</f>
        <v>SI</v>
      </c>
      <c r="I1636" s="584" t="str">
        <f>+VLOOKUP(Tabla3[[#This Row],[PATENTE]],'BASE DATOS'!F:K,6,0)</f>
        <v>NO</v>
      </c>
      <c r="J1636" s="584">
        <f>+VLOOKUP(Tabla3[[#This Row],[PATENTE]],'BASE DATOS'!F:L,7,0)</f>
        <v>2019</v>
      </c>
      <c r="K1636" s="619">
        <f>+VLOOKUP(Tabla3[[#This Row],[PATENTE]],'BASE DATOS'!F:M,8,0)</f>
        <v>6</v>
      </c>
    </row>
    <row r="1637" spans="1:11" ht="15" hidden="1" customHeight="1">
      <c r="A1637" s="578" t="s">
        <v>886</v>
      </c>
      <c r="B1637" s="584">
        <v>4</v>
      </c>
      <c r="C1637" s="589">
        <v>46055</v>
      </c>
      <c r="D1637" s="582">
        <f t="shared" si="59"/>
        <v>6</v>
      </c>
      <c r="E1637" s="618" t="str">
        <f>+VLOOKUP(Tabla3[[#This Row],[PATENTE]],'BASE DATOS'!F:G,2,0)</f>
        <v xml:space="preserve">TRANSP LAGOS - NOO925 </v>
      </c>
      <c r="F1637" s="584" t="str">
        <f>+VLOOKUP(Tabla3[[#This Row],[PATENTE]],'BASE DATOS'!F:H,3,0)</f>
        <v>8P</v>
      </c>
      <c r="G1637" s="584" t="str">
        <f>+VLOOKUP(Tabla3[[#This Row],[PATENTE]],'BASE DATOS'!F:I,4,0)</f>
        <v>SI</v>
      </c>
      <c r="H1637" s="584" t="str">
        <f>+VLOOKUP(Tabla3[[#This Row],[PATENTE]],'BASE DATOS'!F:J,5,0)</f>
        <v>SI</v>
      </c>
      <c r="I1637" s="584" t="str">
        <f>+VLOOKUP(Tabla3[[#This Row],[PATENTE]],'BASE DATOS'!F:K,6,0)</f>
        <v>NO</v>
      </c>
      <c r="J1637" s="584">
        <f>+VLOOKUP(Tabla3[[#This Row],[PATENTE]],'BASE DATOS'!F:L,7,0)</f>
        <v>2014</v>
      </c>
      <c r="K1637" s="619">
        <f>+VLOOKUP(Tabla3[[#This Row],[PATENTE]],'BASE DATOS'!F:M,8,0)</f>
        <v>11</v>
      </c>
    </row>
    <row r="1638" spans="1:11" ht="15" hidden="1" customHeight="1">
      <c r="A1638" s="578" t="s">
        <v>924</v>
      </c>
      <c r="B1638" s="584">
        <v>4</v>
      </c>
      <c r="C1638" s="589">
        <v>46055</v>
      </c>
      <c r="D1638" s="582">
        <f t="shared" si="59"/>
        <v>6</v>
      </c>
      <c r="E1638" s="618" t="str">
        <f>+VLOOKUP(Tabla3[[#This Row],[PATENTE]],'BASE DATOS'!F:G,2,0)</f>
        <v>TRANSP MAVIR - HRZ429 -16P</v>
      </c>
      <c r="F1638" s="584" t="str">
        <f>+VLOOKUP(Tabla3[[#This Row],[PATENTE]],'BASE DATOS'!F:H,3,0)</f>
        <v>16P</v>
      </c>
      <c r="G1638" s="584" t="str">
        <f>+VLOOKUP(Tabla3[[#This Row],[PATENTE]],'BASE DATOS'!F:I,4,0)</f>
        <v>SI</v>
      </c>
      <c r="H1638" s="584" t="str">
        <f>+VLOOKUP(Tabla3[[#This Row],[PATENTE]],'BASE DATOS'!F:J,5,0)</f>
        <v xml:space="preserve">NO </v>
      </c>
      <c r="I1638" s="584" t="str">
        <f>+VLOOKUP(Tabla3[[#This Row],[PATENTE]],'BASE DATOS'!F:K,6,0)</f>
        <v>NO</v>
      </c>
      <c r="J1638" s="584">
        <f>+VLOOKUP(Tabla3[[#This Row],[PATENTE]],'BASE DATOS'!F:L,7,0)</f>
        <v>2008</v>
      </c>
      <c r="K1638" s="619">
        <f>+VLOOKUP(Tabla3[[#This Row],[PATENTE]],'BASE DATOS'!F:M,8,0)</f>
        <v>17</v>
      </c>
    </row>
    <row r="1639" spans="1:11" ht="15" hidden="1" customHeight="1">
      <c r="A1639" s="578" t="s">
        <v>950</v>
      </c>
      <c r="B1639" s="584">
        <v>4</v>
      </c>
      <c r="C1639" s="589">
        <v>46055</v>
      </c>
      <c r="D1639" s="582">
        <f t="shared" si="59"/>
        <v>6</v>
      </c>
      <c r="E1639" s="618" t="str">
        <f>+VLOOKUP(Tabla3[[#This Row],[PATENTE]],'BASE DATOS'!F:G,2,0)</f>
        <v>TRANSP DON NENO -IRK036- 2P</v>
      </c>
      <c r="F1639" s="584" t="str">
        <f>+VLOOKUP(Tabla3[[#This Row],[PATENTE]],'BASE DATOS'!F:H,3,0)</f>
        <v>2P</v>
      </c>
      <c r="G1639" s="584" t="str">
        <f>+VLOOKUP(Tabla3[[#This Row],[PATENTE]],'BASE DATOS'!F:I,4,0)</f>
        <v>NO</v>
      </c>
      <c r="H1639" s="584" t="str">
        <f>+VLOOKUP(Tabla3[[#This Row],[PATENTE]],'BASE DATOS'!F:J,5,0)</f>
        <v>NO</v>
      </c>
      <c r="I1639" s="584" t="str">
        <f>+VLOOKUP(Tabla3[[#This Row],[PATENTE]],'BASE DATOS'!F:K,6,0)</f>
        <v>NO</v>
      </c>
      <c r="J1639" s="584">
        <f>+VLOOKUP(Tabla3[[#This Row],[PATENTE]],'BASE DATOS'!F:L,7,0)</f>
        <v>2010</v>
      </c>
      <c r="K1639" s="619">
        <f>+VLOOKUP(Tabla3[[#This Row],[PATENTE]],'BASE DATOS'!F:M,8,0)</f>
        <v>15</v>
      </c>
    </row>
    <row r="1640" spans="1:11" ht="15" hidden="1" customHeight="1">
      <c r="A1640" s="578" t="s">
        <v>915</v>
      </c>
      <c r="B1640" s="584">
        <v>3</v>
      </c>
      <c r="C1640" s="589">
        <v>46055</v>
      </c>
      <c r="D1640" s="582">
        <f t="shared" si="59"/>
        <v>6</v>
      </c>
      <c r="E1640" s="618" t="str">
        <f>+VLOOKUP(Tabla3[[#This Row],[PATENTE]],'BASE DATOS'!F:G,2,0)</f>
        <v>TRANSPORTE GRACIELA - FPL254</v>
      </c>
      <c r="F1640" s="584" t="str">
        <f>+VLOOKUP(Tabla3[[#This Row],[PATENTE]],'BASE DATOS'!F:H,3,0)</f>
        <v>2P</v>
      </c>
      <c r="G1640" s="584" t="str">
        <f>+VLOOKUP(Tabla3[[#This Row],[PATENTE]],'BASE DATOS'!F:I,4,0)</f>
        <v>SI</v>
      </c>
      <c r="H1640" s="584" t="str">
        <f>+VLOOKUP(Tabla3[[#This Row],[PATENTE]],'BASE DATOS'!F:J,5,0)</f>
        <v>NO (CAMI)</v>
      </c>
      <c r="I1640" s="584" t="str">
        <f>+VLOOKUP(Tabla3[[#This Row],[PATENTE]],'BASE DATOS'!F:K,6,0)</f>
        <v>NO</v>
      </c>
      <c r="J1640" s="584">
        <f>+VLOOKUP(Tabla3[[#This Row],[PATENTE]],'BASE DATOS'!F:L,7,0)</f>
        <v>2012</v>
      </c>
      <c r="K1640" s="619">
        <f>+VLOOKUP(Tabla3[[#This Row],[PATENTE]],'BASE DATOS'!F:M,8,0)</f>
        <v>13</v>
      </c>
    </row>
    <row r="1641" spans="1:11" ht="15" hidden="1" customHeight="1">
      <c r="A1641" s="578" t="s">
        <v>898</v>
      </c>
      <c r="B1641" s="584">
        <v>3</v>
      </c>
      <c r="C1641" s="589">
        <v>46055</v>
      </c>
      <c r="D1641" s="582">
        <f t="shared" si="59"/>
        <v>6</v>
      </c>
      <c r="E1641" s="618" t="str">
        <f>+VLOOKUP(Tabla3[[#This Row],[PATENTE]],'BASE DATOS'!F:G,2,0)</f>
        <v xml:space="preserve">TRANSP BERMEJO - NXP980 </v>
      </c>
      <c r="F1641" s="584" t="str">
        <f>+VLOOKUP(Tabla3[[#This Row],[PATENTE]],'BASE DATOS'!F:H,3,0)</f>
        <v>12P</v>
      </c>
      <c r="G1641" s="584" t="str">
        <f>+VLOOKUP(Tabla3[[#This Row],[PATENTE]],'BASE DATOS'!F:I,4,0)</f>
        <v>SI</v>
      </c>
      <c r="H1641" s="584" t="str">
        <f>+VLOOKUP(Tabla3[[#This Row],[PATENTE]],'BASE DATOS'!F:J,5,0)</f>
        <v>SI</v>
      </c>
      <c r="I1641" s="584" t="str">
        <f>+VLOOKUP(Tabla3[[#This Row],[PATENTE]],'BASE DATOS'!F:K,6,0)</f>
        <v>SI</v>
      </c>
      <c r="J1641" s="584">
        <f>+VLOOKUP(Tabla3[[#This Row],[PATENTE]],'BASE DATOS'!F:L,7,0)</f>
        <v>2015</v>
      </c>
      <c r="K1641" s="619">
        <f>+VLOOKUP(Tabla3[[#This Row],[PATENTE]],'BASE DATOS'!F:M,8,0)</f>
        <v>10</v>
      </c>
    </row>
    <row r="1642" spans="1:11" ht="15" hidden="1" customHeight="1">
      <c r="A1642" s="578" t="s">
        <v>900</v>
      </c>
      <c r="B1642" s="584">
        <v>3</v>
      </c>
      <c r="C1642" s="589">
        <v>46055</v>
      </c>
      <c r="D1642" s="582">
        <f t="shared" si="59"/>
        <v>6</v>
      </c>
      <c r="E1642" s="618" t="str">
        <f>+VLOOKUP(Tabla3[[#This Row],[PATENTE]],'BASE DATOS'!F:G,2,0)</f>
        <v>TRANSPORTE GENA GAIA - IMO939</v>
      </c>
      <c r="F1642" s="584" t="str">
        <f>+VLOOKUP(Tabla3[[#This Row],[PATENTE]],'BASE DATOS'!F:H,3,0)</f>
        <v>24P</v>
      </c>
      <c r="G1642" s="584" t="str">
        <f>+VLOOKUP(Tabla3[[#This Row],[PATENTE]],'BASE DATOS'!F:I,4,0)</f>
        <v>Gestya</v>
      </c>
      <c r="H1642" s="584" t="str">
        <f>+VLOOKUP(Tabla3[[#This Row],[PATENTE]],'BASE DATOS'!F:J,5,0)</f>
        <v xml:space="preserve">NO </v>
      </c>
      <c r="I1642" s="584" t="str">
        <f>+VLOOKUP(Tabla3[[#This Row],[PATENTE]],'BASE DATOS'!F:K,6,0)</f>
        <v>NO</v>
      </c>
      <c r="J1642" s="584">
        <f>+VLOOKUP(Tabla3[[#This Row],[PATENTE]],'BASE DATOS'!F:L,7,0)</f>
        <v>2010</v>
      </c>
      <c r="K1642" s="619">
        <f>+VLOOKUP(Tabla3[[#This Row],[PATENTE]],'BASE DATOS'!F:M,8,0)</f>
        <v>15</v>
      </c>
    </row>
    <row r="1643" spans="1:11" ht="15" hidden="1" customHeight="1">
      <c r="A1643" s="578" t="s">
        <v>926</v>
      </c>
      <c r="B1643" s="584">
        <v>2</v>
      </c>
      <c r="C1643" s="589">
        <v>46055</v>
      </c>
      <c r="D1643" s="582">
        <f t="shared" si="59"/>
        <v>6</v>
      </c>
      <c r="E1643" s="618" t="str">
        <f>+VLOOKUP(Tabla3[[#This Row],[PATENTE]],'BASE DATOS'!F:G,2,0)</f>
        <v xml:space="preserve">TRANSPORTE GENA GAIA - DUF042 </v>
      </c>
      <c r="F1643" s="584" t="str">
        <f>+VLOOKUP(Tabla3[[#This Row],[PATENTE]],'BASE DATOS'!F:H,3,0)</f>
        <v>24P</v>
      </c>
      <c r="G1643" s="584" t="str">
        <f>+VLOOKUP(Tabla3[[#This Row],[PATENTE]],'BASE DATOS'!F:I,4,0)</f>
        <v>Gestya</v>
      </c>
      <c r="H1643" s="584" t="str">
        <f>+VLOOKUP(Tabla3[[#This Row],[PATENTE]],'BASE DATOS'!F:J,5,0)</f>
        <v xml:space="preserve">NO </v>
      </c>
      <c r="I1643" s="584" t="str">
        <f>+VLOOKUP(Tabla3[[#This Row],[PATENTE]],'BASE DATOS'!F:K,6,0)</f>
        <v>NO</v>
      </c>
      <c r="J1643" s="584">
        <f>+VLOOKUP(Tabla3[[#This Row],[PATENTE]],'BASE DATOS'!F:L,7,0)</f>
        <v>2001</v>
      </c>
      <c r="K1643" s="619">
        <f>+VLOOKUP(Tabla3[[#This Row],[PATENTE]],'BASE DATOS'!F:M,8,0)</f>
        <v>24</v>
      </c>
    </row>
    <row r="1644" spans="1:11" ht="15" hidden="1" customHeight="1">
      <c r="A1644" s="578" t="s">
        <v>933</v>
      </c>
      <c r="B1644" s="584">
        <v>2</v>
      </c>
      <c r="C1644" s="589">
        <v>46055</v>
      </c>
      <c r="D1644" s="582">
        <f t="shared" si="59"/>
        <v>6</v>
      </c>
      <c r="E1644" s="618" t="str">
        <f>+VLOOKUP(Tabla3[[#This Row],[PATENTE]],'BASE DATOS'!F:G,2,0)</f>
        <v xml:space="preserve">TRANSPORTE GENA GAIA - IKE806 </v>
      </c>
      <c r="F1644" s="584" t="str">
        <f>+VLOOKUP(Tabla3[[#This Row],[PATENTE]],'BASE DATOS'!F:H,3,0)</f>
        <v>24P</v>
      </c>
      <c r="G1644" s="584" t="str">
        <f>+VLOOKUP(Tabla3[[#This Row],[PATENTE]],'BASE DATOS'!F:I,4,0)</f>
        <v>Gestya</v>
      </c>
      <c r="H1644" s="584" t="str">
        <f>+VLOOKUP(Tabla3[[#This Row],[PATENTE]],'BASE DATOS'!F:J,5,0)</f>
        <v xml:space="preserve">NO </v>
      </c>
      <c r="I1644" s="584" t="str">
        <f>+VLOOKUP(Tabla3[[#This Row],[PATENTE]],'BASE DATOS'!F:K,6,0)</f>
        <v>NO</v>
      </c>
      <c r="J1644" s="584">
        <f>+VLOOKUP(Tabla3[[#This Row],[PATENTE]],'BASE DATOS'!F:L,7,0)</f>
        <v>2010</v>
      </c>
      <c r="K1644" s="619">
        <f>+VLOOKUP(Tabla3[[#This Row],[PATENTE]],'BASE DATOS'!F:M,8,0)</f>
        <v>15</v>
      </c>
    </row>
    <row r="1645" spans="1:11" ht="15" hidden="1" customHeight="1">
      <c r="A1645" s="578" t="s">
        <v>1124</v>
      </c>
      <c r="B1645" s="584">
        <v>2</v>
      </c>
      <c r="C1645" s="589">
        <v>46055</v>
      </c>
      <c r="D1645" s="582">
        <f t="shared" si="59"/>
        <v>6</v>
      </c>
      <c r="E1645" s="618" t="str">
        <f>+VLOOKUP(Tabla3[[#This Row],[PATENTE]],'BASE DATOS'!F:G,2,0)</f>
        <v>TRANSP DON NENO - JNO540</v>
      </c>
      <c r="F1645" s="584" t="str">
        <f>+VLOOKUP(Tabla3[[#This Row],[PATENTE]],'BASE DATOS'!F:H,3,0)</f>
        <v>8P</v>
      </c>
      <c r="G1645" s="584" t="str">
        <f>+VLOOKUP(Tabla3[[#This Row],[PATENTE]],'BASE DATOS'!F:I,4,0)</f>
        <v>NO</v>
      </c>
      <c r="H1645" s="584" t="str">
        <f>+VLOOKUP(Tabla3[[#This Row],[PATENTE]],'BASE DATOS'!F:J,5,0)</f>
        <v xml:space="preserve">NO </v>
      </c>
      <c r="I1645" s="584" t="str">
        <f>+VLOOKUP(Tabla3[[#This Row],[PATENTE]],'BASE DATOS'!F:K,6,0)</f>
        <v>NO</v>
      </c>
      <c r="J1645" s="584">
        <f>+VLOOKUP(Tabla3[[#This Row],[PATENTE]],'BASE DATOS'!F:L,7,0)</f>
        <v>2011</v>
      </c>
      <c r="K1645" s="619">
        <f>+VLOOKUP(Tabla3[[#This Row],[PATENTE]],'BASE DATOS'!F:M,8,0)</f>
        <v>14</v>
      </c>
    </row>
    <row r="1646" spans="1:11" ht="15" hidden="1" customHeight="1">
      <c r="A1646" s="578" t="s">
        <v>893</v>
      </c>
      <c r="B1646" s="584">
        <v>2</v>
      </c>
      <c r="C1646" s="589">
        <v>46055</v>
      </c>
      <c r="D1646" s="582">
        <f t="shared" ref="D1646:D1677" si="60">+WEEKNUM(C1646)</f>
        <v>6</v>
      </c>
      <c r="E1646" s="618" t="str">
        <f>+VLOOKUP(Tabla3[[#This Row],[PATENTE]],'BASE DATOS'!F:G,2,0)</f>
        <v xml:space="preserve">GANZINI HUGO - CFF038 </v>
      </c>
      <c r="F1646" s="584" t="str">
        <f>+VLOOKUP(Tabla3[[#This Row],[PATENTE]],'BASE DATOS'!F:H,3,0)</f>
        <v>2P</v>
      </c>
      <c r="G1646" s="584" t="str">
        <f>+VLOOKUP(Tabla3[[#This Row],[PATENTE]],'BASE DATOS'!F:I,4,0)</f>
        <v>SI</v>
      </c>
      <c r="H1646" s="584" t="str">
        <f>+VLOOKUP(Tabla3[[#This Row],[PATENTE]],'BASE DATOS'!F:J,5,0)</f>
        <v>SI</v>
      </c>
      <c r="I1646" s="584" t="str">
        <f>+VLOOKUP(Tabla3[[#This Row],[PATENTE]],'BASE DATOS'!F:K,6,0)</f>
        <v>NO</v>
      </c>
      <c r="J1646" s="584">
        <f>+VLOOKUP(Tabla3[[#This Row],[PATENTE]],'BASE DATOS'!F:L,7,0)</f>
        <v>1999</v>
      </c>
      <c r="K1646" s="619">
        <f>+VLOOKUP(Tabla3[[#This Row],[PATENTE]],'BASE DATOS'!F:M,8,0)</f>
        <v>26</v>
      </c>
    </row>
    <row r="1647" spans="1:11" ht="15" hidden="1" customHeight="1">
      <c r="A1647" s="578" t="s">
        <v>943</v>
      </c>
      <c r="B1647" s="584">
        <v>1</v>
      </c>
      <c r="C1647" s="589">
        <v>46055</v>
      </c>
      <c r="D1647" s="582">
        <f t="shared" si="60"/>
        <v>6</v>
      </c>
      <c r="E1647" s="618" t="str">
        <f>+VLOOKUP(Tabla3[[#This Row],[PATENTE]],'BASE DATOS'!F:G,2,0)</f>
        <v>GANZINI HUGO - KTJ626</v>
      </c>
      <c r="F1647" s="584" t="str">
        <f>+VLOOKUP(Tabla3[[#This Row],[PATENTE]],'BASE DATOS'!F:H,3,0)</f>
        <v>8P</v>
      </c>
      <c r="G1647" s="584" t="str">
        <f>+VLOOKUP(Tabla3[[#This Row],[PATENTE]],'BASE DATOS'!F:I,4,0)</f>
        <v>NO</v>
      </c>
      <c r="H1647" s="584" t="str">
        <f>+VLOOKUP(Tabla3[[#This Row],[PATENTE]],'BASE DATOS'!F:J,5,0)</f>
        <v xml:space="preserve">NO </v>
      </c>
      <c r="I1647" s="584" t="str">
        <f>+VLOOKUP(Tabla3[[#This Row],[PATENTE]],'BASE DATOS'!F:K,6,0)</f>
        <v>NO</v>
      </c>
      <c r="J1647" s="584">
        <f>+VLOOKUP(Tabla3[[#This Row],[PATENTE]],'BASE DATOS'!F:L,7,0)</f>
        <v>2011</v>
      </c>
      <c r="K1647" s="619">
        <f>+VLOOKUP(Tabla3[[#This Row],[PATENTE]],'BASE DATOS'!F:M,8,0)</f>
        <v>14</v>
      </c>
    </row>
    <row r="1648" spans="1:11" ht="15" hidden="1" customHeight="1">
      <c r="A1648" s="578" t="s">
        <v>930</v>
      </c>
      <c r="B1648" s="584">
        <v>1</v>
      </c>
      <c r="C1648" s="589">
        <v>46055</v>
      </c>
      <c r="D1648" s="582">
        <f t="shared" si="60"/>
        <v>6</v>
      </c>
      <c r="E1648" s="618" t="str">
        <f>+VLOOKUP(Tabla3[[#This Row],[PATENTE]],'BASE DATOS'!F:G,2,0)</f>
        <v xml:space="preserve">GANZINI HUGO - JJF375 </v>
      </c>
      <c r="F1648" s="584" t="str">
        <f>+VLOOKUP(Tabla3[[#This Row],[PATENTE]],'BASE DATOS'!F:H,3,0)</f>
        <v>14P</v>
      </c>
      <c r="G1648" s="584" t="str">
        <f>+VLOOKUP(Tabla3[[#This Row],[PATENTE]],'BASE DATOS'!F:I,4,0)</f>
        <v>SI</v>
      </c>
      <c r="H1648" s="584" t="str">
        <f>+VLOOKUP(Tabla3[[#This Row],[PATENTE]],'BASE DATOS'!F:J,5,0)</f>
        <v xml:space="preserve">NO </v>
      </c>
      <c r="I1648" s="584" t="str">
        <f>+VLOOKUP(Tabla3[[#This Row],[PATENTE]],'BASE DATOS'!F:K,6,0)</f>
        <v>NO</v>
      </c>
      <c r="J1648" s="584">
        <f>+VLOOKUP(Tabla3[[#This Row],[PATENTE]],'BASE DATOS'!F:L,7,0)</f>
        <v>2011</v>
      </c>
      <c r="K1648" s="619">
        <f>+VLOOKUP(Tabla3[[#This Row],[PATENTE]],'BASE DATOS'!F:M,8,0)</f>
        <v>14</v>
      </c>
    </row>
    <row r="1649" spans="1:11" ht="15" hidden="1" customHeight="1">
      <c r="A1649" s="578" t="s">
        <v>944</v>
      </c>
      <c r="B1649" s="584">
        <v>1</v>
      </c>
      <c r="C1649" s="589">
        <v>46055</v>
      </c>
      <c r="D1649" s="582">
        <f t="shared" si="60"/>
        <v>6</v>
      </c>
      <c r="E1649" s="618" t="str">
        <f>+VLOOKUP(Tabla3[[#This Row],[PATENTE]],'BASE DATOS'!F:G,2,0)</f>
        <v xml:space="preserve">TRANSPORTE GENA GAIA - BHG261 </v>
      </c>
      <c r="F1649" s="584" t="str">
        <f>+VLOOKUP(Tabla3[[#This Row],[PATENTE]],'BASE DATOS'!F:H,3,0)</f>
        <v>26P</v>
      </c>
      <c r="G1649" s="584" t="str">
        <f>+VLOOKUP(Tabla3[[#This Row],[PATENTE]],'BASE DATOS'!F:I,4,0)</f>
        <v>Gestya</v>
      </c>
      <c r="H1649" s="584" t="str">
        <f>+VLOOKUP(Tabla3[[#This Row],[PATENTE]],'BASE DATOS'!F:J,5,0)</f>
        <v xml:space="preserve">NO </v>
      </c>
      <c r="I1649" s="584" t="str">
        <f>+VLOOKUP(Tabla3[[#This Row],[PATENTE]],'BASE DATOS'!F:K,6,0)</f>
        <v>NO</v>
      </c>
      <c r="J1649" s="584">
        <f>+VLOOKUP(Tabla3[[#This Row],[PATENTE]],'BASE DATOS'!F:L,7,0)</f>
        <v>1997</v>
      </c>
      <c r="K1649" s="619">
        <f>+VLOOKUP(Tabla3[[#This Row],[PATENTE]],'BASE DATOS'!F:M,8,0)</f>
        <v>28</v>
      </c>
    </row>
    <row r="1650" spans="1:11" ht="15" hidden="1" customHeight="1">
      <c r="A1650" s="578" t="s">
        <v>906</v>
      </c>
      <c r="B1650" s="584">
        <v>1</v>
      </c>
      <c r="C1650" s="589">
        <v>46055</v>
      </c>
      <c r="D1650" s="582">
        <f t="shared" si="60"/>
        <v>6</v>
      </c>
      <c r="E1650" s="618" t="str">
        <f>+VLOOKUP(Tabla3[[#This Row],[PATENTE]],'BASE DATOS'!F:G,2,0)</f>
        <v xml:space="preserve">VAZQUEZ (TRV SRL) - AD472GK </v>
      </c>
      <c r="F1650" s="584" t="str">
        <f>+VLOOKUP(Tabla3[[#This Row],[PATENTE]],'BASE DATOS'!F:H,3,0)</f>
        <v>8P</v>
      </c>
      <c r="G1650" s="584" t="str">
        <f>+VLOOKUP(Tabla3[[#This Row],[PATENTE]],'BASE DATOS'!F:I,4,0)</f>
        <v>NO</v>
      </c>
      <c r="H1650" s="584" t="str">
        <f>+VLOOKUP(Tabla3[[#This Row],[PATENTE]],'BASE DATOS'!F:J,5,0)</f>
        <v>NO</v>
      </c>
      <c r="I1650" s="584" t="str">
        <f>+VLOOKUP(Tabla3[[#This Row],[PATENTE]],'BASE DATOS'!F:K,6,0)</f>
        <v>SI</v>
      </c>
      <c r="J1650" s="584">
        <f>+VLOOKUP(Tabla3[[#This Row],[PATENTE]],'BASE DATOS'!F:L,7,0)</f>
        <v>2019</v>
      </c>
      <c r="K1650" s="619">
        <f>+VLOOKUP(Tabla3[[#This Row],[PATENTE]],'BASE DATOS'!F:M,8,0)</f>
        <v>6</v>
      </c>
    </row>
    <row r="1651" spans="1:11" ht="15" hidden="1" customHeight="1">
      <c r="A1651" s="578" t="s">
        <v>942</v>
      </c>
      <c r="B1651" s="584">
        <v>1</v>
      </c>
      <c r="C1651" s="589">
        <v>46055</v>
      </c>
      <c r="D1651" s="582">
        <f t="shared" si="60"/>
        <v>6</v>
      </c>
      <c r="E1651" s="618" t="str">
        <f>+VLOOKUP(Tabla3[[#This Row],[PATENTE]],'BASE DATOS'!F:G,2,0)</f>
        <v>GANZINI HUGO - AH599 - 1P</v>
      </c>
      <c r="F1651" s="584" t="str">
        <f>+VLOOKUP(Tabla3[[#This Row],[PATENTE]],'BASE DATOS'!F:H,3,0)</f>
        <v>1P</v>
      </c>
      <c r="G1651" s="584" t="str">
        <f>+VLOOKUP(Tabla3[[#This Row],[PATENTE]],'BASE DATOS'!F:I,4,0)</f>
        <v>NO</v>
      </c>
      <c r="H1651" s="584" t="str">
        <f>+VLOOKUP(Tabla3[[#This Row],[PATENTE]],'BASE DATOS'!F:J,5,0)</f>
        <v>NO</v>
      </c>
      <c r="I1651" s="584" t="str">
        <f>+VLOOKUP(Tabla3[[#This Row],[PATENTE]],'BASE DATOS'!F:K,6,0)</f>
        <v>NO</v>
      </c>
      <c r="J1651" s="584">
        <f>+VLOOKUP(Tabla3[[#This Row],[PATENTE]],'BASE DATOS'!F:L,7,0)</f>
        <v>2025</v>
      </c>
      <c r="K1651" s="619">
        <f>+VLOOKUP(Tabla3[[#This Row],[PATENTE]],'BASE DATOS'!F:M,8,0)</f>
        <v>0</v>
      </c>
    </row>
    <row r="1652" spans="1:11" ht="15" hidden="1" customHeight="1">
      <c r="A1652" s="578" t="s">
        <v>890</v>
      </c>
      <c r="B1652" s="584">
        <v>1</v>
      </c>
      <c r="C1652" s="589">
        <v>46055</v>
      </c>
      <c r="D1652" s="582">
        <f t="shared" si="60"/>
        <v>6</v>
      </c>
      <c r="E1652" s="618" t="str">
        <f>+VLOOKUP(Tabla3[[#This Row],[PATENTE]],'BASE DATOS'!F:G,2,0)</f>
        <v xml:space="preserve">TRANSPORTE GRACIELA - AC040RO </v>
      </c>
      <c r="F1652" s="584" t="str">
        <f>+VLOOKUP(Tabla3[[#This Row],[PATENTE]],'BASE DATOS'!F:H,3,0)</f>
        <v>1P</v>
      </c>
      <c r="G1652" s="584" t="str">
        <f>+VLOOKUP(Tabla3[[#This Row],[PATENTE]],'BASE DATOS'!F:I,4,0)</f>
        <v>SI</v>
      </c>
      <c r="H1652" s="584" t="str">
        <f>+VLOOKUP(Tabla3[[#This Row],[PATENTE]],'BASE DATOS'!F:J,5,0)</f>
        <v>ACEPTA( VER CAMI)</v>
      </c>
      <c r="I1652" s="584" t="str">
        <f>+VLOOKUP(Tabla3[[#This Row],[PATENTE]],'BASE DATOS'!F:K,6,0)</f>
        <v>NO</v>
      </c>
      <c r="J1652" s="584">
        <f>+VLOOKUP(Tabla3[[#This Row],[PATENTE]],'BASE DATOS'!F:L,7,0)</f>
        <v>2017</v>
      </c>
      <c r="K1652" s="619">
        <f>+VLOOKUP(Tabla3[[#This Row],[PATENTE]],'BASE DATOS'!F:M,8,0)</f>
        <v>8</v>
      </c>
    </row>
    <row r="1653" spans="1:11" ht="15" hidden="1" customHeight="1">
      <c r="A1653" s="581" t="s">
        <v>927</v>
      </c>
      <c r="B1653" s="587">
        <v>1</v>
      </c>
      <c r="C1653" s="1023">
        <v>46055</v>
      </c>
      <c r="D1653" s="583">
        <f t="shared" si="60"/>
        <v>6</v>
      </c>
      <c r="E1653" s="620" t="str">
        <f>+VLOOKUP(Tabla3[[#This Row],[PATENTE]],'BASE DATOS'!F:G,2,0)</f>
        <v xml:space="preserve">TRANSP MAVIR - EKE275 </v>
      </c>
      <c r="F1653" s="587" t="str">
        <f>+VLOOKUP(Tabla3[[#This Row],[PATENTE]],'BASE DATOS'!F:H,3,0)</f>
        <v>11P</v>
      </c>
      <c r="G1653" s="587" t="str">
        <f>+VLOOKUP(Tabla3[[#This Row],[PATENTE]],'BASE DATOS'!F:I,4,0)</f>
        <v>NO</v>
      </c>
      <c r="H1653" s="587" t="str">
        <f>+VLOOKUP(Tabla3[[#This Row],[PATENTE]],'BASE DATOS'!F:J,5,0)</f>
        <v xml:space="preserve">NO </v>
      </c>
      <c r="I1653" s="587" t="str">
        <f>+VLOOKUP(Tabla3[[#This Row],[PATENTE]],'BASE DATOS'!F:K,6,0)</f>
        <v>NO</v>
      </c>
      <c r="J1653" s="587">
        <f>+VLOOKUP(Tabla3[[#This Row],[PATENTE]],'BASE DATOS'!F:L,7,0)</f>
        <v>2004</v>
      </c>
      <c r="K1653" s="621">
        <f>+VLOOKUP(Tabla3[[#This Row],[PATENTE]],'BASE DATOS'!F:M,8,0)</f>
        <v>21</v>
      </c>
    </row>
    <row r="1654" spans="1:11" ht="15" hidden="1" customHeight="1">
      <c r="A1654" s="578" t="s">
        <v>922</v>
      </c>
      <c r="B1654" s="584">
        <v>7</v>
      </c>
      <c r="C1654" s="589">
        <v>46062</v>
      </c>
      <c r="D1654" s="582">
        <f t="shared" ref="D1654:D1685" si="61">+WEEKNUM(C1654)</f>
        <v>7</v>
      </c>
      <c r="E1654" s="618" t="str">
        <f>+VLOOKUP(Tabla3[[#This Row],[PATENTE]],'BASE DATOS'!F:G,2,0)</f>
        <v>LAURIA (SERVAL) - AF342ZY</v>
      </c>
      <c r="F1654" s="584" t="str">
        <f>+VLOOKUP(Tabla3[[#This Row],[PATENTE]],'BASE DATOS'!F:H,3,0)</f>
        <v>8P</v>
      </c>
      <c r="G1654" s="584" t="str">
        <f>+VLOOKUP(Tabla3[[#This Row],[PATENTE]],'BASE DATOS'!F:I,4,0)</f>
        <v>SI</v>
      </c>
      <c r="H1654" s="584" t="str">
        <f>+VLOOKUP(Tabla3[[#This Row],[PATENTE]],'BASE DATOS'!F:J,5,0)</f>
        <v>SI</v>
      </c>
      <c r="I1654" s="584" t="str">
        <f>+VLOOKUP(Tabla3[[#This Row],[PATENTE]],'BASE DATOS'!F:K,6,0)</f>
        <v>NO</v>
      </c>
      <c r="J1654" s="584">
        <f>+VLOOKUP(Tabla3[[#This Row],[PATENTE]],'BASE DATOS'!F:L,7,0)</f>
        <v>2022</v>
      </c>
      <c r="K1654" s="619">
        <f>+VLOOKUP(Tabla3[[#This Row],[PATENTE]],'BASE DATOS'!F:M,8,0)</f>
        <v>3</v>
      </c>
    </row>
    <row r="1655" spans="1:11" ht="15" hidden="1" customHeight="1">
      <c r="A1655" s="578" t="s">
        <v>936</v>
      </c>
      <c r="B1655" s="584">
        <v>6</v>
      </c>
      <c r="C1655" s="589">
        <v>46062</v>
      </c>
      <c r="D1655" s="582">
        <f t="shared" si="61"/>
        <v>7</v>
      </c>
      <c r="E1655" s="618" t="str">
        <f>+VLOOKUP(Tabla3[[#This Row],[PATENTE]],'BASE DATOS'!F:G,2,0)</f>
        <v>TRANSP YANINA  LUONGO - AA050HC</v>
      </c>
      <c r="F1655" s="584" t="str">
        <f>+VLOOKUP(Tabla3[[#This Row],[PATENTE]],'BASE DATOS'!F:H,3,0)</f>
        <v>1.5P</v>
      </c>
      <c r="G1655" s="584" t="str">
        <f>+VLOOKUP(Tabla3[[#This Row],[PATENTE]],'BASE DATOS'!F:I,4,0)</f>
        <v>NO</v>
      </c>
      <c r="H1655" s="584" t="str">
        <f>+VLOOKUP(Tabla3[[#This Row],[PATENTE]],'BASE DATOS'!F:J,5,0)</f>
        <v>SI</v>
      </c>
      <c r="I1655" s="584" t="str">
        <f>+VLOOKUP(Tabla3[[#This Row],[PATENTE]],'BASE DATOS'!F:K,6,0)</f>
        <v>NO</v>
      </c>
      <c r="J1655" s="584">
        <f>+VLOOKUP(Tabla3[[#This Row],[PATENTE]],'BASE DATOS'!F:L,7,0)</f>
        <v>2016</v>
      </c>
      <c r="K1655" s="619">
        <f>+VLOOKUP(Tabla3[[#This Row],[PATENTE]],'BASE DATOS'!F:M,8,0)</f>
        <v>9</v>
      </c>
    </row>
    <row r="1656" spans="1:11" ht="15" hidden="1" customHeight="1">
      <c r="A1656" s="578" t="s">
        <v>884</v>
      </c>
      <c r="B1656" s="584">
        <v>6</v>
      </c>
      <c r="C1656" s="589">
        <v>46062</v>
      </c>
      <c r="D1656" s="582">
        <f t="shared" si="61"/>
        <v>7</v>
      </c>
      <c r="E1656" s="618" t="str">
        <f>+VLOOKUP(Tabla3[[#This Row],[PATENTE]],'BASE DATOS'!F:G,2,0)</f>
        <v xml:space="preserve">LAURIA (SERVAL) - AB233IT </v>
      </c>
      <c r="F1656" s="584" t="str">
        <f>+VLOOKUP(Tabla3[[#This Row],[PATENTE]],'BASE DATOS'!F:H,3,0)</f>
        <v>6P</v>
      </c>
      <c r="G1656" s="584" t="str">
        <f>+VLOOKUP(Tabla3[[#This Row],[PATENTE]],'BASE DATOS'!F:I,4,0)</f>
        <v>SI</v>
      </c>
      <c r="H1656" s="584" t="str">
        <f>+VLOOKUP(Tabla3[[#This Row],[PATENTE]],'BASE DATOS'!F:J,5,0)</f>
        <v>SI</v>
      </c>
      <c r="I1656" s="584" t="str">
        <f>+VLOOKUP(Tabla3[[#This Row],[PATENTE]],'BASE DATOS'!F:K,6,0)</f>
        <v>NO</v>
      </c>
      <c r="J1656" s="584">
        <f>+VLOOKUP(Tabla3[[#This Row],[PATENTE]],'BASE DATOS'!F:L,7,0)</f>
        <v>2017</v>
      </c>
      <c r="K1656" s="619">
        <f>+VLOOKUP(Tabla3[[#This Row],[PATENTE]],'BASE DATOS'!F:M,8,0)</f>
        <v>8</v>
      </c>
    </row>
    <row r="1657" spans="1:11" ht="15" hidden="1" customHeight="1">
      <c r="A1657" s="578" t="s">
        <v>912</v>
      </c>
      <c r="B1657" s="584">
        <v>6</v>
      </c>
      <c r="C1657" s="589">
        <v>46062</v>
      </c>
      <c r="D1657" s="582">
        <f t="shared" si="61"/>
        <v>7</v>
      </c>
      <c r="E1657" s="618" t="str">
        <f>+VLOOKUP(Tabla3[[#This Row],[PATENTE]],'BASE DATOS'!F:G,2,0)</f>
        <v xml:space="preserve">PACHECO JULIO - AC028WN </v>
      </c>
      <c r="F1657" s="584" t="str">
        <f>+VLOOKUP(Tabla3[[#This Row],[PATENTE]],'BASE DATOS'!F:H,3,0)</f>
        <v>8P</v>
      </c>
      <c r="G1657" s="584" t="str">
        <f>+VLOOKUP(Tabla3[[#This Row],[PATENTE]],'BASE DATOS'!F:I,4,0)</f>
        <v>SI</v>
      </c>
      <c r="H1657" s="584" t="str">
        <f>+VLOOKUP(Tabla3[[#This Row],[PATENTE]],'BASE DATOS'!F:J,5,0)</f>
        <v>SI</v>
      </c>
      <c r="I1657" s="584" t="str">
        <f>+VLOOKUP(Tabla3[[#This Row],[PATENTE]],'BASE DATOS'!F:K,6,0)</f>
        <v>SI</v>
      </c>
      <c r="J1657" s="584">
        <f>+VLOOKUP(Tabla3[[#This Row],[PATENTE]],'BASE DATOS'!F:L,7,0)</f>
        <v>2017</v>
      </c>
      <c r="K1657" s="619">
        <f>+VLOOKUP(Tabla3[[#This Row],[PATENTE]],'BASE DATOS'!F:M,8,0)</f>
        <v>8</v>
      </c>
    </row>
    <row r="1658" spans="1:11" ht="15" hidden="1" customHeight="1">
      <c r="A1658" s="578" t="s">
        <v>888</v>
      </c>
      <c r="B1658" s="584">
        <v>6</v>
      </c>
      <c r="C1658" s="589">
        <v>46062</v>
      </c>
      <c r="D1658" s="582">
        <f t="shared" si="61"/>
        <v>7</v>
      </c>
      <c r="E1658" s="618" t="str">
        <f>+VLOOKUP(Tabla3[[#This Row],[PATENTE]],'BASE DATOS'!F:G,2,0)</f>
        <v xml:space="preserve">TRANSP FIRST CLASS - AD535UI </v>
      </c>
      <c r="F1658" s="584" t="str">
        <f>+VLOOKUP(Tabla3[[#This Row],[PATENTE]],'BASE DATOS'!F:H,3,0)</f>
        <v>6P</v>
      </c>
      <c r="G1658" s="584" t="str">
        <f>+VLOOKUP(Tabla3[[#This Row],[PATENTE]],'BASE DATOS'!F:I,4,0)</f>
        <v>SI</v>
      </c>
      <c r="H1658" s="584" t="str">
        <f>+VLOOKUP(Tabla3[[#This Row],[PATENTE]],'BASE DATOS'!F:J,5,0)</f>
        <v>SI</v>
      </c>
      <c r="I1658" s="584" t="str">
        <f>+VLOOKUP(Tabla3[[#This Row],[PATENTE]],'BASE DATOS'!F:K,6,0)</f>
        <v>NO</v>
      </c>
      <c r="J1658" s="584">
        <f>+VLOOKUP(Tabla3[[#This Row],[PATENTE]],'BASE DATOS'!F:L,7,0)</f>
        <v>2019</v>
      </c>
      <c r="K1658" s="619">
        <f>+VLOOKUP(Tabla3[[#This Row],[PATENTE]],'BASE DATOS'!F:M,8,0)</f>
        <v>6</v>
      </c>
    </row>
    <row r="1659" spans="1:11" ht="15" hidden="1" customHeight="1">
      <c r="A1659" s="578" t="s">
        <v>895</v>
      </c>
      <c r="B1659" s="584">
        <v>6</v>
      </c>
      <c r="C1659" s="589">
        <v>46062</v>
      </c>
      <c r="D1659" s="582">
        <f t="shared" si="61"/>
        <v>7</v>
      </c>
      <c r="E1659" s="618" t="str">
        <f>+VLOOKUP(Tabla3[[#This Row],[PATENTE]],'BASE DATOS'!F:G,2,0)</f>
        <v xml:space="preserve">TRANSPORTE MICAELA </v>
      </c>
      <c r="F1659" s="584" t="str">
        <f>+VLOOKUP(Tabla3[[#This Row],[PATENTE]],'BASE DATOS'!F:H,3,0)</f>
        <v>2P</v>
      </c>
      <c r="G1659" s="584" t="str">
        <f>+VLOOKUP(Tabla3[[#This Row],[PATENTE]],'BASE DATOS'!F:I,4,0)</f>
        <v>NO</v>
      </c>
      <c r="H1659" s="584" t="str">
        <f>+VLOOKUP(Tabla3[[#This Row],[PATENTE]],'BASE DATOS'!F:J,5,0)</f>
        <v>SI</v>
      </c>
      <c r="I1659" s="584" t="str">
        <f>+VLOOKUP(Tabla3[[#This Row],[PATENTE]],'BASE DATOS'!F:K,6,0)</f>
        <v>NO</v>
      </c>
      <c r="J1659" s="584">
        <f>+VLOOKUP(Tabla3[[#This Row],[PATENTE]],'BASE DATOS'!F:L,7,0)</f>
        <v>2024</v>
      </c>
      <c r="K1659" s="619">
        <f>+VLOOKUP(Tabla3[[#This Row],[PATENTE]],'BASE DATOS'!F:M,8,0)</f>
        <v>1</v>
      </c>
    </row>
    <row r="1660" spans="1:11" ht="15" hidden="1" customHeight="1">
      <c r="A1660" s="578" t="s">
        <v>903</v>
      </c>
      <c r="B1660" s="584">
        <v>6</v>
      </c>
      <c r="C1660" s="589">
        <v>46062</v>
      </c>
      <c r="D1660" s="582">
        <f t="shared" si="61"/>
        <v>7</v>
      </c>
      <c r="E1660" s="618" t="str">
        <f>+VLOOKUP(Tabla3[[#This Row],[PATENTE]],'BASE DATOS'!F:G,2,0)</f>
        <v xml:space="preserve">TRANSP CLAUDIO BUSTOS - AG243PE </v>
      </c>
      <c r="F1660" s="584" t="str">
        <f>+VLOOKUP(Tabla3[[#This Row],[PATENTE]],'BASE DATOS'!F:H,3,0)</f>
        <v>1P</v>
      </c>
      <c r="G1660" s="584" t="str">
        <f>+VLOOKUP(Tabla3[[#This Row],[PATENTE]],'BASE DATOS'!F:I,4,0)</f>
        <v>SI</v>
      </c>
      <c r="H1660" s="584" t="str">
        <f>+VLOOKUP(Tabla3[[#This Row],[PATENTE]],'BASE DATOS'!F:J,5,0)</f>
        <v>SI</v>
      </c>
      <c r="I1660" s="584" t="str">
        <f>+VLOOKUP(Tabla3[[#This Row],[PATENTE]],'BASE DATOS'!F:K,6,0)</f>
        <v>NO</v>
      </c>
      <c r="J1660" s="584">
        <f>+VLOOKUP(Tabla3[[#This Row],[PATENTE]],'BASE DATOS'!F:L,7,0)</f>
        <v>2024</v>
      </c>
      <c r="K1660" s="619">
        <f>+VLOOKUP(Tabla3[[#This Row],[PATENTE]],'BASE DATOS'!F:M,8,0)</f>
        <v>1</v>
      </c>
    </row>
    <row r="1661" spans="1:11" ht="15" hidden="1" customHeight="1">
      <c r="A1661" s="578" t="s">
        <v>944</v>
      </c>
      <c r="B1661" s="584">
        <v>6</v>
      </c>
      <c r="C1661" s="589">
        <v>46062</v>
      </c>
      <c r="D1661" s="582">
        <f t="shared" si="61"/>
        <v>7</v>
      </c>
      <c r="E1661" s="618" t="str">
        <f>+VLOOKUP(Tabla3[[#This Row],[PATENTE]],'BASE DATOS'!F:G,2,0)</f>
        <v xml:space="preserve">TRANSPORTE GENA GAIA - BHG261 </v>
      </c>
      <c r="F1661" s="584" t="str">
        <f>+VLOOKUP(Tabla3[[#This Row],[PATENTE]],'BASE DATOS'!F:H,3,0)</f>
        <v>26P</v>
      </c>
      <c r="G1661" s="584" t="str">
        <f>+VLOOKUP(Tabla3[[#This Row],[PATENTE]],'BASE DATOS'!F:I,4,0)</f>
        <v>Gestya</v>
      </c>
      <c r="H1661" s="584" t="str">
        <f>+VLOOKUP(Tabla3[[#This Row],[PATENTE]],'BASE DATOS'!F:J,5,0)</f>
        <v xml:space="preserve">NO </v>
      </c>
      <c r="I1661" s="584" t="str">
        <f>+VLOOKUP(Tabla3[[#This Row],[PATENTE]],'BASE DATOS'!F:K,6,0)</f>
        <v>NO</v>
      </c>
      <c r="J1661" s="584">
        <f>+VLOOKUP(Tabla3[[#This Row],[PATENTE]],'BASE DATOS'!F:L,7,0)</f>
        <v>1997</v>
      </c>
      <c r="K1661" s="619">
        <f>+VLOOKUP(Tabla3[[#This Row],[PATENTE]],'BASE DATOS'!F:M,8,0)</f>
        <v>28</v>
      </c>
    </row>
    <row r="1662" spans="1:11" ht="15" hidden="1" customHeight="1">
      <c r="A1662" s="578" t="s">
        <v>904</v>
      </c>
      <c r="B1662" s="584">
        <v>6</v>
      </c>
      <c r="C1662" s="589">
        <v>46062</v>
      </c>
      <c r="D1662" s="582">
        <f t="shared" si="61"/>
        <v>7</v>
      </c>
      <c r="E1662" s="618" t="str">
        <f>+VLOOKUP(Tabla3[[#This Row],[PATENTE]],'BASE DATOS'!F:G,2,0)</f>
        <v xml:space="preserve">ENRIQUE ROLLINO - DFO656 </v>
      </c>
      <c r="F1662" s="584" t="str">
        <f>+VLOOKUP(Tabla3[[#This Row],[PATENTE]],'BASE DATOS'!F:H,3,0)</f>
        <v>6P</v>
      </c>
      <c r="G1662" s="584" t="str">
        <f>+VLOOKUP(Tabla3[[#This Row],[PATENTE]],'BASE DATOS'!F:I,4,0)</f>
        <v>SI</v>
      </c>
      <c r="H1662" s="584" t="str">
        <f>+VLOOKUP(Tabla3[[#This Row],[PATENTE]],'BASE DATOS'!F:J,5,0)</f>
        <v>SI</v>
      </c>
      <c r="I1662" s="584" t="str">
        <f>+VLOOKUP(Tabla3[[#This Row],[PATENTE]],'BASE DATOS'!F:K,6,0)</f>
        <v>NO</v>
      </c>
      <c r="J1662" s="584">
        <f>+VLOOKUP(Tabla3[[#This Row],[PATENTE]],'BASE DATOS'!F:L,7,0)</f>
        <v>2000</v>
      </c>
      <c r="K1662" s="619">
        <f>+VLOOKUP(Tabla3[[#This Row],[PATENTE]],'BASE DATOS'!F:M,8,0)</f>
        <v>25</v>
      </c>
    </row>
    <row r="1663" spans="1:11" ht="15" hidden="1" customHeight="1">
      <c r="A1663" s="578" t="s">
        <v>885</v>
      </c>
      <c r="B1663" s="584">
        <v>6</v>
      </c>
      <c r="C1663" s="589">
        <v>46062</v>
      </c>
      <c r="D1663" s="582">
        <f t="shared" si="61"/>
        <v>7</v>
      </c>
      <c r="E1663" s="618" t="str">
        <f>+VLOOKUP(Tabla3[[#This Row],[PATENTE]],'BASE DATOS'!F:G,2,0)</f>
        <v xml:space="preserve">TRANSP DON NENO - IES288 </v>
      </c>
      <c r="F1663" s="584" t="str">
        <f>+VLOOKUP(Tabla3[[#This Row],[PATENTE]],'BASE DATOS'!F:H,3,0)</f>
        <v>2P</v>
      </c>
      <c r="G1663" s="584" t="str">
        <f>+VLOOKUP(Tabla3[[#This Row],[PATENTE]],'BASE DATOS'!F:I,4,0)</f>
        <v>SI</v>
      </c>
      <c r="H1663" s="584" t="str">
        <f>+VLOOKUP(Tabla3[[#This Row],[PATENTE]],'BASE DATOS'!F:J,5,0)</f>
        <v>SI</v>
      </c>
      <c r="I1663" s="584" t="str">
        <f>+VLOOKUP(Tabla3[[#This Row],[PATENTE]],'BASE DATOS'!F:K,6,0)</f>
        <v>NO</v>
      </c>
      <c r="J1663" s="584">
        <f>+VLOOKUP(Tabla3[[#This Row],[PATENTE]],'BASE DATOS'!F:L,7,0)</f>
        <v>2009</v>
      </c>
      <c r="K1663" s="619">
        <f>+VLOOKUP(Tabla3[[#This Row],[PATENTE]],'BASE DATOS'!F:M,8,0)</f>
        <v>16</v>
      </c>
    </row>
    <row r="1664" spans="1:11" ht="15" hidden="1" customHeight="1">
      <c r="A1664" s="578" t="s">
        <v>901</v>
      </c>
      <c r="B1664" s="584">
        <v>6</v>
      </c>
      <c r="C1664" s="589">
        <v>46062</v>
      </c>
      <c r="D1664" s="582">
        <f t="shared" si="61"/>
        <v>7</v>
      </c>
      <c r="E1664" s="618" t="str">
        <f>+VLOOKUP(Tabla3[[#This Row],[PATENTE]],'BASE DATOS'!F:G,2,0)</f>
        <v xml:space="preserve">TRANSPORTE  GRACIELA - IYE750 </v>
      </c>
      <c r="F1664" s="584" t="str">
        <f>+VLOOKUP(Tabla3[[#This Row],[PATENTE]],'BASE DATOS'!F:H,3,0)</f>
        <v>1P</v>
      </c>
      <c r="G1664" s="584" t="str">
        <f>+VLOOKUP(Tabla3[[#This Row],[PATENTE]],'BASE DATOS'!F:I,4,0)</f>
        <v>NO</v>
      </c>
      <c r="H1664" s="584" t="str">
        <f>+VLOOKUP(Tabla3[[#This Row],[PATENTE]],'BASE DATOS'!F:J,5,0)</f>
        <v>SI</v>
      </c>
      <c r="I1664" s="584" t="str">
        <f>+VLOOKUP(Tabla3[[#This Row],[PATENTE]],'BASE DATOS'!F:K,6,0)</f>
        <v>NO</v>
      </c>
      <c r="J1664" s="584">
        <f>+VLOOKUP(Tabla3[[#This Row],[PATENTE]],'BASE DATOS'!F:L,7,0)</f>
        <v>2009</v>
      </c>
      <c r="K1664" s="619">
        <f>+VLOOKUP(Tabla3[[#This Row],[PATENTE]],'BASE DATOS'!F:M,8,0)</f>
        <v>16</v>
      </c>
    </row>
    <row r="1665" spans="1:11" ht="15" hidden="1" customHeight="1">
      <c r="A1665" s="578" t="s">
        <v>882</v>
      </c>
      <c r="B1665" s="584">
        <v>6</v>
      </c>
      <c r="C1665" s="589">
        <v>46062</v>
      </c>
      <c r="D1665" s="582">
        <f t="shared" si="61"/>
        <v>7</v>
      </c>
      <c r="E1665" s="618" t="str">
        <f>+VLOOKUP(Tabla3[[#This Row],[PATENTE]],'BASE DATOS'!F:G,2,0)</f>
        <v xml:space="preserve">MAÑAS - JWN279 </v>
      </c>
      <c r="F1665" s="584" t="str">
        <f>+VLOOKUP(Tabla3[[#This Row],[PATENTE]],'BASE DATOS'!F:H,3,0)</f>
        <v>7P</v>
      </c>
      <c r="G1665" s="584" t="str">
        <f>+VLOOKUP(Tabla3[[#This Row],[PATENTE]],'BASE DATOS'!F:I,4,0)</f>
        <v>SI</v>
      </c>
      <c r="H1665" s="584" t="str">
        <f>+VLOOKUP(Tabla3[[#This Row],[PATENTE]],'BASE DATOS'!F:J,5,0)</f>
        <v>SI</v>
      </c>
      <c r="I1665" s="584" t="str">
        <f>+VLOOKUP(Tabla3[[#This Row],[PATENTE]],'BASE DATOS'!F:K,6,0)</f>
        <v>NO</v>
      </c>
      <c r="J1665" s="584">
        <f>+VLOOKUP(Tabla3[[#This Row],[PATENTE]],'BASE DATOS'!F:L,7,0)</f>
        <v>2011</v>
      </c>
      <c r="K1665" s="619">
        <f>+VLOOKUP(Tabla3[[#This Row],[PATENTE]],'BASE DATOS'!F:M,8,0)</f>
        <v>14</v>
      </c>
    </row>
    <row r="1666" spans="1:11" ht="15" hidden="1" customHeight="1">
      <c r="A1666" s="578" t="s">
        <v>902</v>
      </c>
      <c r="B1666" s="584">
        <v>6</v>
      </c>
      <c r="C1666" s="589">
        <v>46062</v>
      </c>
      <c r="D1666" s="582">
        <f t="shared" si="61"/>
        <v>7</v>
      </c>
      <c r="E1666" s="618" t="str">
        <f>+VLOOKUP(Tabla3[[#This Row],[PATENTE]],'BASE DATOS'!F:G,2,0)</f>
        <v xml:space="preserve">GUSTAVO CERQUETTA - KZA644 </v>
      </c>
      <c r="F1666" s="584" t="str">
        <f>+VLOOKUP(Tabla3[[#This Row],[PATENTE]],'BASE DATOS'!F:H,3,0)</f>
        <v>2P</v>
      </c>
      <c r="G1666" s="584" t="str">
        <f>+VLOOKUP(Tabla3[[#This Row],[PATENTE]],'BASE DATOS'!F:I,4,0)</f>
        <v>NO</v>
      </c>
      <c r="H1666" s="584" t="str">
        <f>+VLOOKUP(Tabla3[[#This Row],[PATENTE]],'BASE DATOS'!F:J,5,0)</f>
        <v>SI</v>
      </c>
      <c r="I1666" s="584" t="str">
        <f>+VLOOKUP(Tabla3[[#This Row],[PATENTE]],'BASE DATOS'!F:K,6,0)</f>
        <v>NO</v>
      </c>
      <c r="J1666" s="584">
        <f>+VLOOKUP(Tabla3[[#This Row],[PATENTE]],'BASE DATOS'!F:L,7,0)</f>
        <v>2012</v>
      </c>
      <c r="K1666" s="619">
        <f>+VLOOKUP(Tabla3[[#This Row],[PATENTE]],'BASE DATOS'!F:M,8,0)</f>
        <v>13</v>
      </c>
    </row>
    <row r="1667" spans="1:11" ht="15" hidden="1" customHeight="1">
      <c r="A1667" s="578" t="s">
        <v>920</v>
      </c>
      <c r="B1667" s="584">
        <v>6</v>
      </c>
      <c r="C1667" s="589">
        <v>46062</v>
      </c>
      <c r="D1667" s="582">
        <f t="shared" si="61"/>
        <v>7</v>
      </c>
      <c r="E1667" s="618" t="str">
        <f>+VLOOKUP(Tabla3[[#This Row],[PATENTE]],'BASE DATOS'!F:G,2,0)</f>
        <v xml:space="preserve">TRANSP LAGOS - MRV682 </v>
      </c>
      <c r="F1667" s="584" t="str">
        <f>+VLOOKUP(Tabla3[[#This Row],[PATENTE]],'BASE DATOS'!F:H,3,0)</f>
        <v>8P</v>
      </c>
      <c r="G1667" s="584" t="str">
        <f>+VLOOKUP(Tabla3[[#This Row],[PATENTE]],'BASE DATOS'!F:I,4,0)</f>
        <v>SI</v>
      </c>
      <c r="H1667" s="584" t="str">
        <f>+VLOOKUP(Tabla3[[#This Row],[PATENTE]],'BASE DATOS'!F:J,5,0)</f>
        <v>SI</v>
      </c>
      <c r="I1667" s="584" t="str">
        <f>+VLOOKUP(Tabla3[[#This Row],[PATENTE]],'BASE DATOS'!F:K,6,0)</f>
        <v>NO</v>
      </c>
      <c r="J1667" s="584">
        <f>+VLOOKUP(Tabla3[[#This Row],[PATENTE]],'BASE DATOS'!F:L,7,0)</f>
        <v>2013</v>
      </c>
      <c r="K1667" s="619">
        <f>+VLOOKUP(Tabla3[[#This Row],[PATENTE]],'BASE DATOS'!F:M,8,0)</f>
        <v>12</v>
      </c>
    </row>
    <row r="1668" spans="1:11" ht="15" hidden="1" customHeight="1">
      <c r="A1668" s="578" t="s">
        <v>909</v>
      </c>
      <c r="B1668" s="584">
        <v>6</v>
      </c>
      <c r="C1668" s="589">
        <v>46062</v>
      </c>
      <c r="D1668" s="582">
        <f t="shared" si="61"/>
        <v>7</v>
      </c>
      <c r="E1668" s="618" t="str">
        <f>+VLOOKUP(Tabla3[[#This Row],[PATENTE]],'BASE DATOS'!F:G,2,0)</f>
        <v xml:space="preserve">CRISTIAN MOYA - NHR055 </v>
      </c>
      <c r="F1668" s="584" t="str">
        <f>+VLOOKUP(Tabla3[[#This Row],[PATENTE]],'BASE DATOS'!F:H,3,0)</f>
        <v>6P</v>
      </c>
      <c r="G1668" s="584" t="str">
        <f>+VLOOKUP(Tabla3[[#This Row],[PATENTE]],'BASE DATOS'!F:I,4,0)</f>
        <v>SI</v>
      </c>
      <c r="H1668" s="584" t="str">
        <f>+VLOOKUP(Tabla3[[#This Row],[PATENTE]],'BASE DATOS'!F:J,5,0)</f>
        <v>SI</v>
      </c>
      <c r="I1668" s="584" t="str">
        <f>+VLOOKUP(Tabla3[[#This Row],[PATENTE]],'BASE DATOS'!F:K,6,0)</f>
        <v>NO</v>
      </c>
      <c r="J1668" s="584">
        <f>+VLOOKUP(Tabla3[[#This Row],[PATENTE]],'BASE DATOS'!F:L,7,0)</f>
        <v>2013</v>
      </c>
      <c r="K1668" s="619">
        <f>+VLOOKUP(Tabla3[[#This Row],[PATENTE]],'BASE DATOS'!F:M,8,0)</f>
        <v>12</v>
      </c>
    </row>
    <row r="1669" spans="1:11" ht="15" hidden="1" customHeight="1">
      <c r="A1669" s="578" t="s">
        <v>886</v>
      </c>
      <c r="B1669" s="584">
        <v>6</v>
      </c>
      <c r="C1669" s="589">
        <v>46062</v>
      </c>
      <c r="D1669" s="582">
        <f t="shared" si="61"/>
        <v>7</v>
      </c>
      <c r="E1669" s="618" t="str">
        <f>+VLOOKUP(Tabla3[[#This Row],[PATENTE]],'BASE DATOS'!F:G,2,0)</f>
        <v xml:space="preserve">TRANSP LAGOS - NOO925 </v>
      </c>
      <c r="F1669" s="584" t="str">
        <f>+VLOOKUP(Tabla3[[#This Row],[PATENTE]],'BASE DATOS'!F:H,3,0)</f>
        <v>8P</v>
      </c>
      <c r="G1669" s="584" t="str">
        <f>+VLOOKUP(Tabla3[[#This Row],[PATENTE]],'BASE DATOS'!F:I,4,0)</f>
        <v>SI</v>
      </c>
      <c r="H1669" s="584" t="str">
        <f>+VLOOKUP(Tabla3[[#This Row],[PATENTE]],'BASE DATOS'!F:J,5,0)</f>
        <v>SI</v>
      </c>
      <c r="I1669" s="584" t="str">
        <f>+VLOOKUP(Tabla3[[#This Row],[PATENTE]],'BASE DATOS'!F:K,6,0)</f>
        <v>NO</v>
      </c>
      <c r="J1669" s="584">
        <f>+VLOOKUP(Tabla3[[#This Row],[PATENTE]],'BASE DATOS'!F:L,7,0)</f>
        <v>2014</v>
      </c>
      <c r="K1669" s="619">
        <f>+VLOOKUP(Tabla3[[#This Row],[PATENTE]],'BASE DATOS'!F:M,8,0)</f>
        <v>11</v>
      </c>
    </row>
    <row r="1670" spans="1:11" ht="15" hidden="1" customHeight="1">
      <c r="A1670" s="578" t="s">
        <v>877</v>
      </c>
      <c r="B1670" s="584">
        <v>6</v>
      </c>
      <c r="C1670" s="589">
        <v>46062</v>
      </c>
      <c r="D1670" s="582">
        <f t="shared" si="61"/>
        <v>7</v>
      </c>
      <c r="E1670" s="618" t="str">
        <f>+VLOOKUP(Tabla3[[#This Row],[PATENTE]],'BASE DATOS'!F:G,2,0)</f>
        <v>TRANSP MAIDANA CARLOS - OWA126</v>
      </c>
      <c r="F1670" s="584" t="str">
        <f>+VLOOKUP(Tabla3[[#This Row],[PATENTE]],'BASE DATOS'!F:H,3,0)</f>
        <v>4P</v>
      </c>
      <c r="G1670" s="584" t="str">
        <f>+VLOOKUP(Tabla3[[#This Row],[PATENTE]],'BASE DATOS'!F:I,4,0)</f>
        <v>SI</v>
      </c>
      <c r="H1670" s="584" t="str">
        <f>+VLOOKUP(Tabla3[[#This Row],[PATENTE]],'BASE DATOS'!F:J,5,0)</f>
        <v>SI</v>
      </c>
      <c r="I1670" s="584" t="str">
        <f>+VLOOKUP(Tabla3[[#This Row],[PATENTE]],'BASE DATOS'!F:K,6,0)</f>
        <v>NO</v>
      </c>
      <c r="J1670" s="584">
        <f>+VLOOKUP(Tabla3[[#This Row],[PATENTE]],'BASE DATOS'!F:L,7,0)</f>
        <v>2015</v>
      </c>
      <c r="K1670" s="619">
        <f>+VLOOKUP(Tabla3[[#This Row],[PATENTE]],'BASE DATOS'!F:M,8,0)</f>
        <v>10</v>
      </c>
    </row>
    <row r="1671" spans="1:11" ht="15" hidden="1" customHeight="1">
      <c r="A1671" s="578" t="s">
        <v>878</v>
      </c>
      <c r="B1671" s="584">
        <v>5</v>
      </c>
      <c r="C1671" s="589">
        <v>46062</v>
      </c>
      <c r="D1671" s="582">
        <f t="shared" si="61"/>
        <v>7</v>
      </c>
      <c r="E1671" s="618" t="str">
        <f>+VLOOKUP(Tabla3[[#This Row],[PATENTE]],'BASE DATOS'!F:G,2,0)</f>
        <v xml:space="preserve">PACHECO JULIO - AA854LY </v>
      </c>
      <c r="F1671" s="584" t="str">
        <f>+VLOOKUP(Tabla3[[#This Row],[PATENTE]],'BASE DATOS'!F:H,3,0)</f>
        <v>7P</v>
      </c>
      <c r="G1671" s="584" t="str">
        <f>+VLOOKUP(Tabla3[[#This Row],[PATENTE]],'BASE DATOS'!F:I,4,0)</f>
        <v>SI</v>
      </c>
      <c r="H1671" s="584" t="str">
        <f>+VLOOKUP(Tabla3[[#This Row],[PATENTE]],'BASE DATOS'!F:J,5,0)</f>
        <v>SI</v>
      </c>
      <c r="I1671" s="584" t="str">
        <f>+VLOOKUP(Tabla3[[#This Row],[PATENTE]],'BASE DATOS'!F:K,6,0)</f>
        <v>NO</v>
      </c>
      <c r="J1671" s="584">
        <f>+VLOOKUP(Tabla3[[#This Row],[PATENTE]],'BASE DATOS'!F:L,7,0)</f>
        <v>2016</v>
      </c>
      <c r="K1671" s="619">
        <f>+VLOOKUP(Tabla3[[#This Row],[PATENTE]],'BASE DATOS'!F:M,8,0)</f>
        <v>9</v>
      </c>
    </row>
    <row r="1672" spans="1:11" ht="15" hidden="1" customHeight="1">
      <c r="A1672" s="578" t="s">
        <v>899</v>
      </c>
      <c r="B1672" s="584">
        <v>5</v>
      </c>
      <c r="C1672" s="589">
        <v>46062</v>
      </c>
      <c r="D1672" s="582">
        <f t="shared" si="61"/>
        <v>7</v>
      </c>
      <c r="E1672" s="618" t="str">
        <f>+VLOOKUP(Tabla3[[#This Row],[PATENTE]],'BASE DATOS'!F:G,2,0)</f>
        <v xml:space="preserve">VAZQUEZ (TRV SRL) - AB176KN </v>
      </c>
      <c r="F1672" s="584" t="str">
        <f>+VLOOKUP(Tabla3[[#This Row],[PATENTE]],'BASE DATOS'!F:H,3,0)</f>
        <v>8P</v>
      </c>
      <c r="G1672" s="584" t="str">
        <f>+VLOOKUP(Tabla3[[#This Row],[PATENTE]],'BASE DATOS'!F:I,4,0)</f>
        <v>SI</v>
      </c>
      <c r="H1672" s="584" t="str">
        <f>+VLOOKUP(Tabla3[[#This Row],[PATENTE]],'BASE DATOS'!F:J,5,0)</f>
        <v>SI</v>
      </c>
      <c r="I1672" s="584" t="str">
        <f>+VLOOKUP(Tabla3[[#This Row],[PATENTE]],'BASE DATOS'!F:K,6,0)</f>
        <v>SI</v>
      </c>
      <c r="J1672" s="584">
        <f>+VLOOKUP(Tabla3[[#This Row],[PATENTE]],'BASE DATOS'!F:L,7,0)</f>
        <v>2017</v>
      </c>
      <c r="K1672" s="619">
        <f>+VLOOKUP(Tabla3[[#This Row],[PATENTE]],'BASE DATOS'!F:M,8,0)</f>
        <v>8</v>
      </c>
    </row>
    <row r="1673" spans="1:11" ht="15" hidden="1" customHeight="1">
      <c r="A1673" s="578" t="s">
        <v>883</v>
      </c>
      <c r="B1673" s="584">
        <v>5</v>
      </c>
      <c r="C1673" s="589">
        <v>46062</v>
      </c>
      <c r="D1673" s="582">
        <f t="shared" si="61"/>
        <v>7</v>
      </c>
      <c r="E1673" s="618" t="str">
        <f>+VLOOKUP(Tabla3[[#This Row],[PATENTE]],'BASE DATOS'!F:G,2,0)</f>
        <v xml:space="preserve">PACHECO JULIO - ACI503 </v>
      </c>
      <c r="F1673" s="584" t="str">
        <f>+VLOOKUP(Tabla3[[#This Row],[PATENTE]],'BASE DATOS'!F:H,3,0)</f>
        <v>12P</v>
      </c>
      <c r="G1673" s="584" t="str">
        <f>+VLOOKUP(Tabla3[[#This Row],[PATENTE]],'BASE DATOS'!F:I,4,0)</f>
        <v>NO</v>
      </c>
      <c r="H1673" s="584" t="str">
        <f>+VLOOKUP(Tabla3[[#This Row],[PATENTE]],'BASE DATOS'!F:J,5,0)</f>
        <v>SI</v>
      </c>
      <c r="I1673" s="584" t="str">
        <f>+VLOOKUP(Tabla3[[#This Row],[PATENTE]],'BASE DATOS'!F:K,6,0)</f>
        <v>SI</v>
      </c>
      <c r="J1673" s="584">
        <f>+VLOOKUP(Tabla3[[#This Row],[PATENTE]],'BASE DATOS'!F:L,7,0)</f>
        <v>2000</v>
      </c>
      <c r="K1673" s="619">
        <f>+VLOOKUP(Tabla3[[#This Row],[PATENTE]],'BASE DATOS'!F:M,8,0)</f>
        <v>25</v>
      </c>
    </row>
    <row r="1674" spans="1:11" ht="15" hidden="1" customHeight="1">
      <c r="A1674" s="578" t="s">
        <v>907</v>
      </c>
      <c r="B1674" s="584">
        <v>5</v>
      </c>
      <c r="C1674" s="589">
        <v>46062</v>
      </c>
      <c r="D1674" s="582">
        <f t="shared" si="61"/>
        <v>7</v>
      </c>
      <c r="E1674" s="618" t="str">
        <f>+VLOOKUP(Tabla3[[#This Row],[PATENTE]],'BASE DATOS'!F:G,2,0)</f>
        <v xml:space="preserve">LAURIA (SERVAL) - AH583GW </v>
      </c>
      <c r="F1674" s="584" t="str">
        <f>+VLOOKUP(Tabla3[[#This Row],[PATENTE]],'BASE DATOS'!F:H,3,0)</f>
        <v>8P</v>
      </c>
      <c r="G1674" s="584" t="str">
        <f>+VLOOKUP(Tabla3[[#This Row],[PATENTE]],'BASE DATOS'!F:I,4,0)</f>
        <v>SI</v>
      </c>
      <c r="H1674" s="584" t="str">
        <f>+VLOOKUP(Tabla3[[#This Row],[PATENTE]],'BASE DATOS'!F:J,5,0)</f>
        <v>SI</v>
      </c>
      <c r="I1674" s="584" t="str">
        <f>+VLOOKUP(Tabla3[[#This Row],[PATENTE]],'BASE DATOS'!F:K,6,0)</f>
        <v>NO</v>
      </c>
      <c r="J1674" s="584">
        <f>+VLOOKUP(Tabla3[[#This Row],[PATENTE]],'BASE DATOS'!F:L,7,0)</f>
        <v>2025</v>
      </c>
      <c r="K1674" s="619">
        <f>+VLOOKUP(Tabla3[[#This Row],[PATENTE]],'BASE DATOS'!F:M,8,0)</f>
        <v>0</v>
      </c>
    </row>
    <row r="1675" spans="1:11" ht="15" hidden="1" customHeight="1">
      <c r="A1675" s="578" t="s">
        <v>887</v>
      </c>
      <c r="B1675" s="584">
        <v>5</v>
      </c>
      <c r="C1675" s="589">
        <v>46062</v>
      </c>
      <c r="D1675" s="582">
        <f t="shared" si="61"/>
        <v>7</v>
      </c>
      <c r="E1675" s="618" t="str">
        <f>+VLOOKUP(Tabla3[[#This Row],[PATENTE]],'BASE DATOS'!F:G,2,0)</f>
        <v>ENRIQUE ROLLINO - BXB394</v>
      </c>
      <c r="F1675" s="584" t="str">
        <f>+VLOOKUP(Tabla3[[#This Row],[PATENTE]],'BASE DATOS'!F:H,3,0)</f>
        <v>2P</v>
      </c>
      <c r="G1675" s="584" t="str">
        <f>+VLOOKUP(Tabla3[[#This Row],[PATENTE]],'BASE DATOS'!F:I,4,0)</f>
        <v>SI</v>
      </c>
      <c r="H1675" s="584" t="str">
        <f>+VLOOKUP(Tabla3[[#This Row],[PATENTE]],'BASE DATOS'!F:J,5,0)</f>
        <v>SI</v>
      </c>
      <c r="I1675" s="584" t="str">
        <f>+VLOOKUP(Tabla3[[#This Row],[PATENTE]],'BASE DATOS'!F:K,6,0)</f>
        <v>NO</v>
      </c>
      <c r="J1675" s="584">
        <f>+VLOOKUP(Tabla3[[#This Row],[PATENTE]],'BASE DATOS'!F:L,7,0)</f>
        <v>1998</v>
      </c>
      <c r="K1675" s="619">
        <f>+VLOOKUP(Tabla3[[#This Row],[PATENTE]],'BASE DATOS'!F:M,8,0)</f>
        <v>27</v>
      </c>
    </row>
    <row r="1676" spans="1:11" ht="15" hidden="1" customHeight="1">
      <c r="A1676" s="578" t="s">
        <v>881</v>
      </c>
      <c r="B1676" s="584">
        <v>5</v>
      </c>
      <c r="C1676" s="589">
        <v>46062</v>
      </c>
      <c r="D1676" s="582">
        <f t="shared" si="61"/>
        <v>7</v>
      </c>
      <c r="E1676" s="618" t="str">
        <f>+VLOOKUP(Tabla3[[#This Row],[PATENTE]],'BASE DATOS'!F:G,2,0)</f>
        <v xml:space="preserve">MAÑAS NORBERTO - DUQ686 </v>
      </c>
      <c r="F1676" s="584" t="str">
        <f>+VLOOKUP(Tabla3[[#This Row],[PATENTE]],'BASE DATOS'!F:H,3,0)</f>
        <v>8P</v>
      </c>
      <c r="G1676" s="584" t="str">
        <f>+VLOOKUP(Tabla3[[#This Row],[PATENTE]],'BASE DATOS'!F:I,4,0)</f>
        <v>SI</v>
      </c>
      <c r="H1676" s="584" t="str">
        <f>+VLOOKUP(Tabla3[[#This Row],[PATENTE]],'BASE DATOS'!F:J,5,0)</f>
        <v>SI</v>
      </c>
      <c r="I1676" s="584" t="str">
        <f>+VLOOKUP(Tabla3[[#This Row],[PATENTE]],'BASE DATOS'!F:K,6,0)</f>
        <v>NO</v>
      </c>
      <c r="J1676" s="584">
        <f>+VLOOKUP(Tabla3[[#This Row],[PATENTE]],'BASE DATOS'!F:L,7,0)</f>
        <v>2001</v>
      </c>
      <c r="K1676" s="619">
        <f>+VLOOKUP(Tabla3[[#This Row],[PATENTE]],'BASE DATOS'!F:M,8,0)</f>
        <v>24</v>
      </c>
    </row>
    <row r="1677" spans="1:11" ht="15" hidden="1" customHeight="1">
      <c r="A1677" s="578" t="s">
        <v>916</v>
      </c>
      <c r="B1677" s="584">
        <v>5</v>
      </c>
      <c r="C1677" s="589">
        <v>46062</v>
      </c>
      <c r="D1677" s="582">
        <f t="shared" si="61"/>
        <v>7</v>
      </c>
      <c r="E1677" s="618" t="str">
        <f>+VLOOKUP(Tabla3[[#This Row],[PATENTE]],'BASE DATOS'!F:G,2,0)</f>
        <v xml:space="preserve">TRANSP MAIDANA CARLOS - EYP088 </v>
      </c>
      <c r="F1677" s="584" t="str">
        <f>+VLOOKUP(Tabla3[[#This Row],[PATENTE]],'BASE DATOS'!F:H,3,0)</f>
        <v>6P</v>
      </c>
      <c r="G1677" s="584" t="str">
        <f>+VLOOKUP(Tabla3[[#This Row],[PATENTE]],'BASE DATOS'!F:I,4,0)</f>
        <v>SI</v>
      </c>
      <c r="H1677" s="584" t="str">
        <f>+VLOOKUP(Tabla3[[#This Row],[PATENTE]],'BASE DATOS'!F:J,5,0)</f>
        <v>SI</v>
      </c>
      <c r="I1677" s="584" t="str">
        <f>+VLOOKUP(Tabla3[[#This Row],[PATENTE]],'BASE DATOS'!F:K,6,0)</f>
        <v>NO</v>
      </c>
      <c r="J1677" s="584">
        <f>+VLOOKUP(Tabla3[[#This Row],[PATENTE]],'BASE DATOS'!F:L,7,0)</f>
        <v>2006</v>
      </c>
      <c r="K1677" s="619">
        <f>+VLOOKUP(Tabla3[[#This Row],[PATENTE]],'BASE DATOS'!F:M,8,0)</f>
        <v>19</v>
      </c>
    </row>
    <row r="1678" spans="1:11" ht="15" hidden="1" customHeight="1">
      <c r="A1678" s="578" t="s">
        <v>924</v>
      </c>
      <c r="B1678" s="584">
        <v>5</v>
      </c>
      <c r="C1678" s="589">
        <v>46062</v>
      </c>
      <c r="D1678" s="582">
        <f t="shared" si="61"/>
        <v>7</v>
      </c>
      <c r="E1678" s="618" t="str">
        <f>+VLOOKUP(Tabla3[[#This Row],[PATENTE]],'BASE DATOS'!F:G,2,0)</f>
        <v>TRANSP MAVIR - HRZ429 -16P</v>
      </c>
      <c r="F1678" s="584" t="str">
        <f>+VLOOKUP(Tabla3[[#This Row],[PATENTE]],'BASE DATOS'!F:H,3,0)</f>
        <v>16P</v>
      </c>
      <c r="G1678" s="584" t="str">
        <f>+VLOOKUP(Tabla3[[#This Row],[PATENTE]],'BASE DATOS'!F:I,4,0)</f>
        <v>SI</v>
      </c>
      <c r="H1678" s="584" t="str">
        <f>+VLOOKUP(Tabla3[[#This Row],[PATENTE]],'BASE DATOS'!F:J,5,0)</f>
        <v xml:space="preserve">NO </v>
      </c>
      <c r="I1678" s="584" t="str">
        <f>+VLOOKUP(Tabla3[[#This Row],[PATENTE]],'BASE DATOS'!F:K,6,0)</f>
        <v>NO</v>
      </c>
      <c r="J1678" s="584">
        <f>+VLOOKUP(Tabla3[[#This Row],[PATENTE]],'BASE DATOS'!F:L,7,0)</f>
        <v>2008</v>
      </c>
      <c r="K1678" s="619">
        <f>+VLOOKUP(Tabla3[[#This Row],[PATENTE]],'BASE DATOS'!F:M,8,0)</f>
        <v>17</v>
      </c>
    </row>
    <row r="1679" spans="1:11" ht="15" hidden="1" customHeight="1">
      <c r="A1679" s="578" t="s">
        <v>898</v>
      </c>
      <c r="B1679" s="584">
        <v>5</v>
      </c>
      <c r="C1679" s="589">
        <v>46062</v>
      </c>
      <c r="D1679" s="582">
        <f t="shared" si="61"/>
        <v>7</v>
      </c>
      <c r="E1679" s="618" t="str">
        <f>+VLOOKUP(Tabla3[[#This Row],[PATENTE]],'BASE DATOS'!F:G,2,0)</f>
        <v xml:space="preserve">TRANSP BERMEJO - NXP980 </v>
      </c>
      <c r="F1679" s="584" t="str">
        <f>+VLOOKUP(Tabla3[[#This Row],[PATENTE]],'BASE DATOS'!F:H,3,0)</f>
        <v>12P</v>
      </c>
      <c r="G1679" s="584" t="str">
        <f>+VLOOKUP(Tabla3[[#This Row],[PATENTE]],'BASE DATOS'!F:I,4,0)</f>
        <v>SI</v>
      </c>
      <c r="H1679" s="584" t="str">
        <f>+VLOOKUP(Tabla3[[#This Row],[PATENTE]],'BASE DATOS'!F:J,5,0)</f>
        <v>SI</v>
      </c>
      <c r="I1679" s="584" t="str">
        <f>+VLOOKUP(Tabla3[[#This Row],[PATENTE]],'BASE DATOS'!F:K,6,0)</f>
        <v>SI</v>
      </c>
      <c r="J1679" s="584">
        <f>+VLOOKUP(Tabla3[[#This Row],[PATENTE]],'BASE DATOS'!F:L,7,0)</f>
        <v>2015</v>
      </c>
      <c r="K1679" s="619">
        <f>+VLOOKUP(Tabla3[[#This Row],[PATENTE]],'BASE DATOS'!F:M,8,0)</f>
        <v>10</v>
      </c>
    </row>
    <row r="1680" spans="1:11" ht="15" hidden="1" customHeight="1">
      <c r="A1680" s="578" t="s">
        <v>905</v>
      </c>
      <c r="B1680" s="584">
        <v>4</v>
      </c>
      <c r="C1680" s="589">
        <v>46062</v>
      </c>
      <c r="D1680" s="582">
        <f t="shared" si="61"/>
        <v>7</v>
      </c>
      <c r="E1680" s="618" t="str">
        <f>+VLOOKUP(Tabla3[[#This Row],[PATENTE]],'BASE DATOS'!F:G,2,0)</f>
        <v xml:space="preserve">J RIMOLDI - AB312SE </v>
      </c>
      <c r="F1680" s="584" t="str">
        <f>+VLOOKUP(Tabla3[[#This Row],[PATENTE]],'BASE DATOS'!F:H,3,0)</f>
        <v>8P</v>
      </c>
      <c r="G1680" s="584" t="str">
        <f>+VLOOKUP(Tabla3[[#This Row],[PATENTE]],'BASE DATOS'!F:I,4,0)</f>
        <v>SI</v>
      </c>
      <c r="H1680" s="584" t="str">
        <f>+VLOOKUP(Tabla3[[#This Row],[PATENTE]],'BASE DATOS'!F:J,5,0)</f>
        <v>SI</v>
      </c>
      <c r="I1680" s="584" t="str">
        <f>+VLOOKUP(Tabla3[[#This Row],[PATENTE]],'BASE DATOS'!F:K,6,0)</f>
        <v>NO</v>
      </c>
      <c r="J1680" s="584">
        <f>+VLOOKUP(Tabla3[[#This Row],[PATENTE]],'BASE DATOS'!F:L,7,0)</f>
        <v>2017</v>
      </c>
      <c r="K1680" s="619">
        <f>+VLOOKUP(Tabla3[[#This Row],[PATENTE]],'BASE DATOS'!F:M,8,0)</f>
        <v>8</v>
      </c>
    </row>
    <row r="1681" spans="1:11" ht="15" hidden="1" customHeight="1">
      <c r="A1681" s="578" t="s">
        <v>893</v>
      </c>
      <c r="B1681" s="584">
        <v>4</v>
      </c>
      <c r="C1681" s="589">
        <v>46062</v>
      </c>
      <c r="D1681" s="582">
        <f t="shared" si="61"/>
        <v>7</v>
      </c>
      <c r="E1681" s="618" t="str">
        <f>+VLOOKUP(Tabla3[[#This Row],[PATENTE]],'BASE DATOS'!F:G,2,0)</f>
        <v xml:space="preserve">GANZINI HUGO - CFF038 </v>
      </c>
      <c r="F1681" s="584" t="str">
        <f>+VLOOKUP(Tabla3[[#This Row],[PATENTE]],'BASE DATOS'!F:H,3,0)</f>
        <v>2P</v>
      </c>
      <c r="G1681" s="584" t="str">
        <f>+VLOOKUP(Tabla3[[#This Row],[PATENTE]],'BASE DATOS'!F:I,4,0)</f>
        <v>SI</v>
      </c>
      <c r="H1681" s="584" t="str">
        <f>+VLOOKUP(Tabla3[[#This Row],[PATENTE]],'BASE DATOS'!F:J,5,0)</f>
        <v>SI</v>
      </c>
      <c r="I1681" s="584" t="str">
        <f>+VLOOKUP(Tabla3[[#This Row],[PATENTE]],'BASE DATOS'!F:K,6,0)</f>
        <v>NO</v>
      </c>
      <c r="J1681" s="584">
        <f>+VLOOKUP(Tabla3[[#This Row],[PATENTE]],'BASE DATOS'!F:L,7,0)</f>
        <v>1999</v>
      </c>
      <c r="K1681" s="619">
        <f>+VLOOKUP(Tabla3[[#This Row],[PATENTE]],'BASE DATOS'!F:M,8,0)</f>
        <v>26</v>
      </c>
    </row>
    <row r="1682" spans="1:11" ht="15" hidden="1" customHeight="1">
      <c r="A1682" s="578" t="s">
        <v>921</v>
      </c>
      <c r="B1682" s="584">
        <v>4</v>
      </c>
      <c r="C1682" s="589">
        <v>46062</v>
      </c>
      <c r="D1682" s="582">
        <f t="shared" si="61"/>
        <v>7</v>
      </c>
      <c r="E1682" s="618" t="str">
        <f>+VLOOKUP(Tabla3[[#This Row],[PATENTE]],'BASE DATOS'!F:G,2,0)</f>
        <v xml:space="preserve">MAÑAS NORBERTO - CQQ304 </v>
      </c>
      <c r="F1682" s="584" t="str">
        <f>+VLOOKUP(Tabla3[[#This Row],[PATENTE]],'BASE DATOS'!F:H,3,0)</f>
        <v>11P</v>
      </c>
      <c r="G1682" s="584" t="str">
        <f>+VLOOKUP(Tabla3[[#This Row],[PATENTE]],'BASE DATOS'!F:I,4,0)</f>
        <v>SI</v>
      </c>
      <c r="H1682" s="584" t="str">
        <f>+VLOOKUP(Tabla3[[#This Row],[PATENTE]],'BASE DATOS'!F:J,5,0)</f>
        <v>SI</v>
      </c>
      <c r="I1682" s="584" t="str">
        <f>+VLOOKUP(Tabla3[[#This Row],[PATENTE]],'BASE DATOS'!F:K,6,0)</f>
        <v>NO</v>
      </c>
      <c r="J1682" s="584">
        <f>+VLOOKUP(Tabla3[[#This Row],[PATENTE]],'BASE DATOS'!F:L,7,0)</f>
        <v>2000</v>
      </c>
      <c r="K1682" s="619">
        <f>+VLOOKUP(Tabla3[[#This Row],[PATENTE]],'BASE DATOS'!F:M,8,0)</f>
        <v>25</v>
      </c>
    </row>
    <row r="1683" spans="1:11" ht="15" hidden="1" customHeight="1">
      <c r="A1683" s="578" t="s">
        <v>926</v>
      </c>
      <c r="B1683" s="584">
        <v>4</v>
      </c>
      <c r="C1683" s="589">
        <v>46062</v>
      </c>
      <c r="D1683" s="582">
        <f t="shared" si="61"/>
        <v>7</v>
      </c>
      <c r="E1683" s="618" t="str">
        <f>+VLOOKUP(Tabla3[[#This Row],[PATENTE]],'BASE DATOS'!F:G,2,0)</f>
        <v xml:space="preserve">TRANSPORTE GENA GAIA - DUF042 </v>
      </c>
      <c r="F1683" s="584" t="str">
        <f>+VLOOKUP(Tabla3[[#This Row],[PATENTE]],'BASE DATOS'!F:H,3,0)</f>
        <v>24P</v>
      </c>
      <c r="G1683" s="584" t="str">
        <f>+VLOOKUP(Tabla3[[#This Row],[PATENTE]],'BASE DATOS'!F:I,4,0)</f>
        <v>Gestya</v>
      </c>
      <c r="H1683" s="584" t="str">
        <f>+VLOOKUP(Tabla3[[#This Row],[PATENTE]],'BASE DATOS'!F:J,5,0)</f>
        <v xml:space="preserve">NO </v>
      </c>
      <c r="I1683" s="584" t="str">
        <f>+VLOOKUP(Tabla3[[#This Row],[PATENTE]],'BASE DATOS'!F:K,6,0)</f>
        <v>NO</v>
      </c>
      <c r="J1683" s="584">
        <f>+VLOOKUP(Tabla3[[#This Row],[PATENTE]],'BASE DATOS'!F:L,7,0)</f>
        <v>2001</v>
      </c>
      <c r="K1683" s="619">
        <f>+VLOOKUP(Tabla3[[#This Row],[PATENTE]],'BASE DATOS'!F:M,8,0)</f>
        <v>24</v>
      </c>
    </row>
    <row r="1684" spans="1:11" ht="15" hidden="1" customHeight="1">
      <c r="A1684" s="578" t="s">
        <v>915</v>
      </c>
      <c r="B1684" s="584">
        <v>4</v>
      </c>
      <c r="C1684" s="589">
        <v>46062</v>
      </c>
      <c r="D1684" s="582">
        <f t="shared" si="61"/>
        <v>7</v>
      </c>
      <c r="E1684" s="618" t="str">
        <f>+VLOOKUP(Tabla3[[#This Row],[PATENTE]],'BASE DATOS'!F:G,2,0)</f>
        <v>TRANSPORTE GRACIELA - FPL254</v>
      </c>
      <c r="F1684" s="584" t="str">
        <f>+VLOOKUP(Tabla3[[#This Row],[PATENTE]],'BASE DATOS'!F:H,3,0)</f>
        <v>2P</v>
      </c>
      <c r="G1684" s="584" t="str">
        <f>+VLOOKUP(Tabla3[[#This Row],[PATENTE]],'BASE DATOS'!F:I,4,0)</f>
        <v>SI</v>
      </c>
      <c r="H1684" s="584" t="str">
        <f>+VLOOKUP(Tabla3[[#This Row],[PATENTE]],'BASE DATOS'!F:J,5,0)</f>
        <v>NO (CAMI)</v>
      </c>
      <c r="I1684" s="584" t="str">
        <f>+VLOOKUP(Tabla3[[#This Row],[PATENTE]],'BASE DATOS'!F:K,6,0)</f>
        <v>NO</v>
      </c>
      <c r="J1684" s="584">
        <f>+VLOOKUP(Tabla3[[#This Row],[PATENTE]],'BASE DATOS'!F:L,7,0)</f>
        <v>2012</v>
      </c>
      <c r="K1684" s="619">
        <f>+VLOOKUP(Tabla3[[#This Row],[PATENTE]],'BASE DATOS'!F:M,8,0)</f>
        <v>13</v>
      </c>
    </row>
    <row r="1685" spans="1:11" ht="15" hidden="1" customHeight="1">
      <c r="A1685" s="578" t="s">
        <v>892</v>
      </c>
      <c r="B1685" s="584">
        <v>4</v>
      </c>
      <c r="C1685" s="589">
        <v>46062</v>
      </c>
      <c r="D1685" s="582">
        <f t="shared" si="61"/>
        <v>7</v>
      </c>
      <c r="E1685" s="618" t="str">
        <f>+VLOOKUP(Tabla3[[#This Row],[PATENTE]],'BASE DATOS'!F:G,2,0)</f>
        <v xml:space="preserve">COLO - FTL525 </v>
      </c>
      <c r="F1685" s="584" t="str">
        <f>+VLOOKUP(Tabla3[[#This Row],[PATENTE]],'BASE DATOS'!F:H,3,0)</f>
        <v>1P</v>
      </c>
      <c r="G1685" s="584" t="str">
        <f>+VLOOKUP(Tabla3[[#This Row],[PATENTE]],'BASE DATOS'!F:I,4,0)</f>
        <v>NO</v>
      </c>
      <c r="H1685" s="584" t="str">
        <f>+VLOOKUP(Tabla3[[#This Row],[PATENTE]],'BASE DATOS'!F:J,5,0)</f>
        <v>SI</v>
      </c>
      <c r="I1685" s="584" t="str">
        <f>+VLOOKUP(Tabla3[[#This Row],[PATENTE]],'BASE DATOS'!F:K,6,0)</f>
        <v>NO</v>
      </c>
      <c r="J1685" s="584">
        <f>+VLOOKUP(Tabla3[[#This Row],[PATENTE]],'BASE DATOS'!F:L,7,0)</f>
        <v>2008</v>
      </c>
      <c r="K1685" s="619">
        <f>+VLOOKUP(Tabla3[[#This Row],[PATENTE]],'BASE DATOS'!F:M,8,0)</f>
        <v>17</v>
      </c>
    </row>
    <row r="1686" spans="1:11" ht="15" hidden="1" customHeight="1">
      <c r="A1686" s="578" t="s">
        <v>889</v>
      </c>
      <c r="B1686" s="584">
        <v>4</v>
      </c>
      <c r="C1686" s="589">
        <v>46062</v>
      </c>
      <c r="D1686" s="582">
        <f t="shared" ref="D1686:D1703" si="62">+WEEKNUM(C1686)</f>
        <v>7</v>
      </c>
      <c r="E1686" s="618" t="str">
        <f>+VLOOKUP(Tabla3[[#This Row],[PATENTE]],'BASE DATOS'!F:G,2,0)</f>
        <v xml:space="preserve">COLO - HAW164 </v>
      </c>
      <c r="F1686" s="584" t="str">
        <f>+VLOOKUP(Tabla3[[#This Row],[PATENTE]],'BASE DATOS'!F:H,3,0)</f>
        <v>6P</v>
      </c>
      <c r="G1686" s="584" t="str">
        <f>+VLOOKUP(Tabla3[[#This Row],[PATENTE]],'BASE DATOS'!F:I,4,0)</f>
        <v>NO</v>
      </c>
      <c r="H1686" s="584" t="str">
        <f>+VLOOKUP(Tabla3[[#This Row],[PATENTE]],'BASE DATOS'!F:J,5,0)</f>
        <v>SI</v>
      </c>
      <c r="I1686" s="584" t="str">
        <f>+VLOOKUP(Tabla3[[#This Row],[PATENTE]],'BASE DATOS'!F:K,6,0)</f>
        <v>NO</v>
      </c>
      <c r="J1686" s="584">
        <f>+VLOOKUP(Tabla3[[#This Row],[PATENTE]],'BASE DATOS'!F:L,7,0)</f>
        <v>2009</v>
      </c>
      <c r="K1686" s="619">
        <f>+VLOOKUP(Tabla3[[#This Row],[PATENTE]],'BASE DATOS'!F:M,8,0)</f>
        <v>16</v>
      </c>
    </row>
    <row r="1687" spans="1:11" ht="15" hidden="1" customHeight="1">
      <c r="A1687" s="578" t="s">
        <v>891</v>
      </c>
      <c r="B1687" s="584">
        <v>4</v>
      </c>
      <c r="C1687" s="589">
        <v>46062</v>
      </c>
      <c r="D1687" s="582">
        <f t="shared" si="62"/>
        <v>7</v>
      </c>
      <c r="E1687" s="618" t="str">
        <f>+VLOOKUP(Tabla3[[#This Row],[PATENTE]],'BASE DATOS'!F:G,2,0)</f>
        <v xml:space="preserve">GANZINI HUGO - HHA085 </v>
      </c>
      <c r="F1687" s="584" t="str">
        <f>+VLOOKUP(Tabla3[[#This Row],[PATENTE]],'BASE DATOS'!F:H,3,0)</f>
        <v>2P</v>
      </c>
      <c r="G1687" s="584" t="str">
        <f>+VLOOKUP(Tabla3[[#This Row],[PATENTE]],'BASE DATOS'!F:I,4,0)</f>
        <v>SI</v>
      </c>
      <c r="H1687" s="584" t="str">
        <f>+VLOOKUP(Tabla3[[#This Row],[PATENTE]],'BASE DATOS'!F:J,5,0)</f>
        <v>SI</v>
      </c>
      <c r="I1687" s="584" t="str">
        <f>+VLOOKUP(Tabla3[[#This Row],[PATENTE]],'BASE DATOS'!F:K,6,0)</f>
        <v>NO</v>
      </c>
      <c r="J1687" s="584">
        <f>+VLOOKUP(Tabla3[[#This Row],[PATENTE]],'BASE DATOS'!F:L,7,0)</f>
        <v>2008</v>
      </c>
      <c r="K1687" s="619">
        <f>+VLOOKUP(Tabla3[[#This Row],[PATENTE]],'BASE DATOS'!F:M,8,0)</f>
        <v>17</v>
      </c>
    </row>
    <row r="1688" spans="1:11" ht="15" hidden="1" customHeight="1">
      <c r="A1688" s="578" t="s">
        <v>950</v>
      </c>
      <c r="B1688" s="584">
        <v>4</v>
      </c>
      <c r="C1688" s="589">
        <v>46062</v>
      </c>
      <c r="D1688" s="582">
        <f t="shared" si="62"/>
        <v>7</v>
      </c>
      <c r="E1688" s="618" t="str">
        <f>+VLOOKUP(Tabla3[[#This Row],[PATENTE]],'BASE DATOS'!F:G,2,0)</f>
        <v>TRANSP DON NENO -IRK036- 2P</v>
      </c>
      <c r="F1688" s="584" t="str">
        <f>+VLOOKUP(Tabla3[[#This Row],[PATENTE]],'BASE DATOS'!F:H,3,0)</f>
        <v>2P</v>
      </c>
      <c r="G1688" s="584" t="str">
        <f>+VLOOKUP(Tabla3[[#This Row],[PATENTE]],'BASE DATOS'!F:I,4,0)</f>
        <v>NO</v>
      </c>
      <c r="H1688" s="584" t="str">
        <f>+VLOOKUP(Tabla3[[#This Row],[PATENTE]],'BASE DATOS'!F:J,5,0)</f>
        <v>NO</v>
      </c>
      <c r="I1688" s="584" t="str">
        <f>+VLOOKUP(Tabla3[[#This Row],[PATENTE]],'BASE DATOS'!F:K,6,0)</f>
        <v>NO</v>
      </c>
      <c r="J1688" s="584">
        <f>+VLOOKUP(Tabla3[[#This Row],[PATENTE]],'BASE DATOS'!F:L,7,0)</f>
        <v>2010</v>
      </c>
      <c r="K1688" s="619">
        <f>+VLOOKUP(Tabla3[[#This Row],[PATENTE]],'BASE DATOS'!F:M,8,0)</f>
        <v>15</v>
      </c>
    </row>
    <row r="1689" spans="1:11" ht="15" hidden="1" customHeight="1">
      <c r="A1689" s="578" t="s">
        <v>925</v>
      </c>
      <c r="B1689" s="584">
        <v>4</v>
      </c>
      <c r="C1689" s="589">
        <v>46062</v>
      </c>
      <c r="D1689" s="582">
        <f t="shared" si="62"/>
        <v>7</v>
      </c>
      <c r="E1689" s="618" t="str">
        <f>+VLOOKUP(Tabla3[[#This Row],[PATENTE]],'BASE DATOS'!F:G,2,0)</f>
        <v xml:space="preserve">TRANSP MAIDANA FACUNDO - KOW745 </v>
      </c>
      <c r="F1689" s="584" t="str">
        <f>+VLOOKUP(Tabla3[[#This Row],[PATENTE]],'BASE DATOS'!F:H,3,0)</f>
        <v>8P</v>
      </c>
      <c r="G1689" s="584" t="str">
        <f>+VLOOKUP(Tabla3[[#This Row],[PATENTE]],'BASE DATOS'!F:I,4,0)</f>
        <v>SI</v>
      </c>
      <c r="H1689" s="584" t="str">
        <f>+VLOOKUP(Tabla3[[#This Row],[PATENTE]],'BASE DATOS'!F:J,5,0)</f>
        <v>SI</v>
      </c>
      <c r="I1689" s="584" t="str">
        <f>+VLOOKUP(Tabla3[[#This Row],[PATENTE]],'BASE DATOS'!F:K,6,0)</f>
        <v>NO</v>
      </c>
      <c r="J1689" s="584">
        <f>+VLOOKUP(Tabla3[[#This Row],[PATENTE]],'BASE DATOS'!F:L,7,0)</f>
        <v>2012</v>
      </c>
      <c r="K1689" s="619">
        <f>+VLOOKUP(Tabla3[[#This Row],[PATENTE]],'BASE DATOS'!F:M,8,0)</f>
        <v>13</v>
      </c>
    </row>
    <row r="1690" spans="1:11" ht="15" hidden="1" customHeight="1">
      <c r="A1690" s="578" t="s">
        <v>879</v>
      </c>
      <c r="B1690" s="584">
        <v>4</v>
      </c>
      <c r="C1690" s="589">
        <v>46062</v>
      </c>
      <c r="D1690" s="582">
        <f t="shared" si="62"/>
        <v>7</v>
      </c>
      <c r="E1690" s="618" t="str">
        <f>+VLOOKUP(Tabla3[[#This Row],[PATENTE]],'BASE DATOS'!F:G,2,0)</f>
        <v xml:space="preserve">TRANSP JP - OYP470 </v>
      </c>
      <c r="F1690" s="584" t="str">
        <f>+VLOOKUP(Tabla3[[#This Row],[PATENTE]],'BASE DATOS'!F:H,3,0)</f>
        <v>8P</v>
      </c>
      <c r="G1690" s="584" t="str">
        <f>+VLOOKUP(Tabla3[[#This Row],[PATENTE]],'BASE DATOS'!F:I,4,0)</f>
        <v>SI</v>
      </c>
      <c r="H1690" s="584" t="str">
        <f>+VLOOKUP(Tabla3[[#This Row],[PATENTE]],'BASE DATOS'!F:J,5,0)</f>
        <v>SI</v>
      </c>
      <c r="I1690" s="584" t="str">
        <f>+VLOOKUP(Tabla3[[#This Row],[PATENTE]],'BASE DATOS'!F:K,6,0)</f>
        <v>NO</v>
      </c>
      <c r="J1690" s="584">
        <f>+VLOOKUP(Tabla3[[#This Row],[PATENTE]],'BASE DATOS'!F:L,7,0)</f>
        <v>2011</v>
      </c>
      <c r="K1690" s="619">
        <f>+VLOOKUP(Tabla3[[#This Row],[PATENTE]],'BASE DATOS'!F:M,8,0)</f>
        <v>14</v>
      </c>
    </row>
    <row r="1691" spans="1:11" ht="15" hidden="1" customHeight="1">
      <c r="A1691" s="578" t="s">
        <v>906</v>
      </c>
      <c r="B1691" s="584">
        <v>3</v>
      </c>
      <c r="C1691" s="589">
        <v>46062</v>
      </c>
      <c r="D1691" s="582">
        <f t="shared" si="62"/>
        <v>7</v>
      </c>
      <c r="E1691" s="618" t="str">
        <f>+VLOOKUP(Tabla3[[#This Row],[PATENTE]],'BASE DATOS'!F:G,2,0)</f>
        <v xml:space="preserve">VAZQUEZ (TRV SRL) - AD472GK </v>
      </c>
      <c r="F1691" s="584" t="str">
        <f>+VLOOKUP(Tabla3[[#This Row],[PATENTE]],'BASE DATOS'!F:H,3,0)</f>
        <v>8P</v>
      </c>
      <c r="G1691" s="584" t="str">
        <f>+VLOOKUP(Tabla3[[#This Row],[PATENTE]],'BASE DATOS'!F:I,4,0)</f>
        <v>NO</v>
      </c>
      <c r="H1691" s="584" t="str">
        <f>+VLOOKUP(Tabla3[[#This Row],[PATENTE]],'BASE DATOS'!F:J,5,0)</f>
        <v>NO</v>
      </c>
      <c r="I1691" s="584" t="str">
        <f>+VLOOKUP(Tabla3[[#This Row],[PATENTE]],'BASE DATOS'!F:K,6,0)</f>
        <v>SI</v>
      </c>
      <c r="J1691" s="584">
        <f>+VLOOKUP(Tabla3[[#This Row],[PATENTE]],'BASE DATOS'!F:L,7,0)</f>
        <v>2019</v>
      </c>
      <c r="K1691" s="619">
        <f>+VLOOKUP(Tabla3[[#This Row],[PATENTE]],'BASE DATOS'!F:M,8,0)</f>
        <v>6</v>
      </c>
    </row>
    <row r="1692" spans="1:11" ht="15" hidden="1" customHeight="1">
      <c r="A1692" s="578" t="s">
        <v>880</v>
      </c>
      <c r="B1692" s="584">
        <v>3</v>
      </c>
      <c r="C1692" s="589">
        <v>46062</v>
      </c>
      <c r="D1692" s="582">
        <f t="shared" si="62"/>
        <v>7</v>
      </c>
      <c r="E1692" s="618" t="str">
        <f>+VLOOKUP(Tabla3[[#This Row],[PATENTE]],'BASE DATOS'!F:G,2,0)</f>
        <v xml:space="preserve">LAURIA (SERVAL) - AD575XK </v>
      </c>
      <c r="F1692" s="584" t="str">
        <f>+VLOOKUP(Tabla3[[#This Row],[PATENTE]],'BASE DATOS'!F:H,3,0)</f>
        <v>8P</v>
      </c>
      <c r="G1692" s="584" t="str">
        <f>+VLOOKUP(Tabla3[[#This Row],[PATENTE]],'BASE DATOS'!F:I,4,0)</f>
        <v>SI</v>
      </c>
      <c r="H1692" s="584" t="str">
        <f>+VLOOKUP(Tabla3[[#This Row],[PATENTE]],'BASE DATOS'!F:J,5,0)</f>
        <v>SI</v>
      </c>
      <c r="I1692" s="584" t="str">
        <f>+VLOOKUP(Tabla3[[#This Row],[PATENTE]],'BASE DATOS'!F:K,6,0)</f>
        <v>NO</v>
      </c>
      <c r="J1692" s="584">
        <f>+VLOOKUP(Tabla3[[#This Row],[PATENTE]],'BASE DATOS'!F:L,7,0)</f>
        <v>2019</v>
      </c>
      <c r="K1692" s="619">
        <f>+VLOOKUP(Tabla3[[#This Row],[PATENTE]],'BASE DATOS'!F:M,8,0)</f>
        <v>6</v>
      </c>
    </row>
    <row r="1693" spans="1:11" ht="15" hidden="1" customHeight="1">
      <c r="A1693" s="578" t="s">
        <v>1122</v>
      </c>
      <c r="B1693" s="584">
        <v>3</v>
      </c>
      <c r="C1693" s="589">
        <v>46062</v>
      </c>
      <c r="D1693" s="582">
        <f t="shared" si="62"/>
        <v>7</v>
      </c>
      <c r="E1693" s="618" t="str">
        <f>+VLOOKUP(Tabla3[[#This Row],[PATENTE]],'BASE DATOS'!F:G,2,0)</f>
        <v>TRANSPORTE GENA GAIA - AH898OB</v>
      </c>
      <c r="F1693" s="584" t="str">
        <f>+VLOOKUP(Tabla3[[#This Row],[PATENTE]],'BASE DATOS'!F:H,3,0)</f>
        <v>24P</v>
      </c>
      <c r="G1693" s="584" t="str">
        <f>+VLOOKUP(Tabla3[[#This Row],[PATENTE]],'BASE DATOS'!F:I,4,0)</f>
        <v>NO</v>
      </c>
      <c r="H1693" s="584" t="str">
        <f>+VLOOKUP(Tabla3[[#This Row],[PATENTE]],'BASE DATOS'!F:J,5,0)</f>
        <v>NO</v>
      </c>
      <c r="I1693" s="584" t="str">
        <f>+VLOOKUP(Tabla3[[#This Row],[PATENTE]],'BASE DATOS'!F:K,6,0)</f>
        <v>NO</v>
      </c>
      <c r="J1693" s="584">
        <f>+VLOOKUP(Tabla3[[#This Row],[PATENTE]],'BASE DATOS'!F:L,7,0)</f>
        <v>2026</v>
      </c>
      <c r="K1693" s="619">
        <f>+VLOOKUP(Tabla3[[#This Row],[PATENTE]],'BASE DATOS'!F:M,8,0)</f>
        <v>-1</v>
      </c>
    </row>
    <row r="1694" spans="1:11" ht="15" hidden="1" customHeight="1">
      <c r="A1694" s="578" t="s">
        <v>933</v>
      </c>
      <c r="B1694" s="584">
        <v>3</v>
      </c>
      <c r="C1694" s="589">
        <v>46062</v>
      </c>
      <c r="D1694" s="582">
        <f t="shared" si="62"/>
        <v>7</v>
      </c>
      <c r="E1694" s="618" t="str">
        <f>+VLOOKUP(Tabla3[[#This Row],[PATENTE]],'BASE DATOS'!F:G,2,0)</f>
        <v xml:space="preserve">TRANSPORTE GENA GAIA - IKE806 </v>
      </c>
      <c r="F1694" s="584" t="str">
        <f>+VLOOKUP(Tabla3[[#This Row],[PATENTE]],'BASE DATOS'!F:H,3,0)</f>
        <v>24P</v>
      </c>
      <c r="G1694" s="584" t="str">
        <f>+VLOOKUP(Tabla3[[#This Row],[PATENTE]],'BASE DATOS'!F:I,4,0)</f>
        <v>Gestya</v>
      </c>
      <c r="H1694" s="584" t="str">
        <f>+VLOOKUP(Tabla3[[#This Row],[PATENTE]],'BASE DATOS'!F:J,5,0)</f>
        <v xml:space="preserve">NO </v>
      </c>
      <c r="I1694" s="584" t="str">
        <f>+VLOOKUP(Tabla3[[#This Row],[PATENTE]],'BASE DATOS'!F:K,6,0)</f>
        <v>NO</v>
      </c>
      <c r="J1694" s="584">
        <f>+VLOOKUP(Tabla3[[#This Row],[PATENTE]],'BASE DATOS'!F:L,7,0)</f>
        <v>2010</v>
      </c>
      <c r="K1694" s="619">
        <f>+VLOOKUP(Tabla3[[#This Row],[PATENTE]],'BASE DATOS'!F:M,8,0)</f>
        <v>15</v>
      </c>
    </row>
    <row r="1695" spans="1:11" ht="15" hidden="1" customHeight="1">
      <c r="A1695" s="578" t="s">
        <v>932</v>
      </c>
      <c r="B1695" s="584">
        <v>2</v>
      </c>
      <c r="C1695" s="589">
        <v>46062</v>
      </c>
      <c r="D1695" s="582">
        <f t="shared" si="62"/>
        <v>7</v>
      </c>
      <c r="E1695" s="618" t="str">
        <f>+VLOOKUP(Tabla3[[#This Row],[PATENTE]],'BASE DATOS'!F:G,2,0)</f>
        <v xml:space="preserve">TRANSP MAVIR - EFL176 </v>
      </c>
      <c r="F1695" s="584" t="str">
        <f>+VLOOKUP(Tabla3[[#This Row],[PATENTE]],'BASE DATOS'!F:H,3,0)</f>
        <v>12P</v>
      </c>
      <c r="G1695" s="584" t="str">
        <f>+VLOOKUP(Tabla3[[#This Row],[PATENTE]],'BASE DATOS'!F:I,4,0)</f>
        <v>SI</v>
      </c>
      <c r="H1695" s="584" t="str">
        <f>+VLOOKUP(Tabla3[[#This Row],[PATENTE]],'BASE DATOS'!F:J,5,0)</f>
        <v>SI</v>
      </c>
      <c r="I1695" s="584" t="str">
        <f>+VLOOKUP(Tabla3[[#This Row],[PATENTE]],'BASE DATOS'!F:K,6,0)</f>
        <v>NO</v>
      </c>
      <c r="J1695" s="584">
        <f>+VLOOKUP(Tabla3[[#This Row],[PATENTE]],'BASE DATOS'!F:L,7,0)</f>
        <v>1998</v>
      </c>
      <c r="K1695" s="619">
        <f>+VLOOKUP(Tabla3[[#This Row],[PATENTE]],'BASE DATOS'!F:M,8,0)</f>
        <v>27</v>
      </c>
    </row>
    <row r="1696" spans="1:11" ht="15" hidden="1" customHeight="1">
      <c r="A1696" s="578" t="s">
        <v>890</v>
      </c>
      <c r="B1696" s="584">
        <v>1</v>
      </c>
      <c r="C1696" s="589">
        <v>46062</v>
      </c>
      <c r="D1696" s="582">
        <f t="shared" si="62"/>
        <v>7</v>
      </c>
      <c r="E1696" s="618" t="str">
        <f>+VLOOKUP(Tabla3[[#This Row],[PATENTE]],'BASE DATOS'!F:G,2,0)</f>
        <v xml:space="preserve">TRANSPORTE GRACIELA - AC040RO </v>
      </c>
      <c r="F1696" s="584" t="str">
        <f>+VLOOKUP(Tabla3[[#This Row],[PATENTE]],'BASE DATOS'!F:H,3,0)</f>
        <v>1P</v>
      </c>
      <c r="G1696" s="584" t="str">
        <f>+VLOOKUP(Tabla3[[#This Row],[PATENTE]],'BASE DATOS'!F:I,4,0)</f>
        <v>SI</v>
      </c>
      <c r="H1696" s="584" t="str">
        <f>+VLOOKUP(Tabla3[[#This Row],[PATENTE]],'BASE DATOS'!F:J,5,0)</f>
        <v>ACEPTA( VER CAMI)</v>
      </c>
      <c r="I1696" s="584" t="str">
        <f>+VLOOKUP(Tabla3[[#This Row],[PATENTE]],'BASE DATOS'!F:K,6,0)</f>
        <v>NO</v>
      </c>
      <c r="J1696" s="584">
        <f>+VLOOKUP(Tabla3[[#This Row],[PATENTE]],'BASE DATOS'!F:L,7,0)</f>
        <v>2017</v>
      </c>
      <c r="K1696" s="619">
        <f>+VLOOKUP(Tabla3[[#This Row],[PATENTE]],'BASE DATOS'!F:M,8,0)</f>
        <v>8</v>
      </c>
    </row>
    <row r="1697" spans="1:11" ht="15" hidden="1" customHeight="1">
      <c r="A1697" s="578" t="s">
        <v>942</v>
      </c>
      <c r="B1697" s="584">
        <v>1</v>
      </c>
      <c r="C1697" s="589">
        <v>46062</v>
      </c>
      <c r="D1697" s="582">
        <f t="shared" si="62"/>
        <v>7</v>
      </c>
      <c r="E1697" s="618" t="str">
        <f>+VLOOKUP(Tabla3[[#This Row],[PATENTE]],'BASE DATOS'!F:G,2,0)</f>
        <v>GANZINI HUGO - AH599 - 1P</v>
      </c>
      <c r="F1697" s="584" t="str">
        <f>+VLOOKUP(Tabla3[[#This Row],[PATENTE]],'BASE DATOS'!F:H,3,0)</f>
        <v>1P</v>
      </c>
      <c r="G1697" s="584" t="str">
        <f>+VLOOKUP(Tabla3[[#This Row],[PATENTE]],'BASE DATOS'!F:I,4,0)</f>
        <v>NO</v>
      </c>
      <c r="H1697" s="584" t="str">
        <f>+VLOOKUP(Tabla3[[#This Row],[PATENTE]],'BASE DATOS'!F:J,5,0)</f>
        <v>NO</v>
      </c>
      <c r="I1697" s="584" t="str">
        <f>+VLOOKUP(Tabla3[[#This Row],[PATENTE]],'BASE DATOS'!F:K,6,0)</f>
        <v>NO</v>
      </c>
      <c r="J1697" s="584">
        <f>+VLOOKUP(Tabla3[[#This Row],[PATENTE]],'BASE DATOS'!F:L,7,0)</f>
        <v>2025</v>
      </c>
      <c r="K1697" s="619">
        <f>+VLOOKUP(Tabla3[[#This Row],[PATENTE]],'BASE DATOS'!F:M,8,0)</f>
        <v>0</v>
      </c>
    </row>
    <row r="1698" spans="1:11" ht="15" hidden="1" customHeight="1">
      <c r="A1698" s="578" t="s">
        <v>1127</v>
      </c>
      <c r="B1698" s="584">
        <v>1</v>
      </c>
      <c r="C1698" s="589">
        <v>46062</v>
      </c>
      <c r="D1698" s="582">
        <f t="shared" si="62"/>
        <v>7</v>
      </c>
      <c r="E1698" s="618" t="str">
        <f>+VLOOKUP(Tabla3[[#This Row],[PATENTE]],'BASE DATOS'!F:G,2,0)</f>
        <v xml:space="preserve">BELLIMAR SRL - BIS283 </v>
      </c>
      <c r="F1698" s="584" t="str">
        <f>+VLOOKUP(Tabla3[[#This Row],[PATENTE]],'BASE DATOS'!F:H,3,0)</f>
        <v>28P</v>
      </c>
      <c r="G1698" s="584" t="str">
        <f>+VLOOKUP(Tabla3[[#This Row],[PATENTE]],'BASE DATOS'!F:I,4,0)</f>
        <v>NO</v>
      </c>
      <c r="H1698" s="584" t="str">
        <f>+VLOOKUP(Tabla3[[#This Row],[PATENTE]],'BASE DATOS'!F:J,5,0)</f>
        <v xml:space="preserve">NO </v>
      </c>
      <c r="I1698" s="584" t="str">
        <f>+VLOOKUP(Tabla3[[#This Row],[PATENTE]],'BASE DATOS'!F:K,6,0)</f>
        <v>NO</v>
      </c>
      <c r="J1698" s="584">
        <f>+VLOOKUP(Tabla3[[#This Row],[PATENTE]],'BASE DATOS'!F:L,7,0)</f>
        <v>1999</v>
      </c>
      <c r="K1698" s="619">
        <f>+VLOOKUP(Tabla3[[#This Row],[PATENTE]],'BASE DATOS'!F:M,8,0)</f>
        <v>26</v>
      </c>
    </row>
    <row r="1699" spans="1:11" ht="15" hidden="1" customHeight="1">
      <c r="A1699" s="578" t="s">
        <v>927</v>
      </c>
      <c r="B1699" s="584">
        <v>1</v>
      </c>
      <c r="C1699" s="589">
        <v>46062</v>
      </c>
      <c r="D1699" s="582">
        <f t="shared" si="62"/>
        <v>7</v>
      </c>
      <c r="E1699" s="618" t="str">
        <f>+VLOOKUP(Tabla3[[#This Row],[PATENTE]],'BASE DATOS'!F:G,2,0)</f>
        <v xml:space="preserve">TRANSP MAVIR - EKE275 </v>
      </c>
      <c r="F1699" s="584" t="str">
        <f>+VLOOKUP(Tabla3[[#This Row],[PATENTE]],'BASE DATOS'!F:H,3,0)</f>
        <v>11P</v>
      </c>
      <c r="G1699" s="584" t="str">
        <f>+VLOOKUP(Tabla3[[#This Row],[PATENTE]],'BASE DATOS'!F:I,4,0)</f>
        <v>NO</v>
      </c>
      <c r="H1699" s="584" t="str">
        <f>+VLOOKUP(Tabla3[[#This Row],[PATENTE]],'BASE DATOS'!F:J,5,0)</f>
        <v xml:space="preserve">NO </v>
      </c>
      <c r="I1699" s="584" t="str">
        <f>+VLOOKUP(Tabla3[[#This Row],[PATENTE]],'BASE DATOS'!F:K,6,0)</f>
        <v>NO</v>
      </c>
      <c r="J1699" s="584">
        <f>+VLOOKUP(Tabla3[[#This Row],[PATENTE]],'BASE DATOS'!F:L,7,0)</f>
        <v>2004</v>
      </c>
      <c r="K1699" s="619">
        <f>+VLOOKUP(Tabla3[[#This Row],[PATENTE]],'BASE DATOS'!F:M,8,0)</f>
        <v>21</v>
      </c>
    </row>
    <row r="1700" spans="1:11" ht="15" hidden="1" customHeight="1">
      <c r="A1700" s="578" t="s">
        <v>914</v>
      </c>
      <c r="B1700" s="584">
        <v>1</v>
      </c>
      <c r="C1700" s="589">
        <v>46062</v>
      </c>
      <c r="D1700" s="582">
        <f t="shared" si="62"/>
        <v>7</v>
      </c>
      <c r="E1700" s="618" t="str">
        <f>+VLOOKUP(Tabla3[[#This Row],[PATENTE]],'BASE DATOS'!F:G,2,0)</f>
        <v>TRANSP DON NENO - HCP674</v>
      </c>
      <c r="F1700" s="584" t="str">
        <f>+VLOOKUP(Tabla3[[#This Row],[PATENTE]],'BASE DATOS'!F:H,3,0)</f>
        <v>2P</v>
      </c>
      <c r="G1700" s="584" t="str">
        <f>+VLOOKUP(Tabla3[[#This Row],[PATENTE]],'BASE DATOS'!F:I,4,0)</f>
        <v>NO</v>
      </c>
      <c r="H1700" s="584" t="str">
        <f>+VLOOKUP(Tabla3[[#This Row],[PATENTE]],'BASE DATOS'!F:J,5,0)</f>
        <v xml:space="preserve">NO </v>
      </c>
      <c r="I1700" s="584" t="str">
        <f>+VLOOKUP(Tabla3[[#This Row],[PATENTE]],'BASE DATOS'!F:K,6,0)</f>
        <v>NO</v>
      </c>
      <c r="J1700" s="584">
        <f>+VLOOKUP(Tabla3[[#This Row],[PATENTE]],'BASE DATOS'!F:L,7,0)</f>
        <v>2008</v>
      </c>
      <c r="K1700" s="619">
        <f>+VLOOKUP(Tabla3[[#This Row],[PATENTE]],'BASE DATOS'!F:M,8,0)</f>
        <v>17</v>
      </c>
    </row>
    <row r="1701" spans="1:11" ht="15" hidden="1" customHeight="1">
      <c r="A1701" s="578" t="s">
        <v>1123</v>
      </c>
      <c r="B1701" s="584">
        <v>1</v>
      </c>
      <c r="C1701" s="589">
        <v>46062</v>
      </c>
      <c r="D1701" s="582">
        <f t="shared" si="62"/>
        <v>7</v>
      </c>
      <c r="E1701" s="618" t="str">
        <f>+VLOOKUP(Tabla3[[#This Row],[PATENTE]],'BASE DATOS'!F:G,2,0)</f>
        <v>TRANSP LAGOS - IDK392 - 2P</v>
      </c>
      <c r="F1701" s="584" t="str">
        <f>+VLOOKUP(Tabla3[[#This Row],[PATENTE]],'BASE DATOS'!F:H,3,0)</f>
        <v>2P</v>
      </c>
      <c r="G1701" s="584" t="str">
        <f>+VLOOKUP(Tabla3[[#This Row],[PATENTE]],'BASE DATOS'!F:I,4,0)</f>
        <v>NO</v>
      </c>
      <c r="H1701" s="584" t="str">
        <f>+VLOOKUP(Tabla3[[#This Row],[PATENTE]],'BASE DATOS'!F:J,5,0)</f>
        <v>NO</v>
      </c>
      <c r="I1701" s="584" t="str">
        <f>+VLOOKUP(Tabla3[[#This Row],[PATENTE]],'BASE DATOS'!F:K,6,0)</f>
        <v>NO</v>
      </c>
      <c r="J1701" s="584">
        <f>+VLOOKUP(Tabla3[[#This Row],[PATENTE]],'BASE DATOS'!F:L,7,0)</f>
        <v>2009</v>
      </c>
      <c r="K1701" s="619">
        <f>+VLOOKUP(Tabla3[[#This Row],[PATENTE]],'BASE DATOS'!F:M,8,0)</f>
        <v>16</v>
      </c>
    </row>
    <row r="1702" spans="1:11" ht="15" hidden="1" customHeight="1">
      <c r="A1702" s="578" t="s">
        <v>900</v>
      </c>
      <c r="B1702" s="584">
        <v>1</v>
      </c>
      <c r="C1702" s="589">
        <v>46062</v>
      </c>
      <c r="D1702" s="582">
        <f t="shared" si="62"/>
        <v>7</v>
      </c>
      <c r="E1702" s="618" t="str">
        <f>+VLOOKUP(Tabla3[[#This Row],[PATENTE]],'BASE DATOS'!F:G,2,0)</f>
        <v>TRANSPORTE GENA GAIA - IMO939</v>
      </c>
      <c r="F1702" s="584" t="str">
        <f>+VLOOKUP(Tabla3[[#This Row],[PATENTE]],'BASE DATOS'!F:H,3,0)</f>
        <v>24P</v>
      </c>
      <c r="G1702" s="584" t="str">
        <f>+VLOOKUP(Tabla3[[#This Row],[PATENTE]],'BASE DATOS'!F:I,4,0)</f>
        <v>Gestya</v>
      </c>
      <c r="H1702" s="584" t="str">
        <f>+VLOOKUP(Tabla3[[#This Row],[PATENTE]],'BASE DATOS'!F:J,5,0)</f>
        <v xml:space="preserve">NO </v>
      </c>
      <c r="I1702" s="584" t="str">
        <f>+VLOOKUP(Tabla3[[#This Row],[PATENTE]],'BASE DATOS'!F:K,6,0)</f>
        <v>NO</v>
      </c>
      <c r="J1702" s="584">
        <f>+VLOOKUP(Tabla3[[#This Row],[PATENTE]],'BASE DATOS'!F:L,7,0)</f>
        <v>2010</v>
      </c>
      <c r="K1702" s="619">
        <f>+VLOOKUP(Tabla3[[#This Row],[PATENTE]],'BASE DATOS'!F:M,8,0)</f>
        <v>15</v>
      </c>
    </row>
    <row r="1703" spans="1:11" ht="15" hidden="1" customHeight="1">
      <c r="A1703" s="581" t="s">
        <v>930</v>
      </c>
      <c r="B1703" s="587">
        <v>1</v>
      </c>
      <c r="C1703" s="589">
        <v>46062</v>
      </c>
      <c r="D1703" s="583">
        <f t="shared" si="62"/>
        <v>7</v>
      </c>
      <c r="E1703" s="620" t="str">
        <f>+VLOOKUP(Tabla3[[#This Row],[PATENTE]],'BASE DATOS'!F:G,2,0)</f>
        <v xml:space="preserve">GANZINI HUGO - JJF375 </v>
      </c>
      <c r="F1703" s="587" t="str">
        <f>+VLOOKUP(Tabla3[[#This Row],[PATENTE]],'BASE DATOS'!F:H,3,0)</f>
        <v>14P</v>
      </c>
      <c r="G1703" s="587" t="str">
        <f>+VLOOKUP(Tabla3[[#This Row],[PATENTE]],'BASE DATOS'!F:I,4,0)</f>
        <v>SI</v>
      </c>
      <c r="H1703" s="587" t="str">
        <f>+VLOOKUP(Tabla3[[#This Row],[PATENTE]],'BASE DATOS'!F:J,5,0)</f>
        <v xml:space="preserve">NO </v>
      </c>
      <c r="I1703" s="587" t="str">
        <f>+VLOOKUP(Tabla3[[#This Row],[PATENTE]],'BASE DATOS'!F:K,6,0)</f>
        <v>NO</v>
      </c>
      <c r="J1703" s="587">
        <f>+VLOOKUP(Tabla3[[#This Row],[PATENTE]],'BASE DATOS'!F:L,7,0)</f>
        <v>2011</v>
      </c>
      <c r="K1703" s="621">
        <f>+VLOOKUP(Tabla3[[#This Row],[PATENTE]],'BASE DATOS'!F:M,8,0)</f>
        <v>14</v>
      </c>
    </row>
    <row r="1704" spans="1:11" ht="15" hidden="1" customHeight="1">
      <c r="A1704" s="578" t="s">
        <v>879</v>
      </c>
      <c r="B1704" s="584">
        <v>7</v>
      </c>
      <c r="C1704" s="589">
        <v>46069</v>
      </c>
      <c r="D1704" s="582">
        <f t="shared" ref="D1704:D1742" si="63">+WEEKNUM(C1704)</f>
        <v>8</v>
      </c>
      <c r="E1704" s="618" t="str">
        <f>+VLOOKUP(Tabla3[[#This Row],[PATENTE]],'BASE DATOS'!F:G,2,0)</f>
        <v xml:space="preserve">TRANSP JP - OYP470 </v>
      </c>
      <c r="F1704" s="584" t="str">
        <f>+VLOOKUP(Tabla3[[#This Row],[PATENTE]],'BASE DATOS'!F:H,3,0)</f>
        <v>8P</v>
      </c>
      <c r="G1704" s="584" t="str">
        <f>+VLOOKUP(Tabla3[[#This Row],[PATENTE]],'BASE DATOS'!F:I,4,0)</f>
        <v>SI</v>
      </c>
      <c r="H1704" s="584" t="str">
        <f>+VLOOKUP(Tabla3[[#This Row],[PATENTE]],'BASE DATOS'!F:J,5,0)</f>
        <v>SI</v>
      </c>
      <c r="I1704" s="584" t="str">
        <f>+VLOOKUP(Tabla3[[#This Row],[PATENTE]],'BASE DATOS'!F:K,6,0)</f>
        <v>NO</v>
      </c>
      <c r="J1704" s="584">
        <f>+VLOOKUP(Tabla3[[#This Row],[PATENTE]],'BASE DATOS'!F:L,7,0)</f>
        <v>2011</v>
      </c>
      <c r="K1704" s="619">
        <f>+VLOOKUP(Tabla3[[#This Row],[PATENTE]],'BASE DATOS'!F:M,8,0)</f>
        <v>14</v>
      </c>
    </row>
    <row r="1705" spans="1:11" ht="15" hidden="1" customHeight="1">
      <c r="A1705" s="578" t="s">
        <v>902</v>
      </c>
      <c r="B1705" s="584">
        <v>6</v>
      </c>
      <c r="C1705" s="589">
        <v>46069</v>
      </c>
      <c r="D1705" s="582">
        <f t="shared" si="63"/>
        <v>8</v>
      </c>
      <c r="E1705" s="618" t="str">
        <f>+VLOOKUP(Tabla3[[#This Row],[PATENTE]],'BASE DATOS'!F:G,2,0)</f>
        <v xml:space="preserve">GUSTAVO CERQUETTA - KZA644 </v>
      </c>
      <c r="F1705" s="584" t="str">
        <f>+VLOOKUP(Tabla3[[#This Row],[PATENTE]],'BASE DATOS'!F:H,3,0)</f>
        <v>2P</v>
      </c>
      <c r="G1705" s="584" t="str">
        <f>+VLOOKUP(Tabla3[[#This Row],[PATENTE]],'BASE DATOS'!F:I,4,0)</f>
        <v>NO</v>
      </c>
      <c r="H1705" s="584" t="str">
        <f>+VLOOKUP(Tabla3[[#This Row],[PATENTE]],'BASE DATOS'!F:J,5,0)</f>
        <v>SI</v>
      </c>
      <c r="I1705" s="584" t="str">
        <f>+VLOOKUP(Tabla3[[#This Row],[PATENTE]],'BASE DATOS'!F:K,6,0)</f>
        <v>NO</v>
      </c>
      <c r="J1705" s="584">
        <f>+VLOOKUP(Tabla3[[#This Row],[PATENTE]],'BASE DATOS'!F:L,7,0)</f>
        <v>2012</v>
      </c>
      <c r="K1705" s="619">
        <f>+VLOOKUP(Tabla3[[#This Row],[PATENTE]],'BASE DATOS'!F:M,8,0)</f>
        <v>13</v>
      </c>
    </row>
    <row r="1706" spans="1:11" ht="15" hidden="1" customHeight="1">
      <c r="A1706" s="578" t="s">
        <v>903</v>
      </c>
      <c r="B1706" s="584">
        <v>5</v>
      </c>
      <c r="C1706" s="589">
        <v>46069</v>
      </c>
      <c r="D1706" s="582">
        <f t="shared" si="63"/>
        <v>8</v>
      </c>
      <c r="E1706" s="618" t="str">
        <f>+VLOOKUP(Tabla3[[#This Row],[PATENTE]],'BASE DATOS'!F:G,2,0)</f>
        <v xml:space="preserve">TRANSP CLAUDIO BUSTOS - AG243PE </v>
      </c>
      <c r="F1706" s="584" t="str">
        <f>+VLOOKUP(Tabla3[[#This Row],[PATENTE]],'BASE DATOS'!F:H,3,0)</f>
        <v>1P</v>
      </c>
      <c r="G1706" s="584" t="str">
        <f>+VLOOKUP(Tabla3[[#This Row],[PATENTE]],'BASE DATOS'!F:I,4,0)</f>
        <v>SI</v>
      </c>
      <c r="H1706" s="584" t="str">
        <f>+VLOOKUP(Tabla3[[#This Row],[PATENTE]],'BASE DATOS'!F:J,5,0)</f>
        <v>SI</v>
      </c>
      <c r="I1706" s="584" t="str">
        <f>+VLOOKUP(Tabla3[[#This Row],[PATENTE]],'BASE DATOS'!F:K,6,0)</f>
        <v>NO</v>
      </c>
      <c r="J1706" s="584">
        <f>+VLOOKUP(Tabla3[[#This Row],[PATENTE]],'BASE DATOS'!F:L,7,0)</f>
        <v>2024</v>
      </c>
      <c r="K1706" s="619">
        <f>+VLOOKUP(Tabla3[[#This Row],[PATENTE]],'BASE DATOS'!F:M,8,0)</f>
        <v>1</v>
      </c>
    </row>
    <row r="1707" spans="1:11" ht="15" hidden="1" customHeight="1">
      <c r="A1707" s="578" t="s">
        <v>901</v>
      </c>
      <c r="B1707" s="584">
        <v>5</v>
      </c>
      <c r="C1707" s="589">
        <v>46069</v>
      </c>
      <c r="D1707" s="582">
        <f t="shared" si="63"/>
        <v>8</v>
      </c>
      <c r="E1707" s="618" t="str">
        <f>+VLOOKUP(Tabla3[[#This Row],[PATENTE]],'BASE DATOS'!F:G,2,0)</f>
        <v xml:space="preserve">TRANSPORTE  GRACIELA - IYE750 </v>
      </c>
      <c r="F1707" s="584" t="str">
        <f>+VLOOKUP(Tabla3[[#This Row],[PATENTE]],'BASE DATOS'!F:H,3,0)</f>
        <v>1P</v>
      </c>
      <c r="G1707" s="584" t="str">
        <f>+VLOOKUP(Tabla3[[#This Row],[PATENTE]],'BASE DATOS'!F:I,4,0)</f>
        <v>NO</v>
      </c>
      <c r="H1707" s="584" t="str">
        <f>+VLOOKUP(Tabla3[[#This Row],[PATENTE]],'BASE DATOS'!F:J,5,0)</f>
        <v>SI</v>
      </c>
      <c r="I1707" s="584" t="str">
        <f>+VLOOKUP(Tabla3[[#This Row],[PATENTE]],'BASE DATOS'!F:K,6,0)</f>
        <v>NO</v>
      </c>
      <c r="J1707" s="584">
        <f>+VLOOKUP(Tabla3[[#This Row],[PATENTE]],'BASE DATOS'!F:L,7,0)</f>
        <v>2009</v>
      </c>
      <c r="K1707" s="619">
        <f>+VLOOKUP(Tabla3[[#This Row],[PATENTE]],'BASE DATOS'!F:M,8,0)</f>
        <v>16</v>
      </c>
    </row>
    <row r="1708" spans="1:11" ht="15" hidden="1" customHeight="1">
      <c r="A1708" s="578" t="s">
        <v>882</v>
      </c>
      <c r="B1708" s="584">
        <v>5</v>
      </c>
      <c r="C1708" s="589">
        <v>46069</v>
      </c>
      <c r="D1708" s="582">
        <f t="shared" si="63"/>
        <v>8</v>
      </c>
      <c r="E1708" s="618" t="str">
        <f>+VLOOKUP(Tabla3[[#This Row],[PATENTE]],'BASE DATOS'!F:G,2,0)</f>
        <v xml:space="preserve">MAÑAS - JWN279 </v>
      </c>
      <c r="F1708" s="584" t="str">
        <f>+VLOOKUP(Tabla3[[#This Row],[PATENTE]],'BASE DATOS'!F:H,3,0)</f>
        <v>7P</v>
      </c>
      <c r="G1708" s="584" t="str">
        <f>+VLOOKUP(Tabla3[[#This Row],[PATENTE]],'BASE DATOS'!F:I,4,0)</f>
        <v>SI</v>
      </c>
      <c r="H1708" s="584" t="str">
        <f>+VLOOKUP(Tabla3[[#This Row],[PATENTE]],'BASE DATOS'!F:J,5,0)</f>
        <v>SI</v>
      </c>
      <c r="I1708" s="584" t="str">
        <f>+VLOOKUP(Tabla3[[#This Row],[PATENTE]],'BASE DATOS'!F:K,6,0)</f>
        <v>NO</v>
      </c>
      <c r="J1708" s="584">
        <f>+VLOOKUP(Tabla3[[#This Row],[PATENTE]],'BASE DATOS'!F:L,7,0)</f>
        <v>2011</v>
      </c>
      <c r="K1708" s="619">
        <f>+VLOOKUP(Tabla3[[#This Row],[PATENTE]],'BASE DATOS'!F:M,8,0)</f>
        <v>14</v>
      </c>
    </row>
    <row r="1709" spans="1:11" ht="15" hidden="1" customHeight="1">
      <c r="A1709" s="578" t="s">
        <v>898</v>
      </c>
      <c r="B1709" s="584">
        <v>5</v>
      </c>
      <c r="C1709" s="589">
        <v>46069</v>
      </c>
      <c r="D1709" s="582">
        <f t="shared" si="63"/>
        <v>8</v>
      </c>
      <c r="E1709" s="618" t="str">
        <f>+VLOOKUP(Tabla3[[#This Row],[PATENTE]],'BASE DATOS'!F:G,2,0)</f>
        <v xml:space="preserve">TRANSP BERMEJO - NXP980 </v>
      </c>
      <c r="F1709" s="584" t="str">
        <f>+VLOOKUP(Tabla3[[#This Row],[PATENTE]],'BASE DATOS'!F:H,3,0)</f>
        <v>12P</v>
      </c>
      <c r="G1709" s="584" t="str">
        <f>+VLOOKUP(Tabla3[[#This Row],[PATENTE]],'BASE DATOS'!F:I,4,0)</f>
        <v>SI</v>
      </c>
      <c r="H1709" s="584" t="str">
        <f>+VLOOKUP(Tabla3[[#This Row],[PATENTE]],'BASE DATOS'!F:J,5,0)</f>
        <v>SI</v>
      </c>
      <c r="I1709" s="584" t="str">
        <f>+VLOOKUP(Tabla3[[#This Row],[PATENTE]],'BASE DATOS'!F:K,6,0)</f>
        <v>SI</v>
      </c>
      <c r="J1709" s="584">
        <f>+VLOOKUP(Tabla3[[#This Row],[PATENTE]],'BASE DATOS'!F:L,7,0)</f>
        <v>2015</v>
      </c>
      <c r="K1709" s="619">
        <f>+VLOOKUP(Tabla3[[#This Row],[PATENTE]],'BASE DATOS'!F:M,8,0)</f>
        <v>10</v>
      </c>
    </row>
    <row r="1710" spans="1:11" ht="15" hidden="1" customHeight="1">
      <c r="A1710" s="578" t="s">
        <v>877</v>
      </c>
      <c r="B1710" s="584">
        <v>5</v>
      </c>
      <c r="C1710" s="589">
        <v>46069</v>
      </c>
      <c r="D1710" s="582">
        <f t="shared" si="63"/>
        <v>8</v>
      </c>
      <c r="E1710" s="618" t="str">
        <f>+VLOOKUP(Tabla3[[#This Row],[PATENTE]],'BASE DATOS'!F:G,2,0)</f>
        <v>TRANSP MAIDANA CARLOS - OWA126</v>
      </c>
      <c r="F1710" s="584" t="str">
        <f>+VLOOKUP(Tabla3[[#This Row],[PATENTE]],'BASE DATOS'!F:H,3,0)</f>
        <v>4P</v>
      </c>
      <c r="G1710" s="584" t="str">
        <f>+VLOOKUP(Tabla3[[#This Row],[PATENTE]],'BASE DATOS'!F:I,4,0)</f>
        <v>SI</v>
      </c>
      <c r="H1710" s="584" t="str">
        <f>+VLOOKUP(Tabla3[[#This Row],[PATENTE]],'BASE DATOS'!F:J,5,0)</f>
        <v>SI</v>
      </c>
      <c r="I1710" s="584" t="str">
        <f>+VLOOKUP(Tabla3[[#This Row],[PATENTE]],'BASE DATOS'!F:K,6,0)</f>
        <v>NO</v>
      </c>
      <c r="J1710" s="584">
        <f>+VLOOKUP(Tabla3[[#This Row],[PATENTE]],'BASE DATOS'!F:L,7,0)</f>
        <v>2015</v>
      </c>
      <c r="K1710" s="619">
        <f>+VLOOKUP(Tabla3[[#This Row],[PATENTE]],'BASE DATOS'!F:M,8,0)</f>
        <v>10</v>
      </c>
    </row>
    <row r="1711" spans="1:11" ht="15" hidden="1" customHeight="1">
      <c r="A1711" s="578" t="s">
        <v>936</v>
      </c>
      <c r="B1711" s="584">
        <v>4</v>
      </c>
      <c r="C1711" s="589">
        <v>46069</v>
      </c>
      <c r="D1711" s="582">
        <f t="shared" si="63"/>
        <v>8</v>
      </c>
      <c r="E1711" s="618" t="str">
        <f>+VLOOKUP(Tabla3[[#This Row],[PATENTE]],'BASE DATOS'!F:G,2,0)</f>
        <v>TRANSP YANINA  LUONGO - AA050HC</v>
      </c>
      <c r="F1711" s="584" t="str">
        <f>+VLOOKUP(Tabla3[[#This Row],[PATENTE]],'BASE DATOS'!F:H,3,0)</f>
        <v>1.5P</v>
      </c>
      <c r="G1711" s="584" t="str">
        <f>+VLOOKUP(Tabla3[[#This Row],[PATENTE]],'BASE DATOS'!F:I,4,0)</f>
        <v>NO</v>
      </c>
      <c r="H1711" s="584" t="str">
        <f>+VLOOKUP(Tabla3[[#This Row],[PATENTE]],'BASE DATOS'!F:J,5,0)</f>
        <v>SI</v>
      </c>
      <c r="I1711" s="584" t="str">
        <f>+VLOOKUP(Tabla3[[#This Row],[PATENTE]],'BASE DATOS'!F:K,6,0)</f>
        <v>NO</v>
      </c>
      <c r="J1711" s="584">
        <f>+VLOOKUP(Tabla3[[#This Row],[PATENTE]],'BASE DATOS'!F:L,7,0)</f>
        <v>2016</v>
      </c>
      <c r="K1711" s="619">
        <f>+VLOOKUP(Tabla3[[#This Row],[PATENTE]],'BASE DATOS'!F:M,8,0)</f>
        <v>9</v>
      </c>
    </row>
    <row r="1712" spans="1:11" ht="15" hidden="1" customHeight="1">
      <c r="A1712" s="578" t="s">
        <v>878</v>
      </c>
      <c r="B1712" s="584">
        <v>4</v>
      </c>
      <c r="C1712" s="589">
        <v>46069</v>
      </c>
      <c r="D1712" s="582">
        <f t="shared" si="63"/>
        <v>8</v>
      </c>
      <c r="E1712" s="618" t="str">
        <f>+VLOOKUP(Tabla3[[#This Row],[PATENTE]],'BASE DATOS'!F:G,2,0)</f>
        <v xml:space="preserve">PACHECO JULIO - AA854LY </v>
      </c>
      <c r="F1712" s="584" t="str">
        <f>+VLOOKUP(Tabla3[[#This Row],[PATENTE]],'BASE DATOS'!F:H,3,0)</f>
        <v>7P</v>
      </c>
      <c r="G1712" s="584" t="str">
        <f>+VLOOKUP(Tabla3[[#This Row],[PATENTE]],'BASE DATOS'!F:I,4,0)</f>
        <v>SI</v>
      </c>
      <c r="H1712" s="584" t="str">
        <f>+VLOOKUP(Tabla3[[#This Row],[PATENTE]],'BASE DATOS'!F:J,5,0)</f>
        <v>SI</v>
      </c>
      <c r="I1712" s="584" t="str">
        <f>+VLOOKUP(Tabla3[[#This Row],[PATENTE]],'BASE DATOS'!F:K,6,0)</f>
        <v>NO</v>
      </c>
      <c r="J1712" s="584">
        <f>+VLOOKUP(Tabla3[[#This Row],[PATENTE]],'BASE DATOS'!F:L,7,0)</f>
        <v>2016</v>
      </c>
      <c r="K1712" s="619">
        <f>+VLOOKUP(Tabla3[[#This Row],[PATENTE]],'BASE DATOS'!F:M,8,0)</f>
        <v>9</v>
      </c>
    </row>
    <row r="1713" spans="1:11" ht="15" hidden="1" customHeight="1">
      <c r="A1713" s="578" t="s">
        <v>884</v>
      </c>
      <c r="B1713" s="584">
        <v>4</v>
      </c>
      <c r="C1713" s="589">
        <v>46069</v>
      </c>
      <c r="D1713" s="582">
        <f t="shared" si="63"/>
        <v>8</v>
      </c>
      <c r="E1713" s="618" t="str">
        <f>+VLOOKUP(Tabla3[[#This Row],[PATENTE]],'BASE DATOS'!F:G,2,0)</f>
        <v xml:space="preserve">LAURIA (SERVAL) - AB233IT </v>
      </c>
      <c r="F1713" s="584" t="str">
        <f>+VLOOKUP(Tabla3[[#This Row],[PATENTE]],'BASE DATOS'!F:H,3,0)</f>
        <v>6P</v>
      </c>
      <c r="G1713" s="584" t="str">
        <f>+VLOOKUP(Tabla3[[#This Row],[PATENTE]],'BASE DATOS'!F:I,4,0)</f>
        <v>SI</v>
      </c>
      <c r="H1713" s="584" t="str">
        <f>+VLOOKUP(Tabla3[[#This Row],[PATENTE]],'BASE DATOS'!F:J,5,0)</f>
        <v>SI</v>
      </c>
      <c r="I1713" s="584" t="str">
        <f>+VLOOKUP(Tabla3[[#This Row],[PATENTE]],'BASE DATOS'!F:K,6,0)</f>
        <v>NO</v>
      </c>
      <c r="J1713" s="584">
        <f>+VLOOKUP(Tabla3[[#This Row],[PATENTE]],'BASE DATOS'!F:L,7,0)</f>
        <v>2017</v>
      </c>
      <c r="K1713" s="619">
        <f>+VLOOKUP(Tabla3[[#This Row],[PATENTE]],'BASE DATOS'!F:M,8,0)</f>
        <v>8</v>
      </c>
    </row>
    <row r="1714" spans="1:11" ht="15" hidden="1" customHeight="1">
      <c r="A1714" s="578" t="s">
        <v>906</v>
      </c>
      <c r="B1714" s="584">
        <v>4</v>
      </c>
      <c r="C1714" s="589">
        <v>46069</v>
      </c>
      <c r="D1714" s="582">
        <f t="shared" si="63"/>
        <v>8</v>
      </c>
      <c r="E1714" s="618" t="str">
        <f>+VLOOKUP(Tabla3[[#This Row],[PATENTE]],'BASE DATOS'!F:G,2,0)</f>
        <v xml:space="preserve">VAZQUEZ (TRV SRL) - AD472GK </v>
      </c>
      <c r="F1714" s="584" t="str">
        <f>+VLOOKUP(Tabla3[[#This Row],[PATENTE]],'BASE DATOS'!F:H,3,0)</f>
        <v>8P</v>
      </c>
      <c r="G1714" s="584" t="str">
        <f>+VLOOKUP(Tabla3[[#This Row],[PATENTE]],'BASE DATOS'!F:I,4,0)</f>
        <v>NO</v>
      </c>
      <c r="H1714" s="584" t="str">
        <f>+VLOOKUP(Tabla3[[#This Row],[PATENTE]],'BASE DATOS'!F:J,5,0)</f>
        <v>NO</v>
      </c>
      <c r="I1714" s="584" t="str">
        <f>+VLOOKUP(Tabla3[[#This Row],[PATENTE]],'BASE DATOS'!F:K,6,0)</f>
        <v>SI</v>
      </c>
      <c r="J1714" s="584">
        <f>+VLOOKUP(Tabla3[[#This Row],[PATENTE]],'BASE DATOS'!F:L,7,0)</f>
        <v>2019</v>
      </c>
      <c r="K1714" s="619">
        <f>+VLOOKUP(Tabla3[[#This Row],[PATENTE]],'BASE DATOS'!F:M,8,0)</f>
        <v>6</v>
      </c>
    </row>
    <row r="1715" spans="1:11" ht="15" hidden="1" customHeight="1">
      <c r="A1715" s="578" t="s">
        <v>888</v>
      </c>
      <c r="B1715" s="584">
        <v>4</v>
      </c>
      <c r="C1715" s="589">
        <v>46069</v>
      </c>
      <c r="D1715" s="582">
        <f t="shared" si="63"/>
        <v>8</v>
      </c>
      <c r="E1715" s="618" t="str">
        <f>+VLOOKUP(Tabla3[[#This Row],[PATENTE]],'BASE DATOS'!F:G,2,0)</f>
        <v xml:space="preserve">TRANSP FIRST CLASS - AD535UI </v>
      </c>
      <c r="F1715" s="584" t="str">
        <f>+VLOOKUP(Tabla3[[#This Row],[PATENTE]],'BASE DATOS'!F:H,3,0)</f>
        <v>6P</v>
      </c>
      <c r="G1715" s="584" t="str">
        <f>+VLOOKUP(Tabla3[[#This Row],[PATENTE]],'BASE DATOS'!F:I,4,0)</f>
        <v>SI</v>
      </c>
      <c r="H1715" s="584" t="str">
        <f>+VLOOKUP(Tabla3[[#This Row],[PATENTE]],'BASE DATOS'!F:J,5,0)</f>
        <v>SI</v>
      </c>
      <c r="I1715" s="584" t="str">
        <f>+VLOOKUP(Tabla3[[#This Row],[PATENTE]],'BASE DATOS'!F:K,6,0)</f>
        <v>NO</v>
      </c>
      <c r="J1715" s="584">
        <f>+VLOOKUP(Tabla3[[#This Row],[PATENTE]],'BASE DATOS'!F:L,7,0)</f>
        <v>2019</v>
      </c>
      <c r="K1715" s="619">
        <f>+VLOOKUP(Tabla3[[#This Row],[PATENTE]],'BASE DATOS'!F:M,8,0)</f>
        <v>6</v>
      </c>
    </row>
    <row r="1716" spans="1:11" ht="15" hidden="1" customHeight="1">
      <c r="A1716" s="578" t="s">
        <v>895</v>
      </c>
      <c r="B1716" s="584">
        <v>4</v>
      </c>
      <c r="C1716" s="589">
        <v>46069</v>
      </c>
      <c r="D1716" s="582">
        <f t="shared" si="63"/>
        <v>8</v>
      </c>
      <c r="E1716" s="618" t="str">
        <f>+VLOOKUP(Tabla3[[#This Row],[PATENTE]],'BASE DATOS'!F:G,2,0)</f>
        <v xml:space="preserve">TRANSPORTE MICAELA </v>
      </c>
      <c r="F1716" s="584" t="str">
        <f>+VLOOKUP(Tabla3[[#This Row],[PATENTE]],'BASE DATOS'!F:H,3,0)</f>
        <v>2P</v>
      </c>
      <c r="G1716" s="584" t="str">
        <f>+VLOOKUP(Tabla3[[#This Row],[PATENTE]],'BASE DATOS'!F:I,4,0)</f>
        <v>NO</v>
      </c>
      <c r="H1716" s="584" t="str">
        <f>+VLOOKUP(Tabla3[[#This Row],[PATENTE]],'BASE DATOS'!F:J,5,0)</f>
        <v>SI</v>
      </c>
      <c r="I1716" s="584" t="str">
        <f>+VLOOKUP(Tabla3[[#This Row],[PATENTE]],'BASE DATOS'!F:K,6,0)</f>
        <v>NO</v>
      </c>
      <c r="J1716" s="584">
        <f>+VLOOKUP(Tabla3[[#This Row],[PATENTE]],'BASE DATOS'!F:L,7,0)</f>
        <v>2024</v>
      </c>
      <c r="K1716" s="619">
        <f>+VLOOKUP(Tabla3[[#This Row],[PATENTE]],'BASE DATOS'!F:M,8,0)</f>
        <v>1</v>
      </c>
    </row>
    <row r="1717" spans="1:11" ht="15" hidden="1" customHeight="1">
      <c r="A1717" s="578" t="s">
        <v>907</v>
      </c>
      <c r="B1717" s="584">
        <v>4</v>
      </c>
      <c r="C1717" s="589">
        <v>46069</v>
      </c>
      <c r="D1717" s="582">
        <f t="shared" si="63"/>
        <v>8</v>
      </c>
      <c r="E1717" s="618" t="str">
        <f>+VLOOKUP(Tabla3[[#This Row],[PATENTE]],'BASE DATOS'!F:G,2,0)</f>
        <v xml:space="preserve">LAURIA (SERVAL) - AH583GW </v>
      </c>
      <c r="F1717" s="584" t="str">
        <f>+VLOOKUP(Tabla3[[#This Row],[PATENTE]],'BASE DATOS'!F:H,3,0)</f>
        <v>8P</v>
      </c>
      <c r="G1717" s="584" t="str">
        <f>+VLOOKUP(Tabla3[[#This Row],[PATENTE]],'BASE DATOS'!F:I,4,0)</f>
        <v>SI</v>
      </c>
      <c r="H1717" s="584" t="str">
        <f>+VLOOKUP(Tabla3[[#This Row],[PATENTE]],'BASE DATOS'!F:J,5,0)</f>
        <v>SI</v>
      </c>
      <c r="I1717" s="584" t="str">
        <f>+VLOOKUP(Tabla3[[#This Row],[PATENTE]],'BASE DATOS'!F:K,6,0)</f>
        <v>NO</v>
      </c>
      <c r="J1717" s="584">
        <f>+VLOOKUP(Tabla3[[#This Row],[PATENTE]],'BASE DATOS'!F:L,7,0)</f>
        <v>2025</v>
      </c>
      <c r="K1717" s="619">
        <f>+VLOOKUP(Tabla3[[#This Row],[PATENTE]],'BASE DATOS'!F:M,8,0)</f>
        <v>0</v>
      </c>
    </row>
    <row r="1718" spans="1:11" ht="15" hidden="1" customHeight="1">
      <c r="A1718" s="578" t="s">
        <v>889</v>
      </c>
      <c r="B1718" s="584">
        <v>4</v>
      </c>
      <c r="C1718" s="589">
        <v>46069</v>
      </c>
      <c r="D1718" s="582">
        <f t="shared" si="63"/>
        <v>8</v>
      </c>
      <c r="E1718" s="618" t="str">
        <f>+VLOOKUP(Tabla3[[#This Row],[PATENTE]],'BASE DATOS'!F:G,2,0)</f>
        <v xml:space="preserve">COLO - HAW164 </v>
      </c>
      <c r="F1718" s="584" t="str">
        <f>+VLOOKUP(Tabla3[[#This Row],[PATENTE]],'BASE DATOS'!F:H,3,0)</f>
        <v>6P</v>
      </c>
      <c r="G1718" s="584" t="str">
        <f>+VLOOKUP(Tabla3[[#This Row],[PATENTE]],'BASE DATOS'!F:I,4,0)</f>
        <v>NO</v>
      </c>
      <c r="H1718" s="584" t="str">
        <f>+VLOOKUP(Tabla3[[#This Row],[PATENTE]],'BASE DATOS'!F:J,5,0)</f>
        <v>SI</v>
      </c>
      <c r="I1718" s="584" t="str">
        <f>+VLOOKUP(Tabla3[[#This Row],[PATENTE]],'BASE DATOS'!F:K,6,0)</f>
        <v>NO</v>
      </c>
      <c r="J1718" s="584">
        <f>+VLOOKUP(Tabla3[[#This Row],[PATENTE]],'BASE DATOS'!F:L,7,0)</f>
        <v>2009</v>
      </c>
      <c r="K1718" s="619">
        <f>+VLOOKUP(Tabla3[[#This Row],[PATENTE]],'BASE DATOS'!F:M,8,0)</f>
        <v>16</v>
      </c>
    </row>
    <row r="1719" spans="1:11" ht="15" hidden="1" customHeight="1">
      <c r="A1719" s="578" t="s">
        <v>924</v>
      </c>
      <c r="B1719" s="584">
        <v>4</v>
      </c>
      <c r="C1719" s="589">
        <v>46069</v>
      </c>
      <c r="D1719" s="582">
        <f t="shared" si="63"/>
        <v>8</v>
      </c>
      <c r="E1719" s="618" t="str">
        <f>+VLOOKUP(Tabla3[[#This Row],[PATENTE]],'BASE DATOS'!F:G,2,0)</f>
        <v>TRANSP MAVIR - HRZ429 -16P</v>
      </c>
      <c r="F1719" s="584" t="str">
        <f>+VLOOKUP(Tabla3[[#This Row],[PATENTE]],'BASE DATOS'!F:H,3,0)</f>
        <v>16P</v>
      </c>
      <c r="G1719" s="584" t="str">
        <f>+VLOOKUP(Tabla3[[#This Row],[PATENTE]],'BASE DATOS'!F:I,4,0)</f>
        <v>SI</v>
      </c>
      <c r="H1719" s="584" t="str">
        <f>+VLOOKUP(Tabla3[[#This Row],[PATENTE]],'BASE DATOS'!F:J,5,0)</f>
        <v xml:space="preserve">NO </v>
      </c>
      <c r="I1719" s="584" t="str">
        <f>+VLOOKUP(Tabla3[[#This Row],[PATENTE]],'BASE DATOS'!F:K,6,0)</f>
        <v>NO</v>
      </c>
      <c r="J1719" s="584">
        <f>+VLOOKUP(Tabla3[[#This Row],[PATENTE]],'BASE DATOS'!F:L,7,0)</f>
        <v>2008</v>
      </c>
      <c r="K1719" s="619">
        <f>+VLOOKUP(Tabla3[[#This Row],[PATENTE]],'BASE DATOS'!F:M,8,0)</f>
        <v>17</v>
      </c>
    </row>
    <row r="1720" spans="1:11" ht="15" hidden="1" customHeight="1">
      <c r="A1720" s="578" t="s">
        <v>885</v>
      </c>
      <c r="B1720" s="584">
        <v>4</v>
      </c>
      <c r="C1720" s="589">
        <v>46069</v>
      </c>
      <c r="D1720" s="582">
        <f t="shared" si="63"/>
        <v>8</v>
      </c>
      <c r="E1720" s="618" t="str">
        <f>+VLOOKUP(Tabla3[[#This Row],[PATENTE]],'BASE DATOS'!F:G,2,0)</f>
        <v xml:space="preserve">TRANSP DON NENO - IES288 </v>
      </c>
      <c r="F1720" s="584" t="str">
        <f>+VLOOKUP(Tabla3[[#This Row],[PATENTE]],'BASE DATOS'!F:H,3,0)</f>
        <v>2P</v>
      </c>
      <c r="G1720" s="584" t="str">
        <f>+VLOOKUP(Tabla3[[#This Row],[PATENTE]],'BASE DATOS'!F:I,4,0)</f>
        <v>SI</v>
      </c>
      <c r="H1720" s="584" t="str">
        <f>+VLOOKUP(Tabla3[[#This Row],[PATENTE]],'BASE DATOS'!F:J,5,0)</f>
        <v>SI</v>
      </c>
      <c r="I1720" s="584" t="str">
        <f>+VLOOKUP(Tabla3[[#This Row],[PATENTE]],'BASE DATOS'!F:K,6,0)</f>
        <v>NO</v>
      </c>
      <c r="J1720" s="584">
        <f>+VLOOKUP(Tabla3[[#This Row],[PATENTE]],'BASE DATOS'!F:L,7,0)</f>
        <v>2009</v>
      </c>
      <c r="K1720" s="619">
        <f>+VLOOKUP(Tabla3[[#This Row],[PATENTE]],'BASE DATOS'!F:M,8,0)</f>
        <v>16</v>
      </c>
    </row>
    <row r="1721" spans="1:11" ht="15" hidden="1" customHeight="1">
      <c r="A1721" s="578" t="s">
        <v>950</v>
      </c>
      <c r="B1721" s="584">
        <v>4</v>
      </c>
      <c r="C1721" s="589">
        <v>46069</v>
      </c>
      <c r="D1721" s="582">
        <f t="shared" si="63"/>
        <v>8</v>
      </c>
      <c r="E1721" s="618" t="str">
        <f>+VLOOKUP(Tabla3[[#This Row],[PATENTE]],'BASE DATOS'!F:G,2,0)</f>
        <v>TRANSP DON NENO -IRK036- 2P</v>
      </c>
      <c r="F1721" s="584" t="str">
        <f>+VLOOKUP(Tabla3[[#This Row],[PATENTE]],'BASE DATOS'!F:H,3,0)</f>
        <v>2P</v>
      </c>
      <c r="G1721" s="584" t="str">
        <f>+VLOOKUP(Tabla3[[#This Row],[PATENTE]],'BASE DATOS'!F:I,4,0)</f>
        <v>NO</v>
      </c>
      <c r="H1721" s="584" t="str">
        <f>+VLOOKUP(Tabla3[[#This Row],[PATENTE]],'BASE DATOS'!F:J,5,0)</f>
        <v>NO</v>
      </c>
      <c r="I1721" s="584" t="str">
        <f>+VLOOKUP(Tabla3[[#This Row],[PATENTE]],'BASE DATOS'!F:K,6,0)</f>
        <v>NO</v>
      </c>
      <c r="J1721" s="584">
        <f>+VLOOKUP(Tabla3[[#This Row],[PATENTE]],'BASE DATOS'!F:L,7,0)</f>
        <v>2010</v>
      </c>
      <c r="K1721" s="619">
        <f>+VLOOKUP(Tabla3[[#This Row],[PATENTE]],'BASE DATOS'!F:M,8,0)</f>
        <v>15</v>
      </c>
    </row>
    <row r="1722" spans="1:11" ht="15" hidden="1" customHeight="1">
      <c r="A1722" s="578" t="s">
        <v>925</v>
      </c>
      <c r="B1722" s="584">
        <v>4</v>
      </c>
      <c r="C1722" s="589">
        <v>46069</v>
      </c>
      <c r="D1722" s="582">
        <f t="shared" si="63"/>
        <v>8</v>
      </c>
      <c r="E1722" s="618" t="str">
        <f>+VLOOKUP(Tabla3[[#This Row],[PATENTE]],'BASE DATOS'!F:G,2,0)</f>
        <v xml:space="preserve">TRANSP MAIDANA FACUNDO - KOW745 </v>
      </c>
      <c r="F1722" s="584" t="str">
        <f>+VLOOKUP(Tabla3[[#This Row],[PATENTE]],'BASE DATOS'!F:H,3,0)</f>
        <v>8P</v>
      </c>
      <c r="G1722" s="584" t="str">
        <f>+VLOOKUP(Tabla3[[#This Row],[PATENTE]],'BASE DATOS'!F:I,4,0)</f>
        <v>SI</v>
      </c>
      <c r="H1722" s="584" t="str">
        <f>+VLOOKUP(Tabla3[[#This Row],[PATENTE]],'BASE DATOS'!F:J,5,0)</f>
        <v>SI</v>
      </c>
      <c r="I1722" s="584" t="str">
        <f>+VLOOKUP(Tabla3[[#This Row],[PATENTE]],'BASE DATOS'!F:K,6,0)</f>
        <v>NO</v>
      </c>
      <c r="J1722" s="584">
        <f>+VLOOKUP(Tabla3[[#This Row],[PATENTE]],'BASE DATOS'!F:L,7,0)</f>
        <v>2012</v>
      </c>
      <c r="K1722" s="619">
        <f>+VLOOKUP(Tabla3[[#This Row],[PATENTE]],'BASE DATOS'!F:M,8,0)</f>
        <v>13</v>
      </c>
    </row>
    <row r="1723" spans="1:11" ht="15" hidden="1" customHeight="1">
      <c r="A1723" s="578" t="s">
        <v>920</v>
      </c>
      <c r="B1723" s="584">
        <v>4</v>
      </c>
      <c r="C1723" s="589">
        <v>46069</v>
      </c>
      <c r="D1723" s="582">
        <f t="shared" si="63"/>
        <v>8</v>
      </c>
      <c r="E1723" s="618" t="str">
        <f>+VLOOKUP(Tabla3[[#This Row],[PATENTE]],'BASE DATOS'!F:G,2,0)</f>
        <v xml:space="preserve">TRANSP LAGOS - MRV682 </v>
      </c>
      <c r="F1723" s="584" t="str">
        <f>+VLOOKUP(Tabla3[[#This Row],[PATENTE]],'BASE DATOS'!F:H,3,0)</f>
        <v>8P</v>
      </c>
      <c r="G1723" s="584" t="str">
        <f>+VLOOKUP(Tabla3[[#This Row],[PATENTE]],'BASE DATOS'!F:I,4,0)</f>
        <v>SI</v>
      </c>
      <c r="H1723" s="584" t="str">
        <f>+VLOOKUP(Tabla3[[#This Row],[PATENTE]],'BASE DATOS'!F:J,5,0)</f>
        <v>SI</v>
      </c>
      <c r="I1723" s="584" t="str">
        <f>+VLOOKUP(Tabla3[[#This Row],[PATENTE]],'BASE DATOS'!F:K,6,0)</f>
        <v>NO</v>
      </c>
      <c r="J1723" s="584">
        <f>+VLOOKUP(Tabla3[[#This Row],[PATENTE]],'BASE DATOS'!F:L,7,0)</f>
        <v>2013</v>
      </c>
      <c r="K1723" s="619">
        <f>+VLOOKUP(Tabla3[[#This Row],[PATENTE]],'BASE DATOS'!F:M,8,0)</f>
        <v>12</v>
      </c>
    </row>
    <row r="1724" spans="1:11" ht="15" hidden="1" customHeight="1">
      <c r="A1724" s="578" t="s">
        <v>883</v>
      </c>
      <c r="B1724" s="584">
        <v>3</v>
      </c>
      <c r="C1724" s="589">
        <v>46069</v>
      </c>
      <c r="D1724" s="582">
        <f t="shared" si="63"/>
        <v>8</v>
      </c>
      <c r="E1724" s="618" t="str">
        <f>+VLOOKUP(Tabla3[[#This Row],[PATENTE]],'BASE DATOS'!F:G,2,0)</f>
        <v xml:space="preserve">PACHECO JULIO - ACI503 </v>
      </c>
      <c r="F1724" s="584" t="str">
        <f>+VLOOKUP(Tabla3[[#This Row],[PATENTE]],'BASE DATOS'!F:H,3,0)</f>
        <v>12P</v>
      </c>
      <c r="G1724" s="584" t="str">
        <f>+VLOOKUP(Tabla3[[#This Row],[PATENTE]],'BASE DATOS'!F:I,4,0)</f>
        <v>NO</v>
      </c>
      <c r="H1724" s="584" t="str">
        <f>+VLOOKUP(Tabla3[[#This Row],[PATENTE]],'BASE DATOS'!F:J,5,0)</f>
        <v>SI</v>
      </c>
      <c r="I1724" s="584" t="str">
        <f>+VLOOKUP(Tabla3[[#This Row],[PATENTE]],'BASE DATOS'!F:K,6,0)</f>
        <v>SI</v>
      </c>
      <c r="J1724" s="584">
        <f>+VLOOKUP(Tabla3[[#This Row],[PATENTE]],'BASE DATOS'!F:L,7,0)</f>
        <v>2000</v>
      </c>
      <c r="K1724" s="619">
        <f>+VLOOKUP(Tabla3[[#This Row],[PATENTE]],'BASE DATOS'!F:M,8,0)</f>
        <v>25</v>
      </c>
    </row>
    <row r="1725" spans="1:11" ht="15" hidden="1" customHeight="1">
      <c r="A1725" s="578" t="s">
        <v>880</v>
      </c>
      <c r="B1725" s="584">
        <v>3</v>
      </c>
      <c r="C1725" s="589">
        <v>46069</v>
      </c>
      <c r="D1725" s="582">
        <f t="shared" si="63"/>
        <v>8</v>
      </c>
      <c r="E1725" s="618" t="str">
        <f>+VLOOKUP(Tabla3[[#This Row],[PATENTE]],'BASE DATOS'!F:G,2,0)</f>
        <v xml:space="preserve">LAURIA (SERVAL) - AD575XK </v>
      </c>
      <c r="F1725" s="584" t="str">
        <f>+VLOOKUP(Tabla3[[#This Row],[PATENTE]],'BASE DATOS'!F:H,3,0)</f>
        <v>8P</v>
      </c>
      <c r="G1725" s="584" t="str">
        <f>+VLOOKUP(Tabla3[[#This Row],[PATENTE]],'BASE DATOS'!F:I,4,0)</f>
        <v>SI</v>
      </c>
      <c r="H1725" s="584" t="str">
        <f>+VLOOKUP(Tabla3[[#This Row],[PATENTE]],'BASE DATOS'!F:J,5,0)</f>
        <v>SI</v>
      </c>
      <c r="I1725" s="584" t="str">
        <f>+VLOOKUP(Tabla3[[#This Row],[PATENTE]],'BASE DATOS'!F:K,6,0)</f>
        <v>NO</v>
      </c>
      <c r="J1725" s="584">
        <f>+VLOOKUP(Tabla3[[#This Row],[PATENTE]],'BASE DATOS'!F:L,7,0)</f>
        <v>2019</v>
      </c>
      <c r="K1725" s="619">
        <f>+VLOOKUP(Tabla3[[#This Row],[PATENTE]],'BASE DATOS'!F:M,8,0)</f>
        <v>6</v>
      </c>
    </row>
    <row r="1726" spans="1:11" ht="15" hidden="1" customHeight="1">
      <c r="A1726" s="578" t="s">
        <v>921</v>
      </c>
      <c r="B1726" s="584">
        <v>3</v>
      </c>
      <c r="C1726" s="589">
        <v>46069</v>
      </c>
      <c r="D1726" s="582">
        <f t="shared" si="63"/>
        <v>8</v>
      </c>
      <c r="E1726" s="618" t="str">
        <f>+VLOOKUP(Tabla3[[#This Row],[PATENTE]],'BASE DATOS'!F:G,2,0)</f>
        <v xml:space="preserve">MAÑAS NORBERTO - CQQ304 </v>
      </c>
      <c r="F1726" s="584" t="str">
        <f>+VLOOKUP(Tabla3[[#This Row],[PATENTE]],'BASE DATOS'!F:H,3,0)</f>
        <v>11P</v>
      </c>
      <c r="G1726" s="584" t="str">
        <f>+VLOOKUP(Tabla3[[#This Row],[PATENTE]],'BASE DATOS'!F:I,4,0)</f>
        <v>SI</v>
      </c>
      <c r="H1726" s="584" t="str">
        <f>+VLOOKUP(Tabla3[[#This Row],[PATENTE]],'BASE DATOS'!F:J,5,0)</f>
        <v>SI</v>
      </c>
      <c r="I1726" s="584" t="str">
        <f>+VLOOKUP(Tabla3[[#This Row],[PATENTE]],'BASE DATOS'!F:K,6,0)</f>
        <v>NO</v>
      </c>
      <c r="J1726" s="584">
        <f>+VLOOKUP(Tabla3[[#This Row],[PATENTE]],'BASE DATOS'!F:L,7,0)</f>
        <v>2000</v>
      </c>
      <c r="K1726" s="619">
        <f>+VLOOKUP(Tabla3[[#This Row],[PATENTE]],'BASE DATOS'!F:M,8,0)</f>
        <v>25</v>
      </c>
    </row>
    <row r="1727" spans="1:11" ht="15" hidden="1" customHeight="1">
      <c r="A1727" s="578" t="s">
        <v>926</v>
      </c>
      <c r="B1727" s="584">
        <v>3</v>
      </c>
      <c r="C1727" s="589">
        <v>46069</v>
      </c>
      <c r="D1727" s="582">
        <f t="shared" si="63"/>
        <v>8</v>
      </c>
      <c r="E1727" s="618" t="str">
        <f>+VLOOKUP(Tabla3[[#This Row],[PATENTE]],'BASE DATOS'!F:G,2,0)</f>
        <v xml:space="preserve">TRANSPORTE GENA GAIA - DUF042 </v>
      </c>
      <c r="F1727" s="584" t="str">
        <f>+VLOOKUP(Tabla3[[#This Row],[PATENTE]],'BASE DATOS'!F:H,3,0)</f>
        <v>24P</v>
      </c>
      <c r="G1727" s="584" t="str">
        <f>+VLOOKUP(Tabla3[[#This Row],[PATENTE]],'BASE DATOS'!F:I,4,0)</f>
        <v>Gestya</v>
      </c>
      <c r="H1727" s="584" t="str">
        <f>+VLOOKUP(Tabla3[[#This Row],[PATENTE]],'BASE DATOS'!F:J,5,0)</f>
        <v xml:space="preserve">NO </v>
      </c>
      <c r="I1727" s="584" t="str">
        <f>+VLOOKUP(Tabla3[[#This Row],[PATENTE]],'BASE DATOS'!F:K,6,0)</f>
        <v>NO</v>
      </c>
      <c r="J1727" s="584">
        <f>+VLOOKUP(Tabla3[[#This Row],[PATENTE]],'BASE DATOS'!F:L,7,0)</f>
        <v>2001</v>
      </c>
      <c r="K1727" s="619">
        <f>+VLOOKUP(Tabla3[[#This Row],[PATENTE]],'BASE DATOS'!F:M,8,0)</f>
        <v>24</v>
      </c>
    </row>
    <row r="1728" spans="1:11" ht="15" hidden="1" customHeight="1">
      <c r="A1728" s="578" t="s">
        <v>881</v>
      </c>
      <c r="B1728" s="584">
        <v>3</v>
      </c>
      <c r="C1728" s="589">
        <v>46069</v>
      </c>
      <c r="D1728" s="582">
        <f t="shared" si="63"/>
        <v>8</v>
      </c>
      <c r="E1728" s="618" t="str">
        <f>+VLOOKUP(Tabla3[[#This Row],[PATENTE]],'BASE DATOS'!F:G,2,0)</f>
        <v xml:space="preserve">MAÑAS NORBERTO - DUQ686 </v>
      </c>
      <c r="F1728" s="584" t="str">
        <f>+VLOOKUP(Tabla3[[#This Row],[PATENTE]],'BASE DATOS'!F:H,3,0)</f>
        <v>8P</v>
      </c>
      <c r="G1728" s="584" t="str">
        <f>+VLOOKUP(Tabla3[[#This Row],[PATENTE]],'BASE DATOS'!F:I,4,0)</f>
        <v>SI</v>
      </c>
      <c r="H1728" s="584" t="str">
        <f>+VLOOKUP(Tabla3[[#This Row],[PATENTE]],'BASE DATOS'!F:J,5,0)</f>
        <v>SI</v>
      </c>
      <c r="I1728" s="584" t="str">
        <f>+VLOOKUP(Tabla3[[#This Row],[PATENTE]],'BASE DATOS'!F:K,6,0)</f>
        <v>NO</v>
      </c>
      <c r="J1728" s="584">
        <f>+VLOOKUP(Tabla3[[#This Row],[PATENTE]],'BASE DATOS'!F:L,7,0)</f>
        <v>2001</v>
      </c>
      <c r="K1728" s="619">
        <f>+VLOOKUP(Tabla3[[#This Row],[PATENTE]],'BASE DATOS'!F:M,8,0)</f>
        <v>24</v>
      </c>
    </row>
    <row r="1729" spans="1:11" ht="15" hidden="1" customHeight="1">
      <c r="A1729" s="578" t="s">
        <v>932</v>
      </c>
      <c r="B1729" s="584">
        <v>3</v>
      </c>
      <c r="C1729" s="589">
        <v>46069</v>
      </c>
      <c r="D1729" s="582">
        <f t="shared" si="63"/>
        <v>8</v>
      </c>
      <c r="E1729" s="618" t="str">
        <f>+VLOOKUP(Tabla3[[#This Row],[PATENTE]],'BASE DATOS'!F:G,2,0)</f>
        <v xml:space="preserve">TRANSP MAVIR - EFL176 </v>
      </c>
      <c r="F1729" s="584" t="str">
        <f>+VLOOKUP(Tabla3[[#This Row],[PATENTE]],'BASE DATOS'!F:H,3,0)</f>
        <v>12P</v>
      </c>
      <c r="G1729" s="584" t="str">
        <f>+VLOOKUP(Tabla3[[#This Row],[PATENTE]],'BASE DATOS'!F:I,4,0)</f>
        <v>SI</v>
      </c>
      <c r="H1729" s="584" t="str">
        <f>+VLOOKUP(Tabla3[[#This Row],[PATENTE]],'BASE DATOS'!F:J,5,0)</f>
        <v>SI</v>
      </c>
      <c r="I1729" s="584" t="str">
        <f>+VLOOKUP(Tabla3[[#This Row],[PATENTE]],'BASE DATOS'!F:K,6,0)</f>
        <v>NO</v>
      </c>
      <c r="J1729" s="584">
        <f>+VLOOKUP(Tabla3[[#This Row],[PATENTE]],'BASE DATOS'!F:L,7,0)</f>
        <v>1998</v>
      </c>
      <c r="K1729" s="619">
        <f>+VLOOKUP(Tabla3[[#This Row],[PATENTE]],'BASE DATOS'!F:M,8,0)</f>
        <v>27</v>
      </c>
    </row>
    <row r="1730" spans="1:11" ht="15" hidden="1" customHeight="1">
      <c r="A1730" s="578" t="s">
        <v>891</v>
      </c>
      <c r="B1730" s="584">
        <v>3</v>
      </c>
      <c r="C1730" s="589">
        <v>46069</v>
      </c>
      <c r="D1730" s="582">
        <f t="shared" si="63"/>
        <v>8</v>
      </c>
      <c r="E1730" s="618" t="str">
        <f>+VLOOKUP(Tabla3[[#This Row],[PATENTE]],'BASE DATOS'!F:G,2,0)</f>
        <v xml:space="preserve">GANZINI HUGO - HHA085 </v>
      </c>
      <c r="F1730" s="584" t="str">
        <f>+VLOOKUP(Tabla3[[#This Row],[PATENTE]],'BASE DATOS'!F:H,3,0)</f>
        <v>2P</v>
      </c>
      <c r="G1730" s="584" t="str">
        <f>+VLOOKUP(Tabla3[[#This Row],[PATENTE]],'BASE DATOS'!F:I,4,0)</f>
        <v>SI</v>
      </c>
      <c r="H1730" s="584" t="str">
        <f>+VLOOKUP(Tabla3[[#This Row],[PATENTE]],'BASE DATOS'!F:J,5,0)</f>
        <v>SI</v>
      </c>
      <c r="I1730" s="584" t="str">
        <f>+VLOOKUP(Tabla3[[#This Row],[PATENTE]],'BASE DATOS'!F:K,6,0)</f>
        <v>NO</v>
      </c>
      <c r="J1730" s="584">
        <f>+VLOOKUP(Tabla3[[#This Row],[PATENTE]],'BASE DATOS'!F:L,7,0)</f>
        <v>2008</v>
      </c>
      <c r="K1730" s="619">
        <f>+VLOOKUP(Tabla3[[#This Row],[PATENTE]],'BASE DATOS'!F:M,8,0)</f>
        <v>17</v>
      </c>
    </row>
    <row r="1731" spans="1:11" ht="15" hidden="1" customHeight="1">
      <c r="A1731" s="578" t="s">
        <v>1123</v>
      </c>
      <c r="B1731" s="584">
        <v>3</v>
      </c>
      <c r="C1731" s="589">
        <v>46069</v>
      </c>
      <c r="D1731" s="582">
        <f t="shared" si="63"/>
        <v>8</v>
      </c>
      <c r="E1731" s="618" t="str">
        <f>+VLOOKUP(Tabla3[[#This Row],[PATENTE]],'BASE DATOS'!F:G,2,0)</f>
        <v>TRANSP LAGOS - IDK392 - 2P</v>
      </c>
      <c r="F1731" s="584" t="str">
        <f>+VLOOKUP(Tabla3[[#This Row],[PATENTE]],'BASE DATOS'!F:H,3,0)</f>
        <v>2P</v>
      </c>
      <c r="G1731" s="584" t="str">
        <f>+VLOOKUP(Tabla3[[#This Row],[PATENTE]],'BASE DATOS'!F:I,4,0)</f>
        <v>NO</v>
      </c>
      <c r="H1731" s="584" t="str">
        <f>+VLOOKUP(Tabla3[[#This Row],[PATENTE]],'BASE DATOS'!F:J,5,0)</f>
        <v>NO</v>
      </c>
      <c r="I1731" s="584" t="str">
        <f>+VLOOKUP(Tabla3[[#This Row],[PATENTE]],'BASE DATOS'!F:K,6,0)</f>
        <v>NO</v>
      </c>
      <c r="J1731" s="584">
        <f>+VLOOKUP(Tabla3[[#This Row],[PATENTE]],'BASE DATOS'!F:L,7,0)</f>
        <v>2009</v>
      </c>
      <c r="K1731" s="619">
        <f>+VLOOKUP(Tabla3[[#This Row],[PATENTE]],'BASE DATOS'!F:M,8,0)</f>
        <v>16</v>
      </c>
    </row>
    <row r="1732" spans="1:11" ht="15" hidden="1" customHeight="1">
      <c r="A1732" s="578" t="s">
        <v>886</v>
      </c>
      <c r="B1732" s="584">
        <v>3</v>
      </c>
      <c r="C1732" s="589">
        <v>46069</v>
      </c>
      <c r="D1732" s="582">
        <f t="shared" si="63"/>
        <v>8</v>
      </c>
      <c r="E1732" s="618" t="str">
        <f>+VLOOKUP(Tabla3[[#This Row],[PATENTE]],'BASE DATOS'!F:G,2,0)</f>
        <v xml:space="preserve">TRANSP LAGOS - NOO925 </v>
      </c>
      <c r="F1732" s="584" t="str">
        <f>+VLOOKUP(Tabla3[[#This Row],[PATENTE]],'BASE DATOS'!F:H,3,0)</f>
        <v>8P</v>
      </c>
      <c r="G1732" s="584" t="str">
        <f>+VLOOKUP(Tabla3[[#This Row],[PATENTE]],'BASE DATOS'!F:I,4,0)</f>
        <v>SI</v>
      </c>
      <c r="H1732" s="584" t="str">
        <f>+VLOOKUP(Tabla3[[#This Row],[PATENTE]],'BASE DATOS'!F:J,5,0)</f>
        <v>SI</v>
      </c>
      <c r="I1732" s="584" t="str">
        <f>+VLOOKUP(Tabla3[[#This Row],[PATENTE]],'BASE DATOS'!F:K,6,0)</f>
        <v>NO</v>
      </c>
      <c r="J1732" s="584">
        <f>+VLOOKUP(Tabla3[[#This Row],[PATENTE]],'BASE DATOS'!F:L,7,0)</f>
        <v>2014</v>
      </c>
      <c r="K1732" s="619">
        <f>+VLOOKUP(Tabla3[[#This Row],[PATENTE]],'BASE DATOS'!F:M,8,0)</f>
        <v>11</v>
      </c>
    </row>
    <row r="1733" spans="1:11" ht="15" hidden="1" customHeight="1">
      <c r="A1733" s="578" t="s">
        <v>899</v>
      </c>
      <c r="B1733" s="584">
        <v>2</v>
      </c>
      <c r="C1733" s="589">
        <v>46069</v>
      </c>
      <c r="D1733" s="582">
        <f t="shared" si="63"/>
        <v>8</v>
      </c>
      <c r="E1733" s="618" t="str">
        <f>+VLOOKUP(Tabla3[[#This Row],[PATENTE]],'BASE DATOS'!F:G,2,0)</f>
        <v xml:space="preserve">VAZQUEZ (TRV SRL) - AB176KN </v>
      </c>
      <c r="F1733" s="584" t="str">
        <f>+VLOOKUP(Tabla3[[#This Row],[PATENTE]],'BASE DATOS'!F:H,3,0)</f>
        <v>8P</v>
      </c>
      <c r="G1733" s="584" t="str">
        <f>+VLOOKUP(Tabla3[[#This Row],[PATENTE]],'BASE DATOS'!F:I,4,0)</f>
        <v>SI</v>
      </c>
      <c r="H1733" s="584" t="str">
        <f>+VLOOKUP(Tabla3[[#This Row],[PATENTE]],'BASE DATOS'!F:J,5,0)</f>
        <v>SI</v>
      </c>
      <c r="I1733" s="584" t="str">
        <f>+VLOOKUP(Tabla3[[#This Row],[PATENTE]],'BASE DATOS'!F:K,6,0)</f>
        <v>SI</v>
      </c>
      <c r="J1733" s="584">
        <f>+VLOOKUP(Tabla3[[#This Row],[PATENTE]],'BASE DATOS'!F:L,7,0)</f>
        <v>2017</v>
      </c>
      <c r="K1733" s="619">
        <f>+VLOOKUP(Tabla3[[#This Row],[PATENTE]],'BASE DATOS'!F:M,8,0)</f>
        <v>8</v>
      </c>
    </row>
    <row r="1734" spans="1:11" ht="15" hidden="1" customHeight="1">
      <c r="A1734" s="578" t="s">
        <v>890</v>
      </c>
      <c r="B1734" s="584">
        <v>2</v>
      </c>
      <c r="C1734" s="589">
        <v>46069</v>
      </c>
      <c r="D1734" s="582">
        <f t="shared" si="63"/>
        <v>8</v>
      </c>
      <c r="E1734" s="618" t="str">
        <f>+VLOOKUP(Tabla3[[#This Row],[PATENTE]],'BASE DATOS'!F:G,2,0)</f>
        <v xml:space="preserve">TRANSPORTE GRACIELA - AC040RO </v>
      </c>
      <c r="F1734" s="584" t="str">
        <f>+VLOOKUP(Tabla3[[#This Row],[PATENTE]],'BASE DATOS'!F:H,3,0)</f>
        <v>1P</v>
      </c>
      <c r="G1734" s="584" t="str">
        <f>+VLOOKUP(Tabla3[[#This Row],[PATENTE]],'BASE DATOS'!F:I,4,0)</f>
        <v>SI</v>
      </c>
      <c r="H1734" s="584" t="str">
        <f>+VLOOKUP(Tabla3[[#This Row],[PATENTE]],'BASE DATOS'!F:J,5,0)</f>
        <v>ACEPTA( VER CAMI)</v>
      </c>
      <c r="I1734" s="584" t="str">
        <f>+VLOOKUP(Tabla3[[#This Row],[PATENTE]],'BASE DATOS'!F:K,6,0)</f>
        <v>NO</v>
      </c>
      <c r="J1734" s="584">
        <f>+VLOOKUP(Tabla3[[#This Row],[PATENTE]],'BASE DATOS'!F:L,7,0)</f>
        <v>2017</v>
      </c>
      <c r="K1734" s="619">
        <f>+VLOOKUP(Tabla3[[#This Row],[PATENTE]],'BASE DATOS'!F:M,8,0)</f>
        <v>8</v>
      </c>
    </row>
    <row r="1735" spans="1:11" ht="15" hidden="1" customHeight="1">
      <c r="A1735" s="578" t="s">
        <v>915</v>
      </c>
      <c r="B1735" s="584">
        <v>2</v>
      </c>
      <c r="C1735" s="589">
        <v>46069</v>
      </c>
      <c r="D1735" s="582">
        <f t="shared" si="63"/>
        <v>8</v>
      </c>
      <c r="E1735" s="618" t="str">
        <f>+VLOOKUP(Tabla3[[#This Row],[PATENTE]],'BASE DATOS'!F:G,2,0)</f>
        <v>TRANSPORTE GRACIELA - FPL254</v>
      </c>
      <c r="F1735" s="584" t="str">
        <f>+VLOOKUP(Tabla3[[#This Row],[PATENTE]],'BASE DATOS'!F:H,3,0)</f>
        <v>2P</v>
      </c>
      <c r="G1735" s="584" t="str">
        <f>+VLOOKUP(Tabla3[[#This Row],[PATENTE]],'BASE DATOS'!F:I,4,0)</f>
        <v>SI</v>
      </c>
      <c r="H1735" s="584" t="str">
        <f>+VLOOKUP(Tabla3[[#This Row],[PATENTE]],'BASE DATOS'!F:J,5,0)</f>
        <v>NO (CAMI)</v>
      </c>
      <c r="I1735" s="584" t="str">
        <f>+VLOOKUP(Tabla3[[#This Row],[PATENTE]],'BASE DATOS'!F:K,6,0)</f>
        <v>NO</v>
      </c>
      <c r="J1735" s="584">
        <f>+VLOOKUP(Tabla3[[#This Row],[PATENTE]],'BASE DATOS'!F:L,7,0)</f>
        <v>2012</v>
      </c>
      <c r="K1735" s="619">
        <f>+VLOOKUP(Tabla3[[#This Row],[PATENTE]],'BASE DATOS'!F:M,8,0)</f>
        <v>13</v>
      </c>
    </row>
    <row r="1736" spans="1:11" ht="15" hidden="1" customHeight="1">
      <c r="A1736" s="578" t="s">
        <v>942</v>
      </c>
      <c r="B1736" s="584">
        <v>1</v>
      </c>
      <c r="C1736" s="589">
        <v>46069</v>
      </c>
      <c r="D1736" s="582">
        <f t="shared" si="63"/>
        <v>8</v>
      </c>
      <c r="E1736" s="618" t="str">
        <f>+VLOOKUP(Tabla3[[#This Row],[PATENTE]],'BASE DATOS'!F:G,2,0)</f>
        <v>GANZINI HUGO - AH599 - 1P</v>
      </c>
      <c r="F1736" s="584" t="str">
        <f>+VLOOKUP(Tabla3[[#This Row],[PATENTE]],'BASE DATOS'!F:H,3,0)</f>
        <v>1P</v>
      </c>
      <c r="G1736" s="584" t="str">
        <f>+VLOOKUP(Tabla3[[#This Row],[PATENTE]],'BASE DATOS'!F:I,4,0)</f>
        <v>NO</v>
      </c>
      <c r="H1736" s="584" t="str">
        <f>+VLOOKUP(Tabla3[[#This Row],[PATENTE]],'BASE DATOS'!F:J,5,0)</f>
        <v>NO</v>
      </c>
      <c r="I1736" s="584" t="str">
        <f>+VLOOKUP(Tabla3[[#This Row],[PATENTE]],'BASE DATOS'!F:K,6,0)</f>
        <v>NO</v>
      </c>
      <c r="J1736" s="584">
        <f>+VLOOKUP(Tabla3[[#This Row],[PATENTE]],'BASE DATOS'!F:L,7,0)</f>
        <v>2025</v>
      </c>
      <c r="K1736" s="619">
        <f>+VLOOKUP(Tabla3[[#This Row],[PATENTE]],'BASE DATOS'!F:M,8,0)</f>
        <v>0</v>
      </c>
    </row>
    <row r="1737" spans="1:11" ht="15" hidden="1" customHeight="1">
      <c r="A1737" s="578" t="s">
        <v>1122</v>
      </c>
      <c r="B1737" s="584">
        <v>1</v>
      </c>
      <c r="C1737" s="589">
        <v>46069</v>
      </c>
      <c r="D1737" s="582">
        <f t="shared" si="63"/>
        <v>8</v>
      </c>
      <c r="E1737" s="618" t="str">
        <f>+VLOOKUP(Tabla3[[#This Row],[PATENTE]],'BASE DATOS'!F:G,2,0)</f>
        <v>TRANSPORTE GENA GAIA - AH898OB</v>
      </c>
      <c r="F1737" s="584" t="str">
        <f>+VLOOKUP(Tabla3[[#This Row],[PATENTE]],'BASE DATOS'!F:H,3,0)</f>
        <v>24P</v>
      </c>
      <c r="G1737" s="584" t="str">
        <f>+VLOOKUP(Tabla3[[#This Row],[PATENTE]],'BASE DATOS'!F:I,4,0)</f>
        <v>NO</v>
      </c>
      <c r="H1737" s="584" t="str">
        <f>+VLOOKUP(Tabla3[[#This Row],[PATENTE]],'BASE DATOS'!F:J,5,0)</f>
        <v>NO</v>
      </c>
      <c r="I1737" s="584" t="str">
        <f>+VLOOKUP(Tabla3[[#This Row],[PATENTE]],'BASE DATOS'!F:K,6,0)</f>
        <v>NO</v>
      </c>
      <c r="J1737" s="584">
        <f>+VLOOKUP(Tabla3[[#This Row],[PATENTE]],'BASE DATOS'!F:L,7,0)</f>
        <v>2026</v>
      </c>
      <c r="K1737" s="619">
        <f>+VLOOKUP(Tabla3[[#This Row],[PATENTE]],'BASE DATOS'!F:M,8,0)</f>
        <v>-1</v>
      </c>
    </row>
    <row r="1738" spans="1:11" ht="15" hidden="1" customHeight="1">
      <c r="A1738" s="578" t="s">
        <v>916</v>
      </c>
      <c r="B1738" s="584">
        <v>1</v>
      </c>
      <c r="C1738" s="589">
        <v>46069</v>
      </c>
      <c r="D1738" s="582">
        <f t="shared" si="63"/>
        <v>8</v>
      </c>
      <c r="E1738" s="618" t="str">
        <f>+VLOOKUP(Tabla3[[#This Row],[PATENTE]],'BASE DATOS'!F:G,2,0)</f>
        <v xml:space="preserve">TRANSP MAIDANA CARLOS - EYP088 </v>
      </c>
      <c r="F1738" s="584" t="str">
        <f>+VLOOKUP(Tabla3[[#This Row],[PATENTE]],'BASE DATOS'!F:H,3,0)</f>
        <v>6P</v>
      </c>
      <c r="G1738" s="584" t="str">
        <f>+VLOOKUP(Tabla3[[#This Row],[PATENTE]],'BASE DATOS'!F:I,4,0)</f>
        <v>SI</v>
      </c>
      <c r="H1738" s="584" t="str">
        <f>+VLOOKUP(Tabla3[[#This Row],[PATENTE]],'BASE DATOS'!F:J,5,0)</f>
        <v>SI</v>
      </c>
      <c r="I1738" s="584" t="str">
        <f>+VLOOKUP(Tabla3[[#This Row],[PATENTE]],'BASE DATOS'!F:K,6,0)</f>
        <v>NO</v>
      </c>
      <c r="J1738" s="584">
        <f>+VLOOKUP(Tabla3[[#This Row],[PATENTE]],'BASE DATOS'!F:L,7,0)</f>
        <v>2006</v>
      </c>
      <c r="K1738" s="619">
        <f>+VLOOKUP(Tabla3[[#This Row],[PATENTE]],'BASE DATOS'!F:M,8,0)</f>
        <v>19</v>
      </c>
    </row>
    <row r="1739" spans="1:11" ht="15" hidden="1" customHeight="1">
      <c r="A1739" s="578" t="s">
        <v>892</v>
      </c>
      <c r="B1739" s="584">
        <v>1</v>
      </c>
      <c r="C1739" s="589">
        <v>46069</v>
      </c>
      <c r="D1739" s="582">
        <f t="shared" si="63"/>
        <v>8</v>
      </c>
      <c r="E1739" s="618" t="str">
        <f>+VLOOKUP(Tabla3[[#This Row],[PATENTE]],'BASE DATOS'!F:G,2,0)</f>
        <v xml:space="preserve">COLO - FTL525 </v>
      </c>
      <c r="F1739" s="584" t="str">
        <f>+VLOOKUP(Tabla3[[#This Row],[PATENTE]],'BASE DATOS'!F:H,3,0)</f>
        <v>1P</v>
      </c>
      <c r="G1739" s="584" t="str">
        <f>+VLOOKUP(Tabla3[[#This Row],[PATENTE]],'BASE DATOS'!F:I,4,0)</f>
        <v>NO</v>
      </c>
      <c r="H1739" s="584" t="str">
        <f>+VLOOKUP(Tabla3[[#This Row],[PATENTE]],'BASE DATOS'!F:J,5,0)</f>
        <v>SI</v>
      </c>
      <c r="I1739" s="584" t="str">
        <f>+VLOOKUP(Tabla3[[#This Row],[PATENTE]],'BASE DATOS'!F:K,6,0)</f>
        <v>NO</v>
      </c>
      <c r="J1739" s="584">
        <f>+VLOOKUP(Tabla3[[#This Row],[PATENTE]],'BASE DATOS'!F:L,7,0)</f>
        <v>2008</v>
      </c>
      <c r="K1739" s="619">
        <f>+VLOOKUP(Tabla3[[#This Row],[PATENTE]],'BASE DATOS'!F:M,8,0)</f>
        <v>17</v>
      </c>
    </row>
    <row r="1740" spans="1:11" ht="15" hidden="1" customHeight="1">
      <c r="A1740" s="578" t="s">
        <v>933</v>
      </c>
      <c r="B1740" s="584">
        <v>1</v>
      </c>
      <c r="C1740" s="589">
        <v>46069</v>
      </c>
      <c r="D1740" s="582">
        <f t="shared" si="63"/>
        <v>8</v>
      </c>
      <c r="E1740" s="618" t="str">
        <f>+VLOOKUP(Tabla3[[#This Row],[PATENTE]],'BASE DATOS'!F:G,2,0)</f>
        <v xml:space="preserve">TRANSPORTE GENA GAIA - IKE806 </v>
      </c>
      <c r="F1740" s="584" t="str">
        <f>+VLOOKUP(Tabla3[[#This Row],[PATENTE]],'BASE DATOS'!F:H,3,0)</f>
        <v>24P</v>
      </c>
      <c r="G1740" s="584" t="str">
        <f>+VLOOKUP(Tabla3[[#This Row],[PATENTE]],'BASE DATOS'!F:I,4,0)</f>
        <v>Gestya</v>
      </c>
      <c r="H1740" s="584" t="str">
        <f>+VLOOKUP(Tabla3[[#This Row],[PATENTE]],'BASE DATOS'!F:J,5,0)</f>
        <v xml:space="preserve">NO </v>
      </c>
      <c r="I1740" s="584" t="str">
        <f>+VLOOKUP(Tabla3[[#This Row],[PATENTE]],'BASE DATOS'!F:K,6,0)</f>
        <v>NO</v>
      </c>
      <c r="J1740" s="584">
        <f>+VLOOKUP(Tabla3[[#This Row],[PATENTE]],'BASE DATOS'!F:L,7,0)</f>
        <v>2010</v>
      </c>
      <c r="K1740" s="619">
        <f>+VLOOKUP(Tabla3[[#This Row],[PATENTE]],'BASE DATOS'!F:M,8,0)</f>
        <v>15</v>
      </c>
    </row>
    <row r="1741" spans="1:11" ht="15" hidden="1" customHeight="1">
      <c r="A1741" s="578" t="s">
        <v>900</v>
      </c>
      <c r="B1741" s="584">
        <v>1</v>
      </c>
      <c r="C1741" s="589">
        <v>46069</v>
      </c>
      <c r="D1741" s="582">
        <f t="shared" si="63"/>
        <v>8</v>
      </c>
      <c r="E1741" s="618" t="str">
        <f>+VLOOKUP(Tabla3[[#This Row],[PATENTE]],'BASE DATOS'!F:G,2,0)</f>
        <v>TRANSPORTE GENA GAIA - IMO939</v>
      </c>
      <c r="F1741" s="584" t="str">
        <f>+VLOOKUP(Tabla3[[#This Row],[PATENTE]],'BASE DATOS'!F:H,3,0)</f>
        <v>24P</v>
      </c>
      <c r="G1741" s="584" t="str">
        <f>+VLOOKUP(Tabla3[[#This Row],[PATENTE]],'BASE DATOS'!F:I,4,0)</f>
        <v>Gestya</v>
      </c>
      <c r="H1741" s="584" t="str">
        <f>+VLOOKUP(Tabla3[[#This Row],[PATENTE]],'BASE DATOS'!F:J,5,0)</f>
        <v xml:space="preserve">NO </v>
      </c>
      <c r="I1741" s="584" t="str">
        <f>+VLOOKUP(Tabla3[[#This Row],[PATENTE]],'BASE DATOS'!F:K,6,0)</f>
        <v>NO</v>
      </c>
      <c r="J1741" s="584">
        <f>+VLOOKUP(Tabla3[[#This Row],[PATENTE]],'BASE DATOS'!F:L,7,0)</f>
        <v>2010</v>
      </c>
      <c r="K1741" s="619">
        <f>+VLOOKUP(Tabla3[[#This Row],[PATENTE]],'BASE DATOS'!F:M,8,0)</f>
        <v>15</v>
      </c>
    </row>
    <row r="1742" spans="1:11" ht="15" hidden="1" customHeight="1">
      <c r="A1742" s="581" t="s">
        <v>943</v>
      </c>
      <c r="B1742" s="587">
        <v>1</v>
      </c>
      <c r="C1742" s="589">
        <v>46069</v>
      </c>
      <c r="D1742" s="583">
        <f t="shared" si="63"/>
        <v>8</v>
      </c>
      <c r="E1742" s="620" t="str">
        <f>+VLOOKUP(Tabla3[[#This Row],[PATENTE]],'BASE DATOS'!F:G,2,0)</f>
        <v>GANZINI HUGO - KTJ626</v>
      </c>
      <c r="F1742" s="587" t="str">
        <f>+VLOOKUP(Tabla3[[#This Row],[PATENTE]],'BASE DATOS'!F:H,3,0)</f>
        <v>8P</v>
      </c>
      <c r="G1742" s="587" t="str">
        <f>+VLOOKUP(Tabla3[[#This Row],[PATENTE]],'BASE DATOS'!F:I,4,0)</f>
        <v>NO</v>
      </c>
      <c r="H1742" s="587" t="str">
        <f>+VLOOKUP(Tabla3[[#This Row],[PATENTE]],'BASE DATOS'!F:J,5,0)</f>
        <v xml:space="preserve">NO </v>
      </c>
      <c r="I1742" s="587" t="str">
        <f>+VLOOKUP(Tabla3[[#This Row],[PATENTE]],'BASE DATOS'!F:K,6,0)</f>
        <v>NO</v>
      </c>
      <c r="J1742" s="587">
        <f>+VLOOKUP(Tabla3[[#This Row],[PATENTE]],'BASE DATOS'!F:L,7,0)</f>
        <v>2011</v>
      </c>
      <c r="K1742" s="621">
        <f>+VLOOKUP(Tabla3[[#This Row],[PATENTE]],'BASE DATOS'!F:M,8,0)</f>
        <v>14</v>
      </c>
    </row>
    <row r="1743" spans="1:11" ht="15" hidden="1" customHeight="1">
      <c r="A1743" s="578" t="s">
        <v>936</v>
      </c>
      <c r="B1743" s="584">
        <v>6</v>
      </c>
      <c r="C1743" s="589">
        <v>46076</v>
      </c>
      <c r="D1743" s="582">
        <f t="shared" ref="D1743:D1789" si="64">+WEEKNUM(C1743)</f>
        <v>9</v>
      </c>
      <c r="E1743" s="618" t="str">
        <f>+VLOOKUP(Tabla3[[#This Row],[PATENTE]],'BASE DATOS'!F:G,2,0)</f>
        <v>TRANSP YANINA  LUONGO - AA050HC</v>
      </c>
      <c r="F1743" s="584" t="str">
        <f>+VLOOKUP(Tabla3[[#This Row],[PATENTE]],'BASE DATOS'!F:H,3,0)</f>
        <v>1.5P</v>
      </c>
      <c r="G1743" s="584" t="str">
        <f>+VLOOKUP(Tabla3[[#This Row],[PATENTE]],'BASE DATOS'!F:I,4,0)</f>
        <v>NO</v>
      </c>
      <c r="H1743" s="584" t="str">
        <f>+VLOOKUP(Tabla3[[#This Row],[PATENTE]],'BASE DATOS'!F:J,5,0)</f>
        <v>SI</v>
      </c>
      <c r="I1743" s="584" t="str">
        <f>+VLOOKUP(Tabla3[[#This Row],[PATENTE]],'BASE DATOS'!F:K,6,0)</f>
        <v>NO</v>
      </c>
      <c r="J1743" s="584">
        <f>+VLOOKUP(Tabla3[[#This Row],[PATENTE]],'BASE DATOS'!F:L,7,0)</f>
        <v>2016</v>
      </c>
      <c r="K1743" s="619">
        <f>+VLOOKUP(Tabla3[[#This Row],[PATENTE]],'BASE DATOS'!F:M,8,0)</f>
        <v>9</v>
      </c>
    </row>
    <row r="1744" spans="1:11" ht="15" hidden="1" customHeight="1">
      <c r="A1744" s="578" t="s">
        <v>878</v>
      </c>
      <c r="B1744" s="584">
        <v>6</v>
      </c>
      <c r="C1744" s="589">
        <v>46076</v>
      </c>
      <c r="D1744" s="582">
        <f t="shared" si="64"/>
        <v>9</v>
      </c>
      <c r="E1744" s="618" t="str">
        <f>+VLOOKUP(Tabla3[[#This Row],[PATENTE]],'BASE DATOS'!F:G,2,0)</f>
        <v xml:space="preserve">PACHECO JULIO - AA854LY </v>
      </c>
      <c r="F1744" s="584" t="str">
        <f>+VLOOKUP(Tabla3[[#This Row],[PATENTE]],'BASE DATOS'!F:H,3,0)</f>
        <v>7P</v>
      </c>
      <c r="G1744" s="584" t="str">
        <f>+VLOOKUP(Tabla3[[#This Row],[PATENTE]],'BASE DATOS'!F:I,4,0)</f>
        <v>SI</v>
      </c>
      <c r="H1744" s="584" t="str">
        <f>+VLOOKUP(Tabla3[[#This Row],[PATENTE]],'BASE DATOS'!F:J,5,0)</f>
        <v>SI</v>
      </c>
      <c r="I1744" s="584" t="str">
        <f>+VLOOKUP(Tabla3[[#This Row],[PATENTE]],'BASE DATOS'!F:K,6,0)</f>
        <v>NO</v>
      </c>
      <c r="J1744" s="584">
        <f>+VLOOKUP(Tabla3[[#This Row],[PATENTE]],'BASE DATOS'!F:L,7,0)</f>
        <v>2016</v>
      </c>
      <c r="K1744" s="619">
        <f>+VLOOKUP(Tabla3[[#This Row],[PATENTE]],'BASE DATOS'!F:M,8,0)</f>
        <v>9</v>
      </c>
    </row>
    <row r="1745" spans="1:11" ht="15" hidden="1" customHeight="1">
      <c r="A1745" s="578" t="s">
        <v>884</v>
      </c>
      <c r="B1745" s="584">
        <v>6</v>
      </c>
      <c r="C1745" s="589">
        <v>46076</v>
      </c>
      <c r="D1745" s="582">
        <f t="shared" si="64"/>
        <v>9</v>
      </c>
      <c r="E1745" s="618" t="str">
        <f>+VLOOKUP(Tabla3[[#This Row],[PATENTE]],'BASE DATOS'!F:G,2,0)</f>
        <v xml:space="preserve">LAURIA (SERVAL) - AB233IT </v>
      </c>
      <c r="F1745" s="584" t="str">
        <f>+VLOOKUP(Tabla3[[#This Row],[PATENTE]],'BASE DATOS'!F:H,3,0)</f>
        <v>6P</v>
      </c>
      <c r="G1745" s="584" t="str">
        <f>+VLOOKUP(Tabla3[[#This Row],[PATENTE]],'BASE DATOS'!F:I,4,0)</f>
        <v>SI</v>
      </c>
      <c r="H1745" s="584" t="str">
        <f>+VLOOKUP(Tabla3[[#This Row],[PATENTE]],'BASE DATOS'!F:J,5,0)</f>
        <v>SI</v>
      </c>
      <c r="I1745" s="584" t="str">
        <f>+VLOOKUP(Tabla3[[#This Row],[PATENTE]],'BASE DATOS'!F:K,6,0)</f>
        <v>NO</v>
      </c>
      <c r="J1745" s="584">
        <f>+VLOOKUP(Tabla3[[#This Row],[PATENTE]],'BASE DATOS'!F:L,7,0)</f>
        <v>2017</v>
      </c>
      <c r="K1745" s="619">
        <f>+VLOOKUP(Tabla3[[#This Row],[PATENTE]],'BASE DATOS'!F:M,8,0)</f>
        <v>8</v>
      </c>
    </row>
    <row r="1746" spans="1:11" ht="15" hidden="1" customHeight="1">
      <c r="A1746" s="578" t="s">
        <v>880</v>
      </c>
      <c r="B1746" s="584">
        <v>6</v>
      </c>
      <c r="C1746" s="589">
        <v>46076</v>
      </c>
      <c r="D1746" s="582">
        <f t="shared" si="64"/>
        <v>9</v>
      </c>
      <c r="E1746" s="618" t="str">
        <f>+VLOOKUP(Tabla3[[#This Row],[PATENTE]],'BASE DATOS'!F:G,2,0)</f>
        <v xml:space="preserve">LAURIA (SERVAL) - AD575XK </v>
      </c>
      <c r="F1746" s="584" t="str">
        <f>+VLOOKUP(Tabla3[[#This Row],[PATENTE]],'BASE DATOS'!F:H,3,0)</f>
        <v>8P</v>
      </c>
      <c r="G1746" s="584" t="str">
        <f>+VLOOKUP(Tabla3[[#This Row],[PATENTE]],'BASE DATOS'!F:I,4,0)</f>
        <v>SI</v>
      </c>
      <c r="H1746" s="584" t="str">
        <f>+VLOOKUP(Tabla3[[#This Row],[PATENTE]],'BASE DATOS'!F:J,5,0)</f>
        <v>SI</v>
      </c>
      <c r="I1746" s="584" t="str">
        <f>+VLOOKUP(Tabla3[[#This Row],[PATENTE]],'BASE DATOS'!F:K,6,0)</f>
        <v>NO</v>
      </c>
      <c r="J1746" s="584">
        <f>+VLOOKUP(Tabla3[[#This Row],[PATENTE]],'BASE DATOS'!F:L,7,0)</f>
        <v>2019</v>
      </c>
      <c r="K1746" s="619">
        <f>+VLOOKUP(Tabla3[[#This Row],[PATENTE]],'BASE DATOS'!F:M,8,0)</f>
        <v>6</v>
      </c>
    </row>
    <row r="1747" spans="1:11" ht="15" hidden="1" customHeight="1">
      <c r="A1747" s="578" t="s">
        <v>907</v>
      </c>
      <c r="B1747" s="584">
        <v>6</v>
      </c>
      <c r="C1747" s="589">
        <v>46076</v>
      </c>
      <c r="D1747" s="582">
        <f t="shared" si="64"/>
        <v>9</v>
      </c>
      <c r="E1747" s="618" t="str">
        <f>+VLOOKUP(Tabla3[[#This Row],[PATENTE]],'BASE DATOS'!F:G,2,0)</f>
        <v xml:space="preserve">LAURIA (SERVAL) - AH583GW </v>
      </c>
      <c r="F1747" s="584" t="str">
        <f>+VLOOKUP(Tabla3[[#This Row],[PATENTE]],'BASE DATOS'!F:H,3,0)</f>
        <v>8P</v>
      </c>
      <c r="G1747" s="584" t="str">
        <f>+VLOOKUP(Tabla3[[#This Row],[PATENTE]],'BASE DATOS'!F:I,4,0)</f>
        <v>SI</v>
      </c>
      <c r="H1747" s="584" t="str">
        <f>+VLOOKUP(Tabla3[[#This Row],[PATENTE]],'BASE DATOS'!F:J,5,0)</f>
        <v>SI</v>
      </c>
      <c r="I1747" s="584" t="str">
        <f>+VLOOKUP(Tabla3[[#This Row],[PATENTE]],'BASE DATOS'!F:K,6,0)</f>
        <v>NO</v>
      </c>
      <c r="J1747" s="584">
        <f>+VLOOKUP(Tabla3[[#This Row],[PATENTE]],'BASE DATOS'!F:L,7,0)</f>
        <v>2025</v>
      </c>
      <c r="K1747" s="619">
        <f>+VLOOKUP(Tabla3[[#This Row],[PATENTE]],'BASE DATOS'!F:M,8,0)</f>
        <v>0</v>
      </c>
    </row>
    <row r="1748" spans="1:11" ht="15" hidden="1" customHeight="1">
      <c r="A1748" s="578" t="s">
        <v>921</v>
      </c>
      <c r="B1748" s="584">
        <v>6</v>
      </c>
      <c r="C1748" s="589">
        <v>46076</v>
      </c>
      <c r="D1748" s="582">
        <f t="shared" si="64"/>
        <v>9</v>
      </c>
      <c r="E1748" s="618" t="str">
        <f>+VLOOKUP(Tabla3[[#This Row],[PATENTE]],'BASE DATOS'!F:G,2,0)</f>
        <v xml:space="preserve">MAÑAS NORBERTO - CQQ304 </v>
      </c>
      <c r="F1748" s="584" t="str">
        <f>+VLOOKUP(Tabla3[[#This Row],[PATENTE]],'BASE DATOS'!F:H,3,0)</f>
        <v>11P</v>
      </c>
      <c r="G1748" s="584" t="str">
        <f>+VLOOKUP(Tabla3[[#This Row],[PATENTE]],'BASE DATOS'!F:I,4,0)</f>
        <v>SI</v>
      </c>
      <c r="H1748" s="584" t="str">
        <f>+VLOOKUP(Tabla3[[#This Row],[PATENTE]],'BASE DATOS'!F:J,5,0)</f>
        <v>SI</v>
      </c>
      <c r="I1748" s="584" t="str">
        <f>+VLOOKUP(Tabla3[[#This Row],[PATENTE]],'BASE DATOS'!F:K,6,0)</f>
        <v>NO</v>
      </c>
      <c r="J1748" s="584">
        <f>+VLOOKUP(Tabla3[[#This Row],[PATENTE]],'BASE DATOS'!F:L,7,0)</f>
        <v>2000</v>
      </c>
      <c r="K1748" s="619">
        <f>+VLOOKUP(Tabla3[[#This Row],[PATENTE]],'BASE DATOS'!F:M,8,0)</f>
        <v>25</v>
      </c>
    </row>
    <row r="1749" spans="1:11" ht="15" hidden="1" customHeight="1">
      <c r="A1749" s="578" t="s">
        <v>932</v>
      </c>
      <c r="B1749" s="584">
        <v>6</v>
      </c>
      <c r="C1749" s="589">
        <v>46076</v>
      </c>
      <c r="D1749" s="582">
        <f t="shared" si="64"/>
        <v>9</v>
      </c>
      <c r="E1749" s="618" t="str">
        <f>+VLOOKUP(Tabla3[[#This Row],[PATENTE]],'BASE DATOS'!F:G,2,0)</f>
        <v xml:space="preserve">TRANSP MAVIR - EFL176 </v>
      </c>
      <c r="F1749" s="584" t="str">
        <f>+VLOOKUP(Tabla3[[#This Row],[PATENTE]],'BASE DATOS'!F:H,3,0)</f>
        <v>12P</v>
      </c>
      <c r="G1749" s="584" t="str">
        <f>+VLOOKUP(Tabla3[[#This Row],[PATENTE]],'BASE DATOS'!F:I,4,0)</f>
        <v>SI</v>
      </c>
      <c r="H1749" s="584" t="str">
        <f>+VLOOKUP(Tabla3[[#This Row],[PATENTE]],'BASE DATOS'!F:J,5,0)</f>
        <v>SI</v>
      </c>
      <c r="I1749" s="584" t="str">
        <f>+VLOOKUP(Tabla3[[#This Row],[PATENTE]],'BASE DATOS'!F:K,6,0)</f>
        <v>NO</v>
      </c>
      <c r="J1749" s="584">
        <f>+VLOOKUP(Tabla3[[#This Row],[PATENTE]],'BASE DATOS'!F:L,7,0)</f>
        <v>1998</v>
      </c>
      <c r="K1749" s="619">
        <f>+VLOOKUP(Tabla3[[#This Row],[PATENTE]],'BASE DATOS'!F:M,8,0)</f>
        <v>27</v>
      </c>
    </row>
    <row r="1750" spans="1:11" ht="15" hidden="1" customHeight="1">
      <c r="A1750" s="578" t="s">
        <v>916</v>
      </c>
      <c r="B1750" s="584">
        <v>6</v>
      </c>
      <c r="C1750" s="589">
        <v>46076</v>
      </c>
      <c r="D1750" s="582">
        <f t="shared" si="64"/>
        <v>9</v>
      </c>
      <c r="E1750" s="618" t="str">
        <f>+VLOOKUP(Tabla3[[#This Row],[PATENTE]],'BASE DATOS'!F:G,2,0)</f>
        <v xml:space="preserve">TRANSP MAIDANA CARLOS - EYP088 </v>
      </c>
      <c r="F1750" s="584" t="str">
        <f>+VLOOKUP(Tabla3[[#This Row],[PATENTE]],'BASE DATOS'!F:H,3,0)</f>
        <v>6P</v>
      </c>
      <c r="G1750" s="584" t="str">
        <f>+VLOOKUP(Tabla3[[#This Row],[PATENTE]],'BASE DATOS'!F:I,4,0)</f>
        <v>SI</v>
      </c>
      <c r="H1750" s="584" t="str">
        <f>+VLOOKUP(Tabla3[[#This Row],[PATENTE]],'BASE DATOS'!F:J,5,0)</f>
        <v>SI</v>
      </c>
      <c r="I1750" s="584" t="str">
        <f>+VLOOKUP(Tabla3[[#This Row],[PATENTE]],'BASE DATOS'!F:K,6,0)</f>
        <v>NO</v>
      </c>
      <c r="J1750" s="584">
        <f>+VLOOKUP(Tabla3[[#This Row],[PATENTE]],'BASE DATOS'!F:L,7,0)</f>
        <v>2006</v>
      </c>
      <c r="K1750" s="619">
        <f>+VLOOKUP(Tabla3[[#This Row],[PATENTE]],'BASE DATOS'!F:M,8,0)</f>
        <v>19</v>
      </c>
    </row>
    <row r="1751" spans="1:11" ht="15" hidden="1" customHeight="1">
      <c r="A1751" s="578" t="s">
        <v>889</v>
      </c>
      <c r="B1751" s="584">
        <v>6</v>
      </c>
      <c r="C1751" s="589">
        <v>46076</v>
      </c>
      <c r="D1751" s="582">
        <f t="shared" si="64"/>
        <v>9</v>
      </c>
      <c r="E1751" s="618" t="str">
        <f>+VLOOKUP(Tabla3[[#This Row],[PATENTE]],'BASE DATOS'!F:G,2,0)</f>
        <v xml:space="preserve">COLO - HAW164 </v>
      </c>
      <c r="F1751" s="584" t="str">
        <f>+VLOOKUP(Tabla3[[#This Row],[PATENTE]],'BASE DATOS'!F:H,3,0)</f>
        <v>6P</v>
      </c>
      <c r="G1751" s="584" t="str">
        <f>+VLOOKUP(Tabla3[[#This Row],[PATENTE]],'BASE DATOS'!F:I,4,0)</f>
        <v>NO</v>
      </c>
      <c r="H1751" s="584" t="str">
        <f>+VLOOKUP(Tabla3[[#This Row],[PATENTE]],'BASE DATOS'!F:J,5,0)</f>
        <v>SI</v>
      </c>
      <c r="I1751" s="584" t="str">
        <f>+VLOOKUP(Tabla3[[#This Row],[PATENTE]],'BASE DATOS'!F:K,6,0)</f>
        <v>NO</v>
      </c>
      <c r="J1751" s="584">
        <f>+VLOOKUP(Tabla3[[#This Row],[PATENTE]],'BASE DATOS'!F:L,7,0)</f>
        <v>2009</v>
      </c>
      <c r="K1751" s="619">
        <f>+VLOOKUP(Tabla3[[#This Row],[PATENTE]],'BASE DATOS'!F:M,8,0)</f>
        <v>16</v>
      </c>
    </row>
    <row r="1752" spans="1:11" ht="15" hidden="1" customHeight="1">
      <c r="A1752" s="578" t="s">
        <v>901</v>
      </c>
      <c r="B1752" s="584">
        <v>6</v>
      </c>
      <c r="C1752" s="589">
        <v>46076</v>
      </c>
      <c r="D1752" s="582">
        <f t="shared" si="64"/>
        <v>9</v>
      </c>
      <c r="E1752" s="618" t="str">
        <f>+VLOOKUP(Tabla3[[#This Row],[PATENTE]],'BASE DATOS'!F:G,2,0)</f>
        <v xml:space="preserve">TRANSPORTE  GRACIELA - IYE750 </v>
      </c>
      <c r="F1752" s="584" t="str">
        <f>+VLOOKUP(Tabla3[[#This Row],[PATENTE]],'BASE DATOS'!F:H,3,0)</f>
        <v>1P</v>
      </c>
      <c r="G1752" s="584" t="str">
        <f>+VLOOKUP(Tabla3[[#This Row],[PATENTE]],'BASE DATOS'!F:I,4,0)</f>
        <v>NO</v>
      </c>
      <c r="H1752" s="584" t="str">
        <f>+VLOOKUP(Tabla3[[#This Row],[PATENTE]],'BASE DATOS'!F:J,5,0)</f>
        <v>SI</v>
      </c>
      <c r="I1752" s="584" t="str">
        <f>+VLOOKUP(Tabla3[[#This Row],[PATENTE]],'BASE DATOS'!F:K,6,0)</f>
        <v>NO</v>
      </c>
      <c r="J1752" s="584">
        <f>+VLOOKUP(Tabla3[[#This Row],[PATENTE]],'BASE DATOS'!F:L,7,0)</f>
        <v>2009</v>
      </c>
      <c r="K1752" s="619">
        <f>+VLOOKUP(Tabla3[[#This Row],[PATENTE]],'BASE DATOS'!F:M,8,0)</f>
        <v>16</v>
      </c>
    </row>
    <row r="1753" spans="1:11" ht="15" hidden="1" customHeight="1">
      <c r="A1753" s="578" t="s">
        <v>882</v>
      </c>
      <c r="B1753" s="584">
        <v>6</v>
      </c>
      <c r="C1753" s="589">
        <v>46076</v>
      </c>
      <c r="D1753" s="582">
        <f t="shared" si="64"/>
        <v>9</v>
      </c>
      <c r="E1753" s="618" t="str">
        <f>+VLOOKUP(Tabla3[[#This Row],[PATENTE]],'BASE DATOS'!F:G,2,0)</f>
        <v xml:space="preserve">MAÑAS - JWN279 </v>
      </c>
      <c r="F1753" s="584" t="str">
        <f>+VLOOKUP(Tabla3[[#This Row],[PATENTE]],'BASE DATOS'!F:H,3,0)</f>
        <v>7P</v>
      </c>
      <c r="G1753" s="584" t="str">
        <f>+VLOOKUP(Tabla3[[#This Row],[PATENTE]],'BASE DATOS'!F:I,4,0)</f>
        <v>SI</v>
      </c>
      <c r="H1753" s="584" t="str">
        <f>+VLOOKUP(Tabla3[[#This Row],[PATENTE]],'BASE DATOS'!F:J,5,0)</f>
        <v>SI</v>
      </c>
      <c r="I1753" s="584" t="str">
        <f>+VLOOKUP(Tabla3[[#This Row],[PATENTE]],'BASE DATOS'!F:K,6,0)</f>
        <v>NO</v>
      </c>
      <c r="J1753" s="584">
        <f>+VLOOKUP(Tabla3[[#This Row],[PATENTE]],'BASE DATOS'!F:L,7,0)</f>
        <v>2011</v>
      </c>
      <c r="K1753" s="619">
        <f>+VLOOKUP(Tabla3[[#This Row],[PATENTE]],'BASE DATOS'!F:M,8,0)</f>
        <v>14</v>
      </c>
    </row>
    <row r="1754" spans="1:11" ht="15" hidden="1" customHeight="1">
      <c r="A1754" s="578" t="s">
        <v>886</v>
      </c>
      <c r="B1754" s="584">
        <v>6</v>
      </c>
      <c r="C1754" s="589">
        <v>46076</v>
      </c>
      <c r="D1754" s="582">
        <f t="shared" si="64"/>
        <v>9</v>
      </c>
      <c r="E1754" s="618" t="str">
        <f>+VLOOKUP(Tabla3[[#This Row],[PATENTE]],'BASE DATOS'!F:G,2,0)</f>
        <v xml:space="preserve">TRANSP LAGOS - NOO925 </v>
      </c>
      <c r="F1754" s="584" t="str">
        <f>+VLOOKUP(Tabla3[[#This Row],[PATENTE]],'BASE DATOS'!F:H,3,0)</f>
        <v>8P</v>
      </c>
      <c r="G1754" s="584" t="str">
        <f>+VLOOKUP(Tabla3[[#This Row],[PATENTE]],'BASE DATOS'!F:I,4,0)</f>
        <v>SI</v>
      </c>
      <c r="H1754" s="584" t="str">
        <f>+VLOOKUP(Tabla3[[#This Row],[PATENTE]],'BASE DATOS'!F:J,5,0)</f>
        <v>SI</v>
      </c>
      <c r="I1754" s="584" t="str">
        <f>+VLOOKUP(Tabla3[[#This Row],[PATENTE]],'BASE DATOS'!F:K,6,0)</f>
        <v>NO</v>
      </c>
      <c r="J1754" s="584">
        <f>+VLOOKUP(Tabla3[[#This Row],[PATENTE]],'BASE DATOS'!F:L,7,0)</f>
        <v>2014</v>
      </c>
      <c r="K1754" s="619">
        <f>+VLOOKUP(Tabla3[[#This Row],[PATENTE]],'BASE DATOS'!F:M,8,0)</f>
        <v>11</v>
      </c>
    </row>
    <row r="1755" spans="1:11" ht="15" hidden="1" customHeight="1">
      <c r="A1755" s="578" t="s">
        <v>877</v>
      </c>
      <c r="B1755" s="584">
        <v>6</v>
      </c>
      <c r="C1755" s="589">
        <v>46076</v>
      </c>
      <c r="D1755" s="582">
        <f t="shared" si="64"/>
        <v>9</v>
      </c>
      <c r="E1755" s="618" t="str">
        <f>+VLOOKUP(Tabla3[[#This Row],[PATENTE]],'BASE DATOS'!F:G,2,0)</f>
        <v>TRANSP MAIDANA CARLOS - OWA126</v>
      </c>
      <c r="F1755" s="584" t="str">
        <f>+VLOOKUP(Tabla3[[#This Row],[PATENTE]],'BASE DATOS'!F:H,3,0)</f>
        <v>4P</v>
      </c>
      <c r="G1755" s="584" t="str">
        <f>+VLOOKUP(Tabla3[[#This Row],[PATENTE]],'BASE DATOS'!F:I,4,0)</f>
        <v>SI</v>
      </c>
      <c r="H1755" s="584" t="str">
        <f>+VLOOKUP(Tabla3[[#This Row],[PATENTE]],'BASE DATOS'!F:J,5,0)</f>
        <v>SI</v>
      </c>
      <c r="I1755" s="584" t="str">
        <f>+VLOOKUP(Tabla3[[#This Row],[PATENTE]],'BASE DATOS'!F:K,6,0)</f>
        <v>NO</v>
      </c>
      <c r="J1755" s="584">
        <f>+VLOOKUP(Tabla3[[#This Row],[PATENTE]],'BASE DATOS'!F:L,7,0)</f>
        <v>2015</v>
      </c>
      <c r="K1755" s="619">
        <f>+VLOOKUP(Tabla3[[#This Row],[PATENTE]],'BASE DATOS'!F:M,8,0)</f>
        <v>10</v>
      </c>
    </row>
    <row r="1756" spans="1:11" ht="15" hidden="1" customHeight="1">
      <c r="A1756" s="578" t="s">
        <v>899</v>
      </c>
      <c r="B1756" s="584">
        <v>5</v>
      </c>
      <c r="C1756" s="589">
        <v>46076</v>
      </c>
      <c r="D1756" s="582">
        <f t="shared" si="64"/>
        <v>9</v>
      </c>
      <c r="E1756" s="618" t="str">
        <f>+VLOOKUP(Tabla3[[#This Row],[PATENTE]],'BASE DATOS'!F:G,2,0)</f>
        <v xml:space="preserve">VAZQUEZ (TRV SRL) - AB176KN </v>
      </c>
      <c r="F1756" s="584" t="str">
        <f>+VLOOKUP(Tabla3[[#This Row],[PATENTE]],'BASE DATOS'!F:H,3,0)</f>
        <v>8P</v>
      </c>
      <c r="G1756" s="584" t="str">
        <f>+VLOOKUP(Tabla3[[#This Row],[PATENTE]],'BASE DATOS'!F:I,4,0)</f>
        <v>SI</v>
      </c>
      <c r="H1756" s="584" t="str">
        <f>+VLOOKUP(Tabla3[[#This Row],[PATENTE]],'BASE DATOS'!F:J,5,0)</f>
        <v>SI</v>
      </c>
      <c r="I1756" s="584" t="str">
        <f>+VLOOKUP(Tabla3[[#This Row],[PATENTE]],'BASE DATOS'!F:K,6,0)</f>
        <v>SI</v>
      </c>
      <c r="J1756" s="584">
        <f>+VLOOKUP(Tabla3[[#This Row],[PATENTE]],'BASE DATOS'!F:L,7,0)</f>
        <v>2017</v>
      </c>
      <c r="K1756" s="619">
        <f>+VLOOKUP(Tabla3[[#This Row],[PATENTE]],'BASE DATOS'!F:M,8,0)</f>
        <v>8</v>
      </c>
    </row>
    <row r="1757" spans="1:11" ht="15" hidden="1" customHeight="1">
      <c r="A1757" s="578" t="s">
        <v>906</v>
      </c>
      <c r="B1757" s="584">
        <v>5</v>
      </c>
      <c r="C1757" s="589">
        <v>46076</v>
      </c>
      <c r="D1757" s="582">
        <f t="shared" si="64"/>
        <v>9</v>
      </c>
      <c r="E1757" s="618" t="str">
        <f>+VLOOKUP(Tabla3[[#This Row],[PATENTE]],'BASE DATOS'!F:G,2,0)</f>
        <v xml:space="preserve">VAZQUEZ (TRV SRL) - AD472GK </v>
      </c>
      <c r="F1757" s="584" t="str">
        <f>+VLOOKUP(Tabla3[[#This Row],[PATENTE]],'BASE DATOS'!F:H,3,0)</f>
        <v>8P</v>
      </c>
      <c r="G1757" s="584" t="str">
        <f>+VLOOKUP(Tabla3[[#This Row],[PATENTE]],'BASE DATOS'!F:I,4,0)</f>
        <v>NO</v>
      </c>
      <c r="H1757" s="584" t="str">
        <f>+VLOOKUP(Tabla3[[#This Row],[PATENTE]],'BASE DATOS'!F:J,5,0)</f>
        <v>NO</v>
      </c>
      <c r="I1757" s="584" t="str">
        <f>+VLOOKUP(Tabla3[[#This Row],[PATENTE]],'BASE DATOS'!F:K,6,0)</f>
        <v>SI</v>
      </c>
      <c r="J1757" s="584">
        <f>+VLOOKUP(Tabla3[[#This Row],[PATENTE]],'BASE DATOS'!F:L,7,0)</f>
        <v>2019</v>
      </c>
      <c r="K1757" s="619">
        <f>+VLOOKUP(Tabla3[[#This Row],[PATENTE]],'BASE DATOS'!F:M,8,0)</f>
        <v>6</v>
      </c>
    </row>
    <row r="1758" spans="1:11" ht="15" hidden="1" customHeight="1">
      <c r="A1758" s="578" t="s">
        <v>888</v>
      </c>
      <c r="B1758" s="584">
        <v>5</v>
      </c>
      <c r="C1758" s="589">
        <v>46076</v>
      </c>
      <c r="D1758" s="582">
        <f t="shared" si="64"/>
        <v>9</v>
      </c>
      <c r="E1758" s="618" t="str">
        <f>+VLOOKUP(Tabla3[[#This Row],[PATENTE]],'BASE DATOS'!F:G,2,0)</f>
        <v xml:space="preserve">TRANSP FIRST CLASS - AD535UI </v>
      </c>
      <c r="F1758" s="584" t="str">
        <f>+VLOOKUP(Tabla3[[#This Row],[PATENTE]],'BASE DATOS'!F:H,3,0)</f>
        <v>6P</v>
      </c>
      <c r="G1758" s="584" t="str">
        <f>+VLOOKUP(Tabla3[[#This Row],[PATENTE]],'BASE DATOS'!F:I,4,0)</f>
        <v>SI</v>
      </c>
      <c r="H1758" s="584" t="str">
        <f>+VLOOKUP(Tabla3[[#This Row],[PATENTE]],'BASE DATOS'!F:J,5,0)</f>
        <v>SI</v>
      </c>
      <c r="I1758" s="584" t="str">
        <f>+VLOOKUP(Tabla3[[#This Row],[PATENTE]],'BASE DATOS'!F:K,6,0)</f>
        <v>NO</v>
      </c>
      <c r="J1758" s="584">
        <f>+VLOOKUP(Tabla3[[#This Row],[PATENTE]],'BASE DATOS'!F:L,7,0)</f>
        <v>2019</v>
      </c>
      <c r="K1758" s="619">
        <f>+VLOOKUP(Tabla3[[#This Row],[PATENTE]],'BASE DATOS'!F:M,8,0)</f>
        <v>6</v>
      </c>
    </row>
    <row r="1759" spans="1:11" ht="15" hidden="1" customHeight="1">
      <c r="A1759" s="578" t="s">
        <v>895</v>
      </c>
      <c r="B1759" s="584">
        <v>5</v>
      </c>
      <c r="C1759" s="589">
        <v>46076</v>
      </c>
      <c r="D1759" s="582">
        <f t="shared" si="64"/>
        <v>9</v>
      </c>
      <c r="E1759" s="618" t="str">
        <f>+VLOOKUP(Tabla3[[#This Row],[PATENTE]],'BASE DATOS'!F:G,2,0)</f>
        <v xml:space="preserve">TRANSPORTE MICAELA </v>
      </c>
      <c r="F1759" s="584" t="str">
        <f>+VLOOKUP(Tabla3[[#This Row],[PATENTE]],'BASE DATOS'!F:H,3,0)</f>
        <v>2P</v>
      </c>
      <c r="G1759" s="584" t="str">
        <f>+VLOOKUP(Tabla3[[#This Row],[PATENTE]],'BASE DATOS'!F:I,4,0)</f>
        <v>NO</v>
      </c>
      <c r="H1759" s="584" t="str">
        <f>+VLOOKUP(Tabla3[[#This Row],[PATENTE]],'BASE DATOS'!F:J,5,0)</f>
        <v>SI</v>
      </c>
      <c r="I1759" s="584" t="str">
        <f>+VLOOKUP(Tabla3[[#This Row],[PATENTE]],'BASE DATOS'!F:K,6,0)</f>
        <v>NO</v>
      </c>
      <c r="J1759" s="584">
        <f>+VLOOKUP(Tabla3[[#This Row],[PATENTE]],'BASE DATOS'!F:L,7,0)</f>
        <v>2024</v>
      </c>
      <c r="K1759" s="619">
        <f>+VLOOKUP(Tabla3[[#This Row],[PATENTE]],'BASE DATOS'!F:M,8,0)</f>
        <v>1</v>
      </c>
    </row>
    <row r="1760" spans="1:11" ht="15" hidden="1" customHeight="1">
      <c r="A1760" s="578" t="s">
        <v>903</v>
      </c>
      <c r="B1760" s="584">
        <v>5</v>
      </c>
      <c r="C1760" s="589">
        <v>46076</v>
      </c>
      <c r="D1760" s="582">
        <f t="shared" si="64"/>
        <v>9</v>
      </c>
      <c r="E1760" s="618" t="str">
        <f>+VLOOKUP(Tabla3[[#This Row],[PATENTE]],'BASE DATOS'!F:G,2,0)</f>
        <v xml:space="preserve">TRANSP CLAUDIO BUSTOS - AG243PE </v>
      </c>
      <c r="F1760" s="584" t="str">
        <f>+VLOOKUP(Tabla3[[#This Row],[PATENTE]],'BASE DATOS'!F:H,3,0)</f>
        <v>1P</v>
      </c>
      <c r="G1760" s="584" t="str">
        <f>+VLOOKUP(Tabla3[[#This Row],[PATENTE]],'BASE DATOS'!F:I,4,0)</f>
        <v>SI</v>
      </c>
      <c r="H1760" s="584" t="str">
        <f>+VLOOKUP(Tabla3[[#This Row],[PATENTE]],'BASE DATOS'!F:J,5,0)</f>
        <v>SI</v>
      </c>
      <c r="I1760" s="584" t="str">
        <f>+VLOOKUP(Tabla3[[#This Row],[PATENTE]],'BASE DATOS'!F:K,6,0)</f>
        <v>NO</v>
      </c>
      <c r="J1760" s="584">
        <f>+VLOOKUP(Tabla3[[#This Row],[PATENTE]],'BASE DATOS'!F:L,7,0)</f>
        <v>2024</v>
      </c>
      <c r="K1760" s="619">
        <f>+VLOOKUP(Tabla3[[#This Row],[PATENTE]],'BASE DATOS'!F:M,8,0)</f>
        <v>1</v>
      </c>
    </row>
    <row r="1761" spans="1:11" ht="15" hidden="1" customHeight="1">
      <c r="A1761" s="578" t="s">
        <v>904</v>
      </c>
      <c r="B1761" s="584">
        <v>5</v>
      </c>
      <c r="C1761" s="589">
        <v>46076</v>
      </c>
      <c r="D1761" s="582">
        <f t="shared" si="64"/>
        <v>9</v>
      </c>
      <c r="E1761" s="618" t="str">
        <f>+VLOOKUP(Tabla3[[#This Row],[PATENTE]],'BASE DATOS'!F:G,2,0)</f>
        <v xml:space="preserve">ENRIQUE ROLLINO - DFO656 </v>
      </c>
      <c r="F1761" s="584" t="str">
        <f>+VLOOKUP(Tabla3[[#This Row],[PATENTE]],'BASE DATOS'!F:H,3,0)</f>
        <v>6P</v>
      </c>
      <c r="G1761" s="584" t="str">
        <f>+VLOOKUP(Tabla3[[#This Row],[PATENTE]],'BASE DATOS'!F:I,4,0)</f>
        <v>SI</v>
      </c>
      <c r="H1761" s="584" t="str">
        <f>+VLOOKUP(Tabla3[[#This Row],[PATENTE]],'BASE DATOS'!F:J,5,0)</f>
        <v>SI</v>
      </c>
      <c r="I1761" s="584" t="str">
        <f>+VLOOKUP(Tabla3[[#This Row],[PATENTE]],'BASE DATOS'!F:K,6,0)</f>
        <v>NO</v>
      </c>
      <c r="J1761" s="584">
        <f>+VLOOKUP(Tabla3[[#This Row],[PATENTE]],'BASE DATOS'!F:L,7,0)</f>
        <v>2000</v>
      </c>
      <c r="K1761" s="619">
        <f>+VLOOKUP(Tabla3[[#This Row],[PATENTE]],'BASE DATOS'!F:M,8,0)</f>
        <v>25</v>
      </c>
    </row>
    <row r="1762" spans="1:11" ht="15" hidden="1" customHeight="1">
      <c r="A1762" s="578" t="s">
        <v>881</v>
      </c>
      <c r="B1762" s="584">
        <v>5</v>
      </c>
      <c r="C1762" s="589">
        <v>46076</v>
      </c>
      <c r="D1762" s="582">
        <f t="shared" si="64"/>
        <v>9</v>
      </c>
      <c r="E1762" s="618" t="str">
        <f>+VLOOKUP(Tabla3[[#This Row],[PATENTE]],'BASE DATOS'!F:G,2,0)</f>
        <v xml:space="preserve">MAÑAS NORBERTO - DUQ686 </v>
      </c>
      <c r="F1762" s="584" t="str">
        <f>+VLOOKUP(Tabla3[[#This Row],[PATENTE]],'BASE DATOS'!F:H,3,0)</f>
        <v>8P</v>
      </c>
      <c r="G1762" s="584" t="str">
        <f>+VLOOKUP(Tabla3[[#This Row],[PATENTE]],'BASE DATOS'!F:I,4,0)</f>
        <v>SI</v>
      </c>
      <c r="H1762" s="584" t="str">
        <f>+VLOOKUP(Tabla3[[#This Row],[PATENTE]],'BASE DATOS'!F:J,5,0)</f>
        <v>SI</v>
      </c>
      <c r="I1762" s="584" t="str">
        <f>+VLOOKUP(Tabla3[[#This Row],[PATENTE]],'BASE DATOS'!F:K,6,0)</f>
        <v>NO</v>
      </c>
      <c r="J1762" s="584">
        <f>+VLOOKUP(Tabla3[[#This Row],[PATENTE]],'BASE DATOS'!F:L,7,0)</f>
        <v>2001</v>
      </c>
      <c r="K1762" s="619">
        <f>+VLOOKUP(Tabla3[[#This Row],[PATENTE]],'BASE DATOS'!F:M,8,0)</f>
        <v>24</v>
      </c>
    </row>
    <row r="1763" spans="1:11" ht="15" hidden="1" customHeight="1">
      <c r="A1763" s="578" t="s">
        <v>885</v>
      </c>
      <c r="B1763" s="584">
        <v>5</v>
      </c>
      <c r="C1763" s="589">
        <v>46076</v>
      </c>
      <c r="D1763" s="582">
        <f t="shared" si="64"/>
        <v>9</v>
      </c>
      <c r="E1763" s="618" t="str">
        <f>+VLOOKUP(Tabla3[[#This Row],[PATENTE]],'BASE DATOS'!F:G,2,0)</f>
        <v xml:space="preserve">TRANSP DON NENO - IES288 </v>
      </c>
      <c r="F1763" s="584" t="str">
        <f>+VLOOKUP(Tabla3[[#This Row],[PATENTE]],'BASE DATOS'!F:H,3,0)</f>
        <v>2P</v>
      </c>
      <c r="G1763" s="584" t="str">
        <f>+VLOOKUP(Tabla3[[#This Row],[PATENTE]],'BASE DATOS'!F:I,4,0)</f>
        <v>SI</v>
      </c>
      <c r="H1763" s="584" t="str">
        <f>+VLOOKUP(Tabla3[[#This Row],[PATENTE]],'BASE DATOS'!F:J,5,0)</f>
        <v>SI</v>
      </c>
      <c r="I1763" s="584" t="str">
        <f>+VLOOKUP(Tabla3[[#This Row],[PATENTE]],'BASE DATOS'!F:K,6,0)</f>
        <v>NO</v>
      </c>
      <c r="J1763" s="584">
        <f>+VLOOKUP(Tabla3[[#This Row],[PATENTE]],'BASE DATOS'!F:L,7,0)</f>
        <v>2009</v>
      </c>
      <c r="K1763" s="619">
        <f>+VLOOKUP(Tabla3[[#This Row],[PATENTE]],'BASE DATOS'!F:M,8,0)</f>
        <v>16</v>
      </c>
    </row>
    <row r="1764" spans="1:11" ht="15" hidden="1" customHeight="1">
      <c r="A1764" s="578" t="s">
        <v>950</v>
      </c>
      <c r="B1764" s="584">
        <v>5</v>
      </c>
      <c r="C1764" s="589">
        <v>46076</v>
      </c>
      <c r="D1764" s="582">
        <f t="shared" si="64"/>
        <v>9</v>
      </c>
      <c r="E1764" s="618" t="str">
        <f>+VLOOKUP(Tabla3[[#This Row],[PATENTE]],'BASE DATOS'!F:G,2,0)</f>
        <v>TRANSP DON NENO -IRK036- 2P</v>
      </c>
      <c r="F1764" s="584" t="str">
        <f>+VLOOKUP(Tabla3[[#This Row],[PATENTE]],'BASE DATOS'!F:H,3,0)</f>
        <v>2P</v>
      </c>
      <c r="G1764" s="584" t="str">
        <f>+VLOOKUP(Tabla3[[#This Row],[PATENTE]],'BASE DATOS'!F:I,4,0)</f>
        <v>NO</v>
      </c>
      <c r="H1764" s="584" t="str">
        <f>+VLOOKUP(Tabla3[[#This Row],[PATENTE]],'BASE DATOS'!F:J,5,0)</f>
        <v>NO</v>
      </c>
      <c r="I1764" s="584" t="str">
        <f>+VLOOKUP(Tabla3[[#This Row],[PATENTE]],'BASE DATOS'!F:K,6,0)</f>
        <v>NO</v>
      </c>
      <c r="J1764" s="584">
        <f>+VLOOKUP(Tabla3[[#This Row],[PATENTE]],'BASE DATOS'!F:L,7,0)</f>
        <v>2010</v>
      </c>
      <c r="K1764" s="619">
        <f>+VLOOKUP(Tabla3[[#This Row],[PATENTE]],'BASE DATOS'!F:M,8,0)</f>
        <v>15</v>
      </c>
    </row>
    <row r="1765" spans="1:11" ht="15" hidden="1" customHeight="1">
      <c r="A1765" s="578" t="s">
        <v>925</v>
      </c>
      <c r="B1765" s="584">
        <v>5</v>
      </c>
      <c r="C1765" s="589">
        <v>46076</v>
      </c>
      <c r="D1765" s="582">
        <f t="shared" si="64"/>
        <v>9</v>
      </c>
      <c r="E1765" s="618" t="str">
        <f>+VLOOKUP(Tabla3[[#This Row],[PATENTE]],'BASE DATOS'!F:G,2,0)</f>
        <v xml:space="preserve">TRANSP MAIDANA FACUNDO - KOW745 </v>
      </c>
      <c r="F1765" s="584" t="str">
        <f>+VLOOKUP(Tabla3[[#This Row],[PATENTE]],'BASE DATOS'!F:H,3,0)</f>
        <v>8P</v>
      </c>
      <c r="G1765" s="584" t="str">
        <f>+VLOOKUP(Tabla3[[#This Row],[PATENTE]],'BASE DATOS'!F:I,4,0)</f>
        <v>SI</v>
      </c>
      <c r="H1765" s="584" t="str">
        <f>+VLOOKUP(Tabla3[[#This Row],[PATENTE]],'BASE DATOS'!F:J,5,0)</f>
        <v>SI</v>
      </c>
      <c r="I1765" s="584" t="str">
        <f>+VLOOKUP(Tabla3[[#This Row],[PATENTE]],'BASE DATOS'!F:K,6,0)</f>
        <v>NO</v>
      </c>
      <c r="J1765" s="584">
        <f>+VLOOKUP(Tabla3[[#This Row],[PATENTE]],'BASE DATOS'!F:L,7,0)</f>
        <v>2012</v>
      </c>
      <c r="K1765" s="619">
        <f>+VLOOKUP(Tabla3[[#This Row],[PATENTE]],'BASE DATOS'!F:M,8,0)</f>
        <v>13</v>
      </c>
    </row>
    <row r="1766" spans="1:11" ht="15" hidden="1" customHeight="1">
      <c r="A1766" s="578" t="s">
        <v>920</v>
      </c>
      <c r="B1766" s="584">
        <v>5</v>
      </c>
      <c r="C1766" s="589">
        <v>46076</v>
      </c>
      <c r="D1766" s="582">
        <f t="shared" si="64"/>
        <v>9</v>
      </c>
      <c r="E1766" s="618" t="str">
        <f>+VLOOKUP(Tabla3[[#This Row],[PATENTE]],'BASE DATOS'!F:G,2,0)</f>
        <v xml:space="preserve">TRANSP LAGOS - MRV682 </v>
      </c>
      <c r="F1766" s="584" t="str">
        <f>+VLOOKUP(Tabla3[[#This Row],[PATENTE]],'BASE DATOS'!F:H,3,0)</f>
        <v>8P</v>
      </c>
      <c r="G1766" s="584" t="str">
        <f>+VLOOKUP(Tabla3[[#This Row],[PATENTE]],'BASE DATOS'!F:I,4,0)</f>
        <v>SI</v>
      </c>
      <c r="H1766" s="584" t="str">
        <f>+VLOOKUP(Tabla3[[#This Row],[PATENTE]],'BASE DATOS'!F:J,5,0)</f>
        <v>SI</v>
      </c>
      <c r="I1766" s="584" t="str">
        <f>+VLOOKUP(Tabla3[[#This Row],[PATENTE]],'BASE DATOS'!F:K,6,0)</f>
        <v>NO</v>
      </c>
      <c r="J1766" s="584">
        <f>+VLOOKUP(Tabla3[[#This Row],[PATENTE]],'BASE DATOS'!F:L,7,0)</f>
        <v>2013</v>
      </c>
      <c r="K1766" s="619">
        <f>+VLOOKUP(Tabla3[[#This Row],[PATENTE]],'BASE DATOS'!F:M,8,0)</f>
        <v>12</v>
      </c>
    </row>
    <row r="1767" spans="1:11" ht="15" hidden="1" customHeight="1">
      <c r="A1767" s="578" t="s">
        <v>879</v>
      </c>
      <c r="B1767" s="584">
        <v>5</v>
      </c>
      <c r="C1767" s="589">
        <v>46076</v>
      </c>
      <c r="D1767" s="582">
        <f t="shared" si="64"/>
        <v>9</v>
      </c>
      <c r="E1767" s="618" t="str">
        <f>+VLOOKUP(Tabla3[[#This Row],[PATENTE]],'BASE DATOS'!F:G,2,0)</f>
        <v xml:space="preserve">TRANSP JP - OYP470 </v>
      </c>
      <c r="F1767" s="584" t="str">
        <f>+VLOOKUP(Tabla3[[#This Row],[PATENTE]],'BASE DATOS'!F:H,3,0)</f>
        <v>8P</v>
      </c>
      <c r="G1767" s="584" t="str">
        <f>+VLOOKUP(Tabla3[[#This Row],[PATENTE]],'BASE DATOS'!F:I,4,0)</f>
        <v>SI</v>
      </c>
      <c r="H1767" s="584" t="str">
        <f>+VLOOKUP(Tabla3[[#This Row],[PATENTE]],'BASE DATOS'!F:J,5,0)</f>
        <v>SI</v>
      </c>
      <c r="I1767" s="584" t="str">
        <f>+VLOOKUP(Tabla3[[#This Row],[PATENTE]],'BASE DATOS'!F:K,6,0)</f>
        <v>NO</v>
      </c>
      <c r="J1767" s="584">
        <f>+VLOOKUP(Tabla3[[#This Row],[PATENTE]],'BASE DATOS'!F:L,7,0)</f>
        <v>2011</v>
      </c>
      <c r="K1767" s="619">
        <f>+VLOOKUP(Tabla3[[#This Row],[PATENTE]],'BASE DATOS'!F:M,8,0)</f>
        <v>14</v>
      </c>
    </row>
    <row r="1768" spans="1:11" ht="15" hidden="1" customHeight="1">
      <c r="A1768" s="578" t="s">
        <v>883</v>
      </c>
      <c r="B1768" s="584">
        <v>4</v>
      </c>
      <c r="C1768" s="589">
        <v>46076</v>
      </c>
      <c r="D1768" s="582">
        <f t="shared" si="64"/>
        <v>9</v>
      </c>
      <c r="E1768" s="618" t="str">
        <f>+VLOOKUP(Tabla3[[#This Row],[PATENTE]],'BASE DATOS'!F:G,2,0)</f>
        <v xml:space="preserve">PACHECO JULIO - ACI503 </v>
      </c>
      <c r="F1768" s="584" t="str">
        <f>+VLOOKUP(Tabla3[[#This Row],[PATENTE]],'BASE DATOS'!F:H,3,0)</f>
        <v>12P</v>
      </c>
      <c r="G1768" s="584" t="str">
        <f>+VLOOKUP(Tabla3[[#This Row],[PATENTE]],'BASE DATOS'!F:I,4,0)</f>
        <v>NO</v>
      </c>
      <c r="H1768" s="584" t="str">
        <f>+VLOOKUP(Tabla3[[#This Row],[PATENTE]],'BASE DATOS'!F:J,5,0)</f>
        <v>SI</v>
      </c>
      <c r="I1768" s="584" t="str">
        <f>+VLOOKUP(Tabla3[[#This Row],[PATENTE]],'BASE DATOS'!F:K,6,0)</f>
        <v>SI</v>
      </c>
      <c r="J1768" s="584">
        <f>+VLOOKUP(Tabla3[[#This Row],[PATENTE]],'BASE DATOS'!F:L,7,0)</f>
        <v>2000</v>
      </c>
      <c r="K1768" s="619">
        <f>+VLOOKUP(Tabla3[[#This Row],[PATENTE]],'BASE DATOS'!F:M,8,0)</f>
        <v>25</v>
      </c>
    </row>
    <row r="1769" spans="1:11" ht="15" hidden="1" customHeight="1">
      <c r="A1769" s="578" t="s">
        <v>887</v>
      </c>
      <c r="B1769" s="584">
        <v>4</v>
      </c>
      <c r="C1769" s="589">
        <v>46076</v>
      </c>
      <c r="D1769" s="582">
        <f t="shared" si="64"/>
        <v>9</v>
      </c>
      <c r="E1769" s="618" t="str">
        <f>+VLOOKUP(Tabla3[[#This Row],[PATENTE]],'BASE DATOS'!F:G,2,0)</f>
        <v>ENRIQUE ROLLINO - BXB394</v>
      </c>
      <c r="F1769" s="584" t="str">
        <f>+VLOOKUP(Tabla3[[#This Row],[PATENTE]],'BASE DATOS'!F:H,3,0)</f>
        <v>2P</v>
      </c>
      <c r="G1769" s="584" t="str">
        <f>+VLOOKUP(Tabla3[[#This Row],[PATENTE]],'BASE DATOS'!F:I,4,0)</f>
        <v>SI</v>
      </c>
      <c r="H1769" s="584" t="str">
        <f>+VLOOKUP(Tabla3[[#This Row],[PATENTE]],'BASE DATOS'!F:J,5,0)</f>
        <v>SI</v>
      </c>
      <c r="I1769" s="584" t="str">
        <f>+VLOOKUP(Tabla3[[#This Row],[PATENTE]],'BASE DATOS'!F:K,6,0)</f>
        <v>NO</v>
      </c>
      <c r="J1769" s="584">
        <f>+VLOOKUP(Tabla3[[#This Row],[PATENTE]],'BASE DATOS'!F:L,7,0)</f>
        <v>1998</v>
      </c>
      <c r="K1769" s="619">
        <f>+VLOOKUP(Tabla3[[#This Row],[PATENTE]],'BASE DATOS'!F:M,8,0)</f>
        <v>27</v>
      </c>
    </row>
    <row r="1770" spans="1:11" ht="15" hidden="1" customHeight="1">
      <c r="A1770" s="578" t="s">
        <v>891</v>
      </c>
      <c r="B1770" s="584">
        <v>4</v>
      </c>
      <c r="C1770" s="589">
        <v>46076</v>
      </c>
      <c r="D1770" s="582">
        <f t="shared" si="64"/>
        <v>9</v>
      </c>
      <c r="E1770" s="618" t="str">
        <f>+VLOOKUP(Tabla3[[#This Row],[PATENTE]],'BASE DATOS'!F:G,2,0)</f>
        <v xml:space="preserve">GANZINI HUGO - HHA085 </v>
      </c>
      <c r="F1770" s="584" t="str">
        <f>+VLOOKUP(Tabla3[[#This Row],[PATENTE]],'BASE DATOS'!F:H,3,0)</f>
        <v>2P</v>
      </c>
      <c r="G1770" s="584" t="str">
        <f>+VLOOKUP(Tabla3[[#This Row],[PATENTE]],'BASE DATOS'!F:I,4,0)</f>
        <v>SI</v>
      </c>
      <c r="H1770" s="584" t="str">
        <f>+VLOOKUP(Tabla3[[#This Row],[PATENTE]],'BASE DATOS'!F:J,5,0)</f>
        <v>SI</v>
      </c>
      <c r="I1770" s="584" t="str">
        <f>+VLOOKUP(Tabla3[[#This Row],[PATENTE]],'BASE DATOS'!F:K,6,0)</f>
        <v>NO</v>
      </c>
      <c r="J1770" s="584">
        <f>+VLOOKUP(Tabla3[[#This Row],[PATENTE]],'BASE DATOS'!F:L,7,0)</f>
        <v>2008</v>
      </c>
      <c r="K1770" s="619">
        <f>+VLOOKUP(Tabla3[[#This Row],[PATENTE]],'BASE DATOS'!F:M,8,0)</f>
        <v>17</v>
      </c>
    </row>
    <row r="1771" spans="1:11" ht="15" hidden="1" customHeight="1">
      <c r="A1771" s="578" t="s">
        <v>924</v>
      </c>
      <c r="B1771" s="584">
        <v>4</v>
      </c>
      <c r="C1771" s="589">
        <v>46076</v>
      </c>
      <c r="D1771" s="582">
        <f t="shared" si="64"/>
        <v>9</v>
      </c>
      <c r="E1771" s="618" t="str">
        <f>+VLOOKUP(Tabla3[[#This Row],[PATENTE]],'BASE DATOS'!F:G,2,0)</f>
        <v>TRANSP MAVIR - HRZ429 -16P</v>
      </c>
      <c r="F1771" s="584" t="str">
        <f>+VLOOKUP(Tabla3[[#This Row],[PATENTE]],'BASE DATOS'!F:H,3,0)</f>
        <v>16P</v>
      </c>
      <c r="G1771" s="584" t="str">
        <f>+VLOOKUP(Tabla3[[#This Row],[PATENTE]],'BASE DATOS'!F:I,4,0)</f>
        <v>SI</v>
      </c>
      <c r="H1771" s="584" t="str">
        <f>+VLOOKUP(Tabla3[[#This Row],[PATENTE]],'BASE DATOS'!F:J,5,0)</f>
        <v xml:space="preserve">NO </v>
      </c>
      <c r="I1771" s="584" t="str">
        <f>+VLOOKUP(Tabla3[[#This Row],[PATENTE]],'BASE DATOS'!F:K,6,0)</f>
        <v>NO</v>
      </c>
      <c r="J1771" s="584">
        <f>+VLOOKUP(Tabla3[[#This Row],[PATENTE]],'BASE DATOS'!F:L,7,0)</f>
        <v>2008</v>
      </c>
      <c r="K1771" s="619">
        <f>+VLOOKUP(Tabla3[[#This Row],[PATENTE]],'BASE DATOS'!F:M,8,0)</f>
        <v>17</v>
      </c>
    </row>
    <row r="1772" spans="1:11" ht="15" hidden="1" customHeight="1">
      <c r="A1772" s="578" t="s">
        <v>898</v>
      </c>
      <c r="B1772" s="584">
        <v>4</v>
      </c>
      <c r="C1772" s="589">
        <v>46076</v>
      </c>
      <c r="D1772" s="582">
        <f t="shared" si="64"/>
        <v>9</v>
      </c>
      <c r="E1772" s="618" t="str">
        <f>+VLOOKUP(Tabla3[[#This Row],[PATENTE]],'BASE DATOS'!F:G,2,0)</f>
        <v xml:space="preserve">TRANSP BERMEJO - NXP980 </v>
      </c>
      <c r="F1772" s="584" t="str">
        <f>+VLOOKUP(Tabla3[[#This Row],[PATENTE]],'BASE DATOS'!F:H,3,0)</f>
        <v>12P</v>
      </c>
      <c r="G1772" s="584" t="str">
        <f>+VLOOKUP(Tabla3[[#This Row],[PATENTE]],'BASE DATOS'!F:I,4,0)</f>
        <v>SI</v>
      </c>
      <c r="H1772" s="584" t="str">
        <f>+VLOOKUP(Tabla3[[#This Row],[PATENTE]],'BASE DATOS'!F:J,5,0)</f>
        <v>SI</v>
      </c>
      <c r="I1772" s="584" t="str">
        <f>+VLOOKUP(Tabla3[[#This Row],[PATENTE]],'BASE DATOS'!F:K,6,0)</f>
        <v>SI</v>
      </c>
      <c r="J1772" s="584">
        <f>+VLOOKUP(Tabla3[[#This Row],[PATENTE]],'BASE DATOS'!F:L,7,0)</f>
        <v>2015</v>
      </c>
      <c r="K1772" s="619">
        <f>+VLOOKUP(Tabla3[[#This Row],[PATENTE]],'BASE DATOS'!F:M,8,0)</f>
        <v>10</v>
      </c>
    </row>
    <row r="1773" spans="1:11" ht="15" hidden="1" customHeight="1">
      <c r="A1773" s="578" t="s">
        <v>905</v>
      </c>
      <c r="B1773" s="584">
        <v>3</v>
      </c>
      <c r="C1773" s="589">
        <v>46076</v>
      </c>
      <c r="D1773" s="582">
        <f t="shared" si="64"/>
        <v>9</v>
      </c>
      <c r="E1773" s="618" t="str">
        <f>+VLOOKUP(Tabla3[[#This Row],[PATENTE]],'BASE DATOS'!F:G,2,0)</f>
        <v xml:space="preserve">J RIMOLDI - AB312SE </v>
      </c>
      <c r="F1773" s="584" t="str">
        <f>+VLOOKUP(Tabla3[[#This Row],[PATENTE]],'BASE DATOS'!F:H,3,0)</f>
        <v>8P</v>
      </c>
      <c r="G1773" s="584" t="str">
        <f>+VLOOKUP(Tabla3[[#This Row],[PATENTE]],'BASE DATOS'!F:I,4,0)</f>
        <v>SI</v>
      </c>
      <c r="H1773" s="584" t="str">
        <f>+VLOOKUP(Tabla3[[#This Row],[PATENTE]],'BASE DATOS'!F:J,5,0)</f>
        <v>SI</v>
      </c>
      <c r="I1773" s="584" t="str">
        <f>+VLOOKUP(Tabla3[[#This Row],[PATENTE]],'BASE DATOS'!F:K,6,0)</f>
        <v>NO</v>
      </c>
      <c r="J1773" s="584">
        <f>+VLOOKUP(Tabla3[[#This Row],[PATENTE]],'BASE DATOS'!F:L,7,0)</f>
        <v>2017</v>
      </c>
      <c r="K1773" s="619">
        <f>+VLOOKUP(Tabla3[[#This Row],[PATENTE]],'BASE DATOS'!F:M,8,0)</f>
        <v>8</v>
      </c>
    </row>
    <row r="1774" spans="1:11" ht="15" hidden="1" customHeight="1">
      <c r="A1774" s="578" t="s">
        <v>1122</v>
      </c>
      <c r="B1774" s="584">
        <v>3</v>
      </c>
      <c r="C1774" s="589">
        <v>46076</v>
      </c>
      <c r="D1774" s="582">
        <f t="shared" si="64"/>
        <v>9</v>
      </c>
      <c r="E1774" s="618" t="str">
        <f>+VLOOKUP(Tabla3[[#This Row],[PATENTE]],'BASE DATOS'!F:G,2,0)</f>
        <v>TRANSPORTE GENA GAIA - AH898OB</v>
      </c>
      <c r="F1774" s="584" t="str">
        <f>+VLOOKUP(Tabla3[[#This Row],[PATENTE]],'BASE DATOS'!F:H,3,0)</f>
        <v>24P</v>
      </c>
      <c r="G1774" s="584" t="str">
        <f>+VLOOKUP(Tabla3[[#This Row],[PATENTE]],'BASE DATOS'!F:I,4,0)</f>
        <v>NO</v>
      </c>
      <c r="H1774" s="584" t="str">
        <f>+VLOOKUP(Tabla3[[#This Row],[PATENTE]],'BASE DATOS'!F:J,5,0)</f>
        <v>NO</v>
      </c>
      <c r="I1774" s="584" t="str">
        <f>+VLOOKUP(Tabla3[[#This Row],[PATENTE]],'BASE DATOS'!F:K,6,0)</f>
        <v>NO</v>
      </c>
      <c r="J1774" s="584">
        <f>+VLOOKUP(Tabla3[[#This Row],[PATENTE]],'BASE DATOS'!F:L,7,0)</f>
        <v>2026</v>
      </c>
      <c r="K1774" s="619">
        <f>+VLOOKUP(Tabla3[[#This Row],[PATENTE]],'BASE DATOS'!F:M,8,0)</f>
        <v>-1</v>
      </c>
    </row>
    <row r="1775" spans="1:11" ht="15" hidden="1" customHeight="1">
      <c r="A1775" s="578" t="s">
        <v>915</v>
      </c>
      <c r="B1775" s="584">
        <v>3</v>
      </c>
      <c r="C1775" s="589">
        <v>46076</v>
      </c>
      <c r="D1775" s="582">
        <f t="shared" si="64"/>
        <v>9</v>
      </c>
      <c r="E1775" s="618" t="str">
        <f>+VLOOKUP(Tabla3[[#This Row],[PATENTE]],'BASE DATOS'!F:G,2,0)</f>
        <v>TRANSPORTE GRACIELA - FPL254</v>
      </c>
      <c r="F1775" s="584" t="str">
        <f>+VLOOKUP(Tabla3[[#This Row],[PATENTE]],'BASE DATOS'!F:H,3,0)</f>
        <v>2P</v>
      </c>
      <c r="G1775" s="584" t="str">
        <f>+VLOOKUP(Tabla3[[#This Row],[PATENTE]],'BASE DATOS'!F:I,4,0)</f>
        <v>SI</v>
      </c>
      <c r="H1775" s="584" t="str">
        <f>+VLOOKUP(Tabla3[[#This Row],[PATENTE]],'BASE DATOS'!F:J,5,0)</f>
        <v>NO (CAMI)</v>
      </c>
      <c r="I1775" s="584" t="str">
        <f>+VLOOKUP(Tabla3[[#This Row],[PATENTE]],'BASE DATOS'!F:K,6,0)</f>
        <v>NO</v>
      </c>
      <c r="J1775" s="584">
        <f>+VLOOKUP(Tabla3[[#This Row],[PATENTE]],'BASE DATOS'!F:L,7,0)</f>
        <v>2012</v>
      </c>
      <c r="K1775" s="619">
        <f>+VLOOKUP(Tabla3[[#This Row],[PATENTE]],'BASE DATOS'!F:M,8,0)</f>
        <v>13</v>
      </c>
    </row>
    <row r="1776" spans="1:11" ht="15" hidden="1" customHeight="1">
      <c r="A1776" s="578" t="s">
        <v>926</v>
      </c>
      <c r="B1776" s="584">
        <v>2</v>
      </c>
      <c r="C1776" s="589">
        <v>46076</v>
      </c>
      <c r="D1776" s="582">
        <f t="shared" si="64"/>
        <v>9</v>
      </c>
      <c r="E1776" s="618" t="str">
        <f>+VLOOKUP(Tabla3[[#This Row],[PATENTE]],'BASE DATOS'!F:G,2,0)</f>
        <v xml:space="preserve">TRANSPORTE GENA GAIA - DUF042 </v>
      </c>
      <c r="F1776" s="584" t="str">
        <f>+VLOOKUP(Tabla3[[#This Row],[PATENTE]],'BASE DATOS'!F:H,3,0)</f>
        <v>24P</v>
      </c>
      <c r="G1776" s="584" t="str">
        <f>+VLOOKUP(Tabla3[[#This Row],[PATENTE]],'BASE DATOS'!F:I,4,0)</f>
        <v>Gestya</v>
      </c>
      <c r="H1776" s="584" t="str">
        <f>+VLOOKUP(Tabla3[[#This Row],[PATENTE]],'BASE DATOS'!F:J,5,0)</f>
        <v xml:space="preserve">NO </v>
      </c>
      <c r="I1776" s="584" t="str">
        <f>+VLOOKUP(Tabla3[[#This Row],[PATENTE]],'BASE DATOS'!F:K,6,0)</f>
        <v>NO</v>
      </c>
      <c r="J1776" s="584">
        <f>+VLOOKUP(Tabla3[[#This Row],[PATENTE]],'BASE DATOS'!F:L,7,0)</f>
        <v>2001</v>
      </c>
      <c r="K1776" s="619">
        <f>+VLOOKUP(Tabla3[[#This Row],[PATENTE]],'BASE DATOS'!F:M,8,0)</f>
        <v>24</v>
      </c>
    </row>
    <row r="1777" spans="1:11" ht="15" hidden="1" customHeight="1">
      <c r="A1777" s="578" t="s">
        <v>1123</v>
      </c>
      <c r="B1777" s="584">
        <v>2</v>
      </c>
      <c r="C1777" s="589">
        <v>46076</v>
      </c>
      <c r="D1777" s="582">
        <f t="shared" si="64"/>
        <v>9</v>
      </c>
      <c r="E1777" s="618" t="str">
        <f>+VLOOKUP(Tabla3[[#This Row],[PATENTE]],'BASE DATOS'!F:G,2,0)</f>
        <v>TRANSP LAGOS - IDK392 - 2P</v>
      </c>
      <c r="F1777" s="584" t="str">
        <f>+VLOOKUP(Tabla3[[#This Row],[PATENTE]],'BASE DATOS'!F:H,3,0)</f>
        <v>2P</v>
      </c>
      <c r="G1777" s="584" t="str">
        <f>+VLOOKUP(Tabla3[[#This Row],[PATENTE]],'BASE DATOS'!F:I,4,0)</f>
        <v>NO</v>
      </c>
      <c r="H1777" s="584" t="str">
        <f>+VLOOKUP(Tabla3[[#This Row],[PATENTE]],'BASE DATOS'!F:J,5,0)</f>
        <v>NO</v>
      </c>
      <c r="I1777" s="584" t="str">
        <f>+VLOOKUP(Tabla3[[#This Row],[PATENTE]],'BASE DATOS'!F:K,6,0)</f>
        <v>NO</v>
      </c>
      <c r="J1777" s="584">
        <f>+VLOOKUP(Tabla3[[#This Row],[PATENTE]],'BASE DATOS'!F:L,7,0)</f>
        <v>2009</v>
      </c>
      <c r="K1777" s="619">
        <f>+VLOOKUP(Tabla3[[#This Row],[PATENTE]],'BASE DATOS'!F:M,8,0)</f>
        <v>16</v>
      </c>
    </row>
    <row r="1778" spans="1:11" ht="15" hidden="1" customHeight="1">
      <c r="A1778" s="578" t="s">
        <v>933</v>
      </c>
      <c r="B1778" s="584">
        <v>2</v>
      </c>
      <c r="C1778" s="589">
        <v>46076</v>
      </c>
      <c r="D1778" s="582">
        <f t="shared" si="64"/>
        <v>9</v>
      </c>
      <c r="E1778" s="618" t="str">
        <f>+VLOOKUP(Tabla3[[#This Row],[PATENTE]],'BASE DATOS'!F:G,2,0)</f>
        <v xml:space="preserve">TRANSPORTE GENA GAIA - IKE806 </v>
      </c>
      <c r="F1778" s="584" t="str">
        <f>+VLOOKUP(Tabla3[[#This Row],[PATENTE]],'BASE DATOS'!F:H,3,0)</f>
        <v>24P</v>
      </c>
      <c r="G1778" s="584" t="str">
        <f>+VLOOKUP(Tabla3[[#This Row],[PATENTE]],'BASE DATOS'!F:I,4,0)</f>
        <v>Gestya</v>
      </c>
      <c r="H1778" s="584" t="str">
        <f>+VLOOKUP(Tabla3[[#This Row],[PATENTE]],'BASE DATOS'!F:J,5,0)</f>
        <v xml:space="preserve">NO </v>
      </c>
      <c r="I1778" s="584" t="str">
        <f>+VLOOKUP(Tabla3[[#This Row],[PATENTE]],'BASE DATOS'!F:K,6,0)</f>
        <v>NO</v>
      </c>
      <c r="J1778" s="584">
        <f>+VLOOKUP(Tabla3[[#This Row],[PATENTE]],'BASE DATOS'!F:L,7,0)</f>
        <v>2010</v>
      </c>
      <c r="K1778" s="619">
        <f>+VLOOKUP(Tabla3[[#This Row],[PATENTE]],'BASE DATOS'!F:M,8,0)</f>
        <v>15</v>
      </c>
    </row>
    <row r="1779" spans="1:11" ht="15" hidden="1" customHeight="1">
      <c r="A1779" s="578" t="s">
        <v>900</v>
      </c>
      <c r="B1779" s="584">
        <v>2</v>
      </c>
      <c r="C1779" s="589">
        <v>46076</v>
      </c>
      <c r="D1779" s="582">
        <f t="shared" si="64"/>
        <v>9</v>
      </c>
      <c r="E1779" s="618" t="str">
        <f>+VLOOKUP(Tabla3[[#This Row],[PATENTE]],'BASE DATOS'!F:G,2,0)</f>
        <v>TRANSPORTE GENA GAIA - IMO939</v>
      </c>
      <c r="F1779" s="584" t="str">
        <f>+VLOOKUP(Tabla3[[#This Row],[PATENTE]],'BASE DATOS'!F:H,3,0)</f>
        <v>24P</v>
      </c>
      <c r="G1779" s="584" t="str">
        <f>+VLOOKUP(Tabla3[[#This Row],[PATENTE]],'BASE DATOS'!F:I,4,0)</f>
        <v>Gestya</v>
      </c>
      <c r="H1779" s="584" t="str">
        <f>+VLOOKUP(Tabla3[[#This Row],[PATENTE]],'BASE DATOS'!F:J,5,0)</f>
        <v xml:space="preserve">NO </v>
      </c>
      <c r="I1779" s="584" t="str">
        <f>+VLOOKUP(Tabla3[[#This Row],[PATENTE]],'BASE DATOS'!F:K,6,0)</f>
        <v>NO</v>
      </c>
      <c r="J1779" s="584">
        <f>+VLOOKUP(Tabla3[[#This Row],[PATENTE]],'BASE DATOS'!F:L,7,0)</f>
        <v>2010</v>
      </c>
      <c r="K1779" s="619">
        <f>+VLOOKUP(Tabla3[[#This Row],[PATENTE]],'BASE DATOS'!F:M,8,0)</f>
        <v>15</v>
      </c>
    </row>
    <row r="1780" spans="1:11" ht="15" hidden="1" customHeight="1">
      <c r="A1780" s="578" t="s">
        <v>943</v>
      </c>
      <c r="B1780" s="584">
        <v>2</v>
      </c>
      <c r="C1780" s="589">
        <v>46076</v>
      </c>
      <c r="D1780" s="582">
        <f t="shared" si="64"/>
        <v>9</v>
      </c>
      <c r="E1780" s="618" t="str">
        <f>+VLOOKUP(Tabla3[[#This Row],[PATENTE]],'BASE DATOS'!F:G,2,0)</f>
        <v>GANZINI HUGO - KTJ626</v>
      </c>
      <c r="F1780" s="584" t="str">
        <f>+VLOOKUP(Tabla3[[#This Row],[PATENTE]],'BASE DATOS'!F:H,3,0)</f>
        <v>8P</v>
      </c>
      <c r="G1780" s="584" t="str">
        <f>+VLOOKUP(Tabla3[[#This Row],[PATENTE]],'BASE DATOS'!F:I,4,0)</f>
        <v>NO</v>
      </c>
      <c r="H1780" s="584" t="str">
        <f>+VLOOKUP(Tabla3[[#This Row],[PATENTE]],'BASE DATOS'!F:J,5,0)</f>
        <v xml:space="preserve">NO </v>
      </c>
      <c r="I1780" s="584" t="str">
        <f>+VLOOKUP(Tabla3[[#This Row],[PATENTE]],'BASE DATOS'!F:K,6,0)</f>
        <v>NO</v>
      </c>
      <c r="J1780" s="584">
        <f>+VLOOKUP(Tabla3[[#This Row],[PATENTE]],'BASE DATOS'!F:L,7,0)</f>
        <v>2011</v>
      </c>
      <c r="K1780" s="619">
        <f>+VLOOKUP(Tabla3[[#This Row],[PATENTE]],'BASE DATOS'!F:M,8,0)</f>
        <v>14</v>
      </c>
    </row>
    <row r="1781" spans="1:11" ht="15" hidden="1" customHeight="1">
      <c r="A1781" s="578" t="s">
        <v>902</v>
      </c>
      <c r="B1781" s="584">
        <v>2</v>
      </c>
      <c r="C1781" s="589">
        <v>46076</v>
      </c>
      <c r="D1781" s="582">
        <f t="shared" si="64"/>
        <v>9</v>
      </c>
      <c r="E1781" s="618" t="str">
        <f>+VLOOKUP(Tabla3[[#This Row],[PATENTE]],'BASE DATOS'!F:G,2,0)</f>
        <v xml:space="preserve">GUSTAVO CERQUETTA - KZA644 </v>
      </c>
      <c r="F1781" s="584" t="str">
        <f>+VLOOKUP(Tabla3[[#This Row],[PATENTE]],'BASE DATOS'!F:H,3,0)</f>
        <v>2P</v>
      </c>
      <c r="G1781" s="584" t="str">
        <f>+VLOOKUP(Tabla3[[#This Row],[PATENTE]],'BASE DATOS'!F:I,4,0)</f>
        <v>NO</v>
      </c>
      <c r="H1781" s="584" t="str">
        <f>+VLOOKUP(Tabla3[[#This Row],[PATENTE]],'BASE DATOS'!F:J,5,0)</f>
        <v>SI</v>
      </c>
      <c r="I1781" s="584" t="str">
        <f>+VLOOKUP(Tabla3[[#This Row],[PATENTE]],'BASE DATOS'!F:K,6,0)</f>
        <v>NO</v>
      </c>
      <c r="J1781" s="584">
        <f>+VLOOKUP(Tabla3[[#This Row],[PATENTE]],'BASE DATOS'!F:L,7,0)</f>
        <v>2012</v>
      </c>
      <c r="K1781" s="619">
        <f>+VLOOKUP(Tabla3[[#This Row],[PATENTE]],'BASE DATOS'!F:M,8,0)</f>
        <v>13</v>
      </c>
    </row>
    <row r="1782" spans="1:11" ht="15" hidden="1" customHeight="1">
      <c r="A1782" s="578" t="s">
        <v>890</v>
      </c>
      <c r="B1782" s="584">
        <v>1</v>
      </c>
      <c r="C1782" s="589">
        <v>46076</v>
      </c>
      <c r="D1782" s="582">
        <f t="shared" si="64"/>
        <v>9</v>
      </c>
      <c r="E1782" s="618" t="str">
        <f>+VLOOKUP(Tabla3[[#This Row],[PATENTE]],'BASE DATOS'!F:G,2,0)</f>
        <v xml:space="preserve">TRANSPORTE GRACIELA - AC040RO </v>
      </c>
      <c r="F1782" s="584" t="str">
        <f>+VLOOKUP(Tabla3[[#This Row],[PATENTE]],'BASE DATOS'!F:H,3,0)</f>
        <v>1P</v>
      </c>
      <c r="G1782" s="584" t="str">
        <f>+VLOOKUP(Tabla3[[#This Row],[PATENTE]],'BASE DATOS'!F:I,4,0)</f>
        <v>SI</v>
      </c>
      <c r="H1782" s="584" t="str">
        <f>+VLOOKUP(Tabla3[[#This Row],[PATENTE]],'BASE DATOS'!F:J,5,0)</f>
        <v>ACEPTA( VER CAMI)</v>
      </c>
      <c r="I1782" s="584" t="str">
        <f>+VLOOKUP(Tabla3[[#This Row],[PATENTE]],'BASE DATOS'!F:K,6,0)</f>
        <v>NO</v>
      </c>
      <c r="J1782" s="584">
        <f>+VLOOKUP(Tabla3[[#This Row],[PATENTE]],'BASE DATOS'!F:L,7,0)</f>
        <v>2017</v>
      </c>
      <c r="K1782" s="619">
        <f>+VLOOKUP(Tabla3[[#This Row],[PATENTE]],'BASE DATOS'!F:M,8,0)</f>
        <v>8</v>
      </c>
    </row>
    <row r="1783" spans="1:11" ht="15" hidden="1" customHeight="1">
      <c r="A1783" s="578" t="s">
        <v>1129</v>
      </c>
      <c r="B1783" s="584">
        <v>1</v>
      </c>
      <c r="C1783" s="589">
        <v>46076</v>
      </c>
      <c r="D1783" s="582">
        <f t="shared" si="64"/>
        <v>9</v>
      </c>
      <c r="E1783" s="618" t="str">
        <f>+VLOOKUP(Tabla3[[#This Row],[PATENTE]],'BASE DATOS'!F:G,2,0)</f>
        <v>CM TRANS - 24P RETIRA CLIENTE</v>
      </c>
      <c r="F1783" s="584" t="str">
        <f>+VLOOKUP(Tabla3[[#This Row],[PATENTE]],'BASE DATOS'!F:H,3,0)</f>
        <v>24P</v>
      </c>
      <c r="G1783" s="584" t="str">
        <f>+VLOOKUP(Tabla3[[#This Row],[PATENTE]],'BASE DATOS'!F:I,4,0)</f>
        <v>NO</v>
      </c>
      <c r="H1783" s="584" t="str">
        <f>+VLOOKUP(Tabla3[[#This Row],[PATENTE]],'BASE DATOS'!F:J,5,0)</f>
        <v xml:space="preserve">NO </v>
      </c>
      <c r="I1783" s="584" t="str">
        <f>+VLOOKUP(Tabla3[[#This Row],[PATENTE]],'BASE DATOS'!F:K,6,0)</f>
        <v>NO</v>
      </c>
      <c r="J1783" s="584">
        <f>+VLOOKUP(Tabla3[[#This Row],[PATENTE]],'BASE DATOS'!F:L,7,0)</f>
        <v>0</v>
      </c>
      <c r="K1783" s="619">
        <f>+VLOOKUP(Tabla3[[#This Row],[PATENTE]],'BASE DATOS'!F:M,8,0)</f>
        <v>2025</v>
      </c>
    </row>
    <row r="1784" spans="1:11" ht="15" hidden="1" customHeight="1">
      <c r="A1784" s="578" t="s">
        <v>1137</v>
      </c>
      <c r="B1784" s="584">
        <v>1</v>
      </c>
      <c r="C1784" s="589">
        <v>46076</v>
      </c>
      <c r="D1784" s="582">
        <f t="shared" si="64"/>
        <v>9</v>
      </c>
      <c r="E1784" s="618" t="str">
        <f>+VLOOKUP(Tabla3[[#This Row],[PATENTE]],'BASE DATOS'!F:G,2,0)</f>
        <v xml:space="preserve">BELLIMAR SRL - AF456PB </v>
      </c>
      <c r="F1784" s="584" t="str">
        <f>+VLOOKUP(Tabla3[[#This Row],[PATENTE]],'BASE DATOS'!F:H,3,0)</f>
        <v>8P</v>
      </c>
      <c r="G1784" s="584" t="str">
        <f>+VLOOKUP(Tabla3[[#This Row],[PATENTE]],'BASE DATOS'!F:I,4,0)</f>
        <v>NO</v>
      </c>
      <c r="H1784" s="584" t="str">
        <f>+VLOOKUP(Tabla3[[#This Row],[PATENTE]],'BASE DATOS'!F:J,5,0)</f>
        <v xml:space="preserve">NO </v>
      </c>
      <c r="I1784" s="584" t="str">
        <f>+VLOOKUP(Tabla3[[#This Row],[PATENTE]],'BASE DATOS'!F:K,6,0)</f>
        <v>NO</v>
      </c>
      <c r="J1784" s="584">
        <f>+VLOOKUP(Tabla3[[#This Row],[PATENTE]],'BASE DATOS'!F:L,7,0)</f>
        <v>2022</v>
      </c>
      <c r="K1784" s="619">
        <f>+VLOOKUP(Tabla3[[#This Row],[PATENTE]],'BASE DATOS'!F:M,8,0)</f>
        <v>3</v>
      </c>
    </row>
    <row r="1785" spans="1:11" ht="15" hidden="1" customHeight="1">
      <c r="A1785" s="578" t="s">
        <v>942</v>
      </c>
      <c r="B1785" s="584">
        <v>1</v>
      </c>
      <c r="C1785" s="589">
        <v>46076</v>
      </c>
      <c r="D1785" s="582">
        <f t="shared" si="64"/>
        <v>9</v>
      </c>
      <c r="E1785" s="618" t="str">
        <f>+VLOOKUP(Tabla3[[#This Row],[PATENTE]],'BASE DATOS'!F:G,2,0)</f>
        <v>GANZINI HUGO - AH599 - 1P</v>
      </c>
      <c r="F1785" s="584" t="str">
        <f>+VLOOKUP(Tabla3[[#This Row],[PATENTE]],'BASE DATOS'!F:H,3,0)</f>
        <v>1P</v>
      </c>
      <c r="G1785" s="584" t="str">
        <f>+VLOOKUP(Tabla3[[#This Row],[PATENTE]],'BASE DATOS'!F:I,4,0)</f>
        <v>NO</v>
      </c>
      <c r="H1785" s="584" t="str">
        <f>+VLOOKUP(Tabla3[[#This Row],[PATENTE]],'BASE DATOS'!F:J,5,0)</f>
        <v>NO</v>
      </c>
      <c r="I1785" s="584" t="str">
        <f>+VLOOKUP(Tabla3[[#This Row],[PATENTE]],'BASE DATOS'!F:K,6,0)</f>
        <v>NO</v>
      </c>
      <c r="J1785" s="584">
        <f>+VLOOKUP(Tabla3[[#This Row],[PATENTE]],'BASE DATOS'!F:L,7,0)</f>
        <v>2025</v>
      </c>
      <c r="K1785" s="619">
        <f>+VLOOKUP(Tabla3[[#This Row],[PATENTE]],'BASE DATOS'!F:M,8,0)</f>
        <v>0</v>
      </c>
    </row>
    <row r="1786" spans="1:11" ht="15" hidden="1" customHeight="1">
      <c r="A1786" s="578" t="s">
        <v>944</v>
      </c>
      <c r="B1786" s="584">
        <v>1</v>
      </c>
      <c r="C1786" s="589">
        <v>46076</v>
      </c>
      <c r="D1786" s="582">
        <f t="shared" si="64"/>
        <v>9</v>
      </c>
      <c r="E1786" s="618" t="str">
        <f>+VLOOKUP(Tabla3[[#This Row],[PATENTE]],'BASE DATOS'!F:G,2,0)</f>
        <v xml:space="preserve">TRANSPORTE GENA GAIA - BHG261 </v>
      </c>
      <c r="F1786" s="584" t="str">
        <f>+VLOOKUP(Tabla3[[#This Row],[PATENTE]],'BASE DATOS'!F:H,3,0)</f>
        <v>26P</v>
      </c>
      <c r="G1786" s="584" t="str">
        <f>+VLOOKUP(Tabla3[[#This Row],[PATENTE]],'BASE DATOS'!F:I,4,0)</f>
        <v>Gestya</v>
      </c>
      <c r="H1786" s="584" t="str">
        <f>+VLOOKUP(Tabla3[[#This Row],[PATENTE]],'BASE DATOS'!F:J,5,0)</f>
        <v xml:space="preserve">NO </v>
      </c>
      <c r="I1786" s="584" t="str">
        <f>+VLOOKUP(Tabla3[[#This Row],[PATENTE]],'BASE DATOS'!F:K,6,0)</f>
        <v>NO</v>
      </c>
      <c r="J1786" s="584">
        <f>+VLOOKUP(Tabla3[[#This Row],[PATENTE]],'BASE DATOS'!F:L,7,0)</f>
        <v>1997</v>
      </c>
      <c r="K1786" s="619">
        <f>+VLOOKUP(Tabla3[[#This Row],[PATENTE]],'BASE DATOS'!F:M,8,0)</f>
        <v>28</v>
      </c>
    </row>
    <row r="1787" spans="1:11" ht="15" hidden="1" customHeight="1">
      <c r="A1787" s="578" t="s">
        <v>927</v>
      </c>
      <c r="B1787" s="584">
        <v>1</v>
      </c>
      <c r="C1787" s="589">
        <v>46076</v>
      </c>
      <c r="D1787" s="582">
        <f t="shared" si="64"/>
        <v>9</v>
      </c>
      <c r="E1787" s="618" t="str">
        <f>+VLOOKUP(Tabla3[[#This Row],[PATENTE]],'BASE DATOS'!F:G,2,0)</f>
        <v xml:space="preserve">TRANSP MAVIR - EKE275 </v>
      </c>
      <c r="F1787" s="584" t="str">
        <f>+VLOOKUP(Tabla3[[#This Row],[PATENTE]],'BASE DATOS'!F:H,3,0)</f>
        <v>11P</v>
      </c>
      <c r="G1787" s="584" t="str">
        <f>+VLOOKUP(Tabla3[[#This Row],[PATENTE]],'BASE DATOS'!F:I,4,0)</f>
        <v>NO</v>
      </c>
      <c r="H1787" s="584" t="str">
        <f>+VLOOKUP(Tabla3[[#This Row],[PATENTE]],'BASE DATOS'!F:J,5,0)</f>
        <v xml:space="preserve">NO </v>
      </c>
      <c r="I1787" s="584" t="str">
        <f>+VLOOKUP(Tabla3[[#This Row],[PATENTE]],'BASE DATOS'!F:K,6,0)</f>
        <v>NO</v>
      </c>
      <c r="J1787" s="584">
        <f>+VLOOKUP(Tabla3[[#This Row],[PATENTE]],'BASE DATOS'!F:L,7,0)</f>
        <v>2004</v>
      </c>
      <c r="K1787" s="619">
        <f>+VLOOKUP(Tabla3[[#This Row],[PATENTE]],'BASE DATOS'!F:M,8,0)</f>
        <v>21</v>
      </c>
    </row>
    <row r="1788" spans="1:11" ht="15" hidden="1" customHeight="1">
      <c r="A1788" s="578" t="s">
        <v>892</v>
      </c>
      <c r="B1788" s="584">
        <v>1</v>
      </c>
      <c r="C1788" s="589">
        <v>46076</v>
      </c>
      <c r="D1788" s="582">
        <f t="shared" si="64"/>
        <v>9</v>
      </c>
      <c r="E1788" s="618" t="str">
        <f>+VLOOKUP(Tabla3[[#This Row],[PATENTE]],'BASE DATOS'!F:G,2,0)</f>
        <v xml:space="preserve">COLO - FTL525 </v>
      </c>
      <c r="F1788" s="584" t="str">
        <f>+VLOOKUP(Tabla3[[#This Row],[PATENTE]],'BASE DATOS'!F:H,3,0)</f>
        <v>1P</v>
      </c>
      <c r="G1788" s="584" t="str">
        <f>+VLOOKUP(Tabla3[[#This Row],[PATENTE]],'BASE DATOS'!F:I,4,0)</f>
        <v>NO</v>
      </c>
      <c r="H1788" s="584" t="str">
        <f>+VLOOKUP(Tabla3[[#This Row],[PATENTE]],'BASE DATOS'!F:J,5,0)</f>
        <v>SI</v>
      </c>
      <c r="I1788" s="584" t="str">
        <f>+VLOOKUP(Tabla3[[#This Row],[PATENTE]],'BASE DATOS'!F:K,6,0)</f>
        <v>NO</v>
      </c>
      <c r="J1788" s="584">
        <f>+VLOOKUP(Tabla3[[#This Row],[PATENTE]],'BASE DATOS'!F:L,7,0)</f>
        <v>2008</v>
      </c>
      <c r="K1788" s="619">
        <f>+VLOOKUP(Tabla3[[#This Row],[PATENTE]],'BASE DATOS'!F:M,8,0)</f>
        <v>17</v>
      </c>
    </row>
    <row r="1789" spans="1:11" ht="15" hidden="1" customHeight="1">
      <c r="A1789" s="581" t="s">
        <v>930</v>
      </c>
      <c r="B1789" s="587">
        <v>1</v>
      </c>
      <c r="C1789" s="589">
        <v>46076</v>
      </c>
      <c r="D1789" s="583">
        <f t="shared" si="64"/>
        <v>9</v>
      </c>
      <c r="E1789" s="620" t="str">
        <f>+VLOOKUP(Tabla3[[#This Row],[PATENTE]],'BASE DATOS'!F:G,2,0)</f>
        <v xml:space="preserve">GANZINI HUGO - JJF375 </v>
      </c>
      <c r="F1789" s="587" t="str">
        <f>+VLOOKUP(Tabla3[[#This Row],[PATENTE]],'BASE DATOS'!F:H,3,0)</f>
        <v>14P</v>
      </c>
      <c r="G1789" s="587" t="str">
        <f>+VLOOKUP(Tabla3[[#This Row],[PATENTE]],'BASE DATOS'!F:I,4,0)</f>
        <v>SI</v>
      </c>
      <c r="H1789" s="587" t="str">
        <f>+VLOOKUP(Tabla3[[#This Row],[PATENTE]],'BASE DATOS'!F:J,5,0)</f>
        <v xml:space="preserve">NO </v>
      </c>
      <c r="I1789" s="587" t="str">
        <f>+VLOOKUP(Tabla3[[#This Row],[PATENTE]],'BASE DATOS'!F:K,6,0)</f>
        <v>NO</v>
      </c>
      <c r="J1789" s="587">
        <f>+VLOOKUP(Tabla3[[#This Row],[PATENTE]],'BASE DATOS'!F:L,7,0)</f>
        <v>2011</v>
      </c>
      <c r="K1789" s="621">
        <f>+VLOOKUP(Tabla3[[#This Row],[PATENTE]],'BASE DATOS'!F:M,8,0)</f>
        <v>14</v>
      </c>
    </row>
    <row r="1790" spans="1:11" ht="15" customHeight="1">
      <c r="A1790" s="578" t="s">
        <v>898</v>
      </c>
      <c r="B1790" s="584">
        <v>6</v>
      </c>
      <c r="C1790" s="589">
        <v>46083</v>
      </c>
      <c r="D1790" s="582">
        <f t="shared" ref="D1790:D1837" si="65">+WEEKNUM(C1790)</f>
        <v>10</v>
      </c>
      <c r="E1790" s="618" t="str">
        <f>+VLOOKUP(Tabla3[[#This Row],[PATENTE]],'BASE DATOS'!F:G,2,0)</f>
        <v xml:space="preserve">TRANSP BERMEJO - NXP980 </v>
      </c>
      <c r="F1790" s="584" t="str">
        <f>+VLOOKUP(Tabla3[[#This Row],[PATENTE]],'BASE DATOS'!F:H,3,0)</f>
        <v>12P</v>
      </c>
      <c r="G1790" s="584" t="str">
        <f>+VLOOKUP(Tabla3[[#This Row],[PATENTE]],'BASE DATOS'!F:I,4,0)</f>
        <v>SI</v>
      </c>
      <c r="H1790" s="584" t="str">
        <f>+VLOOKUP(Tabla3[[#This Row],[PATENTE]],'BASE DATOS'!F:J,5,0)</f>
        <v>SI</v>
      </c>
      <c r="I1790" s="584" t="str">
        <f>+VLOOKUP(Tabla3[[#This Row],[PATENTE]],'BASE DATOS'!F:K,6,0)</f>
        <v>SI</v>
      </c>
      <c r="J1790" s="584">
        <f>+VLOOKUP(Tabla3[[#This Row],[PATENTE]],'BASE DATOS'!F:L,7,0)</f>
        <v>2015</v>
      </c>
      <c r="K1790" s="619">
        <f>+VLOOKUP(Tabla3[[#This Row],[PATENTE]],'BASE DATOS'!F:M,8,0)</f>
        <v>10</v>
      </c>
    </row>
    <row r="1791" spans="1:11" ht="15" customHeight="1">
      <c r="A1791" s="578" t="s">
        <v>920</v>
      </c>
      <c r="B1791" s="584">
        <v>6</v>
      </c>
      <c r="C1791" s="589">
        <v>46083</v>
      </c>
      <c r="D1791" s="582">
        <f t="shared" si="65"/>
        <v>10</v>
      </c>
      <c r="E1791" s="618" t="str">
        <f>+VLOOKUP(Tabla3[[#This Row],[PATENTE]],'BASE DATOS'!F:G,2,0)</f>
        <v xml:space="preserve">TRANSP LAGOS - MRV682 </v>
      </c>
      <c r="F1791" s="584" t="str">
        <f>+VLOOKUP(Tabla3[[#This Row],[PATENTE]],'BASE DATOS'!F:H,3,0)</f>
        <v>8P</v>
      </c>
      <c r="G1791" s="584" t="str">
        <f>+VLOOKUP(Tabla3[[#This Row],[PATENTE]],'BASE DATOS'!F:I,4,0)</f>
        <v>SI</v>
      </c>
      <c r="H1791" s="584" t="str">
        <f>+VLOOKUP(Tabla3[[#This Row],[PATENTE]],'BASE DATOS'!F:J,5,0)</f>
        <v>SI</v>
      </c>
      <c r="I1791" s="584" t="str">
        <f>+VLOOKUP(Tabla3[[#This Row],[PATENTE]],'BASE DATOS'!F:K,6,0)</f>
        <v>NO</v>
      </c>
      <c r="J1791" s="584">
        <f>+VLOOKUP(Tabla3[[#This Row],[PATENTE]],'BASE DATOS'!F:L,7,0)</f>
        <v>2013</v>
      </c>
      <c r="K1791" s="619">
        <f>+VLOOKUP(Tabla3[[#This Row],[PATENTE]],'BASE DATOS'!F:M,8,0)</f>
        <v>12</v>
      </c>
    </row>
    <row r="1792" spans="1:11" ht="15" customHeight="1">
      <c r="A1792" s="578" t="s">
        <v>901</v>
      </c>
      <c r="B1792" s="584">
        <v>6</v>
      </c>
      <c r="C1792" s="589">
        <v>46083</v>
      </c>
      <c r="D1792" s="582">
        <f t="shared" si="65"/>
        <v>10</v>
      </c>
      <c r="E1792" s="618" t="str">
        <f>+VLOOKUP(Tabla3[[#This Row],[PATENTE]],'BASE DATOS'!F:G,2,0)</f>
        <v xml:space="preserve">TRANSPORTE  GRACIELA - IYE750 </v>
      </c>
      <c r="F1792" s="584" t="str">
        <f>+VLOOKUP(Tabla3[[#This Row],[PATENTE]],'BASE DATOS'!F:H,3,0)</f>
        <v>1P</v>
      </c>
      <c r="G1792" s="584" t="str">
        <f>+VLOOKUP(Tabla3[[#This Row],[PATENTE]],'BASE DATOS'!F:I,4,0)</f>
        <v>NO</v>
      </c>
      <c r="H1792" s="584" t="str">
        <f>+VLOOKUP(Tabla3[[#This Row],[PATENTE]],'BASE DATOS'!F:J,5,0)</f>
        <v>SI</v>
      </c>
      <c r="I1792" s="584" t="str">
        <f>+VLOOKUP(Tabla3[[#This Row],[PATENTE]],'BASE DATOS'!F:K,6,0)</f>
        <v>NO</v>
      </c>
      <c r="J1792" s="584">
        <f>+VLOOKUP(Tabla3[[#This Row],[PATENTE]],'BASE DATOS'!F:L,7,0)</f>
        <v>2009</v>
      </c>
      <c r="K1792" s="619">
        <f>+VLOOKUP(Tabla3[[#This Row],[PATENTE]],'BASE DATOS'!F:M,8,0)</f>
        <v>16</v>
      </c>
    </row>
    <row r="1793" spans="1:11" ht="15" customHeight="1">
      <c r="A1793" s="578" t="s">
        <v>885</v>
      </c>
      <c r="B1793" s="584">
        <v>6</v>
      </c>
      <c r="C1793" s="589">
        <v>46083</v>
      </c>
      <c r="D1793" s="582">
        <f t="shared" si="65"/>
        <v>10</v>
      </c>
      <c r="E1793" s="618" t="str">
        <f>+VLOOKUP(Tabla3[[#This Row],[PATENTE]],'BASE DATOS'!F:G,2,0)</f>
        <v xml:space="preserve">TRANSP DON NENO - IES288 </v>
      </c>
      <c r="F1793" s="584" t="str">
        <f>+VLOOKUP(Tabla3[[#This Row],[PATENTE]],'BASE DATOS'!F:H,3,0)</f>
        <v>2P</v>
      </c>
      <c r="G1793" s="584" t="str">
        <f>+VLOOKUP(Tabla3[[#This Row],[PATENTE]],'BASE DATOS'!F:I,4,0)</f>
        <v>SI</v>
      </c>
      <c r="H1793" s="584" t="str">
        <f>+VLOOKUP(Tabla3[[#This Row],[PATENTE]],'BASE DATOS'!F:J,5,0)</f>
        <v>SI</v>
      </c>
      <c r="I1793" s="584" t="str">
        <f>+VLOOKUP(Tabla3[[#This Row],[PATENTE]],'BASE DATOS'!F:K,6,0)</f>
        <v>NO</v>
      </c>
      <c r="J1793" s="584">
        <f>+VLOOKUP(Tabla3[[#This Row],[PATENTE]],'BASE DATOS'!F:L,7,0)</f>
        <v>2009</v>
      </c>
      <c r="K1793" s="619">
        <f>+VLOOKUP(Tabla3[[#This Row],[PATENTE]],'BASE DATOS'!F:M,8,0)</f>
        <v>16</v>
      </c>
    </row>
    <row r="1794" spans="1:11" ht="15" customHeight="1">
      <c r="A1794" s="578" t="s">
        <v>889</v>
      </c>
      <c r="B1794" s="584">
        <v>6</v>
      </c>
      <c r="C1794" s="589">
        <v>46083</v>
      </c>
      <c r="D1794" s="582">
        <f t="shared" si="65"/>
        <v>10</v>
      </c>
      <c r="E1794" s="618" t="str">
        <f>+VLOOKUP(Tabla3[[#This Row],[PATENTE]],'BASE DATOS'!F:G,2,0)</f>
        <v xml:space="preserve">COLO - HAW164 </v>
      </c>
      <c r="F1794" s="584" t="str">
        <f>+VLOOKUP(Tabla3[[#This Row],[PATENTE]],'BASE DATOS'!F:H,3,0)</f>
        <v>6P</v>
      </c>
      <c r="G1794" s="584" t="str">
        <f>+VLOOKUP(Tabla3[[#This Row],[PATENTE]],'BASE DATOS'!F:I,4,0)</f>
        <v>NO</v>
      </c>
      <c r="H1794" s="584" t="str">
        <f>+VLOOKUP(Tabla3[[#This Row],[PATENTE]],'BASE DATOS'!F:J,5,0)</f>
        <v>SI</v>
      </c>
      <c r="I1794" s="584" t="str">
        <f>+VLOOKUP(Tabla3[[#This Row],[PATENTE]],'BASE DATOS'!F:K,6,0)</f>
        <v>NO</v>
      </c>
      <c r="J1794" s="584">
        <f>+VLOOKUP(Tabla3[[#This Row],[PATENTE]],'BASE DATOS'!F:L,7,0)</f>
        <v>2009</v>
      </c>
      <c r="K1794" s="619">
        <f>+VLOOKUP(Tabla3[[#This Row],[PATENTE]],'BASE DATOS'!F:M,8,0)</f>
        <v>16</v>
      </c>
    </row>
    <row r="1795" spans="1:11" ht="15" customHeight="1">
      <c r="A1795" s="578" t="s">
        <v>932</v>
      </c>
      <c r="B1795" s="584">
        <v>6</v>
      </c>
      <c r="C1795" s="589">
        <v>46083</v>
      </c>
      <c r="D1795" s="582">
        <f t="shared" si="65"/>
        <v>10</v>
      </c>
      <c r="E1795" s="618" t="str">
        <f>+VLOOKUP(Tabla3[[#This Row],[PATENTE]],'BASE DATOS'!F:G,2,0)</f>
        <v xml:space="preserve">TRANSP MAVIR - EFL176 </v>
      </c>
      <c r="F1795" s="584" t="str">
        <f>+VLOOKUP(Tabla3[[#This Row],[PATENTE]],'BASE DATOS'!F:H,3,0)</f>
        <v>12P</v>
      </c>
      <c r="G1795" s="584" t="str">
        <f>+VLOOKUP(Tabla3[[#This Row],[PATENTE]],'BASE DATOS'!F:I,4,0)</f>
        <v>SI</v>
      </c>
      <c r="H1795" s="584" t="str">
        <f>+VLOOKUP(Tabla3[[#This Row],[PATENTE]],'BASE DATOS'!F:J,5,0)</f>
        <v>SI</v>
      </c>
      <c r="I1795" s="584" t="str">
        <f>+VLOOKUP(Tabla3[[#This Row],[PATENTE]],'BASE DATOS'!F:K,6,0)</f>
        <v>NO</v>
      </c>
      <c r="J1795" s="584">
        <f>+VLOOKUP(Tabla3[[#This Row],[PATENTE]],'BASE DATOS'!F:L,7,0)</f>
        <v>1998</v>
      </c>
      <c r="K1795" s="619">
        <f>+VLOOKUP(Tabla3[[#This Row],[PATENTE]],'BASE DATOS'!F:M,8,0)</f>
        <v>27</v>
      </c>
    </row>
    <row r="1796" spans="1:11" ht="15" customHeight="1">
      <c r="A1796" s="578" t="s">
        <v>904</v>
      </c>
      <c r="B1796" s="584">
        <v>6</v>
      </c>
      <c r="C1796" s="589">
        <v>46083</v>
      </c>
      <c r="D1796" s="582">
        <f t="shared" si="65"/>
        <v>10</v>
      </c>
      <c r="E1796" s="618" t="str">
        <f>+VLOOKUP(Tabla3[[#This Row],[PATENTE]],'BASE DATOS'!F:G,2,0)</f>
        <v xml:space="preserve">ENRIQUE ROLLINO - DFO656 </v>
      </c>
      <c r="F1796" s="584" t="str">
        <f>+VLOOKUP(Tabla3[[#This Row],[PATENTE]],'BASE DATOS'!F:H,3,0)</f>
        <v>6P</v>
      </c>
      <c r="G1796" s="584" t="str">
        <f>+VLOOKUP(Tabla3[[#This Row],[PATENTE]],'BASE DATOS'!F:I,4,0)</f>
        <v>SI</v>
      </c>
      <c r="H1796" s="584" t="str">
        <f>+VLOOKUP(Tabla3[[#This Row],[PATENTE]],'BASE DATOS'!F:J,5,0)</f>
        <v>SI</v>
      </c>
      <c r="I1796" s="584" t="str">
        <f>+VLOOKUP(Tabla3[[#This Row],[PATENTE]],'BASE DATOS'!F:K,6,0)</f>
        <v>NO</v>
      </c>
      <c r="J1796" s="584">
        <f>+VLOOKUP(Tabla3[[#This Row],[PATENTE]],'BASE DATOS'!F:L,7,0)</f>
        <v>2000</v>
      </c>
      <c r="K1796" s="619">
        <f>+VLOOKUP(Tabla3[[#This Row],[PATENTE]],'BASE DATOS'!F:M,8,0)</f>
        <v>25</v>
      </c>
    </row>
    <row r="1797" spans="1:11" ht="15" customHeight="1">
      <c r="A1797" s="578" t="s">
        <v>903</v>
      </c>
      <c r="B1797" s="584">
        <v>6</v>
      </c>
      <c r="C1797" s="589">
        <v>46083</v>
      </c>
      <c r="D1797" s="582">
        <f t="shared" si="65"/>
        <v>10</v>
      </c>
      <c r="E1797" s="618" t="str">
        <f>+VLOOKUP(Tabla3[[#This Row],[PATENTE]],'BASE DATOS'!F:G,2,0)</f>
        <v xml:space="preserve">TRANSP CLAUDIO BUSTOS - AG243PE </v>
      </c>
      <c r="F1797" s="584" t="str">
        <f>+VLOOKUP(Tabla3[[#This Row],[PATENTE]],'BASE DATOS'!F:H,3,0)</f>
        <v>1P</v>
      </c>
      <c r="G1797" s="584" t="str">
        <f>+VLOOKUP(Tabla3[[#This Row],[PATENTE]],'BASE DATOS'!F:I,4,0)</f>
        <v>SI</v>
      </c>
      <c r="H1797" s="584" t="str">
        <f>+VLOOKUP(Tabla3[[#This Row],[PATENTE]],'BASE DATOS'!F:J,5,0)</f>
        <v>SI</v>
      </c>
      <c r="I1797" s="584" t="str">
        <f>+VLOOKUP(Tabla3[[#This Row],[PATENTE]],'BASE DATOS'!F:K,6,0)</f>
        <v>NO</v>
      </c>
      <c r="J1797" s="584">
        <f>+VLOOKUP(Tabla3[[#This Row],[PATENTE]],'BASE DATOS'!F:L,7,0)</f>
        <v>2024</v>
      </c>
      <c r="K1797" s="619">
        <f>+VLOOKUP(Tabla3[[#This Row],[PATENTE]],'BASE DATOS'!F:M,8,0)</f>
        <v>1</v>
      </c>
    </row>
    <row r="1798" spans="1:11" ht="15" customHeight="1">
      <c r="A1798" s="578" t="s">
        <v>895</v>
      </c>
      <c r="B1798" s="584">
        <v>6</v>
      </c>
      <c r="C1798" s="589">
        <v>46083</v>
      </c>
      <c r="D1798" s="582">
        <f t="shared" si="65"/>
        <v>10</v>
      </c>
      <c r="E1798" s="618" t="str">
        <f>+VLOOKUP(Tabla3[[#This Row],[PATENTE]],'BASE DATOS'!F:G,2,0)</f>
        <v xml:space="preserve">TRANSPORTE MICAELA </v>
      </c>
      <c r="F1798" s="584" t="str">
        <f>+VLOOKUP(Tabla3[[#This Row],[PATENTE]],'BASE DATOS'!F:H,3,0)</f>
        <v>2P</v>
      </c>
      <c r="G1798" s="584" t="str">
        <f>+VLOOKUP(Tabla3[[#This Row],[PATENTE]],'BASE DATOS'!F:I,4,0)</f>
        <v>NO</v>
      </c>
      <c r="H1798" s="584" t="str">
        <f>+VLOOKUP(Tabla3[[#This Row],[PATENTE]],'BASE DATOS'!F:J,5,0)</f>
        <v>SI</v>
      </c>
      <c r="I1798" s="584" t="str">
        <f>+VLOOKUP(Tabla3[[#This Row],[PATENTE]],'BASE DATOS'!F:K,6,0)</f>
        <v>NO</v>
      </c>
      <c r="J1798" s="584">
        <f>+VLOOKUP(Tabla3[[#This Row],[PATENTE]],'BASE DATOS'!F:L,7,0)</f>
        <v>2024</v>
      </c>
      <c r="K1798" s="619">
        <f>+VLOOKUP(Tabla3[[#This Row],[PATENTE]],'BASE DATOS'!F:M,8,0)</f>
        <v>1</v>
      </c>
    </row>
    <row r="1799" spans="1:11" ht="15" customHeight="1">
      <c r="A1799" s="578" t="s">
        <v>888</v>
      </c>
      <c r="B1799" s="584">
        <v>6</v>
      </c>
      <c r="C1799" s="589">
        <v>46083</v>
      </c>
      <c r="D1799" s="582">
        <f t="shared" si="65"/>
        <v>10</v>
      </c>
      <c r="E1799" s="618" t="str">
        <f>+VLOOKUP(Tabla3[[#This Row],[PATENTE]],'BASE DATOS'!F:G,2,0)</f>
        <v xml:space="preserve">TRANSP FIRST CLASS - AD535UI </v>
      </c>
      <c r="F1799" s="584" t="str">
        <f>+VLOOKUP(Tabla3[[#This Row],[PATENTE]],'BASE DATOS'!F:H,3,0)</f>
        <v>6P</v>
      </c>
      <c r="G1799" s="584" t="str">
        <f>+VLOOKUP(Tabla3[[#This Row],[PATENTE]],'BASE DATOS'!F:I,4,0)</f>
        <v>SI</v>
      </c>
      <c r="H1799" s="584" t="str">
        <f>+VLOOKUP(Tabla3[[#This Row],[PATENTE]],'BASE DATOS'!F:J,5,0)</f>
        <v>SI</v>
      </c>
      <c r="I1799" s="584" t="str">
        <f>+VLOOKUP(Tabla3[[#This Row],[PATENTE]],'BASE DATOS'!F:K,6,0)</f>
        <v>NO</v>
      </c>
      <c r="J1799" s="584">
        <f>+VLOOKUP(Tabla3[[#This Row],[PATENTE]],'BASE DATOS'!F:L,7,0)</f>
        <v>2019</v>
      </c>
      <c r="K1799" s="619">
        <f>+VLOOKUP(Tabla3[[#This Row],[PATENTE]],'BASE DATOS'!F:M,8,0)</f>
        <v>6</v>
      </c>
    </row>
    <row r="1800" spans="1:11" ht="15" customHeight="1">
      <c r="A1800" s="578" t="s">
        <v>905</v>
      </c>
      <c r="B1800" s="584">
        <v>6</v>
      </c>
      <c r="C1800" s="589">
        <v>46083</v>
      </c>
      <c r="D1800" s="582">
        <f t="shared" si="65"/>
        <v>10</v>
      </c>
      <c r="E1800" s="618" t="str">
        <f>+VLOOKUP(Tabla3[[#This Row],[PATENTE]],'BASE DATOS'!F:G,2,0)</f>
        <v xml:space="preserve">J RIMOLDI - AB312SE </v>
      </c>
      <c r="F1800" s="584" t="str">
        <f>+VLOOKUP(Tabla3[[#This Row],[PATENTE]],'BASE DATOS'!F:H,3,0)</f>
        <v>8P</v>
      </c>
      <c r="G1800" s="584" t="str">
        <f>+VLOOKUP(Tabla3[[#This Row],[PATENTE]],'BASE DATOS'!F:I,4,0)</f>
        <v>SI</v>
      </c>
      <c r="H1800" s="584" t="str">
        <f>+VLOOKUP(Tabla3[[#This Row],[PATENTE]],'BASE DATOS'!F:J,5,0)</f>
        <v>SI</v>
      </c>
      <c r="I1800" s="584" t="str">
        <f>+VLOOKUP(Tabla3[[#This Row],[PATENTE]],'BASE DATOS'!F:K,6,0)</f>
        <v>NO</v>
      </c>
      <c r="J1800" s="584">
        <f>+VLOOKUP(Tabla3[[#This Row],[PATENTE]],'BASE DATOS'!F:L,7,0)</f>
        <v>2017</v>
      </c>
      <c r="K1800" s="619">
        <f>+VLOOKUP(Tabla3[[#This Row],[PATENTE]],'BASE DATOS'!F:M,8,0)</f>
        <v>8</v>
      </c>
    </row>
    <row r="1801" spans="1:11" ht="15" customHeight="1">
      <c r="A1801" s="578" t="s">
        <v>884</v>
      </c>
      <c r="B1801" s="584">
        <v>6</v>
      </c>
      <c r="C1801" s="589">
        <v>46083</v>
      </c>
      <c r="D1801" s="582">
        <f t="shared" si="65"/>
        <v>10</v>
      </c>
      <c r="E1801" s="618" t="str">
        <f>+VLOOKUP(Tabla3[[#This Row],[PATENTE]],'BASE DATOS'!F:G,2,0)</f>
        <v xml:space="preserve">LAURIA (SERVAL) - AB233IT </v>
      </c>
      <c r="F1801" s="584" t="str">
        <f>+VLOOKUP(Tabla3[[#This Row],[PATENTE]],'BASE DATOS'!F:H,3,0)</f>
        <v>6P</v>
      </c>
      <c r="G1801" s="584" t="str">
        <f>+VLOOKUP(Tabla3[[#This Row],[PATENTE]],'BASE DATOS'!F:I,4,0)</f>
        <v>SI</v>
      </c>
      <c r="H1801" s="584" t="str">
        <f>+VLOOKUP(Tabla3[[#This Row],[PATENTE]],'BASE DATOS'!F:J,5,0)</f>
        <v>SI</v>
      </c>
      <c r="I1801" s="584" t="str">
        <f>+VLOOKUP(Tabla3[[#This Row],[PATENTE]],'BASE DATOS'!F:K,6,0)</f>
        <v>NO</v>
      </c>
      <c r="J1801" s="584">
        <f>+VLOOKUP(Tabla3[[#This Row],[PATENTE]],'BASE DATOS'!F:L,7,0)</f>
        <v>2017</v>
      </c>
      <c r="K1801" s="619">
        <f>+VLOOKUP(Tabla3[[#This Row],[PATENTE]],'BASE DATOS'!F:M,8,0)</f>
        <v>8</v>
      </c>
    </row>
    <row r="1802" spans="1:11" ht="15" customHeight="1">
      <c r="A1802" s="578" t="s">
        <v>878</v>
      </c>
      <c r="B1802" s="584">
        <v>6</v>
      </c>
      <c r="C1802" s="589">
        <v>46083</v>
      </c>
      <c r="D1802" s="582">
        <f t="shared" si="65"/>
        <v>10</v>
      </c>
      <c r="E1802" s="618" t="str">
        <f>+VLOOKUP(Tabla3[[#This Row],[PATENTE]],'BASE DATOS'!F:G,2,0)</f>
        <v xml:space="preserve">PACHECO JULIO - AA854LY </v>
      </c>
      <c r="F1802" s="584" t="str">
        <f>+VLOOKUP(Tabla3[[#This Row],[PATENTE]],'BASE DATOS'!F:H,3,0)</f>
        <v>7P</v>
      </c>
      <c r="G1802" s="584" t="str">
        <f>+VLOOKUP(Tabla3[[#This Row],[PATENTE]],'BASE DATOS'!F:I,4,0)</f>
        <v>SI</v>
      </c>
      <c r="H1802" s="584" t="str">
        <f>+VLOOKUP(Tabla3[[#This Row],[PATENTE]],'BASE DATOS'!F:J,5,0)</f>
        <v>SI</v>
      </c>
      <c r="I1802" s="584" t="str">
        <f>+VLOOKUP(Tabla3[[#This Row],[PATENTE]],'BASE DATOS'!F:K,6,0)</f>
        <v>NO</v>
      </c>
      <c r="J1802" s="584">
        <f>+VLOOKUP(Tabla3[[#This Row],[PATENTE]],'BASE DATOS'!F:L,7,0)</f>
        <v>2016</v>
      </c>
      <c r="K1802" s="619">
        <f>+VLOOKUP(Tabla3[[#This Row],[PATENTE]],'BASE DATOS'!F:M,8,0)</f>
        <v>9</v>
      </c>
    </row>
    <row r="1803" spans="1:11" ht="15" customHeight="1">
      <c r="A1803" s="578" t="s">
        <v>879</v>
      </c>
      <c r="B1803" s="584">
        <v>5</v>
      </c>
      <c r="C1803" s="589">
        <v>46083</v>
      </c>
      <c r="D1803" s="582">
        <f t="shared" si="65"/>
        <v>10</v>
      </c>
      <c r="E1803" s="618" t="str">
        <f>+VLOOKUP(Tabla3[[#This Row],[PATENTE]],'BASE DATOS'!F:G,2,0)</f>
        <v xml:space="preserve">TRANSP JP - OYP470 </v>
      </c>
      <c r="F1803" s="584" t="str">
        <f>+VLOOKUP(Tabla3[[#This Row],[PATENTE]],'BASE DATOS'!F:H,3,0)</f>
        <v>8P</v>
      </c>
      <c r="G1803" s="584" t="str">
        <f>+VLOOKUP(Tabla3[[#This Row],[PATENTE]],'BASE DATOS'!F:I,4,0)</f>
        <v>SI</v>
      </c>
      <c r="H1803" s="584" t="str">
        <f>+VLOOKUP(Tabla3[[#This Row],[PATENTE]],'BASE DATOS'!F:J,5,0)</f>
        <v>SI</v>
      </c>
      <c r="I1803" s="584" t="str">
        <f>+VLOOKUP(Tabla3[[#This Row],[PATENTE]],'BASE DATOS'!F:K,6,0)</f>
        <v>NO</v>
      </c>
      <c r="J1803" s="584">
        <f>+VLOOKUP(Tabla3[[#This Row],[PATENTE]],'BASE DATOS'!F:L,7,0)</f>
        <v>2011</v>
      </c>
      <c r="K1803" s="619">
        <f>+VLOOKUP(Tabla3[[#This Row],[PATENTE]],'BASE DATOS'!F:M,8,0)</f>
        <v>14</v>
      </c>
    </row>
    <row r="1804" spans="1:11" ht="15" customHeight="1">
      <c r="A1804" s="578" t="s">
        <v>877</v>
      </c>
      <c r="B1804" s="584">
        <v>5</v>
      </c>
      <c r="C1804" s="589">
        <v>46083</v>
      </c>
      <c r="D1804" s="582">
        <f t="shared" si="65"/>
        <v>10</v>
      </c>
      <c r="E1804" s="618" t="str">
        <f>+VLOOKUP(Tabla3[[#This Row],[PATENTE]],'BASE DATOS'!F:G,2,0)</f>
        <v>TRANSP MAIDANA CARLOS - OWA126</v>
      </c>
      <c r="F1804" s="584" t="str">
        <f>+VLOOKUP(Tabla3[[#This Row],[PATENTE]],'BASE DATOS'!F:H,3,0)</f>
        <v>4P</v>
      </c>
      <c r="G1804" s="584" t="str">
        <f>+VLOOKUP(Tabla3[[#This Row],[PATENTE]],'BASE DATOS'!F:I,4,0)</f>
        <v>SI</v>
      </c>
      <c r="H1804" s="584" t="str">
        <f>+VLOOKUP(Tabla3[[#This Row],[PATENTE]],'BASE DATOS'!F:J,5,0)</f>
        <v>SI</v>
      </c>
      <c r="I1804" s="584" t="str">
        <f>+VLOOKUP(Tabla3[[#This Row],[PATENTE]],'BASE DATOS'!F:K,6,0)</f>
        <v>NO</v>
      </c>
      <c r="J1804" s="584">
        <f>+VLOOKUP(Tabla3[[#This Row],[PATENTE]],'BASE DATOS'!F:L,7,0)</f>
        <v>2015</v>
      </c>
      <c r="K1804" s="619">
        <f>+VLOOKUP(Tabla3[[#This Row],[PATENTE]],'BASE DATOS'!F:M,8,0)</f>
        <v>10</v>
      </c>
    </row>
    <row r="1805" spans="1:11" ht="15" customHeight="1">
      <c r="A1805" s="578" t="s">
        <v>886</v>
      </c>
      <c r="B1805" s="584">
        <v>5</v>
      </c>
      <c r="C1805" s="589">
        <v>46083</v>
      </c>
      <c r="D1805" s="582">
        <f t="shared" si="65"/>
        <v>10</v>
      </c>
      <c r="E1805" s="618" t="str">
        <f>+VLOOKUP(Tabla3[[#This Row],[PATENTE]],'BASE DATOS'!F:G,2,0)</f>
        <v xml:space="preserve">TRANSP LAGOS - NOO925 </v>
      </c>
      <c r="F1805" s="584" t="str">
        <f>+VLOOKUP(Tabla3[[#This Row],[PATENTE]],'BASE DATOS'!F:H,3,0)</f>
        <v>8P</v>
      </c>
      <c r="G1805" s="584" t="str">
        <f>+VLOOKUP(Tabla3[[#This Row],[PATENTE]],'BASE DATOS'!F:I,4,0)</f>
        <v>SI</v>
      </c>
      <c r="H1805" s="584" t="str">
        <f>+VLOOKUP(Tabla3[[#This Row],[PATENTE]],'BASE DATOS'!F:J,5,0)</f>
        <v>SI</v>
      </c>
      <c r="I1805" s="584" t="str">
        <f>+VLOOKUP(Tabla3[[#This Row],[PATENTE]],'BASE DATOS'!F:K,6,0)</f>
        <v>NO</v>
      </c>
      <c r="J1805" s="584">
        <f>+VLOOKUP(Tabla3[[#This Row],[PATENTE]],'BASE DATOS'!F:L,7,0)</f>
        <v>2014</v>
      </c>
      <c r="K1805" s="619">
        <f>+VLOOKUP(Tabla3[[#This Row],[PATENTE]],'BASE DATOS'!F:M,8,0)</f>
        <v>11</v>
      </c>
    </row>
    <row r="1806" spans="1:11" ht="15" customHeight="1">
      <c r="A1806" s="578" t="s">
        <v>909</v>
      </c>
      <c r="B1806" s="584">
        <v>5</v>
      </c>
      <c r="C1806" s="589">
        <v>46083</v>
      </c>
      <c r="D1806" s="582">
        <f t="shared" si="65"/>
        <v>10</v>
      </c>
      <c r="E1806" s="618" t="str">
        <f>+VLOOKUP(Tabla3[[#This Row],[PATENTE]],'BASE DATOS'!F:G,2,0)</f>
        <v xml:space="preserve">CRISTIAN MOYA - NHR055 </v>
      </c>
      <c r="F1806" s="584" t="str">
        <f>+VLOOKUP(Tabla3[[#This Row],[PATENTE]],'BASE DATOS'!F:H,3,0)</f>
        <v>6P</v>
      </c>
      <c r="G1806" s="584" t="str">
        <f>+VLOOKUP(Tabla3[[#This Row],[PATENTE]],'BASE DATOS'!F:I,4,0)</f>
        <v>SI</v>
      </c>
      <c r="H1806" s="584" t="str">
        <f>+VLOOKUP(Tabla3[[#This Row],[PATENTE]],'BASE DATOS'!F:J,5,0)</f>
        <v>SI</v>
      </c>
      <c r="I1806" s="584" t="str">
        <f>+VLOOKUP(Tabla3[[#This Row],[PATENTE]],'BASE DATOS'!F:K,6,0)</f>
        <v>NO</v>
      </c>
      <c r="J1806" s="584">
        <f>+VLOOKUP(Tabla3[[#This Row],[PATENTE]],'BASE DATOS'!F:L,7,0)</f>
        <v>2013</v>
      </c>
      <c r="K1806" s="619">
        <f>+VLOOKUP(Tabla3[[#This Row],[PATENTE]],'BASE DATOS'!F:M,8,0)</f>
        <v>12</v>
      </c>
    </row>
    <row r="1807" spans="1:11" ht="15" customHeight="1">
      <c r="A1807" s="578" t="s">
        <v>902</v>
      </c>
      <c r="B1807" s="584">
        <v>5</v>
      </c>
      <c r="C1807" s="589">
        <v>46083</v>
      </c>
      <c r="D1807" s="582">
        <f t="shared" si="65"/>
        <v>10</v>
      </c>
      <c r="E1807" s="618" t="str">
        <f>+VLOOKUP(Tabla3[[#This Row],[PATENTE]],'BASE DATOS'!F:G,2,0)</f>
        <v xml:space="preserve">GUSTAVO CERQUETTA - KZA644 </v>
      </c>
      <c r="F1807" s="584" t="str">
        <f>+VLOOKUP(Tabla3[[#This Row],[PATENTE]],'BASE DATOS'!F:H,3,0)</f>
        <v>2P</v>
      </c>
      <c r="G1807" s="584" t="str">
        <f>+VLOOKUP(Tabla3[[#This Row],[PATENTE]],'BASE DATOS'!F:I,4,0)</f>
        <v>NO</v>
      </c>
      <c r="H1807" s="584" t="str">
        <f>+VLOOKUP(Tabla3[[#This Row],[PATENTE]],'BASE DATOS'!F:J,5,0)</f>
        <v>SI</v>
      </c>
      <c r="I1807" s="584" t="str">
        <f>+VLOOKUP(Tabla3[[#This Row],[PATENTE]],'BASE DATOS'!F:K,6,0)</f>
        <v>NO</v>
      </c>
      <c r="J1807" s="584">
        <f>+VLOOKUP(Tabla3[[#This Row],[PATENTE]],'BASE DATOS'!F:L,7,0)</f>
        <v>2012</v>
      </c>
      <c r="K1807" s="619">
        <f>+VLOOKUP(Tabla3[[#This Row],[PATENTE]],'BASE DATOS'!F:M,8,0)</f>
        <v>13</v>
      </c>
    </row>
    <row r="1808" spans="1:11" ht="15" customHeight="1">
      <c r="A1808" s="578" t="s">
        <v>925</v>
      </c>
      <c r="B1808" s="584">
        <v>5</v>
      </c>
      <c r="C1808" s="589">
        <v>46083</v>
      </c>
      <c r="D1808" s="582">
        <f t="shared" si="65"/>
        <v>10</v>
      </c>
      <c r="E1808" s="618" t="str">
        <f>+VLOOKUP(Tabla3[[#This Row],[PATENTE]],'BASE DATOS'!F:G,2,0)</f>
        <v xml:space="preserve">TRANSP MAIDANA FACUNDO - KOW745 </v>
      </c>
      <c r="F1808" s="584" t="str">
        <f>+VLOOKUP(Tabla3[[#This Row],[PATENTE]],'BASE DATOS'!F:H,3,0)</f>
        <v>8P</v>
      </c>
      <c r="G1808" s="584" t="str">
        <f>+VLOOKUP(Tabla3[[#This Row],[PATENTE]],'BASE DATOS'!F:I,4,0)</f>
        <v>SI</v>
      </c>
      <c r="H1808" s="584" t="str">
        <f>+VLOOKUP(Tabla3[[#This Row],[PATENTE]],'BASE DATOS'!F:J,5,0)</f>
        <v>SI</v>
      </c>
      <c r="I1808" s="584" t="str">
        <f>+VLOOKUP(Tabla3[[#This Row],[PATENTE]],'BASE DATOS'!F:K,6,0)</f>
        <v>NO</v>
      </c>
      <c r="J1808" s="584">
        <f>+VLOOKUP(Tabla3[[#This Row],[PATENTE]],'BASE DATOS'!F:L,7,0)</f>
        <v>2012</v>
      </c>
      <c r="K1808" s="619">
        <f>+VLOOKUP(Tabla3[[#This Row],[PATENTE]],'BASE DATOS'!F:M,8,0)</f>
        <v>13</v>
      </c>
    </row>
    <row r="1809" spans="1:11" ht="15" customHeight="1">
      <c r="A1809" s="578" t="s">
        <v>882</v>
      </c>
      <c r="B1809" s="584">
        <v>5</v>
      </c>
      <c r="C1809" s="589">
        <v>46083</v>
      </c>
      <c r="D1809" s="582">
        <f t="shared" si="65"/>
        <v>10</v>
      </c>
      <c r="E1809" s="618" t="str">
        <f>+VLOOKUP(Tabla3[[#This Row],[PATENTE]],'BASE DATOS'!F:G,2,0)</f>
        <v xml:space="preserve">MAÑAS - JWN279 </v>
      </c>
      <c r="F1809" s="584" t="str">
        <f>+VLOOKUP(Tabla3[[#This Row],[PATENTE]],'BASE DATOS'!F:H,3,0)</f>
        <v>7P</v>
      </c>
      <c r="G1809" s="584" t="str">
        <f>+VLOOKUP(Tabla3[[#This Row],[PATENTE]],'BASE DATOS'!F:I,4,0)</f>
        <v>SI</v>
      </c>
      <c r="H1809" s="584" t="str">
        <f>+VLOOKUP(Tabla3[[#This Row],[PATENTE]],'BASE DATOS'!F:J,5,0)</f>
        <v>SI</v>
      </c>
      <c r="I1809" s="584" t="str">
        <f>+VLOOKUP(Tabla3[[#This Row],[PATENTE]],'BASE DATOS'!F:K,6,0)</f>
        <v>NO</v>
      </c>
      <c r="J1809" s="584">
        <f>+VLOOKUP(Tabla3[[#This Row],[PATENTE]],'BASE DATOS'!F:L,7,0)</f>
        <v>2011</v>
      </c>
      <c r="K1809" s="619">
        <f>+VLOOKUP(Tabla3[[#This Row],[PATENTE]],'BASE DATOS'!F:M,8,0)</f>
        <v>14</v>
      </c>
    </row>
    <row r="1810" spans="1:11" ht="15" customHeight="1">
      <c r="A1810" s="578" t="s">
        <v>881</v>
      </c>
      <c r="B1810" s="584">
        <v>5</v>
      </c>
      <c r="C1810" s="589">
        <v>46083</v>
      </c>
      <c r="D1810" s="582">
        <f t="shared" si="65"/>
        <v>10</v>
      </c>
      <c r="E1810" s="618" t="str">
        <f>+VLOOKUP(Tabla3[[#This Row],[PATENTE]],'BASE DATOS'!F:G,2,0)</f>
        <v xml:space="preserve">MAÑAS NORBERTO - DUQ686 </v>
      </c>
      <c r="F1810" s="584" t="str">
        <f>+VLOOKUP(Tabla3[[#This Row],[PATENTE]],'BASE DATOS'!F:H,3,0)</f>
        <v>8P</v>
      </c>
      <c r="G1810" s="584" t="str">
        <f>+VLOOKUP(Tabla3[[#This Row],[PATENTE]],'BASE DATOS'!F:I,4,0)</f>
        <v>SI</v>
      </c>
      <c r="H1810" s="584" t="str">
        <f>+VLOOKUP(Tabla3[[#This Row],[PATENTE]],'BASE DATOS'!F:J,5,0)</f>
        <v>SI</v>
      </c>
      <c r="I1810" s="584" t="str">
        <f>+VLOOKUP(Tabla3[[#This Row],[PATENTE]],'BASE DATOS'!F:K,6,0)</f>
        <v>NO</v>
      </c>
      <c r="J1810" s="584">
        <f>+VLOOKUP(Tabla3[[#This Row],[PATENTE]],'BASE DATOS'!F:L,7,0)</f>
        <v>2001</v>
      </c>
      <c r="K1810" s="619">
        <f>+VLOOKUP(Tabla3[[#This Row],[PATENTE]],'BASE DATOS'!F:M,8,0)</f>
        <v>24</v>
      </c>
    </row>
    <row r="1811" spans="1:11" ht="15" customHeight="1">
      <c r="A1811" s="578" t="s">
        <v>887</v>
      </c>
      <c r="B1811" s="584">
        <v>5</v>
      </c>
      <c r="C1811" s="589">
        <v>46083</v>
      </c>
      <c r="D1811" s="582">
        <f t="shared" si="65"/>
        <v>10</v>
      </c>
      <c r="E1811" s="618" t="str">
        <f>+VLOOKUP(Tabla3[[#This Row],[PATENTE]],'BASE DATOS'!F:G,2,0)</f>
        <v>ENRIQUE ROLLINO - BXB394</v>
      </c>
      <c r="F1811" s="584" t="str">
        <f>+VLOOKUP(Tabla3[[#This Row],[PATENTE]],'BASE DATOS'!F:H,3,0)</f>
        <v>2P</v>
      </c>
      <c r="G1811" s="584" t="str">
        <f>+VLOOKUP(Tabla3[[#This Row],[PATENTE]],'BASE DATOS'!F:I,4,0)</f>
        <v>SI</v>
      </c>
      <c r="H1811" s="584" t="str">
        <f>+VLOOKUP(Tabla3[[#This Row],[PATENTE]],'BASE DATOS'!F:J,5,0)</f>
        <v>SI</v>
      </c>
      <c r="I1811" s="584" t="str">
        <f>+VLOOKUP(Tabla3[[#This Row],[PATENTE]],'BASE DATOS'!F:K,6,0)</f>
        <v>NO</v>
      </c>
      <c r="J1811" s="584">
        <f>+VLOOKUP(Tabla3[[#This Row],[PATENTE]],'BASE DATOS'!F:L,7,0)</f>
        <v>1998</v>
      </c>
      <c r="K1811" s="619">
        <f>+VLOOKUP(Tabla3[[#This Row],[PATENTE]],'BASE DATOS'!F:M,8,0)</f>
        <v>27</v>
      </c>
    </row>
    <row r="1812" spans="1:11" ht="15" customHeight="1">
      <c r="A1812" s="578" t="s">
        <v>907</v>
      </c>
      <c r="B1812" s="584">
        <v>5</v>
      </c>
      <c r="C1812" s="589">
        <v>46083</v>
      </c>
      <c r="D1812" s="582">
        <f t="shared" si="65"/>
        <v>10</v>
      </c>
      <c r="E1812" s="618" t="str">
        <f>+VLOOKUP(Tabla3[[#This Row],[PATENTE]],'BASE DATOS'!F:G,2,0)</f>
        <v xml:space="preserve">LAURIA (SERVAL) - AH583GW </v>
      </c>
      <c r="F1812" s="584" t="str">
        <f>+VLOOKUP(Tabla3[[#This Row],[PATENTE]],'BASE DATOS'!F:H,3,0)</f>
        <v>8P</v>
      </c>
      <c r="G1812" s="584" t="str">
        <f>+VLOOKUP(Tabla3[[#This Row],[PATENTE]],'BASE DATOS'!F:I,4,0)</f>
        <v>SI</v>
      </c>
      <c r="H1812" s="584" t="str">
        <f>+VLOOKUP(Tabla3[[#This Row],[PATENTE]],'BASE DATOS'!F:J,5,0)</f>
        <v>SI</v>
      </c>
      <c r="I1812" s="584" t="str">
        <f>+VLOOKUP(Tabla3[[#This Row],[PATENTE]],'BASE DATOS'!F:K,6,0)</f>
        <v>NO</v>
      </c>
      <c r="J1812" s="584">
        <f>+VLOOKUP(Tabla3[[#This Row],[PATENTE]],'BASE DATOS'!F:L,7,0)</f>
        <v>2025</v>
      </c>
      <c r="K1812" s="619">
        <f>+VLOOKUP(Tabla3[[#This Row],[PATENTE]],'BASE DATOS'!F:M,8,0)</f>
        <v>0</v>
      </c>
    </row>
    <row r="1813" spans="1:11" ht="15" customHeight="1">
      <c r="A1813" s="578" t="s">
        <v>922</v>
      </c>
      <c r="B1813" s="584">
        <v>5</v>
      </c>
      <c r="C1813" s="589">
        <v>46083</v>
      </c>
      <c r="D1813" s="582">
        <f t="shared" si="65"/>
        <v>10</v>
      </c>
      <c r="E1813" s="618" t="str">
        <f>+VLOOKUP(Tabla3[[#This Row],[PATENTE]],'BASE DATOS'!F:G,2,0)</f>
        <v>LAURIA (SERVAL) - AF342ZY</v>
      </c>
      <c r="F1813" s="584" t="str">
        <f>+VLOOKUP(Tabla3[[#This Row],[PATENTE]],'BASE DATOS'!F:H,3,0)</f>
        <v>8P</v>
      </c>
      <c r="G1813" s="584" t="str">
        <f>+VLOOKUP(Tabla3[[#This Row],[PATENTE]],'BASE DATOS'!F:I,4,0)</f>
        <v>SI</v>
      </c>
      <c r="H1813" s="584" t="str">
        <f>+VLOOKUP(Tabla3[[#This Row],[PATENTE]],'BASE DATOS'!F:J,5,0)</f>
        <v>SI</v>
      </c>
      <c r="I1813" s="584" t="str">
        <f>+VLOOKUP(Tabla3[[#This Row],[PATENTE]],'BASE DATOS'!F:K,6,0)</f>
        <v>NO</v>
      </c>
      <c r="J1813" s="584">
        <f>+VLOOKUP(Tabla3[[#This Row],[PATENTE]],'BASE DATOS'!F:L,7,0)</f>
        <v>2022</v>
      </c>
      <c r="K1813" s="619">
        <f>+VLOOKUP(Tabla3[[#This Row],[PATENTE]],'BASE DATOS'!F:M,8,0)</f>
        <v>3</v>
      </c>
    </row>
    <row r="1814" spans="1:11" ht="15" customHeight="1">
      <c r="A1814" s="578" t="s">
        <v>912</v>
      </c>
      <c r="B1814" s="584">
        <v>5</v>
      </c>
      <c r="C1814" s="589">
        <v>46083</v>
      </c>
      <c r="D1814" s="582">
        <f t="shared" si="65"/>
        <v>10</v>
      </c>
      <c r="E1814" s="618" t="str">
        <f>+VLOOKUP(Tabla3[[#This Row],[PATENTE]],'BASE DATOS'!F:G,2,0)</f>
        <v xml:space="preserve">PACHECO JULIO - AC028WN </v>
      </c>
      <c r="F1814" s="584" t="str">
        <f>+VLOOKUP(Tabla3[[#This Row],[PATENTE]],'BASE DATOS'!F:H,3,0)</f>
        <v>8P</v>
      </c>
      <c r="G1814" s="584" t="str">
        <f>+VLOOKUP(Tabla3[[#This Row],[PATENTE]],'BASE DATOS'!F:I,4,0)</f>
        <v>SI</v>
      </c>
      <c r="H1814" s="584" t="str">
        <f>+VLOOKUP(Tabla3[[#This Row],[PATENTE]],'BASE DATOS'!F:J,5,0)</f>
        <v>SI</v>
      </c>
      <c r="I1814" s="584" t="str">
        <f>+VLOOKUP(Tabla3[[#This Row],[PATENTE]],'BASE DATOS'!F:K,6,0)</f>
        <v>SI</v>
      </c>
      <c r="J1814" s="584">
        <f>+VLOOKUP(Tabla3[[#This Row],[PATENTE]],'BASE DATOS'!F:L,7,0)</f>
        <v>2017</v>
      </c>
      <c r="K1814" s="619">
        <f>+VLOOKUP(Tabla3[[#This Row],[PATENTE]],'BASE DATOS'!F:M,8,0)</f>
        <v>8</v>
      </c>
    </row>
    <row r="1815" spans="1:11" ht="15" customHeight="1">
      <c r="A1815" s="578" t="s">
        <v>899</v>
      </c>
      <c r="B1815" s="584">
        <v>5</v>
      </c>
      <c r="C1815" s="589">
        <v>46083</v>
      </c>
      <c r="D1815" s="582">
        <f t="shared" si="65"/>
        <v>10</v>
      </c>
      <c r="E1815" s="618" t="str">
        <f>+VLOOKUP(Tabla3[[#This Row],[PATENTE]],'BASE DATOS'!F:G,2,0)</f>
        <v xml:space="preserve">VAZQUEZ (TRV SRL) - AB176KN </v>
      </c>
      <c r="F1815" s="584" t="str">
        <f>+VLOOKUP(Tabla3[[#This Row],[PATENTE]],'BASE DATOS'!F:H,3,0)</f>
        <v>8P</v>
      </c>
      <c r="G1815" s="584" t="str">
        <f>+VLOOKUP(Tabla3[[#This Row],[PATENTE]],'BASE DATOS'!F:I,4,0)</f>
        <v>SI</v>
      </c>
      <c r="H1815" s="584" t="str">
        <f>+VLOOKUP(Tabla3[[#This Row],[PATENTE]],'BASE DATOS'!F:J,5,0)</f>
        <v>SI</v>
      </c>
      <c r="I1815" s="584" t="str">
        <f>+VLOOKUP(Tabla3[[#This Row],[PATENTE]],'BASE DATOS'!F:K,6,0)</f>
        <v>SI</v>
      </c>
      <c r="J1815" s="584">
        <f>+VLOOKUP(Tabla3[[#This Row],[PATENTE]],'BASE DATOS'!F:L,7,0)</f>
        <v>2017</v>
      </c>
      <c r="K1815" s="619">
        <f>+VLOOKUP(Tabla3[[#This Row],[PATENTE]],'BASE DATOS'!F:M,8,0)</f>
        <v>8</v>
      </c>
    </row>
    <row r="1816" spans="1:11" ht="15" customHeight="1">
      <c r="A1816" s="578" t="s">
        <v>936</v>
      </c>
      <c r="B1816" s="584">
        <v>5</v>
      </c>
      <c r="C1816" s="589">
        <v>46083</v>
      </c>
      <c r="D1816" s="582">
        <f t="shared" si="65"/>
        <v>10</v>
      </c>
      <c r="E1816" s="618" t="str">
        <f>+VLOOKUP(Tabla3[[#This Row],[PATENTE]],'BASE DATOS'!F:G,2,0)</f>
        <v>TRANSP YANINA  LUONGO - AA050HC</v>
      </c>
      <c r="F1816" s="584" t="str">
        <f>+VLOOKUP(Tabla3[[#This Row],[PATENTE]],'BASE DATOS'!F:H,3,0)</f>
        <v>1.5P</v>
      </c>
      <c r="G1816" s="584" t="str">
        <f>+VLOOKUP(Tabla3[[#This Row],[PATENTE]],'BASE DATOS'!F:I,4,0)</f>
        <v>NO</v>
      </c>
      <c r="H1816" s="584" t="str">
        <f>+VLOOKUP(Tabla3[[#This Row],[PATENTE]],'BASE DATOS'!F:J,5,0)</f>
        <v>SI</v>
      </c>
      <c r="I1816" s="584" t="str">
        <f>+VLOOKUP(Tabla3[[#This Row],[PATENTE]],'BASE DATOS'!F:K,6,0)</f>
        <v>NO</v>
      </c>
      <c r="J1816" s="584">
        <f>+VLOOKUP(Tabla3[[#This Row],[PATENTE]],'BASE DATOS'!F:L,7,0)</f>
        <v>2016</v>
      </c>
      <c r="K1816" s="619">
        <f>+VLOOKUP(Tabla3[[#This Row],[PATENTE]],'BASE DATOS'!F:M,8,0)</f>
        <v>9</v>
      </c>
    </row>
    <row r="1817" spans="1:11" ht="15" customHeight="1">
      <c r="A1817" s="578" t="s">
        <v>924</v>
      </c>
      <c r="B1817" s="584">
        <v>4</v>
      </c>
      <c r="C1817" s="589">
        <v>46083</v>
      </c>
      <c r="D1817" s="582">
        <f t="shared" si="65"/>
        <v>10</v>
      </c>
      <c r="E1817" s="618" t="str">
        <f>+VLOOKUP(Tabla3[[#This Row],[PATENTE]],'BASE DATOS'!F:G,2,0)</f>
        <v>TRANSP MAVIR - HRZ429 -16P</v>
      </c>
      <c r="F1817" s="584" t="str">
        <f>+VLOOKUP(Tabla3[[#This Row],[PATENTE]],'BASE DATOS'!F:H,3,0)</f>
        <v>16P</v>
      </c>
      <c r="G1817" s="584" t="str">
        <f>+VLOOKUP(Tabla3[[#This Row],[PATENTE]],'BASE DATOS'!F:I,4,0)</f>
        <v>SI</v>
      </c>
      <c r="H1817" s="584" t="str">
        <f>+VLOOKUP(Tabla3[[#This Row],[PATENTE]],'BASE DATOS'!F:J,5,0)</f>
        <v xml:space="preserve">NO </v>
      </c>
      <c r="I1817" s="584" t="str">
        <f>+VLOOKUP(Tabla3[[#This Row],[PATENTE]],'BASE DATOS'!F:K,6,0)</f>
        <v>NO</v>
      </c>
      <c r="J1817" s="584">
        <f>+VLOOKUP(Tabla3[[#This Row],[PATENTE]],'BASE DATOS'!F:L,7,0)</f>
        <v>2008</v>
      </c>
      <c r="K1817" s="619">
        <f>+VLOOKUP(Tabla3[[#This Row],[PATENTE]],'BASE DATOS'!F:M,8,0)</f>
        <v>17</v>
      </c>
    </row>
    <row r="1818" spans="1:11" ht="15" customHeight="1">
      <c r="A1818" s="578" t="s">
        <v>916</v>
      </c>
      <c r="B1818" s="584">
        <v>4</v>
      </c>
      <c r="C1818" s="589">
        <v>46083</v>
      </c>
      <c r="D1818" s="582">
        <f t="shared" si="65"/>
        <v>10</v>
      </c>
      <c r="E1818" s="618" t="str">
        <f>+VLOOKUP(Tabla3[[#This Row],[PATENTE]],'BASE DATOS'!F:G,2,0)</f>
        <v xml:space="preserve">TRANSP MAIDANA CARLOS - EYP088 </v>
      </c>
      <c r="F1818" s="584" t="str">
        <f>+VLOOKUP(Tabla3[[#This Row],[PATENTE]],'BASE DATOS'!F:H,3,0)</f>
        <v>6P</v>
      </c>
      <c r="G1818" s="584" t="str">
        <f>+VLOOKUP(Tabla3[[#This Row],[PATENTE]],'BASE DATOS'!F:I,4,0)</f>
        <v>SI</v>
      </c>
      <c r="H1818" s="584" t="str">
        <f>+VLOOKUP(Tabla3[[#This Row],[PATENTE]],'BASE DATOS'!F:J,5,0)</f>
        <v>SI</v>
      </c>
      <c r="I1818" s="584" t="str">
        <f>+VLOOKUP(Tabla3[[#This Row],[PATENTE]],'BASE DATOS'!F:K,6,0)</f>
        <v>NO</v>
      </c>
      <c r="J1818" s="584">
        <f>+VLOOKUP(Tabla3[[#This Row],[PATENTE]],'BASE DATOS'!F:L,7,0)</f>
        <v>2006</v>
      </c>
      <c r="K1818" s="619">
        <f>+VLOOKUP(Tabla3[[#This Row],[PATENTE]],'BASE DATOS'!F:M,8,0)</f>
        <v>19</v>
      </c>
    </row>
    <row r="1819" spans="1:11" ht="15" customHeight="1">
      <c r="A1819" s="578" t="s">
        <v>921</v>
      </c>
      <c r="B1819" s="584">
        <v>4</v>
      </c>
      <c r="C1819" s="589">
        <v>46083</v>
      </c>
      <c r="D1819" s="582">
        <f t="shared" si="65"/>
        <v>10</v>
      </c>
      <c r="E1819" s="618" t="str">
        <f>+VLOOKUP(Tabla3[[#This Row],[PATENTE]],'BASE DATOS'!F:G,2,0)</f>
        <v xml:space="preserve">MAÑAS NORBERTO - CQQ304 </v>
      </c>
      <c r="F1819" s="584" t="str">
        <f>+VLOOKUP(Tabla3[[#This Row],[PATENTE]],'BASE DATOS'!F:H,3,0)</f>
        <v>11P</v>
      </c>
      <c r="G1819" s="584" t="str">
        <f>+VLOOKUP(Tabla3[[#This Row],[PATENTE]],'BASE DATOS'!F:I,4,0)</f>
        <v>SI</v>
      </c>
      <c r="H1819" s="584" t="str">
        <f>+VLOOKUP(Tabla3[[#This Row],[PATENTE]],'BASE DATOS'!F:J,5,0)</f>
        <v>SI</v>
      </c>
      <c r="I1819" s="584" t="str">
        <f>+VLOOKUP(Tabla3[[#This Row],[PATENTE]],'BASE DATOS'!F:K,6,0)</f>
        <v>NO</v>
      </c>
      <c r="J1819" s="584">
        <f>+VLOOKUP(Tabla3[[#This Row],[PATENTE]],'BASE DATOS'!F:L,7,0)</f>
        <v>2000</v>
      </c>
      <c r="K1819" s="619">
        <f>+VLOOKUP(Tabla3[[#This Row],[PATENTE]],'BASE DATOS'!F:M,8,0)</f>
        <v>25</v>
      </c>
    </row>
    <row r="1820" spans="1:11" ht="15" customHeight="1">
      <c r="A1820" s="578" t="s">
        <v>1122</v>
      </c>
      <c r="B1820" s="584">
        <v>4</v>
      </c>
      <c r="C1820" s="589">
        <v>46083</v>
      </c>
      <c r="D1820" s="582">
        <f t="shared" si="65"/>
        <v>10</v>
      </c>
      <c r="E1820" s="618" t="str">
        <f>+VLOOKUP(Tabla3[[#This Row],[PATENTE]],'BASE DATOS'!F:G,2,0)</f>
        <v>TRANSPORTE GENA GAIA - AH898OB</v>
      </c>
      <c r="F1820" s="584" t="str">
        <f>+VLOOKUP(Tabla3[[#This Row],[PATENTE]],'BASE DATOS'!F:H,3,0)</f>
        <v>24P</v>
      </c>
      <c r="G1820" s="584" t="str">
        <f>+VLOOKUP(Tabla3[[#This Row],[PATENTE]],'BASE DATOS'!F:I,4,0)</f>
        <v>NO</v>
      </c>
      <c r="H1820" s="584" t="str">
        <f>+VLOOKUP(Tabla3[[#This Row],[PATENTE]],'BASE DATOS'!F:J,5,0)</f>
        <v>NO</v>
      </c>
      <c r="I1820" s="584" t="str">
        <f>+VLOOKUP(Tabla3[[#This Row],[PATENTE]],'BASE DATOS'!F:K,6,0)</f>
        <v>NO</v>
      </c>
      <c r="J1820" s="584">
        <f>+VLOOKUP(Tabla3[[#This Row],[PATENTE]],'BASE DATOS'!F:L,7,0)</f>
        <v>2026</v>
      </c>
      <c r="K1820" s="619">
        <f>+VLOOKUP(Tabla3[[#This Row],[PATENTE]],'BASE DATOS'!F:M,8,0)</f>
        <v>-1</v>
      </c>
    </row>
    <row r="1821" spans="1:11" ht="15" customHeight="1">
      <c r="A1821" s="578" t="s">
        <v>1123</v>
      </c>
      <c r="B1821" s="584">
        <v>3</v>
      </c>
      <c r="C1821" s="589">
        <v>46083</v>
      </c>
      <c r="D1821" s="582">
        <f t="shared" si="65"/>
        <v>10</v>
      </c>
      <c r="E1821" s="618" t="str">
        <f>+VLOOKUP(Tabla3[[#This Row],[PATENTE]],'BASE DATOS'!F:G,2,0)</f>
        <v>TRANSP LAGOS - IDK392 - 2P</v>
      </c>
      <c r="F1821" s="584" t="str">
        <f>+VLOOKUP(Tabla3[[#This Row],[PATENTE]],'BASE DATOS'!F:H,3,0)</f>
        <v>2P</v>
      </c>
      <c r="G1821" s="584" t="str">
        <f>+VLOOKUP(Tabla3[[#This Row],[PATENTE]],'BASE DATOS'!F:I,4,0)</f>
        <v>NO</v>
      </c>
      <c r="H1821" s="584" t="str">
        <f>+VLOOKUP(Tabla3[[#This Row],[PATENTE]],'BASE DATOS'!F:J,5,0)</f>
        <v>NO</v>
      </c>
      <c r="I1821" s="584" t="str">
        <f>+VLOOKUP(Tabla3[[#This Row],[PATENTE]],'BASE DATOS'!F:K,6,0)</f>
        <v>NO</v>
      </c>
      <c r="J1821" s="584">
        <f>+VLOOKUP(Tabla3[[#This Row],[PATENTE]],'BASE DATOS'!F:L,7,0)</f>
        <v>2009</v>
      </c>
      <c r="K1821" s="619">
        <f>+VLOOKUP(Tabla3[[#This Row],[PATENTE]],'BASE DATOS'!F:M,8,0)</f>
        <v>16</v>
      </c>
    </row>
    <row r="1822" spans="1:11" ht="15" customHeight="1">
      <c r="A1822" s="578" t="s">
        <v>891</v>
      </c>
      <c r="B1822" s="584">
        <v>3</v>
      </c>
      <c r="C1822" s="589">
        <v>46083</v>
      </c>
      <c r="D1822" s="582">
        <f t="shared" si="65"/>
        <v>10</v>
      </c>
      <c r="E1822" s="618" t="str">
        <f>+VLOOKUP(Tabla3[[#This Row],[PATENTE]],'BASE DATOS'!F:G,2,0)</f>
        <v xml:space="preserve">GANZINI HUGO - HHA085 </v>
      </c>
      <c r="F1822" s="584" t="str">
        <f>+VLOOKUP(Tabla3[[#This Row],[PATENTE]],'BASE DATOS'!F:H,3,0)</f>
        <v>2P</v>
      </c>
      <c r="G1822" s="584" t="str">
        <f>+VLOOKUP(Tabla3[[#This Row],[PATENTE]],'BASE DATOS'!F:I,4,0)</f>
        <v>SI</v>
      </c>
      <c r="H1822" s="584" t="str">
        <f>+VLOOKUP(Tabla3[[#This Row],[PATENTE]],'BASE DATOS'!F:J,5,0)</f>
        <v>SI</v>
      </c>
      <c r="I1822" s="584" t="str">
        <f>+VLOOKUP(Tabla3[[#This Row],[PATENTE]],'BASE DATOS'!F:K,6,0)</f>
        <v>NO</v>
      </c>
      <c r="J1822" s="584">
        <f>+VLOOKUP(Tabla3[[#This Row],[PATENTE]],'BASE DATOS'!F:L,7,0)</f>
        <v>2008</v>
      </c>
      <c r="K1822" s="619">
        <f>+VLOOKUP(Tabla3[[#This Row],[PATENTE]],'BASE DATOS'!F:M,8,0)</f>
        <v>17</v>
      </c>
    </row>
    <row r="1823" spans="1:11" ht="15" customHeight="1">
      <c r="A1823" s="578" t="s">
        <v>892</v>
      </c>
      <c r="B1823" s="584">
        <v>3</v>
      </c>
      <c r="C1823" s="589">
        <v>46083</v>
      </c>
      <c r="D1823" s="582">
        <f t="shared" si="65"/>
        <v>10</v>
      </c>
      <c r="E1823" s="618" t="str">
        <f>+VLOOKUP(Tabla3[[#This Row],[PATENTE]],'BASE DATOS'!F:G,2,0)</f>
        <v xml:space="preserve">COLO - FTL525 </v>
      </c>
      <c r="F1823" s="584" t="str">
        <f>+VLOOKUP(Tabla3[[#This Row],[PATENTE]],'BASE DATOS'!F:H,3,0)</f>
        <v>1P</v>
      </c>
      <c r="G1823" s="584" t="str">
        <f>+VLOOKUP(Tabla3[[#This Row],[PATENTE]],'BASE DATOS'!F:I,4,0)</f>
        <v>NO</v>
      </c>
      <c r="H1823" s="584" t="str">
        <f>+VLOOKUP(Tabla3[[#This Row],[PATENTE]],'BASE DATOS'!F:J,5,0)</f>
        <v>SI</v>
      </c>
      <c r="I1823" s="584" t="str">
        <f>+VLOOKUP(Tabla3[[#This Row],[PATENTE]],'BASE DATOS'!F:K,6,0)</f>
        <v>NO</v>
      </c>
      <c r="J1823" s="584">
        <f>+VLOOKUP(Tabla3[[#This Row],[PATENTE]],'BASE DATOS'!F:L,7,0)</f>
        <v>2008</v>
      </c>
      <c r="K1823" s="619">
        <f>+VLOOKUP(Tabla3[[#This Row],[PATENTE]],'BASE DATOS'!F:M,8,0)</f>
        <v>17</v>
      </c>
    </row>
    <row r="1824" spans="1:11" ht="15" customHeight="1">
      <c r="A1824" s="578" t="s">
        <v>880</v>
      </c>
      <c r="B1824" s="584">
        <v>3</v>
      </c>
      <c r="C1824" s="589">
        <v>46083</v>
      </c>
      <c r="D1824" s="582">
        <f t="shared" si="65"/>
        <v>10</v>
      </c>
      <c r="E1824" s="618" t="str">
        <f>+VLOOKUP(Tabla3[[#This Row],[PATENTE]],'BASE DATOS'!F:G,2,0)</f>
        <v xml:space="preserve">LAURIA (SERVAL) - AD575XK </v>
      </c>
      <c r="F1824" s="584" t="str">
        <f>+VLOOKUP(Tabla3[[#This Row],[PATENTE]],'BASE DATOS'!F:H,3,0)</f>
        <v>8P</v>
      </c>
      <c r="G1824" s="584" t="str">
        <f>+VLOOKUP(Tabla3[[#This Row],[PATENTE]],'BASE DATOS'!F:I,4,0)</f>
        <v>SI</v>
      </c>
      <c r="H1824" s="584" t="str">
        <f>+VLOOKUP(Tabla3[[#This Row],[PATENTE]],'BASE DATOS'!F:J,5,0)</f>
        <v>SI</v>
      </c>
      <c r="I1824" s="584" t="str">
        <f>+VLOOKUP(Tabla3[[#This Row],[PATENTE]],'BASE DATOS'!F:K,6,0)</f>
        <v>NO</v>
      </c>
      <c r="J1824" s="584">
        <f>+VLOOKUP(Tabla3[[#This Row],[PATENTE]],'BASE DATOS'!F:L,7,0)</f>
        <v>2019</v>
      </c>
      <c r="K1824" s="619">
        <f>+VLOOKUP(Tabla3[[#This Row],[PATENTE]],'BASE DATOS'!F:M,8,0)</f>
        <v>6</v>
      </c>
    </row>
    <row r="1825" spans="1:11" ht="15" customHeight="1">
      <c r="A1825" s="578" t="s">
        <v>906</v>
      </c>
      <c r="B1825" s="584">
        <v>3</v>
      </c>
      <c r="C1825" s="589">
        <v>46083</v>
      </c>
      <c r="D1825" s="582">
        <f t="shared" si="65"/>
        <v>10</v>
      </c>
      <c r="E1825" s="618" t="str">
        <f>+VLOOKUP(Tabla3[[#This Row],[PATENTE]],'BASE DATOS'!F:G,2,0)</f>
        <v xml:space="preserve">VAZQUEZ (TRV SRL) - AD472GK </v>
      </c>
      <c r="F1825" s="584" t="str">
        <f>+VLOOKUP(Tabla3[[#This Row],[PATENTE]],'BASE DATOS'!F:H,3,0)</f>
        <v>8P</v>
      </c>
      <c r="G1825" s="584" t="str">
        <f>+VLOOKUP(Tabla3[[#This Row],[PATENTE]],'BASE DATOS'!F:I,4,0)</f>
        <v>NO</v>
      </c>
      <c r="H1825" s="584" t="str">
        <f>+VLOOKUP(Tabla3[[#This Row],[PATENTE]],'BASE DATOS'!F:J,5,0)</f>
        <v>NO</v>
      </c>
      <c r="I1825" s="584" t="str">
        <f>+VLOOKUP(Tabla3[[#This Row],[PATENTE]],'BASE DATOS'!F:K,6,0)</f>
        <v>SI</v>
      </c>
      <c r="J1825" s="584">
        <f>+VLOOKUP(Tabla3[[#This Row],[PATENTE]],'BASE DATOS'!F:L,7,0)</f>
        <v>2019</v>
      </c>
      <c r="K1825" s="619">
        <f>+VLOOKUP(Tabla3[[#This Row],[PATENTE]],'BASE DATOS'!F:M,8,0)</f>
        <v>6</v>
      </c>
    </row>
    <row r="1826" spans="1:11" ht="15" customHeight="1">
      <c r="A1826" s="578" t="s">
        <v>890</v>
      </c>
      <c r="B1826" s="584">
        <v>3</v>
      </c>
      <c r="C1826" s="589">
        <v>46083</v>
      </c>
      <c r="D1826" s="582">
        <f t="shared" si="65"/>
        <v>10</v>
      </c>
      <c r="E1826" s="618" t="str">
        <f>+VLOOKUP(Tabla3[[#This Row],[PATENTE]],'BASE DATOS'!F:G,2,0)</f>
        <v xml:space="preserve">TRANSPORTE GRACIELA - AC040RO </v>
      </c>
      <c r="F1826" s="584" t="str">
        <f>+VLOOKUP(Tabla3[[#This Row],[PATENTE]],'BASE DATOS'!F:H,3,0)</f>
        <v>1P</v>
      </c>
      <c r="G1826" s="584" t="str">
        <f>+VLOOKUP(Tabla3[[#This Row],[PATENTE]],'BASE DATOS'!F:I,4,0)</f>
        <v>SI</v>
      </c>
      <c r="H1826" s="584" t="str">
        <f>+VLOOKUP(Tabla3[[#This Row],[PATENTE]],'BASE DATOS'!F:J,5,0)</f>
        <v>ACEPTA( VER CAMI)</v>
      </c>
      <c r="I1826" s="584" t="str">
        <f>+VLOOKUP(Tabla3[[#This Row],[PATENTE]],'BASE DATOS'!F:K,6,0)</f>
        <v>NO</v>
      </c>
      <c r="J1826" s="584">
        <f>+VLOOKUP(Tabla3[[#This Row],[PATENTE]],'BASE DATOS'!F:L,7,0)</f>
        <v>2017</v>
      </c>
      <c r="K1826" s="619">
        <f>+VLOOKUP(Tabla3[[#This Row],[PATENTE]],'BASE DATOS'!F:M,8,0)</f>
        <v>8</v>
      </c>
    </row>
    <row r="1827" spans="1:11" ht="15" customHeight="1">
      <c r="A1827" s="578" t="s">
        <v>896</v>
      </c>
      <c r="B1827" s="584">
        <v>2</v>
      </c>
      <c r="C1827" s="589">
        <v>46083</v>
      </c>
      <c r="D1827" s="582">
        <f t="shared" si="65"/>
        <v>10</v>
      </c>
      <c r="E1827" s="618" t="str">
        <f>+VLOOKUP(Tabla3[[#This Row],[PATENTE]],'BASE DATOS'!F:G,2,0)</f>
        <v xml:space="preserve">TRANSP MAVIR - RHQ609 </v>
      </c>
      <c r="F1827" s="584" t="str">
        <f>+VLOOKUP(Tabla3[[#This Row],[PATENTE]],'BASE DATOS'!F:H,3,0)</f>
        <v>10P</v>
      </c>
      <c r="G1827" s="584" t="str">
        <f>+VLOOKUP(Tabla3[[#This Row],[PATENTE]],'BASE DATOS'!F:I,4,0)</f>
        <v>NO</v>
      </c>
      <c r="H1827" s="584" t="str">
        <f>+VLOOKUP(Tabla3[[#This Row],[PATENTE]],'BASE DATOS'!F:J,5,0)</f>
        <v xml:space="preserve">NO </v>
      </c>
      <c r="I1827" s="584" t="str">
        <f>+VLOOKUP(Tabla3[[#This Row],[PATENTE]],'BASE DATOS'!F:K,6,0)</f>
        <v>NO</v>
      </c>
      <c r="J1827" s="584">
        <f>+VLOOKUP(Tabla3[[#This Row],[PATENTE]],'BASE DATOS'!F:L,7,0)</f>
        <v>1995</v>
      </c>
      <c r="K1827" s="619">
        <f>+VLOOKUP(Tabla3[[#This Row],[PATENTE]],'BASE DATOS'!F:M,8,0)</f>
        <v>30</v>
      </c>
    </row>
    <row r="1828" spans="1:11" ht="15" customHeight="1">
      <c r="A1828" s="578" t="s">
        <v>943</v>
      </c>
      <c r="B1828" s="584">
        <v>2</v>
      </c>
      <c r="C1828" s="589">
        <v>46083</v>
      </c>
      <c r="D1828" s="582">
        <f t="shared" si="65"/>
        <v>10</v>
      </c>
      <c r="E1828" s="618" t="str">
        <f>+VLOOKUP(Tabla3[[#This Row],[PATENTE]],'BASE DATOS'!F:G,2,0)</f>
        <v>GANZINI HUGO - KTJ626</v>
      </c>
      <c r="F1828" s="584" t="str">
        <f>+VLOOKUP(Tabla3[[#This Row],[PATENTE]],'BASE DATOS'!F:H,3,0)</f>
        <v>8P</v>
      </c>
      <c r="G1828" s="584" t="str">
        <f>+VLOOKUP(Tabla3[[#This Row],[PATENTE]],'BASE DATOS'!F:I,4,0)</f>
        <v>NO</v>
      </c>
      <c r="H1828" s="584" t="str">
        <f>+VLOOKUP(Tabla3[[#This Row],[PATENTE]],'BASE DATOS'!F:J,5,0)</f>
        <v xml:space="preserve">NO </v>
      </c>
      <c r="I1828" s="584" t="str">
        <f>+VLOOKUP(Tabla3[[#This Row],[PATENTE]],'BASE DATOS'!F:K,6,0)</f>
        <v>NO</v>
      </c>
      <c r="J1828" s="584">
        <f>+VLOOKUP(Tabla3[[#This Row],[PATENTE]],'BASE DATOS'!F:L,7,0)</f>
        <v>2011</v>
      </c>
      <c r="K1828" s="619">
        <f>+VLOOKUP(Tabla3[[#This Row],[PATENTE]],'BASE DATOS'!F:M,8,0)</f>
        <v>14</v>
      </c>
    </row>
    <row r="1829" spans="1:11" ht="15" customHeight="1">
      <c r="A1829" s="578" t="s">
        <v>950</v>
      </c>
      <c r="B1829" s="584">
        <v>2</v>
      </c>
      <c r="C1829" s="589">
        <v>46083</v>
      </c>
      <c r="D1829" s="582">
        <f t="shared" si="65"/>
        <v>10</v>
      </c>
      <c r="E1829" s="618" t="str">
        <f>+VLOOKUP(Tabla3[[#This Row],[PATENTE]],'BASE DATOS'!F:G,2,0)</f>
        <v>TRANSP DON NENO -IRK036- 2P</v>
      </c>
      <c r="F1829" s="584" t="str">
        <f>+VLOOKUP(Tabla3[[#This Row],[PATENTE]],'BASE DATOS'!F:H,3,0)</f>
        <v>2P</v>
      </c>
      <c r="G1829" s="584" t="str">
        <f>+VLOOKUP(Tabla3[[#This Row],[PATENTE]],'BASE DATOS'!F:I,4,0)</f>
        <v>NO</v>
      </c>
      <c r="H1829" s="584" t="str">
        <f>+VLOOKUP(Tabla3[[#This Row],[PATENTE]],'BASE DATOS'!F:J,5,0)</f>
        <v>NO</v>
      </c>
      <c r="I1829" s="584" t="str">
        <f>+VLOOKUP(Tabla3[[#This Row],[PATENTE]],'BASE DATOS'!F:K,6,0)</f>
        <v>NO</v>
      </c>
      <c r="J1829" s="584">
        <f>+VLOOKUP(Tabla3[[#This Row],[PATENTE]],'BASE DATOS'!F:L,7,0)</f>
        <v>2010</v>
      </c>
      <c r="K1829" s="619">
        <f>+VLOOKUP(Tabla3[[#This Row],[PATENTE]],'BASE DATOS'!F:M,8,0)</f>
        <v>15</v>
      </c>
    </row>
    <row r="1830" spans="1:11" ht="15" customHeight="1">
      <c r="A1830" s="578" t="s">
        <v>933</v>
      </c>
      <c r="B1830" s="584">
        <v>2</v>
      </c>
      <c r="C1830" s="589">
        <v>46083</v>
      </c>
      <c r="D1830" s="582">
        <f t="shared" si="65"/>
        <v>10</v>
      </c>
      <c r="E1830" s="618" t="str">
        <f>+VLOOKUP(Tabla3[[#This Row],[PATENTE]],'BASE DATOS'!F:G,2,0)</f>
        <v xml:space="preserve">TRANSPORTE GENA GAIA - IKE806 </v>
      </c>
      <c r="F1830" s="584" t="str">
        <f>+VLOOKUP(Tabla3[[#This Row],[PATENTE]],'BASE DATOS'!F:H,3,0)</f>
        <v>24P</v>
      </c>
      <c r="G1830" s="584" t="str">
        <f>+VLOOKUP(Tabla3[[#This Row],[PATENTE]],'BASE DATOS'!F:I,4,0)</f>
        <v>Gestya</v>
      </c>
      <c r="H1830" s="584" t="str">
        <f>+VLOOKUP(Tabla3[[#This Row],[PATENTE]],'BASE DATOS'!F:J,5,0)</f>
        <v xml:space="preserve">NO </v>
      </c>
      <c r="I1830" s="584" t="str">
        <f>+VLOOKUP(Tabla3[[#This Row],[PATENTE]],'BASE DATOS'!F:K,6,0)</f>
        <v>NO</v>
      </c>
      <c r="J1830" s="584">
        <f>+VLOOKUP(Tabla3[[#This Row],[PATENTE]],'BASE DATOS'!F:L,7,0)</f>
        <v>2010</v>
      </c>
      <c r="K1830" s="619">
        <f>+VLOOKUP(Tabla3[[#This Row],[PATENTE]],'BASE DATOS'!F:M,8,0)</f>
        <v>15</v>
      </c>
    </row>
    <row r="1831" spans="1:11" ht="15" customHeight="1">
      <c r="A1831" s="578" t="s">
        <v>914</v>
      </c>
      <c r="B1831" s="584">
        <v>2</v>
      </c>
      <c r="C1831" s="589">
        <v>46083</v>
      </c>
      <c r="D1831" s="582">
        <f t="shared" si="65"/>
        <v>10</v>
      </c>
      <c r="E1831" s="618" t="str">
        <f>+VLOOKUP(Tabla3[[#This Row],[PATENTE]],'BASE DATOS'!F:G,2,0)</f>
        <v>TRANSP DON NENO - HCP674</v>
      </c>
      <c r="F1831" s="584" t="str">
        <f>+VLOOKUP(Tabla3[[#This Row],[PATENTE]],'BASE DATOS'!F:H,3,0)</f>
        <v>2P</v>
      </c>
      <c r="G1831" s="584" t="str">
        <f>+VLOOKUP(Tabla3[[#This Row],[PATENTE]],'BASE DATOS'!F:I,4,0)</f>
        <v>NO</v>
      </c>
      <c r="H1831" s="584" t="str">
        <f>+VLOOKUP(Tabla3[[#This Row],[PATENTE]],'BASE DATOS'!F:J,5,0)</f>
        <v xml:space="preserve">NO </v>
      </c>
      <c r="I1831" s="584" t="str">
        <f>+VLOOKUP(Tabla3[[#This Row],[PATENTE]],'BASE DATOS'!F:K,6,0)</f>
        <v>NO</v>
      </c>
      <c r="J1831" s="584">
        <f>+VLOOKUP(Tabla3[[#This Row],[PATENTE]],'BASE DATOS'!F:L,7,0)</f>
        <v>2008</v>
      </c>
      <c r="K1831" s="619">
        <f>+VLOOKUP(Tabla3[[#This Row],[PATENTE]],'BASE DATOS'!F:M,8,0)</f>
        <v>17</v>
      </c>
    </row>
    <row r="1832" spans="1:11" ht="15" customHeight="1">
      <c r="A1832" s="578" t="s">
        <v>926</v>
      </c>
      <c r="B1832" s="584">
        <v>2</v>
      </c>
      <c r="C1832" s="589">
        <v>46083</v>
      </c>
      <c r="D1832" s="582">
        <f t="shared" si="65"/>
        <v>10</v>
      </c>
      <c r="E1832" s="618" t="str">
        <f>+VLOOKUP(Tabla3[[#This Row],[PATENTE]],'BASE DATOS'!F:G,2,0)</f>
        <v xml:space="preserve">TRANSPORTE GENA GAIA - DUF042 </v>
      </c>
      <c r="F1832" s="584" t="str">
        <f>+VLOOKUP(Tabla3[[#This Row],[PATENTE]],'BASE DATOS'!F:H,3,0)</f>
        <v>24P</v>
      </c>
      <c r="G1832" s="584" t="str">
        <f>+VLOOKUP(Tabla3[[#This Row],[PATENTE]],'BASE DATOS'!F:I,4,0)</f>
        <v>Gestya</v>
      </c>
      <c r="H1832" s="584" t="str">
        <f>+VLOOKUP(Tabla3[[#This Row],[PATENTE]],'BASE DATOS'!F:J,5,0)</f>
        <v xml:space="preserve">NO </v>
      </c>
      <c r="I1832" s="584" t="str">
        <f>+VLOOKUP(Tabla3[[#This Row],[PATENTE]],'BASE DATOS'!F:K,6,0)</f>
        <v>NO</v>
      </c>
      <c r="J1832" s="584">
        <f>+VLOOKUP(Tabla3[[#This Row],[PATENTE]],'BASE DATOS'!F:L,7,0)</f>
        <v>2001</v>
      </c>
      <c r="K1832" s="619">
        <f>+VLOOKUP(Tabla3[[#This Row],[PATENTE]],'BASE DATOS'!F:M,8,0)</f>
        <v>24</v>
      </c>
    </row>
    <row r="1833" spans="1:11" ht="15" customHeight="1">
      <c r="A1833" s="578" t="s">
        <v>944</v>
      </c>
      <c r="B1833" s="584">
        <v>2</v>
      </c>
      <c r="C1833" s="589">
        <v>46083</v>
      </c>
      <c r="D1833" s="582">
        <f t="shared" si="65"/>
        <v>10</v>
      </c>
      <c r="E1833" s="618" t="str">
        <f>+VLOOKUP(Tabla3[[#This Row],[PATENTE]],'BASE DATOS'!F:G,2,0)</f>
        <v xml:space="preserve">TRANSPORTE GENA GAIA - BHG261 </v>
      </c>
      <c r="F1833" s="584" t="str">
        <f>+VLOOKUP(Tabla3[[#This Row],[PATENTE]],'BASE DATOS'!F:H,3,0)</f>
        <v>26P</v>
      </c>
      <c r="G1833" s="584" t="str">
        <f>+VLOOKUP(Tabla3[[#This Row],[PATENTE]],'BASE DATOS'!F:I,4,0)</f>
        <v>Gestya</v>
      </c>
      <c r="H1833" s="584" t="str">
        <f>+VLOOKUP(Tabla3[[#This Row],[PATENTE]],'BASE DATOS'!F:J,5,0)</f>
        <v xml:space="preserve">NO </v>
      </c>
      <c r="I1833" s="584" t="str">
        <f>+VLOOKUP(Tabla3[[#This Row],[PATENTE]],'BASE DATOS'!F:K,6,0)</f>
        <v>NO</v>
      </c>
      <c r="J1833" s="584">
        <f>+VLOOKUP(Tabla3[[#This Row],[PATENTE]],'BASE DATOS'!F:L,7,0)</f>
        <v>1997</v>
      </c>
      <c r="K1833" s="619">
        <f>+VLOOKUP(Tabla3[[#This Row],[PATENTE]],'BASE DATOS'!F:M,8,0)</f>
        <v>28</v>
      </c>
    </row>
    <row r="1834" spans="1:11" ht="15" customHeight="1">
      <c r="A1834" s="578" t="s">
        <v>1130</v>
      </c>
      <c r="B1834" s="584">
        <v>1</v>
      </c>
      <c r="C1834" s="589">
        <v>46083</v>
      </c>
      <c r="D1834" s="582">
        <f t="shared" si="65"/>
        <v>10</v>
      </c>
      <c r="E1834" s="618" t="str">
        <f>+VLOOKUP(Tabla3[[#This Row],[PATENTE]],'BASE DATOS'!F:G,2,0)</f>
        <v>PACHECO JULIO - OIS535 - 12p (CON PALA)</v>
      </c>
      <c r="F1834" s="584">
        <f>+VLOOKUP(Tabla3[[#This Row],[PATENTE]],'BASE DATOS'!F:H,3,0)</f>
        <v>12</v>
      </c>
      <c r="G1834" s="584" t="str">
        <f>+VLOOKUP(Tabla3[[#This Row],[PATENTE]],'BASE DATOS'!F:I,4,0)</f>
        <v>NO</v>
      </c>
      <c r="H1834" s="584" t="str">
        <f>+VLOOKUP(Tabla3[[#This Row],[PATENTE]],'BASE DATOS'!F:J,5,0)</f>
        <v>NO</v>
      </c>
      <c r="I1834" s="584" t="str">
        <f>+VLOOKUP(Tabla3[[#This Row],[PATENTE]],'BASE DATOS'!F:K,6,0)</f>
        <v>SI</v>
      </c>
      <c r="J1834" s="584">
        <f>+VLOOKUP(Tabla3[[#This Row],[PATENTE]],'BASE DATOS'!F:L,7,0)</f>
        <v>2015</v>
      </c>
      <c r="K1834" s="619">
        <f>+VLOOKUP(Tabla3[[#This Row],[PATENTE]],'BASE DATOS'!F:M,8,0)</f>
        <v>10</v>
      </c>
    </row>
    <row r="1835" spans="1:11" ht="15" customHeight="1">
      <c r="A1835" s="578" t="s">
        <v>900</v>
      </c>
      <c r="B1835" s="584">
        <v>1</v>
      </c>
      <c r="C1835" s="589">
        <v>46083</v>
      </c>
      <c r="D1835" s="582">
        <f t="shared" si="65"/>
        <v>10</v>
      </c>
      <c r="E1835" s="618" t="str">
        <f>+VLOOKUP(Tabla3[[#This Row],[PATENTE]],'BASE DATOS'!F:G,2,0)</f>
        <v>TRANSPORTE GENA GAIA - IMO939</v>
      </c>
      <c r="F1835" s="584" t="str">
        <f>+VLOOKUP(Tabla3[[#This Row],[PATENTE]],'BASE DATOS'!F:H,3,0)</f>
        <v>24P</v>
      </c>
      <c r="G1835" s="584" t="str">
        <f>+VLOOKUP(Tabla3[[#This Row],[PATENTE]],'BASE DATOS'!F:I,4,0)</f>
        <v>Gestya</v>
      </c>
      <c r="H1835" s="584" t="str">
        <f>+VLOOKUP(Tabla3[[#This Row],[PATENTE]],'BASE DATOS'!F:J,5,0)</f>
        <v xml:space="preserve">NO </v>
      </c>
      <c r="I1835" s="584" t="str">
        <f>+VLOOKUP(Tabla3[[#This Row],[PATENTE]],'BASE DATOS'!F:K,6,0)</f>
        <v>NO</v>
      </c>
      <c r="J1835" s="584">
        <f>+VLOOKUP(Tabla3[[#This Row],[PATENTE]],'BASE DATOS'!F:L,7,0)</f>
        <v>2010</v>
      </c>
      <c r="K1835" s="619">
        <f>+VLOOKUP(Tabla3[[#This Row],[PATENTE]],'BASE DATOS'!F:M,8,0)</f>
        <v>15</v>
      </c>
    </row>
    <row r="1836" spans="1:11" ht="15" customHeight="1">
      <c r="A1836" s="578" t="s">
        <v>915</v>
      </c>
      <c r="B1836" s="584">
        <v>1</v>
      </c>
      <c r="C1836" s="589">
        <v>46083</v>
      </c>
      <c r="D1836" s="582">
        <f t="shared" si="65"/>
        <v>10</v>
      </c>
      <c r="E1836" s="618" t="str">
        <f>+VLOOKUP(Tabla3[[#This Row],[PATENTE]],'BASE DATOS'!F:G,2,0)</f>
        <v>TRANSPORTE GRACIELA - FPL254</v>
      </c>
      <c r="F1836" s="584" t="str">
        <f>+VLOOKUP(Tabla3[[#This Row],[PATENTE]],'BASE DATOS'!F:H,3,0)</f>
        <v>2P</v>
      </c>
      <c r="G1836" s="584" t="str">
        <f>+VLOOKUP(Tabla3[[#This Row],[PATENTE]],'BASE DATOS'!F:I,4,0)</f>
        <v>SI</v>
      </c>
      <c r="H1836" s="584" t="str">
        <f>+VLOOKUP(Tabla3[[#This Row],[PATENTE]],'BASE DATOS'!F:J,5,0)</f>
        <v>NO (CAMI)</v>
      </c>
      <c r="I1836" s="584" t="str">
        <f>+VLOOKUP(Tabla3[[#This Row],[PATENTE]],'BASE DATOS'!F:K,6,0)</f>
        <v>NO</v>
      </c>
      <c r="J1836" s="584">
        <f>+VLOOKUP(Tabla3[[#This Row],[PATENTE]],'BASE DATOS'!F:L,7,0)</f>
        <v>2012</v>
      </c>
      <c r="K1836" s="619">
        <f>+VLOOKUP(Tabla3[[#This Row],[PATENTE]],'BASE DATOS'!F:M,8,0)</f>
        <v>13</v>
      </c>
    </row>
    <row r="1837" spans="1:11" ht="15" customHeight="1">
      <c r="A1837" s="581" t="s">
        <v>1129</v>
      </c>
      <c r="B1837" s="587">
        <v>1</v>
      </c>
      <c r="C1837" s="589">
        <v>46083</v>
      </c>
      <c r="D1837" s="583">
        <f t="shared" si="65"/>
        <v>10</v>
      </c>
      <c r="E1837" s="620" t="str">
        <f>+VLOOKUP(Tabla3[[#This Row],[PATENTE]],'BASE DATOS'!F:G,2,0)</f>
        <v>CM TRANS - 24P RETIRA CLIENTE</v>
      </c>
      <c r="F1837" s="587" t="str">
        <f>+VLOOKUP(Tabla3[[#This Row],[PATENTE]],'BASE DATOS'!F:H,3,0)</f>
        <v>24P</v>
      </c>
      <c r="G1837" s="587" t="str">
        <f>+VLOOKUP(Tabla3[[#This Row],[PATENTE]],'BASE DATOS'!F:I,4,0)</f>
        <v>NO</v>
      </c>
      <c r="H1837" s="587" t="str">
        <f>+VLOOKUP(Tabla3[[#This Row],[PATENTE]],'BASE DATOS'!F:J,5,0)</f>
        <v xml:space="preserve">NO </v>
      </c>
      <c r="I1837" s="587" t="str">
        <f>+VLOOKUP(Tabla3[[#This Row],[PATENTE]],'BASE DATOS'!F:K,6,0)</f>
        <v>NO</v>
      </c>
      <c r="J1837" s="587">
        <f>+VLOOKUP(Tabla3[[#This Row],[PATENTE]],'BASE DATOS'!F:L,7,0)</f>
        <v>0</v>
      </c>
      <c r="K1837" s="621">
        <f>+VLOOKUP(Tabla3[[#This Row],[PATENTE]],'BASE DATOS'!F:M,8,0)</f>
        <v>2025</v>
      </c>
    </row>
    <row r="1838" spans="1:11" ht="15" customHeight="1">
      <c r="A1838" s="578" t="s">
        <v>1122</v>
      </c>
      <c r="B1838" s="584">
        <v>9</v>
      </c>
      <c r="C1838" s="589">
        <v>46090</v>
      </c>
      <c r="D1838" s="582">
        <f t="shared" ref="D1838:D1884" si="66">+WEEKNUM(C1838)</f>
        <v>11</v>
      </c>
      <c r="E1838" s="618" t="str">
        <f>+VLOOKUP(Tabla3[[#This Row],[PATENTE]],'BASE DATOS'!F:G,2,0)</f>
        <v>TRANSPORTE GENA GAIA - AH898OB</v>
      </c>
      <c r="F1838" s="584" t="str">
        <f>+VLOOKUP(Tabla3[[#This Row],[PATENTE]],'BASE DATOS'!F:H,3,0)</f>
        <v>24P</v>
      </c>
      <c r="G1838" s="584" t="str">
        <f>+VLOOKUP(Tabla3[[#This Row],[PATENTE]],'BASE DATOS'!F:I,4,0)</f>
        <v>NO</v>
      </c>
      <c r="H1838" s="584" t="str">
        <f>+VLOOKUP(Tabla3[[#This Row],[PATENTE]],'BASE DATOS'!F:J,5,0)</f>
        <v>NO</v>
      </c>
      <c r="I1838" s="584" t="str">
        <f>+VLOOKUP(Tabla3[[#This Row],[PATENTE]],'BASE DATOS'!F:K,6,0)</f>
        <v>NO</v>
      </c>
      <c r="J1838" s="584">
        <f>+VLOOKUP(Tabla3[[#This Row],[PATENTE]],'BASE DATOS'!F:L,7,0)</f>
        <v>2026</v>
      </c>
      <c r="K1838" s="619">
        <f>+VLOOKUP(Tabla3[[#This Row],[PATENTE]],'BASE DATOS'!F:M,8,0)</f>
        <v>-1</v>
      </c>
    </row>
    <row r="1839" spans="1:11" ht="15" customHeight="1">
      <c r="A1839" s="578" t="s">
        <v>884</v>
      </c>
      <c r="B1839" s="584">
        <v>7</v>
      </c>
      <c r="C1839" s="589">
        <v>46090</v>
      </c>
      <c r="D1839" s="582">
        <f t="shared" si="66"/>
        <v>11</v>
      </c>
      <c r="E1839" s="618" t="str">
        <f>+VLOOKUP(Tabla3[[#This Row],[PATENTE]],'BASE DATOS'!F:G,2,0)</f>
        <v xml:space="preserve">LAURIA (SERVAL) - AB233IT </v>
      </c>
      <c r="F1839" s="584" t="str">
        <f>+VLOOKUP(Tabla3[[#This Row],[PATENTE]],'BASE DATOS'!F:H,3,0)</f>
        <v>6P</v>
      </c>
      <c r="G1839" s="584" t="str">
        <f>+VLOOKUP(Tabla3[[#This Row],[PATENTE]],'BASE DATOS'!F:I,4,0)</f>
        <v>SI</v>
      </c>
      <c r="H1839" s="584" t="str">
        <f>+VLOOKUP(Tabla3[[#This Row],[PATENTE]],'BASE DATOS'!F:J,5,0)</f>
        <v>SI</v>
      </c>
      <c r="I1839" s="584" t="str">
        <f>+VLOOKUP(Tabla3[[#This Row],[PATENTE]],'BASE DATOS'!F:K,6,0)</f>
        <v>NO</v>
      </c>
      <c r="J1839" s="584">
        <f>+VLOOKUP(Tabla3[[#This Row],[PATENTE]],'BASE DATOS'!F:L,7,0)</f>
        <v>2017</v>
      </c>
      <c r="K1839" s="619">
        <f>+VLOOKUP(Tabla3[[#This Row],[PATENTE]],'BASE DATOS'!F:M,8,0)</f>
        <v>8</v>
      </c>
    </row>
    <row r="1840" spans="1:11" ht="15" customHeight="1">
      <c r="A1840" s="578" t="s">
        <v>886</v>
      </c>
      <c r="B1840" s="584">
        <v>7</v>
      </c>
      <c r="C1840" s="589">
        <v>46090</v>
      </c>
      <c r="D1840" s="582">
        <f t="shared" si="66"/>
        <v>11</v>
      </c>
      <c r="E1840" s="618" t="str">
        <f>+VLOOKUP(Tabla3[[#This Row],[PATENTE]],'BASE DATOS'!F:G,2,0)</f>
        <v xml:space="preserve">TRANSP LAGOS - NOO925 </v>
      </c>
      <c r="F1840" s="584" t="str">
        <f>+VLOOKUP(Tabla3[[#This Row],[PATENTE]],'BASE DATOS'!F:H,3,0)</f>
        <v>8P</v>
      </c>
      <c r="G1840" s="584" t="str">
        <f>+VLOOKUP(Tabla3[[#This Row],[PATENTE]],'BASE DATOS'!F:I,4,0)</f>
        <v>SI</v>
      </c>
      <c r="H1840" s="584" t="str">
        <f>+VLOOKUP(Tabla3[[#This Row],[PATENTE]],'BASE DATOS'!F:J,5,0)</f>
        <v>SI</v>
      </c>
      <c r="I1840" s="584" t="str">
        <f>+VLOOKUP(Tabla3[[#This Row],[PATENTE]],'BASE DATOS'!F:K,6,0)</f>
        <v>NO</v>
      </c>
      <c r="J1840" s="584">
        <f>+VLOOKUP(Tabla3[[#This Row],[PATENTE]],'BASE DATOS'!F:L,7,0)</f>
        <v>2014</v>
      </c>
      <c r="K1840" s="619">
        <f>+VLOOKUP(Tabla3[[#This Row],[PATENTE]],'BASE DATOS'!F:M,8,0)</f>
        <v>11</v>
      </c>
    </row>
    <row r="1841" spans="1:11" ht="15" customHeight="1">
      <c r="A1841" s="578" t="s">
        <v>880</v>
      </c>
      <c r="B1841" s="584">
        <v>6</v>
      </c>
      <c r="C1841" s="589">
        <v>46090</v>
      </c>
      <c r="D1841" s="582">
        <f t="shared" si="66"/>
        <v>11</v>
      </c>
      <c r="E1841" s="618" t="str">
        <f>+VLOOKUP(Tabla3[[#This Row],[PATENTE]],'BASE DATOS'!F:G,2,0)</f>
        <v xml:space="preserve">LAURIA (SERVAL) - AD575XK </v>
      </c>
      <c r="F1841" s="584" t="str">
        <f>+VLOOKUP(Tabla3[[#This Row],[PATENTE]],'BASE DATOS'!F:H,3,0)</f>
        <v>8P</v>
      </c>
      <c r="G1841" s="584" t="str">
        <f>+VLOOKUP(Tabla3[[#This Row],[PATENTE]],'BASE DATOS'!F:I,4,0)</f>
        <v>SI</v>
      </c>
      <c r="H1841" s="584" t="str">
        <f>+VLOOKUP(Tabla3[[#This Row],[PATENTE]],'BASE DATOS'!F:J,5,0)</f>
        <v>SI</v>
      </c>
      <c r="I1841" s="584" t="str">
        <f>+VLOOKUP(Tabla3[[#This Row],[PATENTE]],'BASE DATOS'!F:K,6,0)</f>
        <v>NO</v>
      </c>
      <c r="J1841" s="584">
        <f>+VLOOKUP(Tabla3[[#This Row],[PATENTE]],'BASE DATOS'!F:L,7,0)</f>
        <v>2019</v>
      </c>
      <c r="K1841" s="619">
        <f>+VLOOKUP(Tabla3[[#This Row],[PATENTE]],'BASE DATOS'!F:M,8,0)</f>
        <v>6</v>
      </c>
    </row>
    <row r="1842" spans="1:11" ht="15" customHeight="1">
      <c r="A1842" s="578" t="s">
        <v>922</v>
      </c>
      <c r="B1842" s="584">
        <v>6</v>
      </c>
      <c r="C1842" s="589">
        <v>46090</v>
      </c>
      <c r="D1842" s="582">
        <f t="shared" si="66"/>
        <v>11</v>
      </c>
      <c r="E1842" s="618" t="str">
        <f>+VLOOKUP(Tabla3[[#This Row],[PATENTE]],'BASE DATOS'!F:G,2,0)</f>
        <v>LAURIA (SERVAL) - AF342ZY</v>
      </c>
      <c r="F1842" s="584" t="str">
        <f>+VLOOKUP(Tabla3[[#This Row],[PATENTE]],'BASE DATOS'!F:H,3,0)</f>
        <v>8P</v>
      </c>
      <c r="G1842" s="584" t="str">
        <f>+VLOOKUP(Tabla3[[#This Row],[PATENTE]],'BASE DATOS'!F:I,4,0)</f>
        <v>SI</v>
      </c>
      <c r="H1842" s="584" t="str">
        <f>+VLOOKUP(Tabla3[[#This Row],[PATENTE]],'BASE DATOS'!F:J,5,0)</f>
        <v>SI</v>
      </c>
      <c r="I1842" s="584" t="str">
        <f>+VLOOKUP(Tabla3[[#This Row],[PATENTE]],'BASE DATOS'!F:K,6,0)</f>
        <v>NO</v>
      </c>
      <c r="J1842" s="584">
        <f>+VLOOKUP(Tabla3[[#This Row],[PATENTE]],'BASE DATOS'!F:L,7,0)</f>
        <v>2022</v>
      </c>
      <c r="K1842" s="619">
        <f>+VLOOKUP(Tabla3[[#This Row],[PATENTE]],'BASE DATOS'!F:M,8,0)</f>
        <v>3</v>
      </c>
    </row>
    <row r="1843" spans="1:11" ht="15" customHeight="1">
      <c r="A1843" s="578" t="s">
        <v>887</v>
      </c>
      <c r="B1843" s="584">
        <v>6</v>
      </c>
      <c r="C1843" s="589">
        <v>46090</v>
      </c>
      <c r="D1843" s="582">
        <f t="shared" si="66"/>
        <v>11</v>
      </c>
      <c r="E1843" s="618" t="str">
        <f>+VLOOKUP(Tabla3[[#This Row],[PATENTE]],'BASE DATOS'!F:G,2,0)</f>
        <v>ENRIQUE ROLLINO - BXB394</v>
      </c>
      <c r="F1843" s="584" t="str">
        <f>+VLOOKUP(Tabla3[[#This Row],[PATENTE]],'BASE DATOS'!F:H,3,0)</f>
        <v>2P</v>
      </c>
      <c r="G1843" s="584" t="str">
        <f>+VLOOKUP(Tabla3[[#This Row],[PATENTE]],'BASE DATOS'!F:I,4,0)</f>
        <v>SI</v>
      </c>
      <c r="H1843" s="584" t="str">
        <f>+VLOOKUP(Tabla3[[#This Row],[PATENTE]],'BASE DATOS'!F:J,5,0)</f>
        <v>SI</v>
      </c>
      <c r="I1843" s="584" t="str">
        <f>+VLOOKUP(Tabla3[[#This Row],[PATENTE]],'BASE DATOS'!F:K,6,0)</f>
        <v>NO</v>
      </c>
      <c r="J1843" s="584">
        <f>+VLOOKUP(Tabla3[[#This Row],[PATENTE]],'BASE DATOS'!F:L,7,0)</f>
        <v>1998</v>
      </c>
      <c r="K1843" s="619">
        <f>+VLOOKUP(Tabla3[[#This Row],[PATENTE]],'BASE DATOS'!F:M,8,0)</f>
        <v>27</v>
      </c>
    </row>
    <row r="1844" spans="1:11" ht="15" customHeight="1">
      <c r="A1844" s="578" t="s">
        <v>904</v>
      </c>
      <c r="B1844" s="584">
        <v>6</v>
      </c>
      <c r="C1844" s="589">
        <v>46090</v>
      </c>
      <c r="D1844" s="582">
        <f t="shared" si="66"/>
        <v>11</v>
      </c>
      <c r="E1844" s="618" t="str">
        <f>+VLOOKUP(Tabla3[[#This Row],[PATENTE]],'BASE DATOS'!F:G,2,0)</f>
        <v xml:space="preserve">ENRIQUE ROLLINO - DFO656 </v>
      </c>
      <c r="F1844" s="584" t="str">
        <f>+VLOOKUP(Tabla3[[#This Row],[PATENTE]],'BASE DATOS'!F:H,3,0)</f>
        <v>6P</v>
      </c>
      <c r="G1844" s="584" t="str">
        <f>+VLOOKUP(Tabla3[[#This Row],[PATENTE]],'BASE DATOS'!F:I,4,0)</f>
        <v>SI</v>
      </c>
      <c r="H1844" s="584" t="str">
        <f>+VLOOKUP(Tabla3[[#This Row],[PATENTE]],'BASE DATOS'!F:J,5,0)</f>
        <v>SI</v>
      </c>
      <c r="I1844" s="584" t="str">
        <f>+VLOOKUP(Tabla3[[#This Row],[PATENTE]],'BASE DATOS'!F:K,6,0)</f>
        <v>NO</v>
      </c>
      <c r="J1844" s="584">
        <f>+VLOOKUP(Tabla3[[#This Row],[PATENTE]],'BASE DATOS'!F:L,7,0)</f>
        <v>2000</v>
      </c>
      <c r="K1844" s="619">
        <f>+VLOOKUP(Tabla3[[#This Row],[PATENTE]],'BASE DATOS'!F:M,8,0)</f>
        <v>25</v>
      </c>
    </row>
    <row r="1845" spans="1:11" ht="15" customHeight="1">
      <c r="A1845" s="578" t="s">
        <v>889</v>
      </c>
      <c r="B1845" s="584">
        <v>6</v>
      </c>
      <c r="C1845" s="589">
        <v>46090</v>
      </c>
      <c r="D1845" s="582">
        <f t="shared" si="66"/>
        <v>11</v>
      </c>
      <c r="E1845" s="618" t="str">
        <f>+VLOOKUP(Tabla3[[#This Row],[PATENTE]],'BASE DATOS'!F:G,2,0)</f>
        <v xml:space="preserve">COLO - HAW164 </v>
      </c>
      <c r="F1845" s="584" t="str">
        <f>+VLOOKUP(Tabla3[[#This Row],[PATENTE]],'BASE DATOS'!F:H,3,0)</f>
        <v>6P</v>
      </c>
      <c r="G1845" s="584" t="str">
        <f>+VLOOKUP(Tabla3[[#This Row],[PATENTE]],'BASE DATOS'!F:I,4,0)</f>
        <v>NO</v>
      </c>
      <c r="H1845" s="584" t="str">
        <f>+VLOOKUP(Tabla3[[#This Row],[PATENTE]],'BASE DATOS'!F:J,5,0)</f>
        <v>SI</v>
      </c>
      <c r="I1845" s="584" t="str">
        <f>+VLOOKUP(Tabla3[[#This Row],[PATENTE]],'BASE DATOS'!F:K,6,0)</f>
        <v>NO</v>
      </c>
      <c r="J1845" s="584">
        <f>+VLOOKUP(Tabla3[[#This Row],[PATENTE]],'BASE DATOS'!F:L,7,0)</f>
        <v>2009</v>
      </c>
      <c r="K1845" s="619">
        <f>+VLOOKUP(Tabla3[[#This Row],[PATENTE]],'BASE DATOS'!F:M,8,0)</f>
        <v>16</v>
      </c>
    </row>
    <row r="1846" spans="1:11" ht="15" customHeight="1">
      <c r="A1846" s="578" t="s">
        <v>933</v>
      </c>
      <c r="B1846" s="584">
        <v>6</v>
      </c>
      <c r="C1846" s="589">
        <v>46090</v>
      </c>
      <c r="D1846" s="582">
        <f t="shared" si="66"/>
        <v>11</v>
      </c>
      <c r="E1846" s="618" t="str">
        <f>+VLOOKUP(Tabla3[[#This Row],[PATENTE]],'BASE DATOS'!F:G,2,0)</f>
        <v xml:space="preserve">TRANSPORTE GENA GAIA - IKE806 </v>
      </c>
      <c r="F1846" s="584" t="str">
        <f>+VLOOKUP(Tabla3[[#This Row],[PATENTE]],'BASE DATOS'!F:H,3,0)</f>
        <v>24P</v>
      </c>
      <c r="G1846" s="584" t="str">
        <f>+VLOOKUP(Tabla3[[#This Row],[PATENTE]],'BASE DATOS'!F:I,4,0)</f>
        <v>Gestya</v>
      </c>
      <c r="H1846" s="584" t="str">
        <f>+VLOOKUP(Tabla3[[#This Row],[PATENTE]],'BASE DATOS'!F:J,5,0)</f>
        <v xml:space="preserve">NO </v>
      </c>
      <c r="I1846" s="584" t="str">
        <f>+VLOOKUP(Tabla3[[#This Row],[PATENTE]],'BASE DATOS'!F:K,6,0)</f>
        <v>NO</v>
      </c>
      <c r="J1846" s="584">
        <f>+VLOOKUP(Tabla3[[#This Row],[PATENTE]],'BASE DATOS'!F:L,7,0)</f>
        <v>2010</v>
      </c>
      <c r="K1846" s="619">
        <f>+VLOOKUP(Tabla3[[#This Row],[PATENTE]],'BASE DATOS'!F:M,8,0)</f>
        <v>15</v>
      </c>
    </row>
    <row r="1847" spans="1:11" ht="15" customHeight="1">
      <c r="A1847" s="578" t="s">
        <v>901</v>
      </c>
      <c r="B1847" s="584">
        <v>6</v>
      </c>
      <c r="C1847" s="589">
        <v>46090</v>
      </c>
      <c r="D1847" s="582">
        <f t="shared" si="66"/>
        <v>11</v>
      </c>
      <c r="E1847" s="618" t="str">
        <f>+VLOOKUP(Tabla3[[#This Row],[PATENTE]],'BASE DATOS'!F:G,2,0)</f>
        <v xml:space="preserve">TRANSPORTE  GRACIELA - IYE750 </v>
      </c>
      <c r="F1847" s="584" t="str">
        <f>+VLOOKUP(Tabla3[[#This Row],[PATENTE]],'BASE DATOS'!F:H,3,0)</f>
        <v>1P</v>
      </c>
      <c r="G1847" s="584" t="str">
        <f>+VLOOKUP(Tabla3[[#This Row],[PATENTE]],'BASE DATOS'!F:I,4,0)</f>
        <v>NO</v>
      </c>
      <c r="H1847" s="584" t="str">
        <f>+VLOOKUP(Tabla3[[#This Row],[PATENTE]],'BASE DATOS'!F:J,5,0)</f>
        <v>SI</v>
      </c>
      <c r="I1847" s="584" t="str">
        <f>+VLOOKUP(Tabla3[[#This Row],[PATENTE]],'BASE DATOS'!F:K,6,0)</f>
        <v>NO</v>
      </c>
      <c r="J1847" s="584">
        <f>+VLOOKUP(Tabla3[[#This Row],[PATENTE]],'BASE DATOS'!F:L,7,0)</f>
        <v>2009</v>
      </c>
      <c r="K1847" s="619">
        <f>+VLOOKUP(Tabla3[[#This Row],[PATENTE]],'BASE DATOS'!F:M,8,0)</f>
        <v>16</v>
      </c>
    </row>
    <row r="1848" spans="1:11" ht="15" customHeight="1">
      <c r="A1848" s="578" t="s">
        <v>920</v>
      </c>
      <c r="B1848" s="584">
        <v>6</v>
      </c>
      <c r="C1848" s="589">
        <v>46090</v>
      </c>
      <c r="D1848" s="582">
        <f t="shared" si="66"/>
        <v>11</v>
      </c>
      <c r="E1848" s="618" t="str">
        <f>+VLOOKUP(Tabla3[[#This Row],[PATENTE]],'BASE DATOS'!F:G,2,0)</f>
        <v xml:space="preserve">TRANSP LAGOS - MRV682 </v>
      </c>
      <c r="F1848" s="584" t="str">
        <f>+VLOOKUP(Tabla3[[#This Row],[PATENTE]],'BASE DATOS'!F:H,3,0)</f>
        <v>8P</v>
      </c>
      <c r="G1848" s="584" t="str">
        <f>+VLOOKUP(Tabla3[[#This Row],[PATENTE]],'BASE DATOS'!F:I,4,0)</f>
        <v>SI</v>
      </c>
      <c r="H1848" s="584" t="str">
        <f>+VLOOKUP(Tabla3[[#This Row],[PATENTE]],'BASE DATOS'!F:J,5,0)</f>
        <v>SI</v>
      </c>
      <c r="I1848" s="584" t="str">
        <f>+VLOOKUP(Tabla3[[#This Row],[PATENTE]],'BASE DATOS'!F:K,6,0)</f>
        <v>NO</v>
      </c>
      <c r="J1848" s="584">
        <f>+VLOOKUP(Tabla3[[#This Row],[PATENTE]],'BASE DATOS'!F:L,7,0)</f>
        <v>2013</v>
      </c>
      <c r="K1848" s="619">
        <f>+VLOOKUP(Tabla3[[#This Row],[PATENTE]],'BASE DATOS'!F:M,8,0)</f>
        <v>12</v>
      </c>
    </row>
    <row r="1849" spans="1:11" ht="15" customHeight="1">
      <c r="A1849" s="578" t="s">
        <v>909</v>
      </c>
      <c r="B1849" s="584">
        <v>6</v>
      </c>
      <c r="C1849" s="589">
        <v>46090</v>
      </c>
      <c r="D1849" s="582">
        <f t="shared" si="66"/>
        <v>11</v>
      </c>
      <c r="E1849" s="618" t="str">
        <f>+VLOOKUP(Tabla3[[#This Row],[PATENTE]],'BASE DATOS'!F:G,2,0)</f>
        <v xml:space="preserve">CRISTIAN MOYA - NHR055 </v>
      </c>
      <c r="F1849" s="584" t="str">
        <f>+VLOOKUP(Tabla3[[#This Row],[PATENTE]],'BASE DATOS'!F:H,3,0)</f>
        <v>6P</v>
      </c>
      <c r="G1849" s="584" t="str">
        <f>+VLOOKUP(Tabla3[[#This Row],[PATENTE]],'BASE DATOS'!F:I,4,0)</f>
        <v>SI</v>
      </c>
      <c r="H1849" s="584" t="str">
        <f>+VLOOKUP(Tabla3[[#This Row],[PATENTE]],'BASE DATOS'!F:J,5,0)</f>
        <v>SI</v>
      </c>
      <c r="I1849" s="584" t="str">
        <f>+VLOOKUP(Tabla3[[#This Row],[PATENTE]],'BASE DATOS'!F:K,6,0)</f>
        <v>NO</v>
      </c>
      <c r="J1849" s="584">
        <f>+VLOOKUP(Tabla3[[#This Row],[PATENTE]],'BASE DATOS'!F:L,7,0)</f>
        <v>2013</v>
      </c>
      <c r="K1849" s="619">
        <f>+VLOOKUP(Tabla3[[#This Row],[PATENTE]],'BASE DATOS'!F:M,8,0)</f>
        <v>12</v>
      </c>
    </row>
    <row r="1850" spans="1:11" ht="15" customHeight="1">
      <c r="A1850" s="578" t="s">
        <v>898</v>
      </c>
      <c r="B1850" s="584">
        <v>6</v>
      </c>
      <c r="C1850" s="589">
        <v>46090</v>
      </c>
      <c r="D1850" s="582">
        <f t="shared" si="66"/>
        <v>11</v>
      </c>
      <c r="E1850" s="618" t="str">
        <f>+VLOOKUP(Tabla3[[#This Row],[PATENTE]],'BASE DATOS'!F:G,2,0)</f>
        <v xml:space="preserve">TRANSP BERMEJO - NXP980 </v>
      </c>
      <c r="F1850" s="584" t="str">
        <f>+VLOOKUP(Tabla3[[#This Row],[PATENTE]],'BASE DATOS'!F:H,3,0)</f>
        <v>12P</v>
      </c>
      <c r="G1850" s="584" t="str">
        <f>+VLOOKUP(Tabla3[[#This Row],[PATENTE]],'BASE DATOS'!F:I,4,0)</f>
        <v>SI</v>
      </c>
      <c r="H1850" s="584" t="str">
        <f>+VLOOKUP(Tabla3[[#This Row],[PATENTE]],'BASE DATOS'!F:J,5,0)</f>
        <v>SI</v>
      </c>
      <c r="I1850" s="584" t="str">
        <f>+VLOOKUP(Tabla3[[#This Row],[PATENTE]],'BASE DATOS'!F:K,6,0)</f>
        <v>SI</v>
      </c>
      <c r="J1850" s="584">
        <f>+VLOOKUP(Tabla3[[#This Row],[PATENTE]],'BASE DATOS'!F:L,7,0)</f>
        <v>2015</v>
      </c>
      <c r="K1850" s="619">
        <f>+VLOOKUP(Tabla3[[#This Row],[PATENTE]],'BASE DATOS'!F:M,8,0)</f>
        <v>10</v>
      </c>
    </row>
    <row r="1851" spans="1:11" ht="15" customHeight="1">
      <c r="A1851" s="578" t="s">
        <v>877</v>
      </c>
      <c r="B1851" s="584">
        <v>6</v>
      </c>
      <c r="C1851" s="589">
        <v>46090</v>
      </c>
      <c r="D1851" s="582">
        <f t="shared" si="66"/>
        <v>11</v>
      </c>
      <c r="E1851" s="618" t="str">
        <f>+VLOOKUP(Tabla3[[#This Row],[PATENTE]],'BASE DATOS'!F:G,2,0)</f>
        <v>TRANSP MAIDANA CARLOS - OWA126</v>
      </c>
      <c r="F1851" s="584" t="str">
        <f>+VLOOKUP(Tabla3[[#This Row],[PATENTE]],'BASE DATOS'!F:H,3,0)</f>
        <v>4P</v>
      </c>
      <c r="G1851" s="584" t="str">
        <f>+VLOOKUP(Tabla3[[#This Row],[PATENTE]],'BASE DATOS'!F:I,4,0)</f>
        <v>SI</v>
      </c>
      <c r="H1851" s="584" t="str">
        <f>+VLOOKUP(Tabla3[[#This Row],[PATENTE]],'BASE DATOS'!F:J,5,0)</f>
        <v>SI</v>
      </c>
      <c r="I1851" s="584" t="str">
        <f>+VLOOKUP(Tabla3[[#This Row],[PATENTE]],'BASE DATOS'!F:K,6,0)</f>
        <v>NO</v>
      </c>
      <c r="J1851" s="584">
        <f>+VLOOKUP(Tabla3[[#This Row],[PATENTE]],'BASE DATOS'!F:L,7,0)</f>
        <v>2015</v>
      </c>
      <c r="K1851" s="619">
        <f>+VLOOKUP(Tabla3[[#This Row],[PATENTE]],'BASE DATOS'!F:M,8,0)</f>
        <v>10</v>
      </c>
    </row>
    <row r="1852" spans="1:11" ht="15" customHeight="1">
      <c r="A1852" s="578" t="s">
        <v>879</v>
      </c>
      <c r="B1852" s="584">
        <v>6</v>
      </c>
      <c r="C1852" s="589">
        <v>46090</v>
      </c>
      <c r="D1852" s="582">
        <f t="shared" si="66"/>
        <v>11</v>
      </c>
      <c r="E1852" s="618" t="str">
        <f>+VLOOKUP(Tabla3[[#This Row],[PATENTE]],'BASE DATOS'!F:G,2,0)</f>
        <v xml:space="preserve">TRANSP JP - OYP470 </v>
      </c>
      <c r="F1852" s="584" t="str">
        <f>+VLOOKUP(Tabla3[[#This Row],[PATENTE]],'BASE DATOS'!F:H,3,0)</f>
        <v>8P</v>
      </c>
      <c r="G1852" s="584" t="str">
        <f>+VLOOKUP(Tabla3[[#This Row],[PATENTE]],'BASE DATOS'!F:I,4,0)</f>
        <v>SI</v>
      </c>
      <c r="H1852" s="584" t="str">
        <f>+VLOOKUP(Tabla3[[#This Row],[PATENTE]],'BASE DATOS'!F:J,5,0)</f>
        <v>SI</v>
      </c>
      <c r="I1852" s="584" t="str">
        <f>+VLOOKUP(Tabla3[[#This Row],[PATENTE]],'BASE DATOS'!F:K,6,0)</f>
        <v>NO</v>
      </c>
      <c r="J1852" s="584">
        <f>+VLOOKUP(Tabla3[[#This Row],[PATENTE]],'BASE DATOS'!F:L,7,0)</f>
        <v>2011</v>
      </c>
      <c r="K1852" s="619">
        <f>+VLOOKUP(Tabla3[[#This Row],[PATENTE]],'BASE DATOS'!F:M,8,0)</f>
        <v>14</v>
      </c>
    </row>
    <row r="1853" spans="1:11" ht="15" customHeight="1">
      <c r="A1853" s="578" t="s">
        <v>936</v>
      </c>
      <c r="B1853" s="584">
        <v>5</v>
      </c>
      <c r="C1853" s="589">
        <v>46090</v>
      </c>
      <c r="D1853" s="582">
        <f t="shared" si="66"/>
        <v>11</v>
      </c>
      <c r="E1853" s="618" t="str">
        <f>+VLOOKUP(Tabla3[[#This Row],[PATENTE]],'BASE DATOS'!F:G,2,0)</f>
        <v>TRANSP YANINA  LUONGO - AA050HC</v>
      </c>
      <c r="F1853" s="584" t="str">
        <f>+VLOOKUP(Tabla3[[#This Row],[PATENTE]],'BASE DATOS'!F:H,3,0)</f>
        <v>1.5P</v>
      </c>
      <c r="G1853" s="584" t="str">
        <f>+VLOOKUP(Tabla3[[#This Row],[PATENTE]],'BASE DATOS'!F:I,4,0)</f>
        <v>NO</v>
      </c>
      <c r="H1853" s="584" t="str">
        <f>+VLOOKUP(Tabla3[[#This Row],[PATENTE]],'BASE DATOS'!F:J,5,0)</f>
        <v>SI</v>
      </c>
      <c r="I1853" s="584" t="str">
        <f>+VLOOKUP(Tabla3[[#This Row],[PATENTE]],'BASE DATOS'!F:K,6,0)</f>
        <v>NO</v>
      </c>
      <c r="J1853" s="584">
        <f>+VLOOKUP(Tabla3[[#This Row],[PATENTE]],'BASE DATOS'!F:L,7,0)</f>
        <v>2016</v>
      </c>
      <c r="K1853" s="619">
        <f>+VLOOKUP(Tabla3[[#This Row],[PATENTE]],'BASE DATOS'!F:M,8,0)</f>
        <v>9</v>
      </c>
    </row>
    <row r="1854" spans="1:11" ht="15" customHeight="1">
      <c r="A1854" s="578" t="s">
        <v>899</v>
      </c>
      <c r="B1854" s="584">
        <v>5</v>
      </c>
      <c r="C1854" s="589">
        <v>46090</v>
      </c>
      <c r="D1854" s="582">
        <f t="shared" si="66"/>
        <v>11</v>
      </c>
      <c r="E1854" s="618" t="str">
        <f>+VLOOKUP(Tabla3[[#This Row],[PATENTE]],'BASE DATOS'!F:G,2,0)</f>
        <v xml:space="preserve">VAZQUEZ (TRV SRL) - AB176KN </v>
      </c>
      <c r="F1854" s="584" t="str">
        <f>+VLOOKUP(Tabla3[[#This Row],[PATENTE]],'BASE DATOS'!F:H,3,0)</f>
        <v>8P</v>
      </c>
      <c r="G1854" s="584" t="str">
        <f>+VLOOKUP(Tabla3[[#This Row],[PATENTE]],'BASE DATOS'!F:I,4,0)</f>
        <v>SI</v>
      </c>
      <c r="H1854" s="584" t="str">
        <f>+VLOOKUP(Tabla3[[#This Row],[PATENTE]],'BASE DATOS'!F:J,5,0)</f>
        <v>SI</v>
      </c>
      <c r="I1854" s="584" t="str">
        <f>+VLOOKUP(Tabla3[[#This Row],[PATENTE]],'BASE DATOS'!F:K,6,0)</f>
        <v>SI</v>
      </c>
      <c r="J1854" s="584">
        <f>+VLOOKUP(Tabla3[[#This Row],[PATENTE]],'BASE DATOS'!F:L,7,0)</f>
        <v>2017</v>
      </c>
      <c r="K1854" s="619">
        <f>+VLOOKUP(Tabla3[[#This Row],[PATENTE]],'BASE DATOS'!F:M,8,0)</f>
        <v>8</v>
      </c>
    </row>
    <row r="1855" spans="1:11" ht="15" customHeight="1">
      <c r="A1855" s="578" t="s">
        <v>912</v>
      </c>
      <c r="B1855" s="584">
        <v>5</v>
      </c>
      <c r="C1855" s="589">
        <v>46090</v>
      </c>
      <c r="D1855" s="582">
        <f t="shared" si="66"/>
        <v>11</v>
      </c>
      <c r="E1855" s="618" t="str">
        <f>+VLOOKUP(Tabla3[[#This Row],[PATENTE]],'BASE DATOS'!F:G,2,0)</f>
        <v xml:space="preserve">PACHECO JULIO - AC028WN </v>
      </c>
      <c r="F1855" s="584" t="str">
        <f>+VLOOKUP(Tabla3[[#This Row],[PATENTE]],'BASE DATOS'!F:H,3,0)</f>
        <v>8P</v>
      </c>
      <c r="G1855" s="584" t="str">
        <f>+VLOOKUP(Tabla3[[#This Row],[PATENTE]],'BASE DATOS'!F:I,4,0)</f>
        <v>SI</v>
      </c>
      <c r="H1855" s="584" t="str">
        <f>+VLOOKUP(Tabla3[[#This Row],[PATENTE]],'BASE DATOS'!F:J,5,0)</f>
        <v>SI</v>
      </c>
      <c r="I1855" s="584" t="str">
        <f>+VLOOKUP(Tabla3[[#This Row],[PATENTE]],'BASE DATOS'!F:K,6,0)</f>
        <v>SI</v>
      </c>
      <c r="J1855" s="584">
        <f>+VLOOKUP(Tabla3[[#This Row],[PATENTE]],'BASE DATOS'!F:L,7,0)</f>
        <v>2017</v>
      </c>
      <c r="K1855" s="619">
        <f>+VLOOKUP(Tabla3[[#This Row],[PATENTE]],'BASE DATOS'!F:M,8,0)</f>
        <v>8</v>
      </c>
    </row>
    <row r="1856" spans="1:11" ht="15" customHeight="1">
      <c r="A1856" s="578" t="s">
        <v>883</v>
      </c>
      <c r="B1856" s="584">
        <v>5</v>
      </c>
      <c r="C1856" s="589">
        <v>46090</v>
      </c>
      <c r="D1856" s="582">
        <f t="shared" si="66"/>
        <v>11</v>
      </c>
      <c r="E1856" s="618" t="str">
        <f>+VLOOKUP(Tabla3[[#This Row],[PATENTE]],'BASE DATOS'!F:G,2,0)</f>
        <v xml:space="preserve">PACHECO JULIO - ACI503 </v>
      </c>
      <c r="F1856" s="584" t="str">
        <f>+VLOOKUP(Tabla3[[#This Row],[PATENTE]],'BASE DATOS'!F:H,3,0)</f>
        <v>12P</v>
      </c>
      <c r="G1856" s="584" t="str">
        <f>+VLOOKUP(Tabla3[[#This Row],[PATENTE]],'BASE DATOS'!F:I,4,0)</f>
        <v>NO</v>
      </c>
      <c r="H1856" s="584" t="str">
        <f>+VLOOKUP(Tabla3[[#This Row],[PATENTE]],'BASE DATOS'!F:J,5,0)</f>
        <v>SI</v>
      </c>
      <c r="I1856" s="584" t="str">
        <f>+VLOOKUP(Tabla3[[#This Row],[PATENTE]],'BASE DATOS'!F:K,6,0)</f>
        <v>SI</v>
      </c>
      <c r="J1856" s="584">
        <f>+VLOOKUP(Tabla3[[#This Row],[PATENTE]],'BASE DATOS'!F:L,7,0)</f>
        <v>2000</v>
      </c>
      <c r="K1856" s="619">
        <f>+VLOOKUP(Tabla3[[#This Row],[PATENTE]],'BASE DATOS'!F:M,8,0)</f>
        <v>25</v>
      </c>
    </row>
    <row r="1857" spans="1:11" ht="15" customHeight="1">
      <c r="A1857" s="578" t="s">
        <v>903</v>
      </c>
      <c r="B1857" s="584">
        <v>5</v>
      </c>
      <c r="C1857" s="589">
        <v>46090</v>
      </c>
      <c r="D1857" s="582">
        <f t="shared" si="66"/>
        <v>11</v>
      </c>
      <c r="E1857" s="618" t="str">
        <f>+VLOOKUP(Tabla3[[#This Row],[PATENTE]],'BASE DATOS'!F:G,2,0)</f>
        <v xml:space="preserve">TRANSP CLAUDIO BUSTOS - AG243PE </v>
      </c>
      <c r="F1857" s="584" t="str">
        <f>+VLOOKUP(Tabla3[[#This Row],[PATENTE]],'BASE DATOS'!F:H,3,0)</f>
        <v>1P</v>
      </c>
      <c r="G1857" s="584" t="str">
        <f>+VLOOKUP(Tabla3[[#This Row],[PATENTE]],'BASE DATOS'!F:I,4,0)</f>
        <v>SI</v>
      </c>
      <c r="H1857" s="584" t="str">
        <f>+VLOOKUP(Tabla3[[#This Row],[PATENTE]],'BASE DATOS'!F:J,5,0)</f>
        <v>SI</v>
      </c>
      <c r="I1857" s="584" t="str">
        <f>+VLOOKUP(Tabla3[[#This Row],[PATENTE]],'BASE DATOS'!F:K,6,0)</f>
        <v>NO</v>
      </c>
      <c r="J1857" s="584">
        <f>+VLOOKUP(Tabla3[[#This Row],[PATENTE]],'BASE DATOS'!F:L,7,0)</f>
        <v>2024</v>
      </c>
      <c r="K1857" s="619">
        <f>+VLOOKUP(Tabla3[[#This Row],[PATENTE]],'BASE DATOS'!F:M,8,0)</f>
        <v>1</v>
      </c>
    </row>
    <row r="1858" spans="1:11" ht="15" customHeight="1">
      <c r="A1858" s="578" t="s">
        <v>907</v>
      </c>
      <c r="B1858" s="584">
        <v>5</v>
      </c>
      <c r="C1858" s="589">
        <v>46090</v>
      </c>
      <c r="D1858" s="582">
        <f t="shared" si="66"/>
        <v>11</v>
      </c>
      <c r="E1858" s="618" t="str">
        <f>+VLOOKUP(Tabla3[[#This Row],[PATENTE]],'BASE DATOS'!F:G,2,0)</f>
        <v xml:space="preserve">LAURIA (SERVAL) - AH583GW </v>
      </c>
      <c r="F1858" s="584" t="str">
        <f>+VLOOKUP(Tabla3[[#This Row],[PATENTE]],'BASE DATOS'!F:H,3,0)</f>
        <v>8P</v>
      </c>
      <c r="G1858" s="584" t="str">
        <f>+VLOOKUP(Tabla3[[#This Row],[PATENTE]],'BASE DATOS'!F:I,4,0)</f>
        <v>SI</v>
      </c>
      <c r="H1858" s="584" t="str">
        <f>+VLOOKUP(Tabla3[[#This Row],[PATENTE]],'BASE DATOS'!F:J,5,0)</f>
        <v>SI</v>
      </c>
      <c r="I1858" s="584" t="str">
        <f>+VLOOKUP(Tabla3[[#This Row],[PATENTE]],'BASE DATOS'!F:K,6,0)</f>
        <v>NO</v>
      </c>
      <c r="J1858" s="584">
        <f>+VLOOKUP(Tabla3[[#This Row],[PATENTE]],'BASE DATOS'!F:L,7,0)</f>
        <v>2025</v>
      </c>
      <c r="K1858" s="619">
        <f>+VLOOKUP(Tabla3[[#This Row],[PATENTE]],'BASE DATOS'!F:M,8,0)</f>
        <v>0</v>
      </c>
    </row>
    <row r="1859" spans="1:11" ht="15" customHeight="1">
      <c r="A1859" s="578" t="s">
        <v>921</v>
      </c>
      <c r="B1859" s="584">
        <v>5</v>
      </c>
      <c r="C1859" s="589">
        <v>46090</v>
      </c>
      <c r="D1859" s="582">
        <f t="shared" si="66"/>
        <v>11</v>
      </c>
      <c r="E1859" s="618" t="str">
        <f>+VLOOKUP(Tabla3[[#This Row],[PATENTE]],'BASE DATOS'!F:G,2,0)</f>
        <v xml:space="preserve">MAÑAS NORBERTO - CQQ304 </v>
      </c>
      <c r="F1859" s="584" t="str">
        <f>+VLOOKUP(Tabla3[[#This Row],[PATENTE]],'BASE DATOS'!F:H,3,0)</f>
        <v>11P</v>
      </c>
      <c r="G1859" s="584" t="str">
        <f>+VLOOKUP(Tabla3[[#This Row],[PATENTE]],'BASE DATOS'!F:I,4,0)</f>
        <v>SI</v>
      </c>
      <c r="H1859" s="584" t="str">
        <f>+VLOOKUP(Tabla3[[#This Row],[PATENTE]],'BASE DATOS'!F:J,5,0)</f>
        <v>SI</v>
      </c>
      <c r="I1859" s="584" t="str">
        <f>+VLOOKUP(Tabla3[[#This Row],[PATENTE]],'BASE DATOS'!F:K,6,0)</f>
        <v>NO</v>
      </c>
      <c r="J1859" s="584">
        <f>+VLOOKUP(Tabla3[[#This Row],[PATENTE]],'BASE DATOS'!F:L,7,0)</f>
        <v>2000</v>
      </c>
      <c r="K1859" s="619">
        <f>+VLOOKUP(Tabla3[[#This Row],[PATENTE]],'BASE DATOS'!F:M,8,0)</f>
        <v>25</v>
      </c>
    </row>
    <row r="1860" spans="1:11" ht="15" customHeight="1">
      <c r="A1860" s="578" t="s">
        <v>892</v>
      </c>
      <c r="B1860" s="584">
        <v>5</v>
      </c>
      <c r="C1860" s="589">
        <v>46090</v>
      </c>
      <c r="D1860" s="582">
        <f t="shared" si="66"/>
        <v>11</v>
      </c>
      <c r="E1860" s="618" t="str">
        <f>+VLOOKUP(Tabla3[[#This Row],[PATENTE]],'BASE DATOS'!F:G,2,0)</f>
        <v xml:space="preserve">COLO - FTL525 </v>
      </c>
      <c r="F1860" s="584" t="str">
        <f>+VLOOKUP(Tabla3[[#This Row],[PATENTE]],'BASE DATOS'!F:H,3,0)</f>
        <v>1P</v>
      </c>
      <c r="G1860" s="584" t="str">
        <f>+VLOOKUP(Tabla3[[#This Row],[PATENTE]],'BASE DATOS'!F:I,4,0)</f>
        <v>NO</v>
      </c>
      <c r="H1860" s="584" t="str">
        <f>+VLOOKUP(Tabla3[[#This Row],[PATENTE]],'BASE DATOS'!F:J,5,0)</f>
        <v>SI</v>
      </c>
      <c r="I1860" s="584" t="str">
        <f>+VLOOKUP(Tabla3[[#This Row],[PATENTE]],'BASE DATOS'!F:K,6,0)</f>
        <v>NO</v>
      </c>
      <c r="J1860" s="584">
        <f>+VLOOKUP(Tabla3[[#This Row],[PATENTE]],'BASE DATOS'!F:L,7,0)</f>
        <v>2008</v>
      </c>
      <c r="K1860" s="619">
        <f>+VLOOKUP(Tabla3[[#This Row],[PATENTE]],'BASE DATOS'!F:M,8,0)</f>
        <v>17</v>
      </c>
    </row>
    <row r="1861" spans="1:11" ht="15" customHeight="1">
      <c r="A1861" s="578" t="s">
        <v>885</v>
      </c>
      <c r="B1861" s="584">
        <v>5</v>
      </c>
      <c r="C1861" s="589">
        <v>46090</v>
      </c>
      <c r="D1861" s="582">
        <f t="shared" si="66"/>
        <v>11</v>
      </c>
      <c r="E1861" s="618" t="str">
        <f>+VLOOKUP(Tabla3[[#This Row],[PATENTE]],'BASE DATOS'!F:G,2,0)</f>
        <v xml:space="preserve">TRANSP DON NENO - IES288 </v>
      </c>
      <c r="F1861" s="584" t="str">
        <f>+VLOOKUP(Tabla3[[#This Row],[PATENTE]],'BASE DATOS'!F:H,3,0)</f>
        <v>2P</v>
      </c>
      <c r="G1861" s="584" t="str">
        <f>+VLOOKUP(Tabla3[[#This Row],[PATENTE]],'BASE DATOS'!F:I,4,0)</f>
        <v>SI</v>
      </c>
      <c r="H1861" s="584" t="str">
        <f>+VLOOKUP(Tabla3[[#This Row],[PATENTE]],'BASE DATOS'!F:J,5,0)</f>
        <v>SI</v>
      </c>
      <c r="I1861" s="584" t="str">
        <f>+VLOOKUP(Tabla3[[#This Row],[PATENTE]],'BASE DATOS'!F:K,6,0)</f>
        <v>NO</v>
      </c>
      <c r="J1861" s="584">
        <f>+VLOOKUP(Tabla3[[#This Row],[PATENTE]],'BASE DATOS'!F:L,7,0)</f>
        <v>2009</v>
      </c>
      <c r="K1861" s="619">
        <f>+VLOOKUP(Tabla3[[#This Row],[PATENTE]],'BASE DATOS'!F:M,8,0)</f>
        <v>16</v>
      </c>
    </row>
    <row r="1862" spans="1:11" ht="15" customHeight="1">
      <c r="A1862" s="578" t="s">
        <v>882</v>
      </c>
      <c r="B1862" s="584">
        <v>5</v>
      </c>
      <c r="C1862" s="589">
        <v>46090</v>
      </c>
      <c r="D1862" s="582">
        <f t="shared" si="66"/>
        <v>11</v>
      </c>
      <c r="E1862" s="618" t="str">
        <f>+VLOOKUP(Tabla3[[#This Row],[PATENTE]],'BASE DATOS'!F:G,2,0)</f>
        <v xml:space="preserve">MAÑAS - JWN279 </v>
      </c>
      <c r="F1862" s="584" t="str">
        <f>+VLOOKUP(Tabla3[[#This Row],[PATENTE]],'BASE DATOS'!F:H,3,0)</f>
        <v>7P</v>
      </c>
      <c r="G1862" s="584" t="str">
        <f>+VLOOKUP(Tabla3[[#This Row],[PATENTE]],'BASE DATOS'!F:I,4,0)</f>
        <v>SI</v>
      </c>
      <c r="H1862" s="584" t="str">
        <f>+VLOOKUP(Tabla3[[#This Row],[PATENTE]],'BASE DATOS'!F:J,5,0)</f>
        <v>SI</v>
      </c>
      <c r="I1862" s="584" t="str">
        <f>+VLOOKUP(Tabla3[[#This Row],[PATENTE]],'BASE DATOS'!F:K,6,0)</f>
        <v>NO</v>
      </c>
      <c r="J1862" s="584">
        <f>+VLOOKUP(Tabla3[[#This Row],[PATENTE]],'BASE DATOS'!F:L,7,0)</f>
        <v>2011</v>
      </c>
      <c r="K1862" s="619">
        <f>+VLOOKUP(Tabla3[[#This Row],[PATENTE]],'BASE DATOS'!F:M,8,0)</f>
        <v>14</v>
      </c>
    </row>
    <row r="1863" spans="1:11" ht="15" customHeight="1">
      <c r="A1863" s="578" t="s">
        <v>925</v>
      </c>
      <c r="B1863" s="584">
        <v>5</v>
      </c>
      <c r="C1863" s="589">
        <v>46090</v>
      </c>
      <c r="D1863" s="582">
        <f t="shared" si="66"/>
        <v>11</v>
      </c>
      <c r="E1863" s="618" t="str">
        <f>+VLOOKUP(Tabla3[[#This Row],[PATENTE]],'BASE DATOS'!F:G,2,0)</f>
        <v xml:space="preserve">TRANSP MAIDANA FACUNDO - KOW745 </v>
      </c>
      <c r="F1863" s="584" t="str">
        <f>+VLOOKUP(Tabla3[[#This Row],[PATENTE]],'BASE DATOS'!F:H,3,0)</f>
        <v>8P</v>
      </c>
      <c r="G1863" s="584" t="str">
        <f>+VLOOKUP(Tabla3[[#This Row],[PATENTE]],'BASE DATOS'!F:I,4,0)</f>
        <v>SI</v>
      </c>
      <c r="H1863" s="584" t="str">
        <f>+VLOOKUP(Tabla3[[#This Row],[PATENTE]],'BASE DATOS'!F:J,5,0)</f>
        <v>SI</v>
      </c>
      <c r="I1863" s="584" t="str">
        <f>+VLOOKUP(Tabla3[[#This Row],[PATENTE]],'BASE DATOS'!F:K,6,0)</f>
        <v>NO</v>
      </c>
      <c r="J1863" s="584">
        <f>+VLOOKUP(Tabla3[[#This Row],[PATENTE]],'BASE DATOS'!F:L,7,0)</f>
        <v>2012</v>
      </c>
      <c r="K1863" s="619">
        <f>+VLOOKUP(Tabla3[[#This Row],[PATENTE]],'BASE DATOS'!F:M,8,0)</f>
        <v>13</v>
      </c>
    </row>
    <row r="1864" spans="1:11" ht="15" customHeight="1">
      <c r="A1864" s="578" t="s">
        <v>902</v>
      </c>
      <c r="B1864" s="584">
        <v>5</v>
      </c>
      <c r="C1864" s="589">
        <v>46090</v>
      </c>
      <c r="D1864" s="582">
        <f t="shared" si="66"/>
        <v>11</v>
      </c>
      <c r="E1864" s="618" t="str">
        <f>+VLOOKUP(Tabla3[[#This Row],[PATENTE]],'BASE DATOS'!F:G,2,0)</f>
        <v xml:space="preserve">GUSTAVO CERQUETTA - KZA644 </v>
      </c>
      <c r="F1864" s="584" t="str">
        <f>+VLOOKUP(Tabla3[[#This Row],[PATENTE]],'BASE DATOS'!F:H,3,0)</f>
        <v>2P</v>
      </c>
      <c r="G1864" s="584" t="str">
        <f>+VLOOKUP(Tabla3[[#This Row],[PATENTE]],'BASE DATOS'!F:I,4,0)</f>
        <v>NO</v>
      </c>
      <c r="H1864" s="584" t="str">
        <f>+VLOOKUP(Tabla3[[#This Row],[PATENTE]],'BASE DATOS'!F:J,5,0)</f>
        <v>SI</v>
      </c>
      <c r="I1864" s="584" t="str">
        <f>+VLOOKUP(Tabla3[[#This Row],[PATENTE]],'BASE DATOS'!F:K,6,0)</f>
        <v>NO</v>
      </c>
      <c r="J1864" s="584">
        <f>+VLOOKUP(Tabla3[[#This Row],[PATENTE]],'BASE DATOS'!F:L,7,0)</f>
        <v>2012</v>
      </c>
      <c r="K1864" s="619">
        <f>+VLOOKUP(Tabla3[[#This Row],[PATENTE]],'BASE DATOS'!F:M,8,0)</f>
        <v>13</v>
      </c>
    </row>
    <row r="1865" spans="1:11" ht="15" customHeight="1">
      <c r="A1865" s="578" t="s">
        <v>878</v>
      </c>
      <c r="B1865" s="584">
        <v>4</v>
      </c>
      <c r="C1865" s="589">
        <v>46090</v>
      </c>
      <c r="D1865" s="582">
        <f t="shared" si="66"/>
        <v>11</v>
      </c>
      <c r="E1865" s="618" t="str">
        <f>+VLOOKUP(Tabla3[[#This Row],[PATENTE]],'BASE DATOS'!F:G,2,0)</f>
        <v xml:space="preserve">PACHECO JULIO - AA854LY </v>
      </c>
      <c r="F1865" s="584" t="str">
        <f>+VLOOKUP(Tabla3[[#This Row],[PATENTE]],'BASE DATOS'!F:H,3,0)</f>
        <v>7P</v>
      </c>
      <c r="G1865" s="584" t="str">
        <f>+VLOOKUP(Tabla3[[#This Row],[PATENTE]],'BASE DATOS'!F:I,4,0)</f>
        <v>SI</v>
      </c>
      <c r="H1865" s="584" t="str">
        <f>+VLOOKUP(Tabla3[[#This Row],[PATENTE]],'BASE DATOS'!F:J,5,0)</f>
        <v>SI</v>
      </c>
      <c r="I1865" s="584" t="str">
        <f>+VLOOKUP(Tabla3[[#This Row],[PATENTE]],'BASE DATOS'!F:K,6,0)</f>
        <v>NO</v>
      </c>
      <c r="J1865" s="584">
        <f>+VLOOKUP(Tabla3[[#This Row],[PATENTE]],'BASE DATOS'!F:L,7,0)</f>
        <v>2016</v>
      </c>
      <c r="K1865" s="619">
        <f>+VLOOKUP(Tabla3[[#This Row],[PATENTE]],'BASE DATOS'!F:M,8,0)</f>
        <v>9</v>
      </c>
    </row>
    <row r="1866" spans="1:11" ht="15" customHeight="1">
      <c r="A1866" s="578" t="s">
        <v>890</v>
      </c>
      <c r="B1866" s="584">
        <v>4</v>
      </c>
      <c r="C1866" s="589">
        <v>46090</v>
      </c>
      <c r="D1866" s="582">
        <f t="shared" si="66"/>
        <v>11</v>
      </c>
      <c r="E1866" s="618" t="str">
        <f>+VLOOKUP(Tabla3[[#This Row],[PATENTE]],'BASE DATOS'!F:G,2,0)</f>
        <v xml:space="preserve">TRANSPORTE GRACIELA - AC040RO </v>
      </c>
      <c r="F1866" s="584" t="str">
        <f>+VLOOKUP(Tabla3[[#This Row],[PATENTE]],'BASE DATOS'!F:H,3,0)</f>
        <v>1P</v>
      </c>
      <c r="G1866" s="584" t="str">
        <f>+VLOOKUP(Tabla3[[#This Row],[PATENTE]],'BASE DATOS'!F:I,4,0)</f>
        <v>SI</v>
      </c>
      <c r="H1866" s="584" t="str">
        <f>+VLOOKUP(Tabla3[[#This Row],[PATENTE]],'BASE DATOS'!F:J,5,0)</f>
        <v>ACEPTA( VER CAMI)</v>
      </c>
      <c r="I1866" s="584" t="str">
        <f>+VLOOKUP(Tabla3[[#This Row],[PATENTE]],'BASE DATOS'!F:K,6,0)</f>
        <v>NO</v>
      </c>
      <c r="J1866" s="584">
        <f>+VLOOKUP(Tabla3[[#This Row],[PATENTE]],'BASE DATOS'!F:L,7,0)</f>
        <v>2017</v>
      </c>
      <c r="K1866" s="619">
        <f>+VLOOKUP(Tabla3[[#This Row],[PATENTE]],'BASE DATOS'!F:M,8,0)</f>
        <v>8</v>
      </c>
    </row>
    <row r="1867" spans="1:11" ht="15" customHeight="1">
      <c r="A1867" s="578" t="s">
        <v>888</v>
      </c>
      <c r="B1867" s="584">
        <v>4</v>
      </c>
      <c r="C1867" s="589">
        <v>46090</v>
      </c>
      <c r="D1867" s="582">
        <f t="shared" si="66"/>
        <v>11</v>
      </c>
      <c r="E1867" s="618" t="str">
        <f>+VLOOKUP(Tabla3[[#This Row],[PATENTE]],'BASE DATOS'!F:G,2,0)</f>
        <v xml:space="preserve">TRANSP FIRST CLASS - AD535UI </v>
      </c>
      <c r="F1867" s="584" t="str">
        <f>+VLOOKUP(Tabla3[[#This Row],[PATENTE]],'BASE DATOS'!F:H,3,0)</f>
        <v>6P</v>
      </c>
      <c r="G1867" s="584" t="str">
        <f>+VLOOKUP(Tabla3[[#This Row],[PATENTE]],'BASE DATOS'!F:I,4,0)</f>
        <v>SI</v>
      </c>
      <c r="H1867" s="584" t="str">
        <f>+VLOOKUP(Tabla3[[#This Row],[PATENTE]],'BASE DATOS'!F:J,5,0)</f>
        <v>SI</v>
      </c>
      <c r="I1867" s="584" t="str">
        <f>+VLOOKUP(Tabla3[[#This Row],[PATENTE]],'BASE DATOS'!F:K,6,0)</f>
        <v>NO</v>
      </c>
      <c r="J1867" s="584">
        <f>+VLOOKUP(Tabla3[[#This Row],[PATENTE]],'BASE DATOS'!F:L,7,0)</f>
        <v>2019</v>
      </c>
      <c r="K1867" s="619">
        <f>+VLOOKUP(Tabla3[[#This Row],[PATENTE]],'BASE DATOS'!F:M,8,0)</f>
        <v>6</v>
      </c>
    </row>
    <row r="1868" spans="1:11" ht="15" customHeight="1">
      <c r="A1868" s="578" t="s">
        <v>895</v>
      </c>
      <c r="B1868" s="584">
        <v>4</v>
      </c>
      <c r="C1868" s="589">
        <v>46090</v>
      </c>
      <c r="D1868" s="582">
        <f t="shared" si="66"/>
        <v>11</v>
      </c>
      <c r="E1868" s="618" t="str">
        <f>+VLOOKUP(Tabla3[[#This Row],[PATENTE]],'BASE DATOS'!F:G,2,0)</f>
        <v xml:space="preserve">TRANSPORTE MICAELA </v>
      </c>
      <c r="F1868" s="584" t="str">
        <f>+VLOOKUP(Tabla3[[#This Row],[PATENTE]],'BASE DATOS'!F:H,3,0)</f>
        <v>2P</v>
      </c>
      <c r="G1868" s="584" t="str">
        <f>+VLOOKUP(Tabla3[[#This Row],[PATENTE]],'BASE DATOS'!F:I,4,0)</f>
        <v>NO</v>
      </c>
      <c r="H1868" s="584" t="str">
        <f>+VLOOKUP(Tabla3[[#This Row],[PATENTE]],'BASE DATOS'!F:J,5,0)</f>
        <v>SI</v>
      </c>
      <c r="I1868" s="584" t="str">
        <f>+VLOOKUP(Tabla3[[#This Row],[PATENTE]],'BASE DATOS'!F:K,6,0)</f>
        <v>NO</v>
      </c>
      <c r="J1868" s="584">
        <f>+VLOOKUP(Tabla3[[#This Row],[PATENTE]],'BASE DATOS'!F:L,7,0)</f>
        <v>2024</v>
      </c>
      <c r="K1868" s="619">
        <f>+VLOOKUP(Tabla3[[#This Row],[PATENTE]],'BASE DATOS'!F:M,8,0)</f>
        <v>1</v>
      </c>
    </row>
    <row r="1869" spans="1:11" ht="15" customHeight="1">
      <c r="A1869" s="578" t="s">
        <v>881</v>
      </c>
      <c r="B1869" s="584">
        <v>4</v>
      </c>
      <c r="C1869" s="589">
        <v>46090</v>
      </c>
      <c r="D1869" s="582">
        <f t="shared" si="66"/>
        <v>11</v>
      </c>
      <c r="E1869" s="618" t="str">
        <f>+VLOOKUP(Tabla3[[#This Row],[PATENTE]],'BASE DATOS'!F:G,2,0)</f>
        <v xml:space="preserve">MAÑAS NORBERTO - DUQ686 </v>
      </c>
      <c r="F1869" s="584" t="str">
        <f>+VLOOKUP(Tabla3[[#This Row],[PATENTE]],'BASE DATOS'!F:H,3,0)</f>
        <v>8P</v>
      </c>
      <c r="G1869" s="584" t="str">
        <f>+VLOOKUP(Tabla3[[#This Row],[PATENTE]],'BASE DATOS'!F:I,4,0)</f>
        <v>SI</v>
      </c>
      <c r="H1869" s="584" t="str">
        <f>+VLOOKUP(Tabla3[[#This Row],[PATENTE]],'BASE DATOS'!F:J,5,0)</f>
        <v>SI</v>
      </c>
      <c r="I1869" s="584" t="str">
        <f>+VLOOKUP(Tabla3[[#This Row],[PATENTE]],'BASE DATOS'!F:K,6,0)</f>
        <v>NO</v>
      </c>
      <c r="J1869" s="584">
        <f>+VLOOKUP(Tabla3[[#This Row],[PATENTE]],'BASE DATOS'!F:L,7,0)</f>
        <v>2001</v>
      </c>
      <c r="K1869" s="619">
        <f>+VLOOKUP(Tabla3[[#This Row],[PATENTE]],'BASE DATOS'!F:M,8,0)</f>
        <v>24</v>
      </c>
    </row>
    <row r="1870" spans="1:11" ht="15" customHeight="1">
      <c r="A1870" s="578" t="s">
        <v>916</v>
      </c>
      <c r="B1870" s="584">
        <v>4</v>
      </c>
      <c r="C1870" s="589">
        <v>46090</v>
      </c>
      <c r="D1870" s="582">
        <f t="shared" si="66"/>
        <v>11</v>
      </c>
      <c r="E1870" s="618" t="str">
        <f>+VLOOKUP(Tabla3[[#This Row],[PATENTE]],'BASE DATOS'!F:G,2,0)</f>
        <v xml:space="preserve">TRANSP MAIDANA CARLOS - EYP088 </v>
      </c>
      <c r="F1870" s="584" t="str">
        <f>+VLOOKUP(Tabla3[[#This Row],[PATENTE]],'BASE DATOS'!F:H,3,0)</f>
        <v>6P</v>
      </c>
      <c r="G1870" s="584" t="str">
        <f>+VLOOKUP(Tabla3[[#This Row],[PATENTE]],'BASE DATOS'!F:I,4,0)</f>
        <v>SI</v>
      </c>
      <c r="H1870" s="584" t="str">
        <f>+VLOOKUP(Tabla3[[#This Row],[PATENTE]],'BASE DATOS'!F:J,5,0)</f>
        <v>SI</v>
      </c>
      <c r="I1870" s="584" t="str">
        <f>+VLOOKUP(Tabla3[[#This Row],[PATENTE]],'BASE DATOS'!F:K,6,0)</f>
        <v>NO</v>
      </c>
      <c r="J1870" s="584">
        <f>+VLOOKUP(Tabla3[[#This Row],[PATENTE]],'BASE DATOS'!F:L,7,0)</f>
        <v>2006</v>
      </c>
      <c r="K1870" s="619">
        <f>+VLOOKUP(Tabla3[[#This Row],[PATENTE]],'BASE DATOS'!F:M,8,0)</f>
        <v>19</v>
      </c>
    </row>
    <row r="1871" spans="1:11" ht="15" customHeight="1">
      <c r="A1871" s="578" t="s">
        <v>891</v>
      </c>
      <c r="B1871" s="584">
        <v>4</v>
      </c>
      <c r="C1871" s="589">
        <v>46090</v>
      </c>
      <c r="D1871" s="582">
        <f t="shared" si="66"/>
        <v>11</v>
      </c>
      <c r="E1871" s="618" t="str">
        <f>+VLOOKUP(Tabla3[[#This Row],[PATENTE]],'BASE DATOS'!F:G,2,0)</f>
        <v xml:space="preserve">GANZINI HUGO - HHA085 </v>
      </c>
      <c r="F1871" s="584" t="str">
        <f>+VLOOKUP(Tabla3[[#This Row],[PATENTE]],'BASE DATOS'!F:H,3,0)</f>
        <v>2P</v>
      </c>
      <c r="G1871" s="584" t="str">
        <f>+VLOOKUP(Tabla3[[#This Row],[PATENTE]],'BASE DATOS'!F:I,4,0)</f>
        <v>SI</v>
      </c>
      <c r="H1871" s="584" t="str">
        <f>+VLOOKUP(Tabla3[[#This Row],[PATENTE]],'BASE DATOS'!F:J,5,0)</f>
        <v>SI</v>
      </c>
      <c r="I1871" s="584" t="str">
        <f>+VLOOKUP(Tabla3[[#This Row],[PATENTE]],'BASE DATOS'!F:K,6,0)</f>
        <v>NO</v>
      </c>
      <c r="J1871" s="584">
        <f>+VLOOKUP(Tabla3[[#This Row],[PATENTE]],'BASE DATOS'!F:L,7,0)</f>
        <v>2008</v>
      </c>
      <c r="K1871" s="619">
        <f>+VLOOKUP(Tabla3[[#This Row],[PATENTE]],'BASE DATOS'!F:M,8,0)</f>
        <v>17</v>
      </c>
    </row>
    <row r="1872" spans="1:11" ht="15" customHeight="1">
      <c r="A1872" s="578" t="s">
        <v>900</v>
      </c>
      <c r="B1872" s="584">
        <v>4</v>
      </c>
      <c r="C1872" s="589">
        <v>46090</v>
      </c>
      <c r="D1872" s="582">
        <f t="shared" si="66"/>
        <v>11</v>
      </c>
      <c r="E1872" s="618" t="str">
        <f>+VLOOKUP(Tabla3[[#This Row],[PATENTE]],'BASE DATOS'!F:G,2,0)</f>
        <v>TRANSPORTE GENA GAIA - IMO939</v>
      </c>
      <c r="F1872" s="584" t="str">
        <f>+VLOOKUP(Tabla3[[#This Row],[PATENTE]],'BASE DATOS'!F:H,3,0)</f>
        <v>24P</v>
      </c>
      <c r="G1872" s="584" t="str">
        <f>+VLOOKUP(Tabla3[[#This Row],[PATENTE]],'BASE DATOS'!F:I,4,0)</f>
        <v>Gestya</v>
      </c>
      <c r="H1872" s="584" t="str">
        <f>+VLOOKUP(Tabla3[[#This Row],[PATENTE]],'BASE DATOS'!F:J,5,0)</f>
        <v xml:space="preserve">NO </v>
      </c>
      <c r="I1872" s="584" t="str">
        <f>+VLOOKUP(Tabla3[[#This Row],[PATENTE]],'BASE DATOS'!F:K,6,0)</f>
        <v>NO</v>
      </c>
      <c r="J1872" s="584">
        <f>+VLOOKUP(Tabla3[[#This Row],[PATENTE]],'BASE DATOS'!F:L,7,0)</f>
        <v>2010</v>
      </c>
      <c r="K1872" s="619">
        <f>+VLOOKUP(Tabla3[[#This Row],[PATENTE]],'BASE DATOS'!F:M,8,0)</f>
        <v>15</v>
      </c>
    </row>
    <row r="1873" spans="1:11" ht="15" customHeight="1">
      <c r="A1873" s="578" t="s">
        <v>896</v>
      </c>
      <c r="B1873" s="584">
        <v>4</v>
      </c>
      <c r="C1873" s="589">
        <v>46090</v>
      </c>
      <c r="D1873" s="582">
        <f t="shared" si="66"/>
        <v>11</v>
      </c>
      <c r="E1873" s="618" t="str">
        <f>+VLOOKUP(Tabla3[[#This Row],[PATENTE]],'BASE DATOS'!F:G,2,0)</f>
        <v xml:space="preserve">TRANSP MAVIR - RHQ609 </v>
      </c>
      <c r="F1873" s="584" t="str">
        <f>+VLOOKUP(Tabla3[[#This Row],[PATENTE]],'BASE DATOS'!F:H,3,0)</f>
        <v>10P</v>
      </c>
      <c r="G1873" s="584" t="str">
        <f>+VLOOKUP(Tabla3[[#This Row],[PATENTE]],'BASE DATOS'!F:I,4,0)</f>
        <v>NO</v>
      </c>
      <c r="H1873" s="584" t="str">
        <f>+VLOOKUP(Tabla3[[#This Row],[PATENTE]],'BASE DATOS'!F:J,5,0)</f>
        <v xml:space="preserve">NO </v>
      </c>
      <c r="I1873" s="584" t="str">
        <f>+VLOOKUP(Tabla3[[#This Row],[PATENTE]],'BASE DATOS'!F:K,6,0)</f>
        <v>NO</v>
      </c>
      <c r="J1873" s="584">
        <f>+VLOOKUP(Tabla3[[#This Row],[PATENTE]],'BASE DATOS'!F:L,7,0)</f>
        <v>1995</v>
      </c>
      <c r="K1873" s="619">
        <f>+VLOOKUP(Tabla3[[#This Row],[PATENTE]],'BASE DATOS'!F:M,8,0)</f>
        <v>30</v>
      </c>
    </row>
    <row r="1874" spans="1:11" ht="15" customHeight="1">
      <c r="A1874" s="578" t="s">
        <v>905</v>
      </c>
      <c r="B1874" s="584">
        <v>3</v>
      </c>
      <c r="C1874" s="589">
        <v>46090</v>
      </c>
      <c r="D1874" s="582">
        <f t="shared" si="66"/>
        <v>11</v>
      </c>
      <c r="E1874" s="618" t="str">
        <f>+VLOOKUP(Tabla3[[#This Row],[PATENTE]],'BASE DATOS'!F:G,2,0)</f>
        <v xml:space="preserve">J RIMOLDI - AB312SE </v>
      </c>
      <c r="F1874" s="584" t="str">
        <f>+VLOOKUP(Tabla3[[#This Row],[PATENTE]],'BASE DATOS'!F:H,3,0)</f>
        <v>8P</v>
      </c>
      <c r="G1874" s="584" t="str">
        <f>+VLOOKUP(Tabla3[[#This Row],[PATENTE]],'BASE DATOS'!F:I,4,0)</f>
        <v>SI</v>
      </c>
      <c r="H1874" s="584" t="str">
        <f>+VLOOKUP(Tabla3[[#This Row],[PATENTE]],'BASE DATOS'!F:J,5,0)</f>
        <v>SI</v>
      </c>
      <c r="I1874" s="584" t="str">
        <f>+VLOOKUP(Tabla3[[#This Row],[PATENTE]],'BASE DATOS'!F:K,6,0)</f>
        <v>NO</v>
      </c>
      <c r="J1874" s="584">
        <f>+VLOOKUP(Tabla3[[#This Row],[PATENTE]],'BASE DATOS'!F:L,7,0)</f>
        <v>2017</v>
      </c>
      <c r="K1874" s="619">
        <f>+VLOOKUP(Tabla3[[#This Row],[PATENTE]],'BASE DATOS'!F:M,8,0)</f>
        <v>8</v>
      </c>
    </row>
    <row r="1875" spans="1:11" ht="15" customHeight="1">
      <c r="A1875" s="578" t="s">
        <v>1126</v>
      </c>
      <c r="B1875" s="584">
        <v>3</v>
      </c>
      <c r="C1875" s="589">
        <v>46090</v>
      </c>
      <c r="D1875" s="582">
        <f t="shared" si="66"/>
        <v>11</v>
      </c>
      <c r="E1875" s="618" t="str">
        <f>+VLOOKUP(Tabla3[[#This Row],[PATENTE]],'BASE DATOS'!F:G,2,0)</f>
        <v>TRANSP DON NENO -AH881BB- 2P</v>
      </c>
      <c r="F1875" s="584" t="str">
        <f>+VLOOKUP(Tabla3[[#This Row],[PATENTE]],'BASE DATOS'!F:H,3,0)</f>
        <v>2P</v>
      </c>
      <c r="G1875" s="584" t="str">
        <f>+VLOOKUP(Tabla3[[#This Row],[PATENTE]],'BASE DATOS'!F:I,4,0)</f>
        <v>NO</v>
      </c>
      <c r="H1875" s="584" t="str">
        <f>+VLOOKUP(Tabla3[[#This Row],[PATENTE]],'BASE DATOS'!F:J,5,0)</f>
        <v>NO</v>
      </c>
      <c r="I1875" s="584" t="str">
        <f>+VLOOKUP(Tabla3[[#This Row],[PATENTE]],'BASE DATOS'!F:K,6,0)</f>
        <v>NO</v>
      </c>
      <c r="J1875" s="584">
        <f>+VLOOKUP(Tabla3[[#This Row],[PATENTE]],'BASE DATOS'!F:L,7,0)</f>
        <v>2026</v>
      </c>
      <c r="K1875" s="619">
        <f>+VLOOKUP(Tabla3[[#This Row],[PATENTE]],'BASE DATOS'!F:M,8,0)</f>
        <v>-1</v>
      </c>
    </row>
    <row r="1876" spans="1:11" ht="15" customHeight="1">
      <c r="A1876" s="578" t="s">
        <v>926</v>
      </c>
      <c r="B1876" s="584">
        <v>3</v>
      </c>
      <c r="C1876" s="589">
        <v>46090</v>
      </c>
      <c r="D1876" s="582">
        <f t="shared" si="66"/>
        <v>11</v>
      </c>
      <c r="E1876" s="618" t="str">
        <f>+VLOOKUP(Tabla3[[#This Row],[PATENTE]],'BASE DATOS'!F:G,2,0)</f>
        <v xml:space="preserve">TRANSPORTE GENA GAIA - DUF042 </v>
      </c>
      <c r="F1876" s="584" t="str">
        <f>+VLOOKUP(Tabla3[[#This Row],[PATENTE]],'BASE DATOS'!F:H,3,0)</f>
        <v>24P</v>
      </c>
      <c r="G1876" s="584" t="str">
        <f>+VLOOKUP(Tabla3[[#This Row],[PATENTE]],'BASE DATOS'!F:I,4,0)</f>
        <v>Gestya</v>
      </c>
      <c r="H1876" s="584" t="str">
        <f>+VLOOKUP(Tabla3[[#This Row],[PATENTE]],'BASE DATOS'!F:J,5,0)</f>
        <v xml:space="preserve">NO </v>
      </c>
      <c r="I1876" s="584" t="str">
        <f>+VLOOKUP(Tabla3[[#This Row],[PATENTE]],'BASE DATOS'!F:K,6,0)</f>
        <v>NO</v>
      </c>
      <c r="J1876" s="584">
        <f>+VLOOKUP(Tabla3[[#This Row],[PATENTE]],'BASE DATOS'!F:L,7,0)</f>
        <v>2001</v>
      </c>
      <c r="K1876" s="619">
        <f>+VLOOKUP(Tabla3[[#This Row],[PATENTE]],'BASE DATOS'!F:M,8,0)</f>
        <v>24</v>
      </c>
    </row>
    <row r="1877" spans="1:11" ht="15" customHeight="1">
      <c r="A1877" s="578" t="s">
        <v>1123</v>
      </c>
      <c r="B1877" s="584">
        <v>3</v>
      </c>
      <c r="C1877" s="589">
        <v>46090</v>
      </c>
      <c r="D1877" s="582">
        <f t="shared" si="66"/>
        <v>11</v>
      </c>
      <c r="E1877" s="618" t="str">
        <f>+VLOOKUP(Tabla3[[#This Row],[PATENTE]],'BASE DATOS'!F:G,2,0)</f>
        <v>TRANSP LAGOS - IDK392 - 2P</v>
      </c>
      <c r="F1877" s="584" t="str">
        <f>+VLOOKUP(Tabla3[[#This Row],[PATENTE]],'BASE DATOS'!F:H,3,0)</f>
        <v>2P</v>
      </c>
      <c r="G1877" s="584" t="str">
        <f>+VLOOKUP(Tabla3[[#This Row],[PATENTE]],'BASE DATOS'!F:I,4,0)</f>
        <v>NO</v>
      </c>
      <c r="H1877" s="584" t="str">
        <f>+VLOOKUP(Tabla3[[#This Row],[PATENTE]],'BASE DATOS'!F:J,5,0)</f>
        <v>NO</v>
      </c>
      <c r="I1877" s="584" t="str">
        <f>+VLOOKUP(Tabla3[[#This Row],[PATENTE]],'BASE DATOS'!F:K,6,0)</f>
        <v>NO</v>
      </c>
      <c r="J1877" s="584">
        <f>+VLOOKUP(Tabla3[[#This Row],[PATENTE]],'BASE DATOS'!F:L,7,0)</f>
        <v>2009</v>
      </c>
      <c r="K1877" s="619">
        <f>+VLOOKUP(Tabla3[[#This Row],[PATENTE]],'BASE DATOS'!F:M,8,0)</f>
        <v>16</v>
      </c>
    </row>
    <row r="1878" spans="1:11" ht="15" customHeight="1">
      <c r="A1878" s="578" t="s">
        <v>950</v>
      </c>
      <c r="B1878" s="584">
        <v>3</v>
      </c>
      <c r="C1878" s="589">
        <v>46090</v>
      </c>
      <c r="D1878" s="582">
        <f t="shared" si="66"/>
        <v>11</v>
      </c>
      <c r="E1878" s="618" t="str">
        <f>+VLOOKUP(Tabla3[[#This Row],[PATENTE]],'BASE DATOS'!F:G,2,0)</f>
        <v>TRANSP DON NENO -IRK036- 2P</v>
      </c>
      <c r="F1878" s="584" t="str">
        <f>+VLOOKUP(Tabla3[[#This Row],[PATENTE]],'BASE DATOS'!F:H,3,0)</f>
        <v>2P</v>
      </c>
      <c r="G1878" s="584" t="str">
        <f>+VLOOKUP(Tabla3[[#This Row],[PATENTE]],'BASE DATOS'!F:I,4,0)</f>
        <v>NO</v>
      </c>
      <c r="H1878" s="584" t="str">
        <f>+VLOOKUP(Tabla3[[#This Row],[PATENTE]],'BASE DATOS'!F:J,5,0)</f>
        <v>NO</v>
      </c>
      <c r="I1878" s="584" t="str">
        <f>+VLOOKUP(Tabla3[[#This Row],[PATENTE]],'BASE DATOS'!F:K,6,0)</f>
        <v>NO</v>
      </c>
      <c r="J1878" s="584">
        <f>+VLOOKUP(Tabla3[[#This Row],[PATENTE]],'BASE DATOS'!F:L,7,0)</f>
        <v>2010</v>
      </c>
      <c r="K1878" s="619">
        <f>+VLOOKUP(Tabla3[[#This Row],[PATENTE]],'BASE DATOS'!F:M,8,0)</f>
        <v>15</v>
      </c>
    </row>
    <row r="1879" spans="1:11" ht="15" customHeight="1">
      <c r="A1879" s="578" t="s">
        <v>906</v>
      </c>
      <c r="B1879" s="584">
        <v>2</v>
      </c>
      <c r="C1879" s="589">
        <v>46090</v>
      </c>
      <c r="D1879" s="582">
        <f t="shared" si="66"/>
        <v>11</v>
      </c>
      <c r="E1879" s="618" t="str">
        <f>+VLOOKUP(Tabla3[[#This Row],[PATENTE]],'BASE DATOS'!F:G,2,0)</f>
        <v xml:space="preserve">VAZQUEZ (TRV SRL) - AD472GK </v>
      </c>
      <c r="F1879" s="584" t="str">
        <f>+VLOOKUP(Tabla3[[#This Row],[PATENTE]],'BASE DATOS'!F:H,3,0)</f>
        <v>8P</v>
      </c>
      <c r="G1879" s="584" t="str">
        <f>+VLOOKUP(Tabla3[[#This Row],[PATENTE]],'BASE DATOS'!F:I,4,0)</f>
        <v>NO</v>
      </c>
      <c r="H1879" s="584" t="str">
        <f>+VLOOKUP(Tabla3[[#This Row],[PATENTE]],'BASE DATOS'!F:J,5,0)</f>
        <v>NO</v>
      </c>
      <c r="I1879" s="584" t="str">
        <f>+VLOOKUP(Tabla3[[#This Row],[PATENTE]],'BASE DATOS'!F:K,6,0)</f>
        <v>SI</v>
      </c>
      <c r="J1879" s="584">
        <f>+VLOOKUP(Tabla3[[#This Row],[PATENTE]],'BASE DATOS'!F:L,7,0)</f>
        <v>2019</v>
      </c>
      <c r="K1879" s="619">
        <f>+VLOOKUP(Tabla3[[#This Row],[PATENTE]],'BASE DATOS'!F:M,8,0)</f>
        <v>6</v>
      </c>
    </row>
    <row r="1880" spans="1:11" ht="15" customHeight="1">
      <c r="A1880" s="578" t="s">
        <v>944</v>
      </c>
      <c r="B1880" s="584">
        <v>2</v>
      </c>
      <c r="C1880" s="589">
        <v>46090</v>
      </c>
      <c r="D1880" s="582">
        <f t="shared" si="66"/>
        <v>11</v>
      </c>
      <c r="E1880" s="618" t="str">
        <f>+VLOOKUP(Tabla3[[#This Row],[PATENTE]],'BASE DATOS'!F:G,2,0)</f>
        <v xml:space="preserve">TRANSPORTE GENA GAIA - BHG261 </v>
      </c>
      <c r="F1880" s="584" t="str">
        <f>+VLOOKUP(Tabla3[[#This Row],[PATENTE]],'BASE DATOS'!F:H,3,0)</f>
        <v>26P</v>
      </c>
      <c r="G1880" s="584" t="str">
        <f>+VLOOKUP(Tabla3[[#This Row],[PATENTE]],'BASE DATOS'!F:I,4,0)</f>
        <v>Gestya</v>
      </c>
      <c r="H1880" s="584" t="str">
        <f>+VLOOKUP(Tabla3[[#This Row],[PATENTE]],'BASE DATOS'!F:J,5,0)</f>
        <v xml:space="preserve">NO </v>
      </c>
      <c r="I1880" s="584" t="str">
        <f>+VLOOKUP(Tabla3[[#This Row],[PATENTE]],'BASE DATOS'!F:K,6,0)</f>
        <v>NO</v>
      </c>
      <c r="J1880" s="584">
        <f>+VLOOKUP(Tabla3[[#This Row],[PATENTE]],'BASE DATOS'!F:L,7,0)</f>
        <v>1997</v>
      </c>
      <c r="K1880" s="619">
        <f>+VLOOKUP(Tabla3[[#This Row],[PATENTE]],'BASE DATOS'!F:M,8,0)</f>
        <v>28</v>
      </c>
    </row>
    <row r="1881" spans="1:11" ht="15" customHeight="1">
      <c r="A1881" s="578" t="s">
        <v>943</v>
      </c>
      <c r="B1881" s="584">
        <v>2</v>
      </c>
      <c r="C1881" s="589">
        <v>46090</v>
      </c>
      <c r="D1881" s="582">
        <f t="shared" si="66"/>
        <v>11</v>
      </c>
      <c r="E1881" s="618" t="str">
        <f>+VLOOKUP(Tabla3[[#This Row],[PATENTE]],'BASE DATOS'!F:G,2,0)</f>
        <v>GANZINI HUGO - KTJ626</v>
      </c>
      <c r="F1881" s="584" t="str">
        <f>+VLOOKUP(Tabla3[[#This Row],[PATENTE]],'BASE DATOS'!F:H,3,0)</f>
        <v>8P</v>
      </c>
      <c r="G1881" s="584" t="str">
        <f>+VLOOKUP(Tabla3[[#This Row],[PATENTE]],'BASE DATOS'!F:I,4,0)</f>
        <v>NO</v>
      </c>
      <c r="H1881" s="584" t="str">
        <f>+VLOOKUP(Tabla3[[#This Row],[PATENTE]],'BASE DATOS'!F:J,5,0)</f>
        <v xml:space="preserve">NO </v>
      </c>
      <c r="I1881" s="584" t="str">
        <f>+VLOOKUP(Tabla3[[#This Row],[PATENTE]],'BASE DATOS'!F:K,6,0)</f>
        <v>NO</v>
      </c>
      <c r="J1881" s="584">
        <f>+VLOOKUP(Tabla3[[#This Row],[PATENTE]],'BASE DATOS'!F:L,7,0)</f>
        <v>2011</v>
      </c>
      <c r="K1881" s="619">
        <f>+VLOOKUP(Tabla3[[#This Row],[PATENTE]],'BASE DATOS'!F:M,8,0)</f>
        <v>14</v>
      </c>
    </row>
    <row r="1882" spans="1:11" ht="15" customHeight="1">
      <c r="A1882" s="578" t="s">
        <v>932</v>
      </c>
      <c r="B1882" s="584">
        <v>1</v>
      </c>
      <c r="C1882" s="589">
        <v>46090</v>
      </c>
      <c r="D1882" s="582">
        <f t="shared" si="66"/>
        <v>11</v>
      </c>
      <c r="E1882" s="618" t="str">
        <f>+VLOOKUP(Tabla3[[#This Row],[PATENTE]],'BASE DATOS'!F:G,2,0)</f>
        <v xml:space="preserve">TRANSP MAVIR - EFL176 </v>
      </c>
      <c r="F1882" s="584" t="str">
        <f>+VLOOKUP(Tabla3[[#This Row],[PATENTE]],'BASE DATOS'!F:H,3,0)</f>
        <v>12P</v>
      </c>
      <c r="G1882" s="584" t="str">
        <f>+VLOOKUP(Tabla3[[#This Row],[PATENTE]],'BASE DATOS'!F:I,4,0)</f>
        <v>SI</v>
      </c>
      <c r="H1882" s="584" t="str">
        <f>+VLOOKUP(Tabla3[[#This Row],[PATENTE]],'BASE DATOS'!F:J,5,0)</f>
        <v>SI</v>
      </c>
      <c r="I1882" s="584" t="str">
        <f>+VLOOKUP(Tabla3[[#This Row],[PATENTE]],'BASE DATOS'!F:K,6,0)</f>
        <v>NO</v>
      </c>
      <c r="J1882" s="584">
        <f>+VLOOKUP(Tabla3[[#This Row],[PATENTE]],'BASE DATOS'!F:L,7,0)</f>
        <v>1998</v>
      </c>
      <c r="K1882" s="619">
        <f>+VLOOKUP(Tabla3[[#This Row],[PATENTE]],'BASE DATOS'!F:M,8,0)</f>
        <v>27</v>
      </c>
    </row>
    <row r="1883" spans="1:11" ht="15" customHeight="1">
      <c r="A1883" s="578" t="s">
        <v>914</v>
      </c>
      <c r="B1883" s="584">
        <v>1</v>
      </c>
      <c r="C1883" s="589">
        <v>46090</v>
      </c>
      <c r="D1883" s="582">
        <f t="shared" si="66"/>
        <v>11</v>
      </c>
      <c r="E1883" s="618" t="str">
        <f>+VLOOKUP(Tabla3[[#This Row],[PATENTE]],'BASE DATOS'!F:G,2,0)</f>
        <v>TRANSP DON NENO - HCP674</v>
      </c>
      <c r="F1883" s="584" t="str">
        <f>+VLOOKUP(Tabla3[[#This Row],[PATENTE]],'BASE DATOS'!F:H,3,0)</f>
        <v>2P</v>
      </c>
      <c r="G1883" s="584" t="str">
        <f>+VLOOKUP(Tabla3[[#This Row],[PATENTE]],'BASE DATOS'!F:I,4,0)</f>
        <v>NO</v>
      </c>
      <c r="H1883" s="584" t="str">
        <f>+VLOOKUP(Tabla3[[#This Row],[PATENTE]],'BASE DATOS'!F:J,5,0)</f>
        <v xml:space="preserve">NO </v>
      </c>
      <c r="I1883" s="584" t="str">
        <f>+VLOOKUP(Tabla3[[#This Row],[PATENTE]],'BASE DATOS'!F:K,6,0)</f>
        <v>NO</v>
      </c>
      <c r="J1883" s="584">
        <f>+VLOOKUP(Tabla3[[#This Row],[PATENTE]],'BASE DATOS'!F:L,7,0)</f>
        <v>2008</v>
      </c>
      <c r="K1883" s="619">
        <f>+VLOOKUP(Tabla3[[#This Row],[PATENTE]],'BASE DATOS'!F:M,8,0)</f>
        <v>17</v>
      </c>
    </row>
    <row r="1884" spans="1:11" ht="15" customHeight="1">
      <c r="A1884" s="581" t="s">
        <v>924</v>
      </c>
      <c r="B1884" s="587">
        <v>1</v>
      </c>
      <c r="C1884" s="589">
        <v>46090</v>
      </c>
      <c r="D1884" s="583">
        <f t="shared" si="66"/>
        <v>11</v>
      </c>
      <c r="E1884" s="620" t="str">
        <f>+VLOOKUP(Tabla3[[#This Row],[PATENTE]],'BASE DATOS'!F:G,2,0)</f>
        <v>TRANSP MAVIR - HRZ429 -16P</v>
      </c>
      <c r="F1884" s="587" t="str">
        <f>+VLOOKUP(Tabla3[[#This Row],[PATENTE]],'BASE DATOS'!F:H,3,0)</f>
        <v>16P</v>
      </c>
      <c r="G1884" s="587" t="str">
        <f>+VLOOKUP(Tabla3[[#This Row],[PATENTE]],'BASE DATOS'!F:I,4,0)</f>
        <v>SI</v>
      </c>
      <c r="H1884" s="587" t="str">
        <f>+VLOOKUP(Tabla3[[#This Row],[PATENTE]],'BASE DATOS'!F:J,5,0)</f>
        <v xml:space="preserve">NO </v>
      </c>
      <c r="I1884" s="587" t="str">
        <f>+VLOOKUP(Tabla3[[#This Row],[PATENTE]],'BASE DATOS'!F:K,6,0)</f>
        <v>NO</v>
      </c>
      <c r="J1884" s="587">
        <f>+VLOOKUP(Tabla3[[#This Row],[PATENTE]],'BASE DATOS'!F:L,7,0)</f>
        <v>2008</v>
      </c>
      <c r="K1884" s="621">
        <f>+VLOOKUP(Tabla3[[#This Row],[PATENTE]],'BASE DATOS'!F:M,8,0)</f>
        <v>17</v>
      </c>
    </row>
    <row r="1885" spans="1:11" ht="15" customHeight="1">
      <c r="A1885" s="578" t="s">
        <v>1122</v>
      </c>
      <c r="B1885" s="584">
        <v>7</v>
      </c>
      <c r="C1885" s="589">
        <v>46097</v>
      </c>
      <c r="D1885" s="582">
        <f t="shared" ref="D1885:D1916" si="67">+WEEKNUM(C1885)</f>
        <v>12</v>
      </c>
      <c r="E1885" s="618" t="str">
        <f>+VLOOKUP(Tabla3[[#This Row],[PATENTE]],'BASE DATOS'!F:G,2,0)</f>
        <v>TRANSPORTE GENA GAIA - AH898OB</v>
      </c>
      <c r="F1885" s="584" t="str">
        <f>+VLOOKUP(Tabla3[[#This Row],[PATENTE]],'BASE DATOS'!F:H,3,0)</f>
        <v>24P</v>
      </c>
      <c r="G1885" s="584" t="str">
        <f>+VLOOKUP(Tabla3[[#This Row],[PATENTE]],'BASE DATOS'!F:I,4,0)</f>
        <v>NO</v>
      </c>
      <c r="H1885" s="584" t="str">
        <f>+VLOOKUP(Tabla3[[#This Row],[PATENTE]],'BASE DATOS'!F:J,5,0)</f>
        <v>NO</v>
      </c>
      <c r="I1885" s="584" t="str">
        <f>+VLOOKUP(Tabla3[[#This Row],[PATENTE]],'BASE DATOS'!F:K,6,0)</f>
        <v>NO</v>
      </c>
      <c r="J1885" s="584">
        <f>+VLOOKUP(Tabla3[[#This Row],[PATENTE]],'BASE DATOS'!F:L,7,0)</f>
        <v>2026</v>
      </c>
      <c r="K1885" s="619">
        <f>+VLOOKUP(Tabla3[[#This Row],[PATENTE]],'BASE DATOS'!F:M,8,0)</f>
        <v>-1</v>
      </c>
    </row>
    <row r="1886" spans="1:11" ht="15" customHeight="1">
      <c r="A1886" s="578" t="s">
        <v>899</v>
      </c>
      <c r="B1886" s="584">
        <v>6</v>
      </c>
      <c r="C1886" s="589">
        <v>46097</v>
      </c>
      <c r="D1886" s="582">
        <f t="shared" si="67"/>
        <v>12</v>
      </c>
      <c r="E1886" s="618" t="str">
        <f>+VLOOKUP(Tabla3[[#This Row],[PATENTE]],'BASE DATOS'!F:G,2,0)</f>
        <v xml:space="preserve">VAZQUEZ (TRV SRL) - AB176KN </v>
      </c>
      <c r="F1886" s="584" t="str">
        <f>+VLOOKUP(Tabla3[[#This Row],[PATENTE]],'BASE DATOS'!F:H,3,0)</f>
        <v>8P</v>
      </c>
      <c r="G1886" s="584" t="str">
        <f>+VLOOKUP(Tabla3[[#This Row],[PATENTE]],'BASE DATOS'!F:I,4,0)</f>
        <v>SI</v>
      </c>
      <c r="H1886" s="584" t="str">
        <f>+VLOOKUP(Tabla3[[#This Row],[PATENTE]],'BASE DATOS'!F:J,5,0)</f>
        <v>SI</v>
      </c>
      <c r="I1886" s="584" t="str">
        <f>+VLOOKUP(Tabla3[[#This Row],[PATENTE]],'BASE DATOS'!F:K,6,0)</f>
        <v>SI</v>
      </c>
      <c r="J1886" s="584">
        <f>+VLOOKUP(Tabla3[[#This Row],[PATENTE]],'BASE DATOS'!F:L,7,0)</f>
        <v>2017</v>
      </c>
      <c r="K1886" s="619">
        <f>+VLOOKUP(Tabla3[[#This Row],[PATENTE]],'BASE DATOS'!F:M,8,0)</f>
        <v>8</v>
      </c>
    </row>
    <row r="1887" spans="1:11" ht="15" customHeight="1">
      <c r="A1887" s="578" t="s">
        <v>884</v>
      </c>
      <c r="B1887" s="584">
        <v>6</v>
      </c>
      <c r="C1887" s="589">
        <v>46097</v>
      </c>
      <c r="D1887" s="582">
        <f t="shared" si="67"/>
        <v>12</v>
      </c>
      <c r="E1887" s="618" t="str">
        <f>+VLOOKUP(Tabla3[[#This Row],[PATENTE]],'BASE DATOS'!F:G,2,0)</f>
        <v xml:space="preserve">LAURIA (SERVAL) - AB233IT </v>
      </c>
      <c r="F1887" s="584" t="str">
        <f>+VLOOKUP(Tabla3[[#This Row],[PATENTE]],'BASE DATOS'!F:H,3,0)</f>
        <v>6P</v>
      </c>
      <c r="G1887" s="584" t="str">
        <f>+VLOOKUP(Tabla3[[#This Row],[PATENTE]],'BASE DATOS'!F:I,4,0)</f>
        <v>SI</v>
      </c>
      <c r="H1887" s="584" t="str">
        <f>+VLOOKUP(Tabla3[[#This Row],[PATENTE]],'BASE DATOS'!F:J,5,0)</f>
        <v>SI</v>
      </c>
      <c r="I1887" s="584" t="str">
        <f>+VLOOKUP(Tabla3[[#This Row],[PATENTE]],'BASE DATOS'!F:K,6,0)</f>
        <v>NO</v>
      </c>
      <c r="J1887" s="584">
        <f>+VLOOKUP(Tabla3[[#This Row],[PATENTE]],'BASE DATOS'!F:L,7,0)</f>
        <v>2017</v>
      </c>
      <c r="K1887" s="619">
        <f>+VLOOKUP(Tabla3[[#This Row],[PATENTE]],'BASE DATOS'!F:M,8,0)</f>
        <v>8</v>
      </c>
    </row>
    <row r="1888" spans="1:11" ht="15" customHeight="1">
      <c r="A1888" s="578" t="s">
        <v>888</v>
      </c>
      <c r="B1888" s="584">
        <v>6</v>
      </c>
      <c r="C1888" s="589">
        <v>46097</v>
      </c>
      <c r="D1888" s="582">
        <f t="shared" si="67"/>
        <v>12</v>
      </c>
      <c r="E1888" s="618" t="str">
        <f>+VLOOKUP(Tabla3[[#This Row],[PATENTE]],'BASE DATOS'!F:G,2,0)</f>
        <v xml:space="preserve">TRANSP FIRST CLASS - AD535UI </v>
      </c>
      <c r="F1888" s="584" t="str">
        <f>+VLOOKUP(Tabla3[[#This Row],[PATENTE]],'BASE DATOS'!F:H,3,0)</f>
        <v>6P</v>
      </c>
      <c r="G1888" s="584" t="str">
        <f>+VLOOKUP(Tabla3[[#This Row],[PATENTE]],'BASE DATOS'!F:I,4,0)</f>
        <v>SI</v>
      </c>
      <c r="H1888" s="584" t="str">
        <f>+VLOOKUP(Tabla3[[#This Row],[PATENTE]],'BASE DATOS'!F:J,5,0)</f>
        <v>SI</v>
      </c>
      <c r="I1888" s="584" t="str">
        <f>+VLOOKUP(Tabla3[[#This Row],[PATENTE]],'BASE DATOS'!F:K,6,0)</f>
        <v>NO</v>
      </c>
      <c r="J1888" s="584">
        <f>+VLOOKUP(Tabla3[[#This Row],[PATENTE]],'BASE DATOS'!F:L,7,0)</f>
        <v>2019</v>
      </c>
      <c r="K1888" s="619">
        <f>+VLOOKUP(Tabla3[[#This Row],[PATENTE]],'BASE DATOS'!F:M,8,0)</f>
        <v>6</v>
      </c>
    </row>
    <row r="1889" spans="1:11" ht="15" customHeight="1">
      <c r="A1889" s="578" t="s">
        <v>887</v>
      </c>
      <c r="B1889" s="584">
        <v>6</v>
      </c>
      <c r="C1889" s="589">
        <v>46097</v>
      </c>
      <c r="D1889" s="582">
        <f t="shared" si="67"/>
        <v>12</v>
      </c>
      <c r="E1889" s="618" t="str">
        <f>+VLOOKUP(Tabla3[[#This Row],[PATENTE]],'BASE DATOS'!F:G,2,0)</f>
        <v>ENRIQUE ROLLINO - BXB394</v>
      </c>
      <c r="F1889" s="584" t="str">
        <f>+VLOOKUP(Tabla3[[#This Row],[PATENTE]],'BASE DATOS'!F:H,3,0)</f>
        <v>2P</v>
      </c>
      <c r="G1889" s="584" t="str">
        <f>+VLOOKUP(Tabla3[[#This Row],[PATENTE]],'BASE DATOS'!F:I,4,0)</f>
        <v>SI</v>
      </c>
      <c r="H1889" s="584" t="str">
        <f>+VLOOKUP(Tabla3[[#This Row],[PATENTE]],'BASE DATOS'!F:J,5,0)</f>
        <v>SI</v>
      </c>
      <c r="I1889" s="584" t="str">
        <f>+VLOOKUP(Tabla3[[#This Row],[PATENTE]],'BASE DATOS'!F:K,6,0)</f>
        <v>NO</v>
      </c>
      <c r="J1889" s="584">
        <f>+VLOOKUP(Tabla3[[#This Row],[PATENTE]],'BASE DATOS'!F:L,7,0)</f>
        <v>1998</v>
      </c>
      <c r="K1889" s="619">
        <f>+VLOOKUP(Tabla3[[#This Row],[PATENTE]],'BASE DATOS'!F:M,8,0)</f>
        <v>27</v>
      </c>
    </row>
    <row r="1890" spans="1:11" ht="15" customHeight="1">
      <c r="A1890" s="578" t="s">
        <v>904</v>
      </c>
      <c r="B1890" s="584">
        <v>6</v>
      </c>
      <c r="C1890" s="589">
        <v>46097</v>
      </c>
      <c r="D1890" s="582">
        <f t="shared" si="67"/>
        <v>12</v>
      </c>
      <c r="E1890" s="618" t="str">
        <f>+VLOOKUP(Tabla3[[#This Row],[PATENTE]],'BASE DATOS'!F:G,2,0)</f>
        <v xml:space="preserve">ENRIQUE ROLLINO - DFO656 </v>
      </c>
      <c r="F1890" s="584" t="str">
        <f>+VLOOKUP(Tabla3[[#This Row],[PATENTE]],'BASE DATOS'!F:H,3,0)</f>
        <v>6P</v>
      </c>
      <c r="G1890" s="584" t="str">
        <f>+VLOOKUP(Tabla3[[#This Row],[PATENTE]],'BASE DATOS'!F:I,4,0)</f>
        <v>SI</v>
      </c>
      <c r="H1890" s="584" t="str">
        <f>+VLOOKUP(Tabla3[[#This Row],[PATENTE]],'BASE DATOS'!F:J,5,0)</f>
        <v>SI</v>
      </c>
      <c r="I1890" s="584" t="str">
        <f>+VLOOKUP(Tabla3[[#This Row],[PATENTE]],'BASE DATOS'!F:K,6,0)</f>
        <v>NO</v>
      </c>
      <c r="J1890" s="584">
        <f>+VLOOKUP(Tabla3[[#This Row],[PATENTE]],'BASE DATOS'!F:L,7,0)</f>
        <v>2000</v>
      </c>
      <c r="K1890" s="619">
        <f>+VLOOKUP(Tabla3[[#This Row],[PATENTE]],'BASE DATOS'!F:M,8,0)</f>
        <v>25</v>
      </c>
    </row>
    <row r="1891" spans="1:11" ht="15" customHeight="1">
      <c r="A1891" s="578" t="s">
        <v>889</v>
      </c>
      <c r="B1891" s="584">
        <v>6</v>
      </c>
      <c r="C1891" s="589">
        <v>46097</v>
      </c>
      <c r="D1891" s="582">
        <f t="shared" si="67"/>
        <v>12</v>
      </c>
      <c r="E1891" s="618" t="str">
        <f>+VLOOKUP(Tabla3[[#This Row],[PATENTE]],'BASE DATOS'!F:G,2,0)</f>
        <v xml:space="preserve">COLO - HAW164 </v>
      </c>
      <c r="F1891" s="584" t="str">
        <f>+VLOOKUP(Tabla3[[#This Row],[PATENTE]],'BASE DATOS'!F:H,3,0)</f>
        <v>6P</v>
      </c>
      <c r="G1891" s="584" t="str">
        <f>+VLOOKUP(Tabla3[[#This Row],[PATENTE]],'BASE DATOS'!F:I,4,0)</f>
        <v>NO</v>
      </c>
      <c r="H1891" s="584" t="str">
        <f>+VLOOKUP(Tabla3[[#This Row],[PATENTE]],'BASE DATOS'!F:J,5,0)</f>
        <v>SI</v>
      </c>
      <c r="I1891" s="584" t="str">
        <f>+VLOOKUP(Tabla3[[#This Row],[PATENTE]],'BASE DATOS'!F:K,6,0)</f>
        <v>NO</v>
      </c>
      <c r="J1891" s="584">
        <f>+VLOOKUP(Tabla3[[#This Row],[PATENTE]],'BASE DATOS'!F:L,7,0)</f>
        <v>2009</v>
      </c>
      <c r="K1891" s="619">
        <f>+VLOOKUP(Tabla3[[#This Row],[PATENTE]],'BASE DATOS'!F:M,8,0)</f>
        <v>16</v>
      </c>
    </row>
    <row r="1892" spans="1:11" ht="15" customHeight="1">
      <c r="A1892" s="578" t="s">
        <v>900</v>
      </c>
      <c r="B1892" s="584">
        <v>6</v>
      </c>
      <c r="C1892" s="589">
        <v>46097</v>
      </c>
      <c r="D1892" s="582">
        <f t="shared" si="67"/>
        <v>12</v>
      </c>
      <c r="E1892" s="618" t="str">
        <f>+VLOOKUP(Tabla3[[#This Row],[PATENTE]],'BASE DATOS'!F:G,2,0)</f>
        <v>TRANSPORTE GENA GAIA - IMO939</v>
      </c>
      <c r="F1892" s="584" t="str">
        <f>+VLOOKUP(Tabla3[[#This Row],[PATENTE]],'BASE DATOS'!F:H,3,0)</f>
        <v>24P</v>
      </c>
      <c r="G1892" s="584" t="str">
        <f>+VLOOKUP(Tabla3[[#This Row],[PATENTE]],'BASE DATOS'!F:I,4,0)</f>
        <v>Gestya</v>
      </c>
      <c r="H1892" s="584" t="str">
        <f>+VLOOKUP(Tabla3[[#This Row],[PATENTE]],'BASE DATOS'!F:J,5,0)</f>
        <v xml:space="preserve">NO </v>
      </c>
      <c r="I1892" s="584" t="str">
        <f>+VLOOKUP(Tabla3[[#This Row],[PATENTE]],'BASE DATOS'!F:K,6,0)</f>
        <v>NO</v>
      </c>
      <c r="J1892" s="584">
        <f>+VLOOKUP(Tabla3[[#This Row],[PATENTE]],'BASE DATOS'!F:L,7,0)</f>
        <v>2010</v>
      </c>
      <c r="K1892" s="619">
        <f>+VLOOKUP(Tabla3[[#This Row],[PATENTE]],'BASE DATOS'!F:M,8,0)</f>
        <v>15</v>
      </c>
    </row>
    <row r="1893" spans="1:11" ht="15" customHeight="1">
      <c r="A1893" s="578" t="s">
        <v>882</v>
      </c>
      <c r="B1893" s="584">
        <v>6</v>
      </c>
      <c r="C1893" s="589">
        <v>46097</v>
      </c>
      <c r="D1893" s="582">
        <f t="shared" si="67"/>
        <v>12</v>
      </c>
      <c r="E1893" s="618" t="str">
        <f>+VLOOKUP(Tabla3[[#This Row],[PATENTE]],'BASE DATOS'!F:G,2,0)</f>
        <v xml:space="preserve">MAÑAS - JWN279 </v>
      </c>
      <c r="F1893" s="584" t="str">
        <f>+VLOOKUP(Tabla3[[#This Row],[PATENTE]],'BASE DATOS'!F:H,3,0)</f>
        <v>7P</v>
      </c>
      <c r="G1893" s="584" t="str">
        <f>+VLOOKUP(Tabla3[[#This Row],[PATENTE]],'BASE DATOS'!F:I,4,0)</f>
        <v>SI</v>
      </c>
      <c r="H1893" s="584" t="str">
        <f>+VLOOKUP(Tabla3[[#This Row],[PATENTE]],'BASE DATOS'!F:J,5,0)</f>
        <v>SI</v>
      </c>
      <c r="I1893" s="584" t="str">
        <f>+VLOOKUP(Tabla3[[#This Row],[PATENTE]],'BASE DATOS'!F:K,6,0)</f>
        <v>NO</v>
      </c>
      <c r="J1893" s="584">
        <f>+VLOOKUP(Tabla3[[#This Row],[PATENTE]],'BASE DATOS'!F:L,7,0)</f>
        <v>2011</v>
      </c>
      <c r="K1893" s="619">
        <f>+VLOOKUP(Tabla3[[#This Row],[PATENTE]],'BASE DATOS'!F:M,8,0)</f>
        <v>14</v>
      </c>
    </row>
    <row r="1894" spans="1:11" ht="15" customHeight="1">
      <c r="A1894" s="578" t="s">
        <v>925</v>
      </c>
      <c r="B1894" s="584">
        <v>6</v>
      </c>
      <c r="C1894" s="589">
        <v>46097</v>
      </c>
      <c r="D1894" s="582">
        <f t="shared" si="67"/>
        <v>12</v>
      </c>
      <c r="E1894" s="618" t="str">
        <f>+VLOOKUP(Tabla3[[#This Row],[PATENTE]],'BASE DATOS'!F:G,2,0)</f>
        <v xml:space="preserve">TRANSP MAIDANA FACUNDO - KOW745 </v>
      </c>
      <c r="F1894" s="584" t="str">
        <f>+VLOOKUP(Tabla3[[#This Row],[PATENTE]],'BASE DATOS'!F:H,3,0)</f>
        <v>8P</v>
      </c>
      <c r="G1894" s="584" t="str">
        <f>+VLOOKUP(Tabla3[[#This Row],[PATENTE]],'BASE DATOS'!F:I,4,0)</f>
        <v>SI</v>
      </c>
      <c r="H1894" s="584" t="str">
        <f>+VLOOKUP(Tabla3[[#This Row],[PATENTE]],'BASE DATOS'!F:J,5,0)</f>
        <v>SI</v>
      </c>
      <c r="I1894" s="584" t="str">
        <f>+VLOOKUP(Tabla3[[#This Row],[PATENTE]],'BASE DATOS'!F:K,6,0)</f>
        <v>NO</v>
      </c>
      <c r="J1894" s="584">
        <f>+VLOOKUP(Tabla3[[#This Row],[PATENTE]],'BASE DATOS'!F:L,7,0)</f>
        <v>2012</v>
      </c>
      <c r="K1894" s="619">
        <f>+VLOOKUP(Tabla3[[#This Row],[PATENTE]],'BASE DATOS'!F:M,8,0)</f>
        <v>13</v>
      </c>
    </row>
    <row r="1895" spans="1:11" ht="15" customHeight="1">
      <c r="A1895" s="578" t="s">
        <v>920</v>
      </c>
      <c r="B1895" s="584">
        <v>6</v>
      </c>
      <c r="C1895" s="589">
        <v>46097</v>
      </c>
      <c r="D1895" s="582">
        <f t="shared" si="67"/>
        <v>12</v>
      </c>
      <c r="E1895" s="618" t="str">
        <f>+VLOOKUP(Tabla3[[#This Row],[PATENTE]],'BASE DATOS'!F:G,2,0)</f>
        <v xml:space="preserve">TRANSP LAGOS - MRV682 </v>
      </c>
      <c r="F1895" s="584" t="str">
        <f>+VLOOKUP(Tabla3[[#This Row],[PATENTE]],'BASE DATOS'!F:H,3,0)</f>
        <v>8P</v>
      </c>
      <c r="G1895" s="584" t="str">
        <f>+VLOOKUP(Tabla3[[#This Row],[PATENTE]],'BASE DATOS'!F:I,4,0)</f>
        <v>SI</v>
      </c>
      <c r="H1895" s="584" t="str">
        <f>+VLOOKUP(Tabla3[[#This Row],[PATENTE]],'BASE DATOS'!F:J,5,0)</f>
        <v>SI</v>
      </c>
      <c r="I1895" s="584" t="str">
        <f>+VLOOKUP(Tabla3[[#This Row],[PATENTE]],'BASE DATOS'!F:K,6,0)</f>
        <v>NO</v>
      </c>
      <c r="J1895" s="584">
        <f>+VLOOKUP(Tabla3[[#This Row],[PATENTE]],'BASE DATOS'!F:L,7,0)</f>
        <v>2013</v>
      </c>
      <c r="K1895" s="619">
        <f>+VLOOKUP(Tabla3[[#This Row],[PATENTE]],'BASE DATOS'!F:M,8,0)</f>
        <v>12</v>
      </c>
    </row>
    <row r="1896" spans="1:11" ht="15" customHeight="1">
      <c r="A1896" s="578" t="s">
        <v>886</v>
      </c>
      <c r="B1896" s="584">
        <v>6</v>
      </c>
      <c r="C1896" s="589">
        <v>46097</v>
      </c>
      <c r="D1896" s="582">
        <f t="shared" si="67"/>
        <v>12</v>
      </c>
      <c r="E1896" s="618" t="str">
        <f>+VLOOKUP(Tabla3[[#This Row],[PATENTE]],'BASE DATOS'!F:G,2,0)</f>
        <v xml:space="preserve">TRANSP LAGOS - NOO925 </v>
      </c>
      <c r="F1896" s="584" t="str">
        <f>+VLOOKUP(Tabla3[[#This Row],[PATENTE]],'BASE DATOS'!F:H,3,0)</f>
        <v>8P</v>
      </c>
      <c r="G1896" s="584" t="str">
        <f>+VLOOKUP(Tabla3[[#This Row],[PATENTE]],'BASE DATOS'!F:I,4,0)</f>
        <v>SI</v>
      </c>
      <c r="H1896" s="584" t="str">
        <f>+VLOOKUP(Tabla3[[#This Row],[PATENTE]],'BASE DATOS'!F:J,5,0)</f>
        <v>SI</v>
      </c>
      <c r="I1896" s="584" t="str">
        <f>+VLOOKUP(Tabla3[[#This Row],[PATENTE]],'BASE DATOS'!F:K,6,0)</f>
        <v>NO</v>
      </c>
      <c r="J1896" s="584">
        <f>+VLOOKUP(Tabla3[[#This Row],[PATENTE]],'BASE DATOS'!F:L,7,0)</f>
        <v>2014</v>
      </c>
      <c r="K1896" s="619">
        <f>+VLOOKUP(Tabla3[[#This Row],[PATENTE]],'BASE DATOS'!F:M,8,0)</f>
        <v>11</v>
      </c>
    </row>
    <row r="1897" spans="1:11" ht="15" customHeight="1">
      <c r="A1897" s="578" t="s">
        <v>898</v>
      </c>
      <c r="B1897" s="584">
        <v>6</v>
      </c>
      <c r="C1897" s="589">
        <v>46097</v>
      </c>
      <c r="D1897" s="582">
        <f t="shared" si="67"/>
        <v>12</v>
      </c>
      <c r="E1897" s="618" t="str">
        <f>+VLOOKUP(Tabla3[[#This Row],[PATENTE]],'BASE DATOS'!F:G,2,0)</f>
        <v xml:space="preserve">TRANSP BERMEJO - NXP980 </v>
      </c>
      <c r="F1897" s="584" t="str">
        <f>+VLOOKUP(Tabla3[[#This Row],[PATENTE]],'BASE DATOS'!F:H,3,0)</f>
        <v>12P</v>
      </c>
      <c r="G1897" s="584" t="str">
        <f>+VLOOKUP(Tabla3[[#This Row],[PATENTE]],'BASE DATOS'!F:I,4,0)</f>
        <v>SI</v>
      </c>
      <c r="H1897" s="584" t="str">
        <f>+VLOOKUP(Tabla3[[#This Row],[PATENTE]],'BASE DATOS'!F:J,5,0)</f>
        <v>SI</v>
      </c>
      <c r="I1897" s="584" t="str">
        <f>+VLOOKUP(Tabla3[[#This Row],[PATENTE]],'BASE DATOS'!F:K,6,0)</f>
        <v>SI</v>
      </c>
      <c r="J1897" s="584">
        <f>+VLOOKUP(Tabla3[[#This Row],[PATENTE]],'BASE DATOS'!F:L,7,0)</f>
        <v>2015</v>
      </c>
      <c r="K1897" s="619">
        <f>+VLOOKUP(Tabla3[[#This Row],[PATENTE]],'BASE DATOS'!F:M,8,0)</f>
        <v>10</v>
      </c>
    </row>
    <row r="1898" spans="1:11" ht="15" customHeight="1">
      <c r="A1898" s="578" t="s">
        <v>877</v>
      </c>
      <c r="B1898" s="584">
        <v>6</v>
      </c>
      <c r="C1898" s="589">
        <v>46097</v>
      </c>
      <c r="D1898" s="582">
        <f t="shared" si="67"/>
        <v>12</v>
      </c>
      <c r="E1898" s="618" t="str">
        <f>+VLOOKUP(Tabla3[[#This Row],[PATENTE]],'BASE DATOS'!F:G,2,0)</f>
        <v>TRANSP MAIDANA CARLOS - OWA126</v>
      </c>
      <c r="F1898" s="584" t="str">
        <f>+VLOOKUP(Tabla3[[#This Row],[PATENTE]],'BASE DATOS'!F:H,3,0)</f>
        <v>4P</v>
      </c>
      <c r="G1898" s="584" t="str">
        <f>+VLOOKUP(Tabla3[[#This Row],[PATENTE]],'BASE DATOS'!F:I,4,0)</f>
        <v>SI</v>
      </c>
      <c r="H1898" s="584" t="str">
        <f>+VLOOKUP(Tabla3[[#This Row],[PATENTE]],'BASE DATOS'!F:J,5,0)</f>
        <v>SI</v>
      </c>
      <c r="I1898" s="584" t="str">
        <f>+VLOOKUP(Tabla3[[#This Row],[PATENTE]],'BASE DATOS'!F:K,6,0)</f>
        <v>NO</v>
      </c>
      <c r="J1898" s="584">
        <f>+VLOOKUP(Tabla3[[#This Row],[PATENTE]],'BASE DATOS'!F:L,7,0)</f>
        <v>2015</v>
      </c>
      <c r="K1898" s="619">
        <f>+VLOOKUP(Tabla3[[#This Row],[PATENTE]],'BASE DATOS'!F:M,8,0)</f>
        <v>10</v>
      </c>
    </row>
    <row r="1899" spans="1:11" ht="15" customHeight="1">
      <c r="A1899" s="578" t="s">
        <v>879</v>
      </c>
      <c r="B1899" s="584">
        <v>6</v>
      </c>
      <c r="C1899" s="589">
        <v>46097</v>
      </c>
      <c r="D1899" s="582">
        <f t="shared" si="67"/>
        <v>12</v>
      </c>
      <c r="E1899" s="618" t="str">
        <f>+VLOOKUP(Tabla3[[#This Row],[PATENTE]],'BASE DATOS'!F:G,2,0)</f>
        <v xml:space="preserve">TRANSP JP - OYP470 </v>
      </c>
      <c r="F1899" s="584" t="str">
        <f>+VLOOKUP(Tabla3[[#This Row],[PATENTE]],'BASE DATOS'!F:H,3,0)</f>
        <v>8P</v>
      </c>
      <c r="G1899" s="584" t="str">
        <f>+VLOOKUP(Tabla3[[#This Row],[PATENTE]],'BASE DATOS'!F:I,4,0)</f>
        <v>SI</v>
      </c>
      <c r="H1899" s="584" t="str">
        <f>+VLOOKUP(Tabla3[[#This Row],[PATENTE]],'BASE DATOS'!F:J,5,0)</f>
        <v>SI</v>
      </c>
      <c r="I1899" s="584" t="str">
        <f>+VLOOKUP(Tabla3[[#This Row],[PATENTE]],'BASE DATOS'!F:K,6,0)</f>
        <v>NO</v>
      </c>
      <c r="J1899" s="584">
        <f>+VLOOKUP(Tabla3[[#This Row],[PATENTE]],'BASE DATOS'!F:L,7,0)</f>
        <v>2011</v>
      </c>
      <c r="K1899" s="619">
        <f>+VLOOKUP(Tabla3[[#This Row],[PATENTE]],'BASE DATOS'!F:M,8,0)</f>
        <v>14</v>
      </c>
    </row>
    <row r="1900" spans="1:11" ht="15" customHeight="1">
      <c r="A1900" s="578" t="s">
        <v>878</v>
      </c>
      <c r="B1900" s="584">
        <v>5</v>
      </c>
      <c r="C1900" s="589">
        <v>46097</v>
      </c>
      <c r="D1900" s="582">
        <f t="shared" si="67"/>
        <v>12</v>
      </c>
      <c r="E1900" s="618" t="str">
        <f>+VLOOKUP(Tabla3[[#This Row],[PATENTE]],'BASE DATOS'!F:G,2,0)</f>
        <v xml:space="preserve">PACHECO JULIO - AA854LY </v>
      </c>
      <c r="F1900" s="584" t="str">
        <f>+VLOOKUP(Tabla3[[#This Row],[PATENTE]],'BASE DATOS'!F:H,3,0)</f>
        <v>7P</v>
      </c>
      <c r="G1900" s="584" t="str">
        <f>+VLOOKUP(Tabla3[[#This Row],[PATENTE]],'BASE DATOS'!F:I,4,0)</f>
        <v>SI</v>
      </c>
      <c r="H1900" s="584" t="str">
        <f>+VLOOKUP(Tabla3[[#This Row],[PATENTE]],'BASE DATOS'!F:J,5,0)</f>
        <v>SI</v>
      </c>
      <c r="I1900" s="584" t="str">
        <f>+VLOOKUP(Tabla3[[#This Row],[PATENTE]],'BASE DATOS'!F:K,6,0)</f>
        <v>NO</v>
      </c>
      <c r="J1900" s="584">
        <f>+VLOOKUP(Tabla3[[#This Row],[PATENTE]],'BASE DATOS'!F:L,7,0)</f>
        <v>2016</v>
      </c>
      <c r="K1900" s="619">
        <f>+VLOOKUP(Tabla3[[#This Row],[PATENTE]],'BASE DATOS'!F:M,8,0)</f>
        <v>9</v>
      </c>
    </row>
    <row r="1901" spans="1:11" ht="15" customHeight="1">
      <c r="A1901" s="578" t="s">
        <v>912</v>
      </c>
      <c r="B1901" s="584">
        <v>5</v>
      </c>
      <c r="C1901" s="589">
        <v>46097</v>
      </c>
      <c r="D1901" s="582">
        <f t="shared" si="67"/>
        <v>12</v>
      </c>
      <c r="E1901" s="618" t="str">
        <f>+VLOOKUP(Tabla3[[#This Row],[PATENTE]],'BASE DATOS'!F:G,2,0)</f>
        <v xml:space="preserve">PACHECO JULIO - AC028WN </v>
      </c>
      <c r="F1901" s="584" t="str">
        <f>+VLOOKUP(Tabla3[[#This Row],[PATENTE]],'BASE DATOS'!F:H,3,0)</f>
        <v>8P</v>
      </c>
      <c r="G1901" s="584" t="str">
        <f>+VLOOKUP(Tabla3[[#This Row],[PATENTE]],'BASE DATOS'!F:I,4,0)</f>
        <v>SI</v>
      </c>
      <c r="H1901" s="584" t="str">
        <f>+VLOOKUP(Tabla3[[#This Row],[PATENTE]],'BASE DATOS'!F:J,5,0)</f>
        <v>SI</v>
      </c>
      <c r="I1901" s="584" t="str">
        <f>+VLOOKUP(Tabla3[[#This Row],[PATENTE]],'BASE DATOS'!F:K,6,0)</f>
        <v>SI</v>
      </c>
      <c r="J1901" s="584">
        <f>+VLOOKUP(Tabla3[[#This Row],[PATENTE]],'BASE DATOS'!F:L,7,0)</f>
        <v>2017</v>
      </c>
      <c r="K1901" s="619">
        <f>+VLOOKUP(Tabla3[[#This Row],[PATENTE]],'BASE DATOS'!F:M,8,0)</f>
        <v>8</v>
      </c>
    </row>
    <row r="1902" spans="1:11" ht="15" customHeight="1">
      <c r="A1902" s="578" t="s">
        <v>880</v>
      </c>
      <c r="B1902" s="584">
        <v>5</v>
      </c>
      <c r="C1902" s="589">
        <v>46097</v>
      </c>
      <c r="D1902" s="582">
        <f t="shared" si="67"/>
        <v>12</v>
      </c>
      <c r="E1902" s="618" t="str">
        <f>+VLOOKUP(Tabla3[[#This Row],[PATENTE]],'BASE DATOS'!F:G,2,0)</f>
        <v xml:space="preserve">LAURIA (SERVAL) - AD575XK </v>
      </c>
      <c r="F1902" s="584" t="str">
        <f>+VLOOKUP(Tabla3[[#This Row],[PATENTE]],'BASE DATOS'!F:H,3,0)</f>
        <v>8P</v>
      </c>
      <c r="G1902" s="584" t="str">
        <f>+VLOOKUP(Tabla3[[#This Row],[PATENTE]],'BASE DATOS'!F:I,4,0)</f>
        <v>SI</v>
      </c>
      <c r="H1902" s="584" t="str">
        <f>+VLOOKUP(Tabla3[[#This Row],[PATENTE]],'BASE DATOS'!F:J,5,0)</f>
        <v>SI</v>
      </c>
      <c r="I1902" s="584" t="str">
        <f>+VLOOKUP(Tabla3[[#This Row],[PATENTE]],'BASE DATOS'!F:K,6,0)</f>
        <v>NO</v>
      </c>
      <c r="J1902" s="584">
        <f>+VLOOKUP(Tabla3[[#This Row],[PATENTE]],'BASE DATOS'!F:L,7,0)</f>
        <v>2019</v>
      </c>
      <c r="K1902" s="619">
        <f>+VLOOKUP(Tabla3[[#This Row],[PATENTE]],'BASE DATOS'!F:M,8,0)</f>
        <v>6</v>
      </c>
    </row>
    <row r="1903" spans="1:11" ht="15" customHeight="1">
      <c r="A1903" s="578" t="s">
        <v>895</v>
      </c>
      <c r="B1903" s="584">
        <v>5</v>
      </c>
      <c r="C1903" s="589">
        <v>46097</v>
      </c>
      <c r="D1903" s="582">
        <f t="shared" si="67"/>
        <v>12</v>
      </c>
      <c r="E1903" s="618" t="str">
        <f>+VLOOKUP(Tabla3[[#This Row],[PATENTE]],'BASE DATOS'!F:G,2,0)</f>
        <v xml:space="preserve">TRANSPORTE MICAELA </v>
      </c>
      <c r="F1903" s="584" t="str">
        <f>+VLOOKUP(Tabla3[[#This Row],[PATENTE]],'BASE DATOS'!F:H,3,0)</f>
        <v>2P</v>
      </c>
      <c r="G1903" s="584" t="str">
        <f>+VLOOKUP(Tabla3[[#This Row],[PATENTE]],'BASE DATOS'!F:I,4,0)</f>
        <v>NO</v>
      </c>
      <c r="H1903" s="584" t="str">
        <f>+VLOOKUP(Tabla3[[#This Row],[PATENTE]],'BASE DATOS'!F:J,5,0)</f>
        <v>SI</v>
      </c>
      <c r="I1903" s="584" t="str">
        <f>+VLOOKUP(Tabla3[[#This Row],[PATENTE]],'BASE DATOS'!F:K,6,0)</f>
        <v>NO</v>
      </c>
      <c r="J1903" s="584">
        <f>+VLOOKUP(Tabla3[[#This Row],[PATENTE]],'BASE DATOS'!F:L,7,0)</f>
        <v>2024</v>
      </c>
      <c r="K1903" s="619">
        <f>+VLOOKUP(Tabla3[[#This Row],[PATENTE]],'BASE DATOS'!F:M,8,0)</f>
        <v>1</v>
      </c>
    </row>
    <row r="1904" spans="1:11" ht="15" customHeight="1">
      <c r="A1904" s="578" t="s">
        <v>921</v>
      </c>
      <c r="B1904" s="584">
        <v>5</v>
      </c>
      <c r="C1904" s="589">
        <v>46097</v>
      </c>
      <c r="D1904" s="582">
        <f t="shared" si="67"/>
        <v>12</v>
      </c>
      <c r="E1904" s="618" t="str">
        <f>+VLOOKUP(Tabla3[[#This Row],[PATENTE]],'BASE DATOS'!F:G,2,0)</f>
        <v xml:space="preserve">MAÑAS NORBERTO - CQQ304 </v>
      </c>
      <c r="F1904" s="584" t="str">
        <f>+VLOOKUP(Tabla3[[#This Row],[PATENTE]],'BASE DATOS'!F:H,3,0)</f>
        <v>11P</v>
      </c>
      <c r="G1904" s="584" t="str">
        <f>+VLOOKUP(Tabla3[[#This Row],[PATENTE]],'BASE DATOS'!F:I,4,0)</f>
        <v>SI</v>
      </c>
      <c r="H1904" s="584" t="str">
        <f>+VLOOKUP(Tabla3[[#This Row],[PATENTE]],'BASE DATOS'!F:J,5,0)</f>
        <v>SI</v>
      </c>
      <c r="I1904" s="584" t="str">
        <f>+VLOOKUP(Tabla3[[#This Row],[PATENTE]],'BASE DATOS'!F:K,6,0)</f>
        <v>NO</v>
      </c>
      <c r="J1904" s="584">
        <f>+VLOOKUP(Tabla3[[#This Row],[PATENTE]],'BASE DATOS'!F:L,7,0)</f>
        <v>2000</v>
      </c>
      <c r="K1904" s="619">
        <f>+VLOOKUP(Tabla3[[#This Row],[PATENTE]],'BASE DATOS'!F:M,8,0)</f>
        <v>25</v>
      </c>
    </row>
    <row r="1905" spans="1:11" ht="15" customHeight="1">
      <c r="A1905" s="578" t="s">
        <v>881</v>
      </c>
      <c r="B1905" s="584">
        <v>5</v>
      </c>
      <c r="C1905" s="589">
        <v>46097</v>
      </c>
      <c r="D1905" s="582">
        <f t="shared" si="67"/>
        <v>12</v>
      </c>
      <c r="E1905" s="618" t="str">
        <f>+VLOOKUP(Tabla3[[#This Row],[PATENTE]],'BASE DATOS'!F:G,2,0)</f>
        <v xml:space="preserve">MAÑAS NORBERTO - DUQ686 </v>
      </c>
      <c r="F1905" s="584" t="str">
        <f>+VLOOKUP(Tabla3[[#This Row],[PATENTE]],'BASE DATOS'!F:H,3,0)</f>
        <v>8P</v>
      </c>
      <c r="G1905" s="584" t="str">
        <f>+VLOOKUP(Tabla3[[#This Row],[PATENTE]],'BASE DATOS'!F:I,4,0)</f>
        <v>SI</v>
      </c>
      <c r="H1905" s="584" t="str">
        <f>+VLOOKUP(Tabla3[[#This Row],[PATENTE]],'BASE DATOS'!F:J,5,0)</f>
        <v>SI</v>
      </c>
      <c r="I1905" s="584" t="str">
        <f>+VLOOKUP(Tabla3[[#This Row],[PATENTE]],'BASE DATOS'!F:K,6,0)</f>
        <v>NO</v>
      </c>
      <c r="J1905" s="584">
        <f>+VLOOKUP(Tabla3[[#This Row],[PATENTE]],'BASE DATOS'!F:L,7,0)</f>
        <v>2001</v>
      </c>
      <c r="K1905" s="619">
        <f>+VLOOKUP(Tabla3[[#This Row],[PATENTE]],'BASE DATOS'!F:M,8,0)</f>
        <v>24</v>
      </c>
    </row>
    <row r="1906" spans="1:11" ht="15" customHeight="1">
      <c r="A1906" s="578" t="s">
        <v>932</v>
      </c>
      <c r="B1906" s="584">
        <v>5</v>
      </c>
      <c r="C1906" s="589">
        <v>46097</v>
      </c>
      <c r="D1906" s="582">
        <f t="shared" si="67"/>
        <v>12</v>
      </c>
      <c r="E1906" s="618" t="str">
        <f>+VLOOKUP(Tabla3[[#This Row],[PATENTE]],'BASE DATOS'!F:G,2,0)</f>
        <v xml:space="preserve">TRANSP MAVIR - EFL176 </v>
      </c>
      <c r="F1906" s="584" t="str">
        <f>+VLOOKUP(Tabla3[[#This Row],[PATENTE]],'BASE DATOS'!F:H,3,0)</f>
        <v>12P</v>
      </c>
      <c r="G1906" s="584" t="str">
        <f>+VLOOKUP(Tabla3[[#This Row],[PATENTE]],'BASE DATOS'!F:I,4,0)</f>
        <v>SI</v>
      </c>
      <c r="H1906" s="584" t="str">
        <f>+VLOOKUP(Tabla3[[#This Row],[PATENTE]],'BASE DATOS'!F:J,5,0)</f>
        <v>SI</v>
      </c>
      <c r="I1906" s="584" t="str">
        <f>+VLOOKUP(Tabla3[[#This Row],[PATENTE]],'BASE DATOS'!F:K,6,0)</f>
        <v>NO</v>
      </c>
      <c r="J1906" s="584">
        <f>+VLOOKUP(Tabla3[[#This Row],[PATENTE]],'BASE DATOS'!F:L,7,0)</f>
        <v>1998</v>
      </c>
      <c r="K1906" s="619">
        <f>+VLOOKUP(Tabla3[[#This Row],[PATENTE]],'BASE DATOS'!F:M,8,0)</f>
        <v>27</v>
      </c>
    </row>
    <row r="1907" spans="1:11" ht="15" customHeight="1">
      <c r="A1907" s="578" t="s">
        <v>924</v>
      </c>
      <c r="B1907" s="584">
        <v>5</v>
      </c>
      <c r="C1907" s="589">
        <v>46097</v>
      </c>
      <c r="D1907" s="582">
        <f t="shared" si="67"/>
        <v>12</v>
      </c>
      <c r="E1907" s="618" t="str">
        <f>+VLOOKUP(Tabla3[[#This Row],[PATENTE]],'BASE DATOS'!F:G,2,0)</f>
        <v>TRANSP MAVIR - HRZ429 -16P</v>
      </c>
      <c r="F1907" s="584" t="str">
        <f>+VLOOKUP(Tabla3[[#This Row],[PATENTE]],'BASE DATOS'!F:H,3,0)</f>
        <v>16P</v>
      </c>
      <c r="G1907" s="584" t="str">
        <f>+VLOOKUP(Tabla3[[#This Row],[PATENTE]],'BASE DATOS'!F:I,4,0)</f>
        <v>SI</v>
      </c>
      <c r="H1907" s="584" t="str">
        <f>+VLOOKUP(Tabla3[[#This Row],[PATENTE]],'BASE DATOS'!F:J,5,0)</f>
        <v xml:space="preserve">NO </v>
      </c>
      <c r="I1907" s="584" t="str">
        <f>+VLOOKUP(Tabla3[[#This Row],[PATENTE]],'BASE DATOS'!F:K,6,0)</f>
        <v>NO</v>
      </c>
      <c r="J1907" s="584">
        <f>+VLOOKUP(Tabla3[[#This Row],[PATENTE]],'BASE DATOS'!F:L,7,0)</f>
        <v>2008</v>
      </c>
      <c r="K1907" s="619">
        <f>+VLOOKUP(Tabla3[[#This Row],[PATENTE]],'BASE DATOS'!F:M,8,0)</f>
        <v>17</v>
      </c>
    </row>
    <row r="1908" spans="1:11" ht="15" customHeight="1">
      <c r="A1908" s="578" t="s">
        <v>913</v>
      </c>
      <c r="B1908" s="584">
        <v>5</v>
      </c>
      <c r="C1908" s="589">
        <v>46097</v>
      </c>
      <c r="D1908" s="582">
        <f t="shared" si="67"/>
        <v>12</v>
      </c>
      <c r="E1908" s="618" t="str">
        <f>+VLOOKUP(Tabla3[[#This Row],[PATENTE]],'BASE DATOS'!F:G,2,0)</f>
        <v xml:space="preserve">TRANSP DON NENO - KSI803 </v>
      </c>
      <c r="F1908" s="584" t="str">
        <f>+VLOOKUP(Tabla3[[#This Row],[PATENTE]],'BASE DATOS'!F:H,3,0)</f>
        <v>2P</v>
      </c>
      <c r="G1908" s="584" t="str">
        <f>+VLOOKUP(Tabla3[[#This Row],[PATENTE]],'BASE DATOS'!F:I,4,0)</f>
        <v>SI</v>
      </c>
      <c r="H1908" s="584" t="str">
        <f>+VLOOKUP(Tabla3[[#This Row],[PATENTE]],'BASE DATOS'!F:J,5,0)</f>
        <v>SI</v>
      </c>
      <c r="I1908" s="584" t="str">
        <f>+VLOOKUP(Tabla3[[#This Row],[PATENTE]],'BASE DATOS'!F:K,6,0)</f>
        <v>NO</v>
      </c>
      <c r="J1908" s="584">
        <f>+VLOOKUP(Tabla3[[#This Row],[PATENTE]],'BASE DATOS'!F:L,7,0)</f>
        <v>2012</v>
      </c>
      <c r="K1908" s="619">
        <f>+VLOOKUP(Tabla3[[#This Row],[PATENTE]],'BASE DATOS'!F:M,8,0)</f>
        <v>13</v>
      </c>
    </row>
    <row r="1909" spans="1:11" ht="15" customHeight="1">
      <c r="A1909" s="578" t="s">
        <v>909</v>
      </c>
      <c r="B1909" s="584">
        <v>5</v>
      </c>
      <c r="C1909" s="589">
        <v>46097</v>
      </c>
      <c r="D1909" s="582">
        <f t="shared" si="67"/>
        <v>12</v>
      </c>
      <c r="E1909" s="618" t="str">
        <f>+VLOOKUP(Tabla3[[#This Row],[PATENTE]],'BASE DATOS'!F:G,2,0)</f>
        <v xml:space="preserve">CRISTIAN MOYA - NHR055 </v>
      </c>
      <c r="F1909" s="584" t="str">
        <f>+VLOOKUP(Tabla3[[#This Row],[PATENTE]],'BASE DATOS'!F:H,3,0)</f>
        <v>6P</v>
      </c>
      <c r="G1909" s="584" t="str">
        <f>+VLOOKUP(Tabla3[[#This Row],[PATENTE]],'BASE DATOS'!F:I,4,0)</f>
        <v>SI</v>
      </c>
      <c r="H1909" s="584" t="str">
        <f>+VLOOKUP(Tabla3[[#This Row],[PATENTE]],'BASE DATOS'!F:J,5,0)</f>
        <v>SI</v>
      </c>
      <c r="I1909" s="584" t="str">
        <f>+VLOOKUP(Tabla3[[#This Row],[PATENTE]],'BASE DATOS'!F:K,6,0)</f>
        <v>NO</v>
      </c>
      <c r="J1909" s="584">
        <f>+VLOOKUP(Tabla3[[#This Row],[PATENTE]],'BASE DATOS'!F:L,7,0)</f>
        <v>2013</v>
      </c>
      <c r="K1909" s="619">
        <f>+VLOOKUP(Tabla3[[#This Row],[PATENTE]],'BASE DATOS'!F:M,8,0)</f>
        <v>12</v>
      </c>
    </row>
    <row r="1910" spans="1:11" ht="15" customHeight="1">
      <c r="A1910" s="578" t="s">
        <v>936</v>
      </c>
      <c r="B1910" s="584">
        <v>4</v>
      </c>
      <c r="C1910" s="589">
        <v>46097</v>
      </c>
      <c r="D1910" s="582">
        <f t="shared" si="67"/>
        <v>12</v>
      </c>
      <c r="E1910" s="618" t="str">
        <f>+VLOOKUP(Tabla3[[#This Row],[PATENTE]],'BASE DATOS'!F:G,2,0)</f>
        <v>TRANSP YANINA  LUONGO - AA050HC</v>
      </c>
      <c r="F1910" s="584" t="str">
        <f>+VLOOKUP(Tabla3[[#This Row],[PATENTE]],'BASE DATOS'!F:H,3,0)</f>
        <v>1.5P</v>
      </c>
      <c r="G1910" s="584" t="str">
        <f>+VLOOKUP(Tabla3[[#This Row],[PATENTE]],'BASE DATOS'!F:I,4,0)</f>
        <v>NO</v>
      </c>
      <c r="H1910" s="584" t="str">
        <f>+VLOOKUP(Tabla3[[#This Row],[PATENTE]],'BASE DATOS'!F:J,5,0)</f>
        <v>SI</v>
      </c>
      <c r="I1910" s="584" t="str">
        <f>+VLOOKUP(Tabla3[[#This Row],[PATENTE]],'BASE DATOS'!F:K,6,0)</f>
        <v>NO</v>
      </c>
      <c r="J1910" s="584">
        <f>+VLOOKUP(Tabla3[[#This Row],[PATENTE]],'BASE DATOS'!F:L,7,0)</f>
        <v>2016</v>
      </c>
      <c r="K1910" s="619">
        <f>+VLOOKUP(Tabla3[[#This Row],[PATENTE]],'BASE DATOS'!F:M,8,0)</f>
        <v>9</v>
      </c>
    </row>
    <row r="1911" spans="1:11" ht="15" customHeight="1">
      <c r="A1911" s="578" t="s">
        <v>905</v>
      </c>
      <c r="B1911" s="584">
        <v>4</v>
      </c>
      <c r="C1911" s="589">
        <v>46097</v>
      </c>
      <c r="D1911" s="582">
        <f t="shared" si="67"/>
        <v>12</v>
      </c>
      <c r="E1911" s="618" t="str">
        <f>+VLOOKUP(Tabla3[[#This Row],[PATENTE]],'BASE DATOS'!F:G,2,0)</f>
        <v xml:space="preserve">J RIMOLDI - AB312SE </v>
      </c>
      <c r="F1911" s="584" t="str">
        <f>+VLOOKUP(Tabla3[[#This Row],[PATENTE]],'BASE DATOS'!F:H,3,0)</f>
        <v>8P</v>
      </c>
      <c r="G1911" s="584" t="str">
        <f>+VLOOKUP(Tabla3[[#This Row],[PATENTE]],'BASE DATOS'!F:I,4,0)</f>
        <v>SI</v>
      </c>
      <c r="H1911" s="584" t="str">
        <f>+VLOOKUP(Tabla3[[#This Row],[PATENTE]],'BASE DATOS'!F:J,5,0)</f>
        <v>SI</v>
      </c>
      <c r="I1911" s="584" t="str">
        <f>+VLOOKUP(Tabla3[[#This Row],[PATENTE]],'BASE DATOS'!F:K,6,0)</f>
        <v>NO</v>
      </c>
      <c r="J1911" s="584">
        <f>+VLOOKUP(Tabla3[[#This Row],[PATENTE]],'BASE DATOS'!F:L,7,0)</f>
        <v>2017</v>
      </c>
      <c r="K1911" s="619">
        <f>+VLOOKUP(Tabla3[[#This Row],[PATENTE]],'BASE DATOS'!F:M,8,0)</f>
        <v>8</v>
      </c>
    </row>
    <row r="1912" spans="1:11" ht="15" customHeight="1">
      <c r="A1912" s="578" t="s">
        <v>883</v>
      </c>
      <c r="B1912" s="584">
        <v>4</v>
      </c>
      <c r="C1912" s="589">
        <v>46097</v>
      </c>
      <c r="D1912" s="582">
        <f t="shared" si="67"/>
        <v>12</v>
      </c>
      <c r="E1912" s="618" t="str">
        <f>+VLOOKUP(Tabla3[[#This Row],[PATENTE]],'BASE DATOS'!F:G,2,0)</f>
        <v xml:space="preserve">PACHECO JULIO - ACI503 </v>
      </c>
      <c r="F1912" s="584" t="str">
        <f>+VLOOKUP(Tabla3[[#This Row],[PATENTE]],'BASE DATOS'!F:H,3,0)</f>
        <v>12P</v>
      </c>
      <c r="G1912" s="584" t="str">
        <f>+VLOOKUP(Tabla3[[#This Row],[PATENTE]],'BASE DATOS'!F:I,4,0)</f>
        <v>NO</v>
      </c>
      <c r="H1912" s="584" t="str">
        <f>+VLOOKUP(Tabla3[[#This Row],[PATENTE]],'BASE DATOS'!F:J,5,0)</f>
        <v>SI</v>
      </c>
      <c r="I1912" s="584" t="str">
        <f>+VLOOKUP(Tabla3[[#This Row],[PATENTE]],'BASE DATOS'!F:K,6,0)</f>
        <v>SI</v>
      </c>
      <c r="J1912" s="584">
        <f>+VLOOKUP(Tabla3[[#This Row],[PATENTE]],'BASE DATOS'!F:L,7,0)</f>
        <v>2000</v>
      </c>
      <c r="K1912" s="619">
        <f>+VLOOKUP(Tabla3[[#This Row],[PATENTE]],'BASE DATOS'!F:M,8,0)</f>
        <v>25</v>
      </c>
    </row>
    <row r="1913" spans="1:11" ht="15" customHeight="1">
      <c r="A1913" s="578" t="s">
        <v>922</v>
      </c>
      <c r="B1913" s="584">
        <v>4</v>
      </c>
      <c r="C1913" s="589">
        <v>46097</v>
      </c>
      <c r="D1913" s="582">
        <f t="shared" si="67"/>
        <v>12</v>
      </c>
      <c r="E1913" s="618" t="str">
        <f>+VLOOKUP(Tabla3[[#This Row],[PATENTE]],'BASE DATOS'!F:G,2,0)</f>
        <v>LAURIA (SERVAL) - AF342ZY</v>
      </c>
      <c r="F1913" s="584" t="str">
        <f>+VLOOKUP(Tabla3[[#This Row],[PATENTE]],'BASE DATOS'!F:H,3,0)</f>
        <v>8P</v>
      </c>
      <c r="G1913" s="584" t="str">
        <f>+VLOOKUP(Tabla3[[#This Row],[PATENTE]],'BASE DATOS'!F:I,4,0)</f>
        <v>SI</v>
      </c>
      <c r="H1913" s="584" t="str">
        <f>+VLOOKUP(Tabla3[[#This Row],[PATENTE]],'BASE DATOS'!F:J,5,0)</f>
        <v>SI</v>
      </c>
      <c r="I1913" s="584" t="str">
        <f>+VLOOKUP(Tabla3[[#This Row],[PATENTE]],'BASE DATOS'!F:K,6,0)</f>
        <v>NO</v>
      </c>
      <c r="J1913" s="584">
        <f>+VLOOKUP(Tabla3[[#This Row],[PATENTE]],'BASE DATOS'!F:L,7,0)</f>
        <v>2022</v>
      </c>
      <c r="K1913" s="619">
        <f>+VLOOKUP(Tabla3[[#This Row],[PATENTE]],'BASE DATOS'!F:M,8,0)</f>
        <v>3</v>
      </c>
    </row>
    <row r="1914" spans="1:11" ht="15" customHeight="1">
      <c r="A1914" s="578" t="s">
        <v>903</v>
      </c>
      <c r="B1914" s="584">
        <v>4</v>
      </c>
      <c r="C1914" s="589">
        <v>46097</v>
      </c>
      <c r="D1914" s="582">
        <f t="shared" si="67"/>
        <v>12</v>
      </c>
      <c r="E1914" s="618" t="str">
        <f>+VLOOKUP(Tabla3[[#This Row],[PATENTE]],'BASE DATOS'!F:G,2,0)</f>
        <v xml:space="preserve">TRANSP CLAUDIO BUSTOS - AG243PE </v>
      </c>
      <c r="F1914" s="584" t="str">
        <f>+VLOOKUP(Tabla3[[#This Row],[PATENTE]],'BASE DATOS'!F:H,3,0)</f>
        <v>1P</v>
      </c>
      <c r="G1914" s="584" t="str">
        <f>+VLOOKUP(Tabla3[[#This Row],[PATENTE]],'BASE DATOS'!F:I,4,0)</f>
        <v>SI</v>
      </c>
      <c r="H1914" s="584" t="str">
        <f>+VLOOKUP(Tabla3[[#This Row],[PATENTE]],'BASE DATOS'!F:J,5,0)</f>
        <v>SI</v>
      </c>
      <c r="I1914" s="584" t="str">
        <f>+VLOOKUP(Tabla3[[#This Row],[PATENTE]],'BASE DATOS'!F:K,6,0)</f>
        <v>NO</v>
      </c>
      <c r="J1914" s="584">
        <f>+VLOOKUP(Tabla3[[#This Row],[PATENTE]],'BASE DATOS'!F:L,7,0)</f>
        <v>2024</v>
      </c>
      <c r="K1914" s="619">
        <f>+VLOOKUP(Tabla3[[#This Row],[PATENTE]],'BASE DATOS'!F:M,8,0)</f>
        <v>1</v>
      </c>
    </row>
    <row r="1915" spans="1:11" ht="15" customHeight="1">
      <c r="A1915" s="578" t="s">
        <v>907</v>
      </c>
      <c r="B1915" s="584">
        <v>4</v>
      </c>
      <c r="C1915" s="589">
        <v>46097</v>
      </c>
      <c r="D1915" s="582">
        <f t="shared" si="67"/>
        <v>12</v>
      </c>
      <c r="E1915" s="618" t="str">
        <f>+VLOOKUP(Tabla3[[#This Row],[PATENTE]],'BASE DATOS'!F:G,2,0)</f>
        <v xml:space="preserve">LAURIA (SERVAL) - AH583GW </v>
      </c>
      <c r="F1915" s="584" t="str">
        <f>+VLOOKUP(Tabla3[[#This Row],[PATENTE]],'BASE DATOS'!F:H,3,0)</f>
        <v>8P</v>
      </c>
      <c r="G1915" s="584" t="str">
        <f>+VLOOKUP(Tabla3[[#This Row],[PATENTE]],'BASE DATOS'!F:I,4,0)</f>
        <v>SI</v>
      </c>
      <c r="H1915" s="584" t="str">
        <f>+VLOOKUP(Tabla3[[#This Row],[PATENTE]],'BASE DATOS'!F:J,5,0)</f>
        <v>SI</v>
      </c>
      <c r="I1915" s="584" t="str">
        <f>+VLOOKUP(Tabla3[[#This Row],[PATENTE]],'BASE DATOS'!F:K,6,0)</f>
        <v>NO</v>
      </c>
      <c r="J1915" s="584">
        <f>+VLOOKUP(Tabla3[[#This Row],[PATENTE]],'BASE DATOS'!F:L,7,0)</f>
        <v>2025</v>
      </c>
      <c r="K1915" s="619">
        <f>+VLOOKUP(Tabla3[[#This Row],[PATENTE]],'BASE DATOS'!F:M,8,0)</f>
        <v>0</v>
      </c>
    </row>
    <row r="1916" spans="1:11" ht="15" customHeight="1">
      <c r="A1916" s="578" t="s">
        <v>944</v>
      </c>
      <c r="B1916" s="584">
        <v>4</v>
      </c>
      <c r="C1916" s="589">
        <v>46097</v>
      </c>
      <c r="D1916" s="582">
        <f t="shared" si="67"/>
        <v>12</v>
      </c>
      <c r="E1916" s="618" t="str">
        <f>+VLOOKUP(Tabla3[[#This Row],[PATENTE]],'BASE DATOS'!F:G,2,0)</f>
        <v xml:space="preserve">TRANSPORTE GENA GAIA - BHG261 </v>
      </c>
      <c r="F1916" s="584" t="str">
        <f>+VLOOKUP(Tabla3[[#This Row],[PATENTE]],'BASE DATOS'!F:H,3,0)</f>
        <v>26P</v>
      </c>
      <c r="G1916" s="584" t="str">
        <f>+VLOOKUP(Tabla3[[#This Row],[PATENTE]],'BASE DATOS'!F:I,4,0)</f>
        <v>Gestya</v>
      </c>
      <c r="H1916" s="584" t="str">
        <f>+VLOOKUP(Tabla3[[#This Row],[PATENTE]],'BASE DATOS'!F:J,5,0)</f>
        <v xml:space="preserve">NO </v>
      </c>
      <c r="I1916" s="584" t="str">
        <f>+VLOOKUP(Tabla3[[#This Row],[PATENTE]],'BASE DATOS'!F:K,6,0)</f>
        <v>NO</v>
      </c>
      <c r="J1916" s="584">
        <f>+VLOOKUP(Tabla3[[#This Row],[PATENTE]],'BASE DATOS'!F:L,7,0)</f>
        <v>1997</v>
      </c>
      <c r="K1916" s="619">
        <f>+VLOOKUP(Tabla3[[#This Row],[PATENTE]],'BASE DATOS'!F:M,8,0)</f>
        <v>28</v>
      </c>
    </row>
    <row r="1917" spans="1:11" ht="15" customHeight="1">
      <c r="A1917" s="578" t="s">
        <v>916</v>
      </c>
      <c r="B1917" s="584">
        <v>4</v>
      </c>
      <c r="C1917" s="589">
        <v>46097</v>
      </c>
      <c r="D1917" s="582">
        <f t="shared" ref="D1917:D1935" si="68">+WEEKNUM(C1917)</f>
        <v>12</v>
      </c>
      <c r="E1917" s="618" t="str">
        <f>+VLOOKUP(Tabla3[[#This Row],[PATENTE]],'BASE DATOS'!F:G,2,0)</f>
        <v xml:space="preserve">TRANSP MAIDANA CARLOS - EYP088 </v>
      </c>
      <c r="F1917" s="584" t="str">
        <f>+VLOOKUP(Tabla3[[#This Row],[PATENTE]],'BASE DATOS'!F:H,3,0)</f>
        <v>6P</v>
      </c>
      <c r="G1917" s="584" t="str">
        <f>+VLOOKUP(Tabla3[[#This Row],[PATENTE]],'BASE DATOS'!F:I,4,0)</f>
        <v>SI</v>
      </c>
      <c r="H1917" s="584" t="str">
        <f>+VLOOKUP(Tabla3[[#This Row],[PATENTE]],'BASE DATOS'!F:J,5,0)</f>
        <v>SI</v>
      </c>
      <c r="I1917" s="584" t="str">
        <f>+VLOOKUP(Tabla3[[#This Row],[PATENTE]],'BASE DATOS'!F:K,6,0)</f>
        <v>NO</v>
      </c>
      <c r="J1917" s="584">
        <f>+VLOOKUP(Tabla3[[#This Row],[PATENTE]],'BASE DATOS'!F:L,7,0)</f>
        <v>2006</v>
      </c>
      <c r="K1917" s="619">
        <f>+VLOOKUP(Tabla3[[#This Row],[PATENTE]],'BASE DATOS'!F:M,8,0)</f>
        <v>19</v>
      </c>
    </row>
    <row r="1918" spans="1:11" ht="15" customHeight="1">
      <c r="A1918" s="578" t="s">
        <v>892</v>
      </c>
      <c r="B1918" s="584">
        <v>4</v>
      </c>
      <c r="C1918" s="589">
        <v>46097</v>
      </c>
      <c r="D1918" s="582">
        <f t="shared" si="68"/>
        <v>12</v>
      </c>
      <c r="E1918" s="618" t="str">
        <f>+VLOOKUP(Tabla3[[#This Row],[PATENTE]],'BASE DATOS'!F:G,2,0)</f>
        <v xml:space="preserve">COLO - FTL525 </v>
      </c>
      <c r="F1918" s="584" t="str">
        <f>+VLOOKUP(Tabla3[[#This Row],[PATENTE]],'BASE DATOS'!F:H,3,0)</f>
        <v>1P</v>
      </c>
      <c r="G1918" s="584" t="str">
        <f>+VLOOKUP(Tabla3[[#This Row],[PATENTE]],'BASE DATOS'!F:I,4,0)</f>
        <v>NO</v>
      </c>
      <c r="H1918" s="584" t="str">
        <f>+VLOOKUP(Tabla3[[#This Row],[PATENTE]],'BASE DATOS'!F:J,5,0)</f>
        <v>SI</v>
      </c>
      <c r="I1918" s="584" t="str">
        <f>+VLOOKUP(Tabla3[[#This Row],[PATENTE]],'BASE DATOS'!F:K,6,0)</f>
        <v>NO</v>
      </c>
      <c r="J1918" s="584">
        <f>+VLOOKUP(Tabla3[[#This Row],[PATENTE]],'BASE DATOS'!F:L,7,0)</f>
        <v>2008</v>
      </c>
      <c r="K1918" s="619">
        <f>+VLOOKUP(Tabla3[[#This Row],[PATENTE]],'BASE DATOS'!F:M,8,0)</f>
        <v>17</v>
      </c>
    </row>
    <row r="1919" spans="1:11" ht="15" customHeight="1">
      <c r="A1919" s="578" t="s">
        <v>891</v>
      </c>
      <c r="B1919" s="584">
        <v>4</v>
      </c>
      <c r="C1919" s="589">
        <v>46097</v>
      </c>
      <c r="D1919" s="582">
        <f t="shared" si="68"/>
        <v>12</v>
      </c>
      <c r="E1919" s="618" t="str">
        <f>+VLOOKUP(Tabla3[[#This Row],[PATENTE]],'BASE DATOS'!F:G,2,0)</f>
        <v xml:space="preserve">GANZINI HUGO - HHA085 </v>
      </c>
      <c r="F1919" s="584" t="str">
        <f>+VLOOKUP(Tabla3[[#This Row],[PATENTE]],'BASE DATOS'!F:H,3,0)</f>
        <v>2P</v>
      </c>
      <c r="G1919" s="584" t="str">
        <f>+VLOOKUP(Tabla3[[#This Row],[PATENTE]],'BASE DATOS'!F:I,4,0)</f>
        <v>SI</v>
      </c>
      <c r="H1919" s="584" t="str">
        <f>+VLOOKUP(Tabla3[[#This Row],[PATENTE]],'BASE DATOS'!F:J,5,0)</f>
        <v>SI</v>
      </c>
      <c r="I1919" s="584" t="str">
        <f>+VLOOKUP(Tabla3[[#This Row],[PATENTE]],'BASE DATOS'!F:K,6,0)</f>
        <v>NO</v>
      </c>
      <c r="J1919" s="584">
        <f>+VLOOKUP(Tabla3[[#This Row],[PATENTE]],'BASE DATOS'!F:L,7,0)</f>
        <v>2008</v>
      </c>
      <c r="K1919" s="619">
        <f>+VLOOKUP(Tabla3[[#This Row],[PATENTE]],'BASE DATOS'!F:M,8,0)</f>
        <v>17</v>
      </c>
    </row>
    <row r="1920" spans="1:11" ht="15" customHeight="1">
      <c r="A1920" s="578" t="s">
        <v>885</v>
      </c>
      <c r="B1920" s="584">
        <v>4</v>
      </c>
      <c r="C1920" s="589">
        <v>46097</v>
      </c>
      <c r="D1920" s="582">
        <f t="shared" si="68"/>
        <v>12</v>
      </c>
      <c r="E1920" s="618" t="str">
        <f>+VLOOKUP(Tabla3[[#This Row],[PATENTE]],'BASE DATOS'!F:G,2,0)</f>
        <v xml:space="preserve">TRANSP DON NENO - IES288 </v>
      </c>
      <c r="F1920" s="584" t="str">
        <f>+VLOOKUP(Tabla3[[#This Row],[PATENTE]],'BASE DATOS'!F:H,3,0)</f>
        <v>2P</v>
      </c>
      <c r="G1920" s="584" t="str">
        <f>+VLOOKUP(Tabla3[[#This Row],[PATENTE]],'BASE DATOS'!F:I,4,0)</f>
        <v>SI</v>
      </c>
      <c r="H1920" s="584" t="str">
        <f>+VLOOKUP(Tabla3[[#This Row],[PATENTE]],'BASE DATOS'!F:J,5,0)</f>
        <v>SI</v>
      </c>
      <c r="I1920" s="584" t="str">
        <f>+VLOOKUP(Tabla3[[#This Row],[PATENTE]],'BASE DATOS'!F:K,6,0)</f>
        <v>NO</v>
      </c>
      <c r="J1920" s="584">
        <f>+VLOOKUP(Tabla3[[#This Row],[PATENTE]],'BASE DATOS'!F:L,7,0)</f>
        <v>2009</v>
      </c>
      <c r="K1920" s="619">
        <f>+VLOOKUP(Tabla3[[#This Row],[PATENTE]],'BASE DATOS'!F:M,8,0)</f>
        <v>16</v>
      </c>
    </row>
    <row r="1921" spans="1:11" ht="15" customHeight="1">
      <c r="A1921" s="578" t="s">
        <v>933</v>
      </c>
      <c r="B1921" s="584">
        <v>4</v>
      </c>
      <c r="C1921" s="589">
        <v>46097</v>
      </c>
      <c r="D1921" s="582">
        <f t="shared" si="68"/>
        <v>12</v>
      </c>
      <c r="E1921" s="618" t="str">
        <f>+VLOOKUP(Tabla3[[#This Row],[PATENTE]],'BASE DATOS'!F:G,2,0)</f>
        <v xml:space="preserve">TRANSPORTE GENA GAIA - IKE806 </v>
      </c>
      <c r="F1921" s="584" t="str">
        <f>+VLOOKUP(Tabla3[[#This Row],[PATENTE]],'BASE DATOS'!F:H,3,0)</f>
        <v>24P</v>
      </c>
      <c r="G1921" s="584" t="str">
        <f>+VLOOKUP(Tabla3[[#This Row],[PATENTE]],'BASE DATOS'!F:I,4,0)</f>
        <v>Gestya</v>
      </c>
      <c r="H1921" s="584" t="str">
        <f>+VLOOKUP(Tabla3[[#This Row],[PATENTE]],'BASE DATOS'!F:J,5,0)</f>
        <v xml:space="preserve">NO </v>
      </c>
      <c r="I1921" s="584" t="str">
        <f>+VLOOKUP(Tabla3[[#This Row],[PATENTE]],'BASE DATOS'!F:K,6,0)</f>
        <v>NO</v>
      </c>
      <c r="J1921" s="584">
        <f>+VLOOKUP(Tabla3[[#This Row],[PATENTE]],'BASE DATOS'!F:L,7,0)</f>
        <v>2010</v>
      </c>
      <c r="K1921" s="619">
        <f>+VLOOKUP(Tabla3[[#This Row],[PATENTE]],'BASE DATOS'!F:M,8,0)</f>
        <v>15</v>
      </c>
    </row>
    <row r="1922" spans="1:11" ht="15" customHeight="1">
      <c r="A1922" s="578" t="s">
        <v>902</v>
      </c>
      <c r="B1922" s="584">
        <v>4</v>
      </c>
      <c r="C1922" s="589">
        <v>46097</v>
      </c>
      <c r="D1922" s="582">
        <f t="shared" si="68"/>
        <v>12</v>
      </c>
      <c r="E1922" s="618" t="str">
        <f>+VLOOKUP(Tabla3[[#This Row],[PATENTE]],'BASE DATOS'!F:G,2,0)</f>
        <v xml:space="preserve">GUSTAVO CERQUETTA - KZA644 </v>
      </c>
      <c r="F1922" s="584" t="str">
        <f>+VLOOKUP(Tabla3[[#This Row],[PATENTE]],'BASE DATOS'!F:H,3,0)</f>
        <v>2P</v>
      </c>
      <c r="G1922" s="584" t="str">
        <f>+VLOOKUP(Tabla3[[#This Row],[PATENTE]],'BASE DATOS'!F:I,4,0)</f>
        <v>NO</v>
      </c>
      <c r="H1922" s="584" t="str">
        <f>+VLOOKUP(Tabla3[[#This Row],[PATENTE]],'BASE DATOS'!F:J,5,0)</f>
        <v>SI</v>
      </c>
      <c r="I1922" s="584" t="str">
        <f>+VLOOKUP(Tabla3[[#This Row],[PATENTE]],'BASE DATOS'!F:K,6,0)</f>
        <v>NO</v>
      </c>
      <c r="J1922" s="584">
        <f>+VLOOKUP(Tabla3[[#This Row],[PATENTE]],'BASE DATOS'!F:L,7,0)</f>
        <v>2012</v>
      </c>
      <c r="K1922" s="619">
        <f>+VLOOKUP(Tabla3[[#This Row],[PATENTE]],'BASE DATOS'!F:M,8,0)</f>
        <v>13</v>
      </c>
    </row>
    <row r="1923" spans="1:11" ht="15" customHeight="1">
      <c r="A1923" s="578" t="s">
        <v>890</v>
      </c>
      <c r="B1923" s="584">
        <v>3</v>
      </c>
      <c r="C1923" s="589">
        <v>46097</v>
      </c>
      <c r="D1923" s="582">
        <f t="shared" si="68"/>
        <v>12</v>
      </c>
      <c r="E1923" s="618" t="str">
        <f>+VLOOKUP(Tabla3[[#This Row],[PATENTE]],'BASE DATOS'!F:G,2,0)</f>
        <v xml:space="preserve">TRANSPORTE GRACIELA - AC040RO </v>
      </c>
      <c r="F1923" s="584" t="str">
        <f>+VLOOKUP(Tabla3[[#This Row],[PATENTE]],'BASE DATOS'!F:H,3,0)</f>
        <v>1P</v>
      </c>
      <c r="G1923" s="584" t="str">
        <f>+VLOOKUP(Tabla3[[#This Row],[PATENTE]],'BASE DATOS'!F:I,4,0)</f>
        <v>SI</v>
      </c>
      <c r="H1923" s="584" t="str">
        <f>+VLOOKUP(Tabla3[[#This Row],[PATENTE]],'BASE DATOS'!F:J,5,0)</f>
        <v>ACEPTA( VER CAMI)</v>
      </c>
      <c r="I1923" s="584" t="str">
        <f>+VLOOKUP(Tabla3[[#This Row],[PATENTE]],'BASE DATOS'!F:K,6,0)</f>
        <v>NO</v>
      </c>
      <c r="J1923" s="584">
        <f>+VLOOKUP(Tabla3[[#This Row],[PATENTE]],'BASE DATOS'!F:L,7,0)</f>
        <v>2017</v>
      </c>
      <c r="K1923" s="619">
        <f>+VLOOKUP(Tabla3[[#This Row],[PATENTE]],'BASE DATOS'!F:M,8,0)</f>
        <v>8</v>
      </c>
    </row>
    <row r="1924" spans="1:11" ht="15" customHeight="1">
      <c r="A1924" s="578" t="s">
        <v>901</v>
      </c>
      <c r="B1924" s="584">
        <v>3</v>
      </c>
      <c r="C1924" s="589">
        <v>46097</v>
      </c>
      <c r="D1924" s="582">
        <f t="shared" si="68"/>
        <v>12</v>
      </c>
      <c r="E1924" s="618" t="str">
        <f>+VLOOKUP(Tabla3[[#This Row],[PATENTE]],'BASE DATOS'!F:G,2,0)</f>
        <v xml:space="preserve">TRANSPORTE  GRACIELA - IYE750 </v>
      </c>
      <c r="F1924" s="584" t="str">
        <f>+VLOOKUP(Tabla3[[#This Row],[PATENTE]],'BASE DATOS'!F:H,3,0)</f>
        <v>1P</v>
      </c>
      <c r="G1924" s="584" t="str">
        <f>+VLOOKUP(Tabla3[[#This Row],[PATENTE]],'BASE DATOS'!F:I,4,0)</f>
        <v>NO</v>
      </c>
      <c r="H1924" s="584" t="str">
        <f>+VLOOKUP(Tabla3[[#This Row],[PATENTE]],'BASE DATOS'!F:J,5,0)</f>
        <v>SI</v>
      </c>
      <c r="I1924" s="584" t="str">
        <f>+VLOOKUP(Tabla3[[#This Row],[PATENTE]],'BASE DATOS'!F:K,6,0)</f>
        <v>NO</v>
      </c>
      <c r="J1924" s="584">
        <f>+VLOOKUP(Tabla3[[#This Row],[PATENTE]],'BASE DATOS'!F:L,7,0)</f>
        <v>2009</v>
      </c>
      <c r="K1924" s="619">
        <f>+VLOOKUP(Tabla3[[#This Row],[PATENTE]],'BASE DATOS'!F:M,8,0)</f>
        <v>16</v>
      </c>
    </row>
    <row r="1925" spans="1:11" ht="15" customHeight="1">
      <c r="A1925" s="578" t="s">
        <v>906</v>
      </c>
      <c r="B1925" s="584">
        <v>2</v>
      </c>
      <c r="C1925" s="589">
        <v>46097</v>
      </c>
      <c r="D1925" s="582">
        <f t="shared" si="68"/>
        <v>12</v>
      </c>
      <c r="E1925" s="618" t="str">
        <f>+VLOOKUP(Tabla3[[#This Row],[PATENTE]],'BASE DATOS'!F:G,2,0)</f>
        <v xml:space="preserve">VAZQUEZ (TRV SRL) - AD472GK </v>
      </c>
      <c r="F1925" s="584" t="str">
        <f>+VLOOKUP(Tabla3[[#This Row],[PATENTE]],'BASE DATOS'!F:H,3,0)</f>
        <v>8P</v>
      </c>
      <c r="G1925" s="584" t="str">
        <f>+VLOOKUP(Tabla3[[#This Row],[PATENTE]],'BASE DATOS'!F:I,4,0)</f>
        <v>NO</v>
      </c>
      <c r="H1925" s="584" t="str">
        <f>+VLOOKUP(Tabla3[[#This Row],[PATENTE]],'BASE DATOS'!F:J,5,0)</f>
        <v>NO</v>
      </c>
      <c r="I1925" s="584" t="str">
        <f>+VLOOKUP(Tabla3[[#This Row],[PATENTE]],'BASE DATOS'!F:K,6,0)</f>
        <v>SI</v>
      </c>
      <c r="J1925" s="584">
        <f>+VLOOKUP(Tabla3[[#This Row],[PATENTE]],'BASE DATOS'!F:L,7,0)</f>
        <v>2019</v>
      </c>
      <c r="K1925" s="619">
        <f>+VLOOKUP(Tabla3[[#This Row],[PATENTE]],'BASE DATOS'!F:M,8,0)</f>
        <v>6</v>
      </c>
    </row>
    <row r="1926" spans="1:11" ht="15" customHeight="1">
      <c r="A1926" s="578" t="s">
        <v>926</v>
      </c>
      <c r="B1926" s="584">
        <v>2</v>
      </c>
      <c r="C1926" s="589">
        <v>46097</v>
      </c>
      <c r="D1926" s="582">
        <f t="shared" si="68"/>
        <v>12</v>
      </c>
      <c r="E1926" s="618" t="str">
        <f>+VLOOKUP(Tabla3[[#This Row],[PATENTE]],'BASE DATOS'!F:G,2,0)</f>
        <v xml:space="preserve">TRANSPORTE GENA GAIA - DUF042 </v>
      </c>
      <c r="F1926" s="584" t="str">
        <f>+VLOOKUP(Tabla3[[#This Row],[PATENTE]],'BASE DATOS'!F:H,3,0)</f>
        <v>24P</v>
      </c>
      <c r="G1926" s="584" t="str">
        <f>+VLOOKUP(Tabla3[[#This Row],[PATENTE]],'BASE DATOS'!F:I,4,0)</f>
        <v>Gestya</v>
      </c>
      <c r="H1926" s="584" t="str">
        <f>+VLOOKUP(Tabla3[[#This Row],[PATENTE]],'BASE DATOS'!F:J,5,0)</f>
        <v xml:space="preserve">NO </v>
      </c>
      <c r="I1926" s="584" t="str">
        <f>+VLOOKUP(Tabla3[[#This Row],[PATENTE]],'BASE DATOS'!F:K,6,0)</f>
        <v>NO</v>
      </c>
      <c r="J1926" s="584">
        <f>+VLOOKUP(Tabla3[[#This Row],[PATENTE]],'BASE DATOS'!F:L,7,0)</f>
        <v>2001</v>
      </c>
      <c r="K1926" s="619">
        <f>+VLOOKUP(Tabla3[[#This Row],[PATENTE]],'BASE DATOS'!F:M,8,0)</f>
        <v>24</v>
      </c>
    </row>
    <row r="1927" spans="1:11" ht="15" customHeight="1">
      <c r="A1927" s="578" t="s">
        <v>1123</v>
      </c>
      <c r="B1927" s="584">
        <v>2</v>
      </c>
      <c r="C1927" s="589">
        <v>46097</v>
      </c>
      <c r="D1927" s="582">
        <f t="shared" si="68"/>
        <v>12</v>
      </c>
      <c r="E1927" s="618" t="str">
        <f>+VLOOKUP(Tabla3[[#This Row],[PATENTE]],'BASE DATOS'!F:G,2,0)</f>
        <v>TRANSP LAGOS - IDK392 - 2P</v>
      </c>
      <c r="F1927" s="584" t="str">
        <f>+VLOOKUP(Tabla3[[#This Row],[PATENTE]],'BASE DATOS'!F:H,3,0)</f>
        <v>2P</v>
      </c>
      <c r="G1927" s="584" t="str">
        <f>+VLOOKUP(Tabla3[[#This Row],[PATENTE]],'BASE DATOS'!F:I,4,0)</f>
        <v>NO</v>
      </c>
      <c r="H1927" s="584" t="str">
        <f>+VLOOKUP(Tabla3[[#This Row],[PATENTE]],'BASE DATOS'!F:J,5,0)</f>
        <v>NO</v>
      </c>
      <c r="I1927" s="584" t="str">
        <f>+VLOOKUP(Tabla3[[#This Row],[PATENTE]],'BASE DATOS'!F:K,6,0)</f>
        <v>NO</v>
      </c>
      <c r="J1927" s="584">
        <f>+VLOOKUP(Tabla3[[#This Row],[PATENTE]],'BASE DATOS'!F:L,7,0)</f>
        <v>2009</v>
      </c>
      <c r="K1927" s="619">
        <f>+VLOOKUP(Tabla3[[#This Row],[PATENTE]],'BASE DATOS'!F:M,8,0)</f>
        <v>16</v>
      </c>
    </row>
    <row r="1928" spans="1:11" ht="15" customHeight="1">
      <c r="A1928" s="578" t="s">
        <v>930</v>
      </c>
      <c r="B1928" s="584">
        <v>2</v>
      </c>
      <c r="C1928" s="589">
        <v>46097</v>
      </c>
      <c r="D1928" s="582">
        <f t="shared" si="68"/>
        <v>12</v>
      </c>
      <c r="E1928" s="618" t="str">
        <f>+VLOOKUP(Tabla3[[#This Row],[PATENTE]],'BASE DATOS'!F:G,2,0)</f>
        <v xml:space="preserve">GANZINI HUGO - JJF375 </v>
      </c>
      <c r="F1928" s="584" t="str">
        <f>+VLOOKUP(Tabla3[[#This Row],[PATENTE]],'BASE DATOS'!F:H,3,0)</f>
        <v>14P</v>
      </c>
      <c r="G1928" s="584" t="str">
        <f>+VLOOKUP(Tabla3[[#This Row],[PATENTE]],'BASE DATOS'!F:I,4,0)</f>
        <v>SI</v>
      </c>
      <c r="H1928" s="584" t="str">
        <f>+VLOOKUP(Tabla3[[#This Row],[PATENTE]],'BASE DATOS'!F:J,5,0)</f>
        <v xml:space="preserve">NO </v>
      </c>
      <c r="I1928" s="584" t="str">
        <f>+VLOOKUP(Tabla3[[#This Row],[PATENTE]],'BASE DATOS'!F:K,6,0)</f>
        <v>NO</v>
      </c>
      <c r="J1928" s="584">
        <f>+VLOOKUP(Tabla3[[#This Row],[PATENTE]],'BASE DATOS'!F:L,7,0)</f>
        <v>2011</v>
      </c>
      <c r="K1928" s="619">
        <f>+VLOOKUP(Tabla3[[#This Row],[PATENTE]],'BASE DATOS'!F:M,8,0)</f>
        <v>14</v>
      </c>
    </row>
    <row r="1929" spans="1:11" ht="15" customHeight="1">
      <c r="A1929" s="578" t="s">
        <v>943</v>
      </c>
      <c r="B1929" s="584">
        <v>2</v>
      </c>
      <c r="C1929" s="589">
        <v>46097</v>
      </c>
      <c r="D1929" s="582">
        <f t="shared" si="68"/>
        <v>12</v>
      </c>
      <c r="E1929" s="618" t="str">
        <f>+VLOOKUP(Tabla3[[#This Row],[PATENTE]],'BASE DATOS'!F:G,2,0)</f>
        <v>GANZINI HUGO - KTJ626</v>
      </c>
      <c r="F1929" s="584" t="str">
        <f>+VLOOKUP(Tabla3[[#This Row],[PATENTE]],'BASE DATOS'!F:H,3,0)</f>
        <v>8P</v>
      </c>
      <c r="G1929" s="584" t="str">
        <f>+VLOOKUP(Tabla3[[#This Row],[PATENTE]],'BASE DATOS'!F:I,4,0)</f>
        <v>NO</v>
      </c>
      <c r="H1929" s="584" t="str">
        <f>+VLOOKUP(Tabla3[[#This Row],[PATENTE]],'BASE DATOS'!F:J,5,0)</f>
        <v xml:space="preserve">NO </v>
      </c>
      <c r="I1929" s="584" t="str">
        <f>+VLOOKUP(Tabla3[[#This Row],[PATENTE]],'BASE DATOS'!F:K,6,0)</f>
        <v>NO</v>
      </c>
      <c r="J1929" s="584">
        <f>+VLOOKUP(Tabla3[[#This Row],[PATENTE]],'BASE DATOS'!F:L,7,0)</f>
        <v>2011</v>
      </c>
      <c r="K1929" s="619">
        <f>+VLOOKUP(Tabla3[[#This Row],[PATENTE]],'BASE DATOS'!F:M,8,0)</f>
        <v>14</v>
      </c>
    </row>
    <row r="1930" spans="1:11" ht="15" customHeight="1">
      <c r="A1930" s="578" t="s">
        <v>1133</v>
      </c>
      <c r="B1930" s="584">
        <v>1</v>
      </c>
      <c r="C1930" s="589">
        <v>46097</v>
      </c>
      <c r="D1930" s="582">
        <f t="shared" si="68"/>
        <v>12</v>
      </c>
      <c r="E1930" s="618" t="str">
        <f>+VLOOKUP(Tabla3[[#This Row],[PATENTE]],'BASE DATOS'!F:G,2,0)</f>
        <v xml:space="preserve">BELLIMAR SRL - AB787MT </v>
      </c>
      <c r="F1930" s="584" t="str">
        <f>+VLOOKUP(Tabla3[[#This Row],[PATENTE]],'BASE DATOS'!F:H,3,0)</f>
        <v>28P</v>
      </c>
      <c r="G1930" s="584" t="str">
        <f>+VLOOKUP(Tabla3[[#This Row],[PATENTE]],'BASE DATOS'!F:I,4,0)</f>
        <v>NO</v>
      </c>
      <c r="H1930" s="584" t="str">
        <f>+VLOOKUP(Tabla3[[#This Row],[PATENTE]],'BASE DATOS'!F:J,5,0)</f>
        <v xml:space="preserve">NO </v>
      </c>
      <c r="I1930" s="584" t="str">
        <f>+VLOOKUP(Tabla3[[#This Row],[PATENTE]],'BASE DATOS'!F:K,6,0)</f>
        <v>NO</v>
      </c>
      <c r="J1930" s="584">
        <f>+VLOOKUP(Tabla3[[#This Row],[PATENTE]],'BASE DATOS'!F:L,7,0)</f>
        <v>2017</v>
      </c>
      <c r="K1930" s="619">
        <f>+VLOOKUP(Tabla3[[#This Row],[PATENTE]],'BASE DATOS'!F:M,8,0)</f>
        <v>8</v>
      </c>
    </row>
    <row r="1931" spans="1:11" ht="15" customHeight="1">
      <c r="A1931" s="578" t="s">
        <v>942</v>
      </c>
      <c r="B1931" s="584">
        <v>1</v>
      </c>
      <c r="C1931" s="589">
        <v>46097</v>
      </c>
      <c r="D1931" s="582">
        <f t="shared" si="68"/>
        <v>12</v>
      </c>
      <c r="E1931" s="618" t="str">
        <f>+VLOOKUP(Tabla3[[#This Row],[PATENTE]],'BASE DATOS'!F:G,2,0)</f>
        <v>GANZINI HUGO - AH599 - 1P</v>
      </c>
      <c r="F1931" s="584" t="str">
        <f>+VLOOKUP(Tabla3[[#This Row],[PATENTE]],'BASE DATOS'!F:H,3,0)</f>
        <v>1P</v>
      </c>
      <c r="G1931" s="584" t="str">
        <f>+VLOOKUP(Tabla3[[#This Row],[PATENTE]],'BASE DATOS'!F:I,4,0)</f>
        <v>NO</v>
      </c>
      <c r="H1931" s="584" t="str">
        <f>+VLOOKUP(Tabla3[[#This Row],[PATENTE]],'BASE DATOS'!F:J,5,0)</f>
        <v>NO</v>
      </c>
      <c r="I1931" s="584" t="str">
        <f>+VLOOKUP(Tabla3[[#This Row],[PATENTE]],'BASE DATOS'!F:K,6,0)</f>
        <v>NO</v>
      </c>
      <c r="J1931" s="584">
        <f>+VLOOKUP(Tabla3[[#This Row],[PATENTE]],'BASE DATOS'!F:L,7,0)</f>
        <v>2025</v>
      </c>
      <c r="K1931" s="619">
        <f>+VLOOKUP(Tabla3[[#This Row],[PATENTE]],'BASE DATOS'!F:M,8,0)</f>
        <v>0</v>
      </c>
    </row>
    <row r="1932" spans="1:11" ht="15" customHeight="1">
      <c r="A1932" s="578" t="s">
        <v>1132</v>
      </c>
      <c r="B1932" s="584">
        <v>1</v>
      </c>
      <c r="C1932" s="589">
        <v>46097</v>
      </c>
      <c r="D1932" s="582">
        <f t="shared" si="68"/>
        <v>12</v>
      </c>
      <c r="E1932" s="618" t="str">
        <f>+VLOOKUP(Tabla3[[#This Row],[PATENTE]],'BASE DATOS'!F:G,2,0)</f>
        <v>TRANSP DON NENO -BEX695- 2P</v>
      </c>
      <c r="F1932" s="584" t="str">
        <f>+VLOOKUP(Tabla3[[#This Row],[PATENTE]],'BASE DATOS'!F:H,3,0)</f>
        <v>2P</v>
      </c>
      <c r="G1932" s="584" t="str">
        <f>+VLOOKUP(Tabla3[[#This Row],[PATENTE]],'BASE DATOS'!F:I,4,0)</f>
        <v>NO</v>
      </c>
      <c r="H1932" s="584" t="str">
        <f>+VLOOKUP(Tabla3[[#This Row],[PATENTE]],'BASE DATOS'!F:J,5,0)</f>
        <v>NO</v>
      </c>
      <c r="I1932" s="584" t="str">
        <f>+VLOOKUP(Tabla3[[#This Row],[PATENTE]],'BASE DATOS'!F:K,6,0)</f>
        <v>NO</v>
      </c>
      <c r="J1932" s="584">
        <f>+VLOOKUP(Tabla3[[#This Row],[PATENTE]],'BASE DATOS'!F:L,7,0)</f>
        <v>1997</v>
      </c>
      <c r="K1932" s="619">
        <f>+VLOOKUP(Tabla3[[#This Row],[PATENTE]],'BASE DATOS'!F:M,8,0)</f>
        <v>28</v>
      </c>
    </row>
    <row r="1933" spans="1:11" ht="15" customHeight="1">
      <c r="A1933" s="578" t="s">
        <v>938</v>
      </c>
      <c r="B1933" s="584">
        <v>1</v>
      </c>
      <c r="C1933" s="589">
        <v>46097</v>
      </c>
      <c r="D1933" s="582">
        <f t="shared" si="68"/>
        <v>12</v>
      </c>
      <c r="E1933" s="618" t="str">
        <f>+VLOOKUP(Tabla3[[#This Row],[PATENTE]],'BASE DATOS'!F:G,2,0)</f>
        <v>TRANSPORTE GENA GAIA - GYH519  - 26P</v>
      </c>
      <c r="F1933" s="584" t="str">
        <f>+VLOOKUP(Tabla3[[#This Row],[PATENTE]],'BASE DATOS'!F:H,3,0)</f>
        <v>26P</v>
      </c>
      <c r="G1933" s="584" t="str">
        <f>+VLOOKUP(Tabla3[[#This Row],[PATENTE]],'BASE DATOS'!F:I,4,0)</f>
        <v>GESTYA</v>
      </c>
      <c r="H1933" s="584" t="str">
        <f>+VLOOKUP(Tabla3[[#This Row],[PATENTE]],'BASE DATOS'!F:J,5,0)</f>
        <v xml:space="preserve">NO </v>
      </c>
      <c r="I1933" s="584" t="str">
        <f>+VLOOKUP(Tabla3[[#This Row],[PATENTE]],'BASE DATOS'!F:K,6,0)</f>
        <v>NO</v>
      </c>
      <c r="J1933" s="584">
        <f>+VLOOKUP(Tabla3[[#This Row],[PATENTE]],'BASE DATOS'!F:L,7,0)</f>
        <v>2008</v>
      </c>
      <c r="K1933" s="619">
        <f>+VLOOKUP(Tabla3[[#This Row],[PATENTE]],'BASE DATOS'!F:M,8,0)</f>
        <v>17</v>
      </c>
    </row>
    <row r="1934" spans="1:11" ht="15" customHeight="1">
      <c r="A1934" s="578" t="s">
        <v>950</v>
      </c>
      <c r="B1934" s="584">
        <v>1</v>
      </c>
      <c r="C1934" s="589">
        <v>46097</v>
      </c>
      <c r="D1934" s="582">
        <f t="shared" si="68"/>
        <v>12</v>
      </c>
      <c r="E1934" s="618" t="str">
        <f>+VLOOKUP(Tabla3[[#This Row],[PATENTE]],'BASE DATOS'!F:G,2,0)</f>
        <v>TRANSP DON NENO -IRK036- 2P</v>
      </c>
      <c r="F1934" s="584" t="str">
        <f>+VLOOKUP(Tabla3[[#This Row],[PATENTE]],'BASE DATOS'!F:H,3,0)</f>
        <v>2P</v>
      </c>
      <c r="G1934" s="584" t="str">
        <f>+VLOOKUP(Tabla3[[#This Row],[PATENTE]],'BASE DATOS'!F:I,4,0)</f>
        <v>NO</v>
      </c>
      <c r="H1934" s="584" t="str">
        <f>+VLOOKUP(Tabla3[[#This Row],[PATENTE]],'BASE DATOS'!F:J,5,0)</f>
        <v>NO</v>
      </c>
      <c r="I1934" s="584" t="str">
        <f>+VLOOKUP(Tabla3[[#This Row],[PATENTE]],'BASE DATOS'!F:K,6,0)</f>
        <v>NO</v>
      </c>
      <c r="J1934" s="584">
        <f>+VLOOKUP(Tabla3[[#This Row],[PATENTE]],'BASE DATOS'!F:L,7,0)</f>
        <v>2010</v>
      </c>
      <c r="K1934" s="619">
        <f>+VLOOKUP(Tabla3[[#This Row],[PATENTE]],'BASE DATOS'!F:M,8,0)</f>
        <v>15</v>
      </c>
    </row>
    <row r="1935" spans="1:11" ht="15" customHeight="1">
      <c r="A1935" s="581" t="s">
        <v>896</v>
      </c>
      <c r="B1935" s="587">
        <v>1</v>
      </c>
      <c r="C1935" s="589">
        <v>46097</v>
      </c>
      <c r="D1935" s="583">
        <f t="shared" si="68"/>
        <v>12</v>
      </c>
      <c r="E1935" s="620" t="str">
        <f>+VLOOKUP(Tabla3[[#This Row],[PATENTE]],'BASE DATOS'!F:G,2,0)</f>
        <v xml:space="preserve">TRANSP MAVIR - RHQ609 </v>
      </c>
      <c r="F1935" s="587" t="str">
        <f>+VLOOKUP(Tabla3[[#This Row],[PATENTE]],'BASE DATOS'!F:H,3,0)</f>
        <v>10P</v>
      </c>
      <c r="G1935" s="587" t="str">
        <f>+VLOOKUP(Tabla3[[#This Row],[PATENTE]],'BASE DATOS'!F:I,4,0)</f>
        <v>NO</v>
      </c>
      <c r="H1935" s="587" t="str">
        <f>+VLOOKUP(Tabla3[[#This Row],[PATENTE]],'BASE DATOS'!F:J,5,0)</f>
        <v xml:space="preserve">NO </v>
      </c>
      <c r="I1935" s="587" t="str">
        <f>+VLOOKUP(Tabla3[[#This Row],[PATENTE]],'BASE DATOS'!F:K,6,0)</f>
        <v>NO</v>
      </c>
      <c r="J1935" s="587">
        <f>+VLOOKUP(Tabla3[[#This Row],[PATENTE]],'BASE DATOS'!F:L,7,0)</f>
        <v>1995</v>
      </c>
      <c r="K1935" s="621">
        <f>+VLOOKUP(Tabla3[[#This Row],[PATENTE]],'BASE DATOS'!F:M,8,0)</f>
        <v>30</v>
      </c>
    </row>
  </sheetData>
  <mergeCells count="1">
    <mergeCell ref="S2:V2"/>
  </mergeCells>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C90D-6B83-4593-A1D0-1EE92D035CF8}">
  <sheetPr>
    <tabColor rgb="FFD97979"/>
  </sheetPr>
  <dimension ref="A1:T334"/>
  <sheetViews>
    <sheetView workbookViewId="0">
      <pane ySplit="1" topLeftCell="A273" activePane="bottomLeft" state="frozen"/>
      <selection pane="bottomLeft" activeCell="I318" sqref="I318"/>
    </sheetView>
  </sheetViews>
  <sheetFormatPr baseColWidth="10" defaultColWidth="8.83203125" defaultRowHeight="15" customHeight="1"/>
  <cols>
    <col min="1" max="1" width="4.6640625" customWidth="1"/>
    <col min="2" max="2" width="5.5" customWidth="1"/>
    <col min="3" max="3" width="3.6640625" customWidth="1"/>
    <col min="4" max="4" width="5.5" customWidth="1"/>
    <col min="5" max="5" width="11.5" bestFit="1" customWidth="1"/>
    <col min="6" max="6" width="6.1640625" bestFit="1" customWidth="1"/>
    <col min="7" max="7" width="6.1640625" customWidth="1"/>
    <col min="8" max="8" width="26.1640625" bestFit="1" customWidth="1"/>
    <col min="9" max="9" width="29.5" bestFit="1" customWidth="1"/>
    <col min="10" max="10" width="54.33203125" bestFit="1" customWidth="1"/>
    <col min="11" max="11" width="11.6640625" bestFit="1" customWidth="1"/>
    <col min="12" max="12" width="11.1640625" bestFit="1" customWidth="1"/>
    <col min="13" max="13" width="14" bestFit="1" customWidth="1"/>
    <col min="14" max="14" width="16.5" bestFit="1" customWidth="1"/>
    <col min="15" max="15" width="16" bestFit="1" customWidth="1"/>
    <col min="16" max="16" width="19.83203125" bestFit="1" customWidth="1"/>
    <col min="17" max="17" width="11.33203125" bestFit="1" customWidth="1"/>
    <col min="18" max="18" width="15" bestFit="1" customWidth="1"/>
    <col min="19" max="19" width="8.5" bestFit="1" customWidth="1"/>
  </cols>
  <sheetData>
    <row r="1" spans="1:20">
      <c r="A1" s="786" t="s">
        <v>1175</v>
      </c>
      <c r="B1" s="786" t="s">
        <v>1176</v>
      </c>
      <c r="C1" s="786" t="s">
        <v>1177</v>
      </c>
      <c r="D1" s="786" t="s">
        <v>1178</v>
      </c>
      <c r="E1" s="754" t="s">
        <v>380</v>
      </c>
      <c r="F1" s="755" t="s">
        <v>1179</v>
      </c>
      <c r="G1" s="787" t="s">
        <v>1180</v>
      </c>
      <c r="H1" s="755" t="s">
        <v>1181</v>
      </c>
      <c r="I1" s="755" t="s">
        <v>1182</v>
      </c>
      <c r="J1" s="755" t="s">
        <v>1183</v>
      </c>
      <c r="K1" s="693" t="s">
        <v>1184</v>
      </c>
      <c r="L1" s="693" t="s">
        <v>1185</v>
      </c>
      <c r="M1" s="693" t="s">
        <v>1186</v>
      </c>
      <c r="N1" s="693" t="s">
        <v>1187</v>
      </c>
      <c r="O1" s="693" t="s">
        <v>1188</v>
      </c>
      <c r="P1" s="693" t="s">
        <v>1189</v>
      </c>
      <c r="Q1" s="693" t="s">
        <v>1190</v>
      </c>
      <c r="R1" s="693" t="s">
        <v>1191</v>
      </c>
      <c r="S1" s="693" t="s">
        <v>46</v>
      </c>
      <c r="T1" t="s">
        <v>1192</v>
      </c>
    </row>
    <row r="2" spans="1:20">
      <c r="A2" s="786">
        <f>_xlfn.ISOWEEKNUM(E2)</f>
        <v>37</v>
      </c>
      <c r="B2" s="786" t="str">
        <f>IF(AND(F2&gt;0.25,F2&lt;0.75),"TM","TT")</f>
        <v>TM</v>
      </c>
      <c r="C2" s="786">
        <f>+IF(OR(F2&lt;&gt;F1,G2&lt;&gt;G1,E2&lt;&gt;E1),1,0)</f>
        <v>1</v>
      </c>
      <c r="D2" s="786" t="str">
        <f>IF(OR(LEFT(H2,4)="VEST",LEFT(H2,4)="BAÑO",LEFT(H2,4)="COME"),"SI","NO")</f>
        <v>NO</v>
      </c>
      <c r="E2" s="38">
        <v>45908</v>
      </c>
      <c r="F2" s="614">
        <v>0.66666666666666663</v>
      </c>
      <c r="G2" s="614" t="str">
        <f>VLOOKUP(H2,'BASE DATOS'!$BN$2:$BO$40,2,FALSE)</f>
        <v>PRIMER PISO</v>
      </c>
      <c r="H2" t="s">
        <v>1193</v>
      </c>
      <c r="I2" t="s">
        <v>1194</v>
      </c>
      <c r="K2">
        <v>0</v>
      </c>
      <c r="L2">
        <v>0</v>
      </c>
      <c r="M2">
        <v>0</v>
      </c>
      <c r="N2">
        <v>1</v>
      </c>
      <c r="O2">
        <v>0</v>
      </c>
      <c r="P2">
        <v>0</v>
      </c>
      <c r="Q2">
        <v>0</v>
      </c>
      <c r="R2">
        <v>0</v>
      </c>
      <c r="S2">
        <v>0</v>
      </c>
      <c r="T2" t="s">
        <v>341</v>
      </c>
    </row>
    <row r="3" spans="1:20">
      <c r="A3" s="786">
        <f t="shared" ref="A3:A66" si="0">_xlfn.ISOWEEKNUM(E3)</f>
        <v>37</v>
      </c>
      <c r="B3" s="786" t="str">
        <f t="shared" ref="B3:B66" si="1">IF(AND(F3&gt;0.25,F3&lt;0.75),"TM","TT")</f>
        <v>TM</v>
      </c>
      <c r="C3" s="786">
        <f t="shared" ref="C3:C57" si="2">+IF(OR(F3&lt;&gt;F2,G3&lt;&gt;G2,E3&lt;&gt;E2),1,0)</f>
        <v>0</v>
      </c>
      <c r="D3" s="786" t="str">
        <f t="shared" ref="D3:D66" si="3">IF(OR(LEFT(H3,4)="VEST",LEFT(H3,4)="BAÑO",LEFT(H3,4)="COME"),"SI","NO")</f>
        <v>NO</v>
      </c>
      <c r="E3" s="38">
        <v>45908</v>
      </c>
      <c r="F3" s="614">
        <v>0.66666666666666663</v>
      </c>
      <c r="G3" s="614" t="str">
        <f>VLOOKUP(H3,'BASE DATOS'!$BN$2:$BO$40,2,FALSE)</f>
        <v>PRIMER PISO</v>
      </c>
      <c r="H3" t="s">
        <v>1195</v>
      </c>
      <c r="I3" t="s">
        <v>1196</v>
      </c>
      <c r="J3" t="s">
        <v>1197</v>
      </c>
      <c r="K3">
        <v>0</v>
      </c>
      <c r="L3">
        <v>0</v>
      </c>
      <c r="M3">
        <v>0</v>
      </c>
      <c r="N3">
        <v>1</v>
      </c>
      <c r="O3">
        <v>0</v>
      </c>
      <c r="P3">
        <v>0</v>
      </c>
      <c r="Q3">
        <v>0</v>
      </c>
      <c r="R3">
        <v>0</v>
      </c>
      <c r="S3">
        <v>0</v>
      </c>
      <c r="T3" t="s">
        <v>341</v>
      </c>
    </row>
    <row r="4" spans="1:20">
      <c r="A4" s="786">
        <f t="shared" si="0"/>
        <v>37</v>
      </c>
      <c r="B4" s="786" t="str">
        <f t="shared" si="1"/>
        <v>TM</v>
      </c>
      <c r="C4" s="786">
        <f t="shared" si="2"/>
        <v>0</v>
      </c>
      <c r="D4" s="786" t="str">
        <f t="shared" si="3"/>
        <v>NO</v>
      </c>
      <c r="E4" s="38">
        <v>45908</v>
      </c>
      <c r="F4" s="614">
        <v>0.66666666666666663</v>
      </c>
      <c r="G4" s="614" t="str">
        <f>VLOOKUP(H4,'BASE DATOS'!$BN$2:$BO$40,2,FALSE)</f>
        <v>PRIMER PISO</v>
      </c>
      <c r="H4" t="s">
        <v>1198</v>
      </c>
      <c r="I4" t="s">
        <v>1199</v>
      </c>
      <c r="K4">
        <v>0</v>
      </c>
      <c r="L4">
        <v>0</v>
      </c>
      <c r="M4">
        <v>0</v>
      </c>
      <c r="N4">
        <v>1</v>
      </c>
      <c r="O4">
        <v>0</v>
      </c>
      <c r="P4">
        <v>0</v>
      </c>
      <c r="Q4">
        <v>0</v>
      </c>
      <c r="R4">
        <v>0</v>
      </c>
      <c r="S4">
        <v>0</v>
      </c>
      <c r="T4" t="s">
        <v>341</v>
      </c>
    </row>
    <row r="5" spans="1:20">
      <c r="A5" s="786">
        <f t="shared" si="0"/>
        <v>37</v>
      </c>
      <c r="B5" s="786" t="str">
        <f t="shared" si="1"/>
        <v>TT</v>
      </c>
      <c r="C5" s="786">
        <f t="shared" si="2"/>
        <v>1</v>
      </c>
      <c r="D5" s="786" t="str">
        <f t="shared" si="3"/>
        <v>NO</v>
      </c>
      <c r="E5" s="38">
        <v>45910</v>
      </c>
      <c r="F5" s="614">
        <v>0</v>
      </c>
      <c r="G5" s="614" t="str">
        <f>VLOOKUP(H5,'BASE DATOS'!$BN$2:$BO$40,2,FALSE)</f>
        <v>PLANTA BAJA</v>
      </c>
      <c r="H5" t="s">
        <v>1200</v>
      </c>
      <c r="I5" t="s">
        <v>1201</v>
      </c>
      <c r="K5">
        <v>0</v>
      </c>
      <c r="L5">
        <v>0</v>
      </c>
      <c r="M5">
        <v>1</v>
      </c>
      <c r="N5">
        <v>0</v>
      </c>
      <c r="O5">
        <v>1</v>
      </c>
      <c r="P5">
        <v>0</v>
      </c>
      <c r="Q5">
        <v>0</v>
      </c>
      <c r="R5">
        <v>0</v>
      </c>
      <c r="S5">
        <v>0</v>
      </c>
      <c r="T5" t="s">
        <v>341</v>
      </c>
    </row>
    <row r="6" spans="1:20">
      <c r="A6" s="786">
        <f t="shared" si="0"/>
        <v>37</v>
      </c>
      <c r="B6" s="786" t="str">
        <f t="shared" si="1"/>
        <v>TT</v>
      </c>
      <c r="C6" s="786">
        <f t="shared" si="2"/>
        <v>0</v>
      </c>
      <c r="D6" s="786" t="str">
        <f t="shared" si="3"/>
        <v>NO</v>
      </c>
      <c r="E6" s="38">
        <v>45910</v>
      </c>
      <c r="F6" s="614">
        <v>0</v>
      </c>
      <c r="G6" s="614" t="str">
        <f>VLOOKUP(H6,'BASE DATOS'!$BN$2:$BO$40,2,FALSE)</f>
        <v>PLANTA BAJA</v>
      </c>
      <c r="H6" t="s">
        <v>1202</v>
      </c>
      <c r="I6" t="s">
        <v>1194</v>
      </c>
      <c r="K6">
        <v>0</v>
      </c>
      <c r="L6">
        <v>0</v>
      </c>
      <c r="M6">
        <v>1</v>
      </c>
      <c r="N6">
        <v>0</v>
      </c>
      <c r="O6">
        <v>1</v>
      </c>
      <c r="P6">
        <v>0</v>
      </c>
      <c r="Q6">
        <v>0</v>
      </c>
      <c r="R6">
        <v>0</v>
      </c>
      <c r="S6">
        <v>0</v>
      </c>
      <c r="T6" t="s">
        <v>341</v>
      </c>
    </row>
    <row r="7" spans="1:20">
      <c r="A7" s="786">
        <f t="shared" si="0"/>
        <v>37</v>
      </c>
      <c r="B7" s="786" t="str">
        <f t="shared" si="1"/>
        <v>TT</v>
      </c>
      <c r="C7" s="786">
        <f t="shared" si="2"/>
        <v>0</v>
      </c>
      <c r="D7" s="786" t="str">
        <f t="shared" si="3"/>
        <v>NO</v>
      </c>
      <c r="E7" s="38">
        <v>45910</v>
      </c>
      <c r="F7" s="614">
        <v>0</v>
      </c>
      <c r="G7" s="614" t="str">
        <f>VLOOKUP(H7,'BASE DATOS'!$BN$2:$BO$40,2,FALSE)</f>
        <v>PLANTA BAJA</v>
      </c>
      <c r="H7" t="s">
        <v>1203</v>
      </c>
      <c r="I7" t="s">
        <v>1204</v>
      </c>
      <c r="J7" t="s">
        <v>1205</v>
      </c>
      <c r="K7">
        <v>0</v>
      </c>
      <c r="L7">
        <v>0</v>
      </c>
      <c r="M7">
        <v>1</v>
      </c>
      <c r="N7">
        <v>0</v>
      </c>
      <c r="O7">
        <v>1</v>
      </c>
      <c r="P7">
        <v>0</v>
      </c>
      <c r="Q7">
        <v>0</v>
      </c>
      <c r="R7">
        <v>0</v>
      </c>
      <c r="S7">
        <v>0</v>
      </c>
      <c r="T7" t="s">
        <v>341</v>
      </c>
    </row>
    <row r="8" spans="1:20">
      <c r="A8" s="786">
        <f t="shared" si="0"/>
        <v>37</v>
      </c>
      <c r="B8" s="786" t="str">
        <f t="shared" si="1"/>
        <v>TT</v>
      </c>
      <c r="C8" s="786">
        <f t="shared" si="2"/>
        <v>1</v>
      </c>
      <c r="D8" s="786" t="str">
        <f t="shared" si="3"/>
        <v>SI</v>
      </c>
      <c r="E8" s="38">
        <v>45910</v>
      </c>
      <c r="F8" s="614">
        <v>0.25</v>
      </c>
      <c r="G8" s="614" t="str">
        <f>VLOOKUP(H8,'BASE DATOS'!$BN$2:$BO$40,2,FALSE)</f>
        <v>PRIMER PISO</v>
      </c>
      <c r="H8" t="s">
        <v>1206</v>
      </c>
      <c r="I8" t="s">
        <v>1207</v>
      </c>
      <c r="J8" t="s">
        <v>1208</v>
      </c>
      <c r="K8">
        <v>1</v>
      </c>
      <c r="L8">
        <v>1</v>
      </c>
      <c r="M8">
        <v>1</v>
      </c>
      <c r="N8">
        <v>1</v>
      </c>
      <c r="O8">
        <v>1</v>
      </c>
      <c r="P8">
        <v>1</v>
      </c>
      <c r="Q8">
        <v>1</v>
      </c>
      <c r="R8">
        <v>1</v>
      </c>
      <c r="S8">
        <v>1</v>
      </c>
      <c r="T8" t="s">
        <v>341</v>
      </c>
    </row>
    <row r="9" spans="1:20">
      <c r="A9" s="786">
        <f t="shared" si="0"/>
        <v>37</v>
      </c>
      <c r="B9" s="786" t="str">
        <f t="shared" si="1"/>
        <v>TT</v>
      </c>
      <c r="C9" s="786">
        <f t="shared" si="2"/>
        <v>0</v>
      </c>
      <c r="D9" s="786" t="str">
        <f t="shared" si="3"/>
        <v>NO</v>
      </c>
      <c r="E9" s="38">
        <v>45910</v>
      </c>
      <c r="F9" s="614">
        <v>0.25</v>
      </c>
      <c r="G9" s="614" t="str">
        <f>VLOOKUP(H9,'BASE DATOS'!$BN$2:$BO$40,2,FALSE)</f>
        <v>PRIMER PISO</v>
      </c>
      <c r="H9" t="s">
        <v>1209</v>
      </c>
      <c r="I9" t="s">
        <v>1210</v>
      </c>
      <c r="J9" t="s">
        <v>1211</v>
      </c>
      <c r="K9">
        <v>0</v>
      </c>
      <c r="L9">
        <v>0</v>
      </c>
      <c r="M9">
        <v>0</v>
      </c>
      <c r="N9">
        <v>0</v>
      </c>
      <c r="O9">
        <v>1</v>
      </c>
      <c r="P9">
        <v>0</v>
      </c>
      <c r="Q9">
        <v>0</v>
      </c>
      <c r="R9">
        <v>0</v>
      </c>
      <c r="S9">
        <v>1</v>
      </c>
      <c r="T9" t="s">
        <v>341</v>
      </c>
    </row>
    <row r="10" spans="1:20">
      <c r="A10" s="786">
        <f t="shared" si="0"/>
        <v>37</v>
      </c>
      <c r="B10" s="786" t="str">
        <f t="shared" si="1"/>
        <v>TT</v>
      </c>
      <c r="C10" s="786">
        <f t="shared" si="2"/>
        <v>0</v>
      </c>
      <c r="D10" s="786" t="str">
        <f t="shared" si="3"/>
        <v>NO</v>
      </c>
      <c r="E10" s="38">
        <v>45910</v>
      </c>
      <c r="F10" s="614">
        <v>0.25</v>
      </c>
      <c r="G10" s="614" t="str">
        <f>VLOOKUP(H10,'BASE DATOS'!$BN$2:$BO$40,2,FALSE)</f>
        <v>PRIMER PISO</v>
      </c>
      <c r="H10" t="s">
        <v>1212</v>
      </c>
      <c r="I10" t="s">
        <v>1194</v>
      </c>
      <c r="K10">
        <v>0</v>
      </c>
      <c r="L10">
        <v>0</v>
      </c>
      <c r="M10">
        <v>0</v>
      </c>
      <c r="N10">
        <v>0</v>
      </c>
      <c r="O10">
        <v>1</v>
      </c>
      <c r="P10">
        <v>0</v>
      </c>
      <c r="Q10">
        <v>0</v>
      </c>
      <c r="R10">
        <v>0</v>
      </c>
      <c r="S10">
        <v>0</v>
      </c>
      <c r="T10" t="s">
        <v>341</v>
      </c>
    </row>
    <row r="11" spans="1:20">
      <c r="A11" s="786">
        <f t="shared" si="0"/>
        <v>37</v>
      </c>
      <c r="B11" s="786" t="str">
        <f t="shared" si="1"/>
        <v>TM</v>
      </c>
      <c r="C11" s="786">
        <f t="shared" si="2"/>
        <v>1</v>
      </c>
      <c r="D11" s="786" t="str">
        <f t="shared" si="3"/>
        <v>NO</v>
      </c>
      <c r="E11" s="38">
        <v>45911</v>
      </c>
      <c r="F11" s="614">
        <v>0.5</v>
      </c>
      <c r="G11" s="614" t="str">
        <f>VLOOKUP(H11,'BASE DATOS'!$BN$2:$BO$40,2,FALSE)</f>
        <v>PLANTA BAJA</v>
      </c>
      <c r="H11" t="s">
        <v>1200</v>
      </c>
      <c r="I11" t="s">
        <v>1210</v>
      </c>
      <c r="J11" t="s">
        <v>1213</v>
      </c>
      <c r="K11">
        <v>0</v>
      </c>
      <c r="L11">
        <v>0</v>
      </c>
      <c r="M11">
        <v>0</v>
      </c>
      <c r="N11">
        <v>0</v>
      </c>
      <c r="O11">
        <v>0</v>
      </c>
      <c r="P11">
        <v>0</v>
      </c>
      <c r="Q11">
        <v>0</v>
      </c>
      <c r="R11">
        <v>0</v>
      </c>
      <c r="S11">
        <v>0</v>
      </c>
      <c r="T11" t="s">
        <v>341</v>
      </c>
    </row>
    <row r="12" spans="1:20">
      <c r="A12" s="786">
        <f t="shared" si="0"/>
        <v>37</v>
      </c>
      <c r="B12" s="786" t="str">
        <f t="shared" si="1"/>
        <v>TM</v>
      </c>
      <c r="C12" s="786">
        <f t="shared" si="2"/>
        <v>0</v>
      </c>
      <c r="D12" s="786" t="str">
        <f t="shared" si="3"/>
        <v>NO</v>
      </c>
      <c r="E12" s="38">
        <v>45911</v>
      </c>
      <c r="F12" s="614">
        <v>0.5</v>
      </c>
      <c r="G12" s="614" t="str">
        <f>VLOOKUP(H12,'BASE DATOS'!$BN$2:$BO$40,2,FALSE)</f>
        <v>PLANTA BAJA</v>
      </c>
      <c r="H12" t="s">
        <v>1202</v>
      </c>
      <c r="I12" t="s">
        <v>1214</v>
      </c>
      <c r="K12">
        <v>0</v>
      </c>
      <c r="L12">
        <v>0</v>
      </c>
      <c r="M12">
        <v>0</v>
      </c>
      <c r="N12">
        <v>1</v>
      </c>
      <c r="O12">
        <v>0</v>
      </c>
      <c r="P12">
        <v>0</v>
      </c>
      <c r="Q12">
        <v>0</v>
      </c>
      <c r="R12">
        <v>0</v>
      </c>
      <c r="S12">
        <v>0</v>
      </c>
      <c r="T12" t="s">
        <v>341</v>
      </c>
    </row>
    <row r="13" spans="1:20">
      <c r="A13" s="786">
        <f t="shared" si="0"/>
        <v>37</v>
      </c>
      <c r="B13" s="786" t="str">
        <f t="shared" si="1"/>
        <v>TM</v>
      </c>
      <c r="C13" s="786">
        <f t="shared" si="2"/>
        <v>0</v>
      </c>
      <c r="D13" s="786" t="str">
        <f t="shared" si="3"/>
        <v>NO</v>
      </c>
      <c r="E13" s="38">
        <v>45911</v>
      </c>
      <c r="F13" s="614">
        <v>0.5</v>
      </c>
      <c r="G13" s="614" t="str">
        <f>VLOOKUP(H13,'BASE DATOS'!$BN$2:$BO$40,2,FALSE)</f>
        <v>PLANTA BAJA</v>
      </c>
      <c r="H13" s="756" t="s">
        <v>1215</v>
      </c>
      <c r="I13" t="s">
        <v>1216</v>
      </c>
      <c r="J13" t="s">
        <v>1217</v>
      </c>
      <c r="K13">
        <v>0</v>
      </c>
      <c r="L13">
        <v>0</v>
      </c>
      <c r="M13">
        <v>0</v>
      </c>
      <c r="N13">
        <v>0</v>
      </c>
      <c r="O13">
        <v>0</v>
      </c>
      <c r="P13">
        <v>0</v>
      </c>
      <c r="Q13">
        <v>0</v>
      </c>
      <c r="R13">
        <v>0</v>
      </c>
      <c r="S13">
        <v>0</v>
      </c>
      <c r="T13" t="s">
        <v>341</v>
      </c>
    </row>
    <row r="14" spans="1:20">
      <c r="A14" s="786">
        <f t="shared" si="0"/>
        <v>37</v>
      </c>
      <c r="B14" s="786" t="str">
        <f t="shared" si="1"/>
        <v>TM</v>
      </c>
      <c r="C14" s="786">
        <f t="shared" si="2"/>
        <v>0</v>
      </c>
      <c r="D14" s="786" t="str">
        <f t="shared" si="3"/>
        <v>NO</v>
      </c>
      <c r="E14" s="38">
        <v>45911</v>
      </c>
      <c r="F14" s="614">
        <v>0.5</v>
      </c>
      <c r="G14" s="614" t="str">
        <f>VLOOKUP(H14,'BASE DATOS'!$BN$2:$BO$40,2,FALSE)</f>
        <v>PLANTA BAJA</v>
      </c>
      <c r="H14" t="s">
        <v>1218</v>
      </c>
      <c r="I14" t="s">
        <v>1216</v>
      </c>
      <c r="J14" t="s">
        <v>1217</v>
      </c>
      <c r="K14">
        <v>0</v>
      </c>
      <c r="L14">
        <v>0</v>
      </c>
      <c r="M14">
        <v>0</v>
      </c>
      <c r="N14">
        <v>0</v>
      </c>
      <c r="O14">
        <v>0</v>
      </c>
      <c r="P14">
        <v>0</v>
      </c>
      <c r="Q14">
        <v>0</v>
      </c>
      <c r="R14">
        <v>0</v>
      </c>
      <c r="S14">
        <v>0</v>
      </c>
      <c r="T14" t="s">
        <v>341</v>
      </c>
    </row>
    <row r="15" spans="1:20">
      <c r="A15" s="786">
        <f t="shared" si="0"/>
        <v>38</v>
      </c>
      <c r="B15" s="786" t="str">
        <f t="shared" si="1"/>
        <v>TM</v>
      </c>
      <c r="C15" s="786">
        <f t="shared" si="2"/>
        <v>1</v>
      </c>
      <c r="D15" s="786" t="str">
        <f t="shared" si="3"/>
        <v>NO</v>
      </c>
      <c r="E15" s="38">
        <v>45916</v>
      </c>
      <c r="F15" s="614">
        <v>0.66666666666666663</v>
      </c>
      <c r="G15" s="614" t="str">
        <f>VLOOKUP(H15,'BASE DATOS'!$BN$2:$BO$40,2,FALSE)</f>
        <v>PRIMER PISO</v>
      </c>
      <c r="H15" t="s">
        <v>1219</v>
      </c>
      <c r="I15" t="s">
        <v>1220</v>
      </c>
      <c r="J15" t="s">
        <v>1221</v>
      </c>
      <c r="K15">
        <v>0</v>
      </c>
      <c r="L15">
        <v>0</v>
      </c>
      <c r="M15">
        <v>0</v>
      </c>
      <c r="N15">
        <v>1</v>
      </c>
      <c r="O15">
        <v>0</v>
      </c>
      <c r="P15">
        <v>0</v>
      </c>
      <c r="Q15">
        <v>0</v>
      </c>
      <c r="R15">
        <v>0</v>
      </c>
      <c r="S15">
        <v>0</v>
      </c>
      <c r="T15" t="s">
        <v>341</v>
      </c>
    </row>
    <row r="16" spans="1:20">
      <c r="A16" s="786">
        <f t="shared" si="0"/>
        <v>38</v>
      </c>
      <c r="B16" s="786" t="str">
        <f t="shared" si="1"/>
        <v>TM</v>
      </c>
      <c r="C16" s="786">
        <f t="shared" si="2"/>
        <v>0</v>
      </c>
      <c r="D16" s="786" t="str">
        <f t="shared" si="3"/>
        <v>NO</v>
      </c>
      <c r="E16" s="38">
        <v>45916</v>
      </c>
      <c r="F16" s="614">
        <v>0.66666666666666663</v>
      </c>
      <c r="G16" s="614" t="str">
        <f>VLOOKUP(H16,'BASE DATOS'!$BN$2:$BO$40,2,FALSE)</f>
        <v>PRIMER PISO</v>
      </c>
      <c r="H16" t="s">
        <v>1222</v>
      </c>
      <c r="I16" t="s">
        <v>1220</v>
      </c>
      <c r="J16" t="s">
        <v>1221</v>
      </c>
      <c r="K16">
        <v>0</v>
      </c>
      <c r="L16">
        <v>0</v>
      </c>
      <c r="M16">
        <v>0</v>
      </c>
      <c r="N16">
        <v>1</v>
      </c>
      <c r="O16">
        <v>0</v>
      </c>
      <c r="P16">
        <v>0</v>
      </c>
      <c r="Q16">
        <v>0</v>
      </c>
      <c r="R16">
        <v>0</v>
      </c>
      <c r="S16">
        <v>0</v>
      </c>
      <c r="T16" t="s">
        <v>341</v>
      </c>
    </row>
    <row r="17" spans="1:20">
      <c r="A17" s="786">
        <f t="shared" si="0"/>
        <v>38</v>
      </c>
      <c r="B17" s="786" t="str">
        <f t="shared" si="1"/>
        <v>TM</v>
      </c>
      <c r="C17" s="786">
        <f t="shared" si="2"/>
        <v>0</v>
      </c>
      <c r="D17" s="786" t="str">
        <f t="shared" si="3"/>
        <v>NO</v>
      </c>
      <c r="E17" s="38">
        <v>45916</v>
      </c>
      <c r="F17" s="614">
        <v>0.66666666666666663</v>
      </c>
      <c r="G17" s="614" t="str">
        <f>VLOOKUP(H17,'BASE DATOS'!$BN$2:$BO$40,2,FALSE)</f>
        <v>PRIMER PISO</v>
      </c>
      <c r="H17" t="s">
        <v>1223</v>
      </c>
      <c r="I17" t="s">
        <v>1224</v>
      </c>
      <c r="J17" t="s">
        <v>1225</v>
      </c>
      <c r="K17">
        <v>0</v>
      </c>
      <c r="L17">
        <v>0</v>
      </c>
      <c r="M17">
        <v>0</v>
      </c>
      <c r="N17">
        <v>1</v>
      </c>
      <c r="O17">
        <v>0</v>
      </c>
      <c r="P17">
        <v>0</v>
      </c>
      <c r="Q17">
        <v>0</v>
      </c>
      <c r="R17">
        <v>0</v>
      </c>
      <c r="S17">
        <v>0</v>
      </c>
      <c r="T17" t="s">
        <v>341</v>
      </c>
    </row>
    <row r="18" spans="1:20">
      <c r="A18" s="786">
        <f t="shared" si="0"/>
        <v>38</v>
      </c>
      <c r="B18" s="786" t="str">
        <f t="shared" si="1"/>
        <v>TM</v>
      </c>
      <c r="C18" s="786">
        <f t="shared" si="2"/>
        <v>0</v>
      </c>
      <c r="D18" s="786" t="str">
        <f t="shared" si="3"/>
        <v>NO</v>
      </c>
      <c r="E18" s="38">
        <v>45916</v>
      </c>
      <c r="F18" s="614">
        <v>0.66666666666666663</v>
      </c>
      <c r="G18" s="614" t="str">
        <f>VLOOKUP(H18,'BASE DATOS'!$BN$2:$BO$40,2,FALSE)</f>
        <v>PRIMER PISO</v>
      </c>
      <c r="H18" t="s">
        <v>1209</v>
      </c>
      <c r="I18" t="s">
        <v>1226</v>
      </c>
      <c r="K18">
        <v>0</v>
      </c>
      <c r="L18">
        <v>0</v>
      </c>
      <c r="M18">
        <v>0</v>
      </c>
      <c r="N18">
        <v>1</v>
      </c>
      <c r="O18">
        <v>0</v>
      </c>
      <c r="P18">
        <v>0</v>
      </c>
      <c r="Q18">
        <v>0</v>
      </c>
      <c r="R18">
        <v>0</v>
      </c>
      <c r="S18">
        <v>1</v>
      </c>
      <c r="T18" t="s">
        <v>341</v>
      </c>
    </row>
    <row r="19" spans="1:20">
      <c r="A19" s="786">
        <f t="shared" si="0"/>
        <v>38</v>
      </c>
      <c r="B19" s="786" t="str">
        <f t="shared" si="1"/>
        <v>TM</v>
      </c>
      <c r="C19" s="786">
        <f t="shared" si="2"/>
        <v>0</v>
      </c>
      <c r="D19" s="786" t="str">
        <f t="shared" si="3"/>
        <v>NO</v>
      </c>
      <c r="E19" s="38">
        <v>45916</v>
      </c>
      <c r="F19" s="614">
        <v>0.66666666666666663</v>
      </c>
      <c r="G19" s="614" t="str">
        <f>VLOOKUP(H19,'BASE DATOS'!$BN$2:$BO$40,2,FALSE)</f>
        <v>PRIMER PISO</v>
      </c>
      <c r="H19" t="s">
        <v>1212</v>
      </c>
      <c r="I19" t="s">
        <v>1226</v>
      </c>
      <c r="K19">
        <v>0</v>
      </c>
      <c r="L19">
        <v>0</v>
      </c>
      <c r="M19">
        <v>0</v>
      </c>
      <c r="N19">
        <v>1</v>
      </c>
      <c r="O19">
        <v>0</v>
      </c>
      <c r="P19">
        <v>0</v>
      </c>
      <c r="Q19">
        <v>0</v>
      </c>
      <c r="R19">
        <v>0</v>
      </c>
      <c r="S19">
        <v>0</v>
      </c>
      <c r="T19" t="s">
        <v>341</v>
      </c>
    </row>
    <row r="20" spans="1:20">
      <c r="A20" s="786">
        <f t="shared" si="0"/>
        <v>38</v>
      </c>
      <c r="B20" s="786" t="str">
        <f t="shared" si="1"/>
        <v>TM</v>
      </c>
      <c r="C20" s="786">
        <f t="shared" si="2"/>
        <v>0</v>
      </c>
      <c r="D20" s="786" t="str">
        <f t="shared" si="3"/>
        <v>SI</v>
      </c>
      <c r="E20" s="38">
        <v>45916</v>
      </c>
      <c r="F20" s="614">
        <v>0.66666666666666663</v>
      </c>
      <c r="G20" s="614" t="str">
        <f>VLOOKUP(H20,'BASE DATOS'!$BN$2:$BO$40,2,FALSE)</f>
        <v>PRIMER PISO</v>
      </c>
      <c r="H20" t="s">
        <v>1206</v>
      </c>
      <c r="I20" t="s">
        <v>1207</v>
      </c>
      <c r="J20" t="s">
        <v>1227</v>
      </c>
      <c r="K20">
        <v>1</v>
      </c>
      <c r="L20">
        <v>1</v>
      </c>
      <c r="M20">
        <v>1</v>
      </c>
      <c r="N20">
        <v>1</v>
      </c>
      <c r="O20">
        <v>1</v>
      </c>
      <c r="P20">
        <v>1</v>
      </c>
      <c r="Q20">
        <v>1</v>
      </c>
      <c r="R20">
        <v>1</v>
      </c>
      <c r="S20">
        <v>1</v>
      </c>
      <c r="T20" t="s">
        <v>341</v>
      </c>
    </row>
    <row r="21" spans="1:20">
      <c r="A21" s="786">
        <f t="shared" si="0"/>
        <v>38</v>
      </c>
      <c r="B21" s="786" t="str">
        <f t="shared" si="1"/>
        <v>TT</v>
      </c>
      <c r="C21" s="786">
        <f t="shared" si="2"/>
        <v>1</v>
      </c>
      <c r="D21" s="786" t="str">
        <f t="shared" si="3"/>
        <v>SI</v>
      </c>
      <c r="E21" s="38">
        <v>45916</v>
      </c>
      <c r="F21" s="614">
        <v>0.79166666666666663</v>
      </c>
      <c r="G21" s="614" t="str">
        <f>VLOOKUP(H21,'BASE DATOS'!$BN$2:$BO$40,2,FALSE)</f>
        <v>PLANTA BAJA</v>
      </c>
      <c r="H21" t="s">
        <v>1228</v>
      </c>
      <c r="I21" t="s">
        <v>1229</v>
      </c>
      <c r="J21" t="s">
        <v>1230</v>
      </c>
      <c r="K21">
        <v>1</v>
      </c>
      <c r="L21">
        <v>1</v>
      </c>
      <c r="M21">
        <v>1</v>
      </c>
      <c r="N21">
        <v>1</v>
      </c>
      <c r="O21">
        <v>1</v>
      </c>
      <c r="P21">
        <v>1</v>
      </c>
      <c r="Q21">
        <v>1</v>
      </c>
      <c r="R21">
        <v>1</v>
      </c>
      <c r="S21">
        <v>1</v>
      </c>
      <c r="T21" t="s">
        <v>341</v>
      </c>
    </row>
    <row r="22" spans="1:20">
      <c r="A22" s="786">
        <f t="shared" si="0"/>
        <v>38</v>
      </c>
      <c r="B22" s="786" t="str">
        <f t="shared" si="1"/>
        <v>TT</v>
      </c>
      <c r="C22" s="786">
        <f t="shared" si="2"/>
        <v>1</v>
      </c>
      <c r="D22" s="786" t="str">
        <f t="shared" si="3"/>
        <v>SI</v>
      </c>
      <c r="E22" s="38">
        <v>45917</v>
      </c>
      <c r="F22" s="614">
        <v>0.125</v>
      </c>
      <c r="G22" s="614" t="str">
        <f>VLOOKUP(H22,'BASE DATOS'!$BN$2:$BO$40,2,FALSE)</f>
        <v>PLANTA BAJA</v>
      </c>
      <c r="H22" t="s">
        <v>1228</v>
      </c>
      <c r="I22" t="s">
        <v>1204</v>
      </c>
      <c r="J22" t="s">
        <v>1231</v>
      </c>
      <c r="K22">
        <v>1</v>
      </c>
      <c r="L22">
        <v>1</v>
      </c>
      <c r="M22">
        <v>1</v>
      </c>
      <c r="N22">
        <v>1</v>
      </c>
      <c r="O22">
        <v>1</v>
      </c>
      <c r="P22">
        <v>1</v>
      </c>
      <c r="Q22">
        <v>1</v>
      </c>
      <c r="R22">
        <v>1</v>
      </c>
      <c r="S22">
        <v>1</v>
      </c>
      <c r="T22" t="s">
        <v>341</v>
      </c>
    </row>
    <row r="23" spans="1:20">
      <c r="A23" s="786">
        <f t="shared" si="0"/>
        <v>38</v>
      </c>
      <c r="B23" s="786" t="str">
        <f t="shared" si="1"/>
        <v>TM</v>
      </c>
      <c r="C23" s="786">
        <f t="shared" si="2"/>
        <v>1</v>
      </c>
      <c r="D23" s="786" t="str">
        <f t="shared" si="3"/>
        <v>SI</v>
      </c>
      <c r="E23" s="38">
        <v>45917</v>
      </c>
      <c r="F23" s="614">
        <v>0.625</v>
      </c>
      <c r="G23" s="614" t="str">
        <f>VLOOKUP(H23,'BASE DATOS'!$BN$2:$BO$40,2,FALSE)</f>
        <v>SEGUNDO PISO</v>
      </c>
      <c r="H23" t="s">
        <v>1232</v>
      </c>
      <c r="I23" t="s">
        <v>1204</v>
      </c>
      <c r="J23" t="s">
        <v>1231</v>
      </c>
      <c r="K23">
        <v>1</v>
      </c>
      <c r="L23">
        <v>1</v>
      </c>
      <c r="M23">
        <v>1</v>
      </c>
      <c r="N23">
        <v>1</v>
      </c>
      <c r="O23">
        <v>1</v>
      </c>
      <c r="P23">
        <v>1</v>
      </c>
      <c r="Q23">
        <v>1</v>
      </c>
      <c r="R23">
        <v>1</v>
      </c>
      <c r="S23">
        <v>1</v>
      </c>
      <c r="T23" t="s">
        <v>341</v>
      </c>
    </row>
    <row r="24" spans="1:20">
      <c r="A24" s="786">
        <f t="shared" si="0"/>
        <v>38</v>
      </c>
      <c r="B24" s="786" t="str">
        <f t="shared" si="1"/>
        <v>TM</v>
      </c>
      <c r="C24" s="786">
        <f t="shared" si="2"/>
        <v>0</v>
      </c>
      <c r="D24" s="786" t="str">
        <f t="shared" si="3"/>
        <v>SI</v>
      </c>
      <c r="E24" s="38">
        <v>45917</v>
      </c>
      <c r="F24" s="614">
        <v>0.625</v>
      </c>
      <c r="G24" s="614" t="str">
        <f>VLOOKUP(H24,'BASE DATOS'!$BN$2:$BO$40,2,FALSE)</f>
        <v>SEGUNDO PISO</v>
      </c>
      <c r="H24" t="s">
        <v>1233</v>
      </c>
      <c r="I24" t="s">
        <v>1234</v>
      </c>
      <c r="J24" t="s">
        <v>1235</v>
      </c>
      <c r="K24">
        <v>0</v>
      </c>
      <c r="L24">
        <v>0</v>
      </c>
      <c r="M24">
        <v>0</v>
      </c>
      <c r="N24">
        <v>0</v>
      </c>
      <c r="O24">
        <v>0</v>
      </c>
      <c r="P24">
        <v>0</v>
      </c>
      <c r="Q24">
        <v>0</v>
      </c>
      <c r="R24">
        <v>0</v>
      </c>
      <c r="S24">
        <v>1</v>
      </c>
      <c r="T24" t="s">
        <v>341</v>
      </c>
    </row>
    <row r="25" spans="1:20">
      <c r="A25" s="786">
        <f t="shared" si="0"/>
        <v>38</v>
      </c>
      <c r="B25" s="786" t="str">
        <f t="shared" si="1"/>
        <v>TM</v>
      </c>
      <c r="C25" s="786">
        <f t="shared" si="2"/>
        <v>0</v>
      </c>
      <c r="D25" s="786" t="str">
        <f t="shared" si="3"/>
        <v>NO</v>
      </c>
      <c r="E25" s="38">
        <v>45917</v>
      </c>
      <c r="F25" s="614">
        <v>0.625</v>
      </c>
      <c r="G25" s="614" t="str">
        <f>VLOOKUP(H25,'BASE DATOS'!$BN$2:$BO$40,2,FALSE)</f>
        <v>SEGUNDO PISO</v>
      </c>
      <c r="H25" t="s">
        <v>1236</v>
      </c>
      <c r="I25" t="s">
        <v>1201</v>
      </c>
      <c r="J25" t="s">
        <v>1237</v>
      </c>
      <c r="K25">
        <v>0</v>
      </c>
      <c r="L25">
        <v>0</v>
      </c>
      <c r="M25">
        <v>0</v>
      </c>
      <c r="N25">
        <v>0</v>
      </c>
      <c r="O25">
        <v>0</v>
      </c>
      <c r="P25">
        <v>1</v>
      </c>
      <c r="Q25">
        <v>0</v>
      </c>
      <c r="R25">
        <v>0</v>
      </c>
      <c r="S25">
        <v>0</v>
      </c>
      <c r="T25" t="s">
        <v>341</v>
      </c>
    </row>
    <row r="26" spans="1:20">
      <c r="A26" s="786">
        <f t="shared" si="0"/>
        <v>38</v>
      </c>
      <c r="B26" s="786" t="str">
        <f t="shared" si="1"/>
        <v>TM</v>
      </c>
      <c r="C26" s="786">
        <f t="shared" si="2"/>
        <v>1</v>
      </c>
      <c r="D26" s="786" t="str">
        <f t="shared" si="3"/>
        <v>NO</v>
      </c>
      <c r="E26" s="38">
        <v>45917</v>
      </c>
      <c r="F26" s="614">
        <v>0.625</v>
      </c>
      <c r="G26" s="614" t="str">
        <f>VLOOKUP(H26,'BASE DATOS'!$BN$2:$BO$40,2,FALSE)</f>
        <v>ENTRE PISO</v>
      </c>
      <c r="H26" t="s">
        <v>1238</v>
      </c>
      <c r="I26" t="s">
        <v>1214</v>
      </c>
      <c r="J26" t="s">
        <v>1239</v>
      </c>
      <c r="K26">
        <v>0</v>
      </c>
      <c r="L26">
        <v>0</v>
      </c>
      <c r="M26">
        <v>0</v>
      </c>
      <c r="N26">
        <v>1</v>
      </c>
      <c r="O26">
        <v>0</v>
      </c>
      <c r="P26">
        <v>0</v>
      </c>
      <c r="Q26">
        <v>0</v>
      </c>
      <c r="R26">
        <v>0</v>
      </c>
      <c r="S26">
        <v>0</v>
      </c>
      <c r="T26" t="s">
        <v>341</v>
      </c>
    </row>
    <row r="27" spans="1:20">
      <c r="A27" s="786">
        <f t="shared" si="0"/>
        <v>38</v>
      </c>
      <c r="B27" s="786" t="str">
        <f t="shared" si="1"/>
        <v>TM</v>
      </c>
      <c r="C27" s="786">
        <f t="shared" si="2"/>
        <v>1</v>
      </c>
      <c r="D27" s="786" t="str">
        <f t="shared" si="3"/>
        <v>SI</v>
      </c>
      <c r="E27" s="38">
        <v>45917</v>
      </c>
      <c r="F27" s="614">
        <v>0.66666666666666663</v>
      </c>
      <c r="G27" s="614" t="str">
        <f>VLOOKUP(H27,'BASE DATOS'!$BN$2:$BO$40,2,FALSE)</f>
        <v>PRIMER PISO</v>
      </c>
      <c r="H27" t="s">
        <v>1206</v>
      </c>
      <c r="I27" t="s">
        <v>1207</v>
      </c>
      <c r="J27" t="s">
        <v>1240</v>
      </c>
      <c r="K27">
        <v>1</v>
      </c>
      <c r="L27">
        <v>1</v>
      </c>
      <c r="M27">
        <v>1</v>
      </c>
      <c r="N27">
        <v>1</v>
      </c>
      <c r="O27">
        <v>1</v>
      </c>
      <c r="P27">
        <v>1</v>
      </c>
      <c r="Q27">
        <v>1</v>
      </c>
      <c r="R27">
        <v>1</v>
      </c>
      <c r="S27">
        <v>1</v>
      </c>
      <c r="T27" t="s">
        <v>341</v>
      </c>
    </row>
    <row r="28" spans="1:20">
      <c r="A28" s="786">
        <f t="shared" si="0"/>
        <v>38</v>
      </c>
      <c r="B28" s="786" t="str">
        <f t="shared" si="1"/>
        <v>TT</v>
      </c>
      <c r="C28" s="786">
        <f t="shared" si="2"/>
        <v>1</v>
      </c>
      <c r="D28" s="786" t="str">
        <f t="shared" si="3"/>
        <v>NO</v>
      </c>
      <c r="E28" s="38">
        <v>45918</v>
      </c>
      <c r="F28" s="614">
        <v>0.25</v>
      </c>
      <c r="G28" s="614" t="str">
        <f>VLOOKUP(H28,'BASE DATOS'!$BN$2:$BO$40,2,FALSE)</f>
        <v>PRIMER PISO</v>
      </c>
      <c r="H28" t="s">
        <v>1219</v>
      </c>
      <c r="I28" t="s">
        <v>1210</v>
      </c>
      <c r="J28" t="s">
        <v>1241</v>
      </c>
      <c r="K28">
        <v>0</v>
      </c>
      <c r="L28">
        <v>0</v>
      </c>
      <c r="M28">
        <v>0</v>
      </c>
      <c r="N28">
        <v>0</v>
      </c>
      <c r="O28">
        <v>1</v>
      </c>
      <c r="P28">
        <v>0</v>
      </c>
      <c r="Q28">
        <v>0</v>
      </c>
      <c r="R28">
        <v>0</v>
      </c>
      <c r="S28">
        <v>0</v>
      </c>
      <c r="T28" t="s">
        <v>341</v>
      </c>
    </row>
    <row r="29" spans="1:20">
      <c r="A29" s="786">
        <f t="shared" si="0"/>
        <v>38</v>
      </c>
      <c r="B29" s="786" t="str">
        <f t="shared" si="1"/>
        <v>TT</v>
      </c>
      <c r="C29" s="786">
        <f t="shared" si="2"/>
        <v>0</v>
      </c>
      <c r="D29" s="786" t="str">
        <f t="shared" si="3"/>
        <v>NO</v>
      </c>
      <c r="E29" s="38">
        <v>45918</v>
      </c>
      <c r="F29" s="614">
        <v>0.25</v>
      </c>
      <c r="G29" s="614" t="str">
        <f>VLOOKUP(H29,'BASE DATOS'!$BN$2:$BO$40,2,FALSE)</f>
        <v>PRIMER PISO</v>
      </c>
      <c r="H29" t="s">
        <v>1195</v>
      </c>
      <c r="I29" t="s">
        <v>1224</v>
      </c>
      <c r="J29" t="s">
        <v>1242</v>
      </c>
      <c r="K29">
        <v>0</v>
      </c>
      <c r="L29">
        <v>0</v>
      </c>
      <c r="M29">
        <v>0</v>
      </c>
      <c r="N29">
        <v>0</v>
      </c>
      <c r="O29">
        <v>1</v>
      </c>
      <c r="P29">
        <v>0</v>
      </c>
      <c r="Q29">
        <v>0</v>
      </c>
      <c r="R29">
        <v>0</v>
      </c>
      <c r="S29">
        <v>0</v>
      </c>
      <c r="T29" t="s">
        <v>341</v>
      </c>
    </row>
    <row r="30" spans="1:20">
      <c r="A30" s="786">
        <f t="shared" si="0"/>
        <v>38</v>
      </c>
      <c r="B30" s="786" t="str">
        <f t="shared" si="1"/>
        <v>TM</v>
      </c>
      <c r="C30" s="786">
        <f t="shared" si="2"/>
        <v>1</v>
      </c>
      <c r="D30" s="786" t="str">
        <f t="shared" si="3"/>
        <v>NO</v>
      </c>
      <c r="E30" s="38">
        <v>45918</v>
      </c>
      <c r="F30" s="614">
        <v>0.625</v>
      </c>
      <c r="G30" s="614" t="str">
        <f>VLOOKUP(H30,'BASE DATOS'!$BN$2:$BO$40,2,FALSE)</f>
        <v>PLANTA BAJA</v>
      </c>
      <c r="H30" t="s">
        <v>1243</v>
      </c>
      <c r="I30" t="s">
        <v>1194</v>
      </c>
      <c r="J30" t="s">
        <v>1244</v>
      </c>
      <c r="K30">
        <v>1</v>
      </c>
      <c r="L30">
        <v>0</v>
      </c>
      <c r="M30">
        <v>0</v>
      </c>
      <c r="N30">
        <v>0</v>
      </c>
      <c r="O30">
        <v>0</v>
      </c>
      <c r="P30">
        <v>0</v>
      </c>
      <c r="Q30">
        <v>0</v>
      </c>
      <c r="R30">
        <v>0</v>
      </c>
      <c r="S30">
        <v>0</v>
      </c>
      <c r="T30" t="s">
        <v>341</v>
      </c>
    </row>
    <row r="31" spans="1:20">
      <c r="A31" s="786">
        <f t="shared" si="0"/>
        <v>38</v>
      </c>
      <c r="B31" s="786" t="str">
        <f t="shared" si="1"/>
        <v>TM</v>
      </c>
      <c r="C31" s="786">
        <f t="shared" si="2"/>
        <v>0</v>
      </c>
      <c r="D31" s="786" t="str">
        <f t="shared" si="3"/>
        <v>NO</v>
      </c>
      <c r="E31" s="38">
        <v>45918</v>
      </c>
      <c r="F31" s="614">
        <v>0.625</v>
      </c>
      <c r="G31" s="614" t="str">
        <f>VLOOKUP(H31,'BASE DATOS'!$BN$2:$BO$40,2,FALSE)</f>
        <v>PLANTA BAJA</v>
      </c>
      <c r="H31" t="s">
        <v>1245</v>
      </c>
      <c r="I31" t="s">
        <v>1194</v>
      </c>
      <c r="J31" t="s">
        <v>1246</v>
      </c>
      <c r="K31">
        <v>1</v>
      </c>
      <c r="L31">
        <v>0</v>
      </c>
      <c r="M31">
        <v>0</v>
      </c>
      <c r="N31">
        <v>1</v>
      </c>
      <c r="O31">
        <v>0</v>
      </c>
      <c r="P31">
        <v>0</v>
      </c>
      <c r="Q31">
        <v>0</v>
      </c>
      <c r="R31">
        <v>0</v>
      </c>
      <c r="S31">
        <v>0</v>
      </c>
      <c r="T31" t="s">
        <v>341</v>
      </c>
    </row>
    <row r="32" spans="1:20">
      <c r="A32" s="786">
        <f t="shared" si="0"/>
        <v>38</v>
      </c>
      <c r="B32" s="786" t="str">
        <f t="shared" si="1"/>
        <v>TM</v>
      </c>
      <c r="C32" s="786">
        <f t="shared" si="2"/>
        <v>0</v>
      </c>
      <c r="D32" s="786" t="str">
        <f t="shared" si="3"/>
        <v>NO</v>
      </c>
      <c r="E32" s="38">
        <v>45918</v>
      </c>
      <c r="F32" s="614">
        <v>0.625</v>
      </c>
      <c r="G32" s="614" t="str">
        <f>VLOOKUP(H32,'BASE DATOS'!$BN$2:$BO$40,2,FALSE)</f>
        <v>PLANTA BAJA</v>
      </c>
      <c r="H32" t="s">
        <v>1200</v>
      </c>
      <c r="I32" t="s">
        <v>1216</v>
      </c>
      <c r="J32" t="s">
        <v>1247</v>
      </c>
      <c r="K32">
        <v>0</v>
      </c>
      <c r="L32">
        <v>0</v>
      </c>
      <c r="M32">
        <v>0</v>
      </c>
      <c r="N32">
        <v>0</v>
      </c>
      <c r="O32">
        <v>0</v>
      </c>
      <c r="P32">
        <v>0</v>
      </c>
      <c r="Q32">
        <v>0</v>
      </c>
      <c r="R32">
        <v>0</v>
      </c>
      <c r="S32">
        <v>0</v>
      </c>
      <c r="T32" t="s">
        <v>341</v>
      </c>
    </row>
    <row r="33" spans="1:20">
      <c r="A33" s="786">
        <f t="shared" si="0"/>
        <v>38</v>
      </c>
      <c r="B33" s="786" t="str">
        <f t="shared" si="1"/>
        <v>TM</v>
      </c>
      <c r="C33" s="786">
        <f t="shared" si="2"/>
        <v>0</v>
      </c>
      <c r="D33" s="786" t="str">
        <f t="shared" si="3"/>
        <v>NO</v>
      </c>
      <c r="E33" s="38">
        <v>45918</v>
      </c>
      <c r="F33" s="614">
        <v>0.625</v>
      </c>
      <c r="G33" s="614" t="s">
        <v>1248</v>
      </c>
      <c r="H33" t="s">
        <v>970</v>
      </c>
      <c r="I33" t="s">
        <v>1216</v>
      </c>
      <c r="J33" t="s">
        <v>1249</v>
      </c>
      <c r="K33">
        <v>0</v>
      </c>
      <c r="L33">
        <v>0</v>
      </c>
      <c r="M33">
        <v>0</v>
      </c>
      <c r="N33">
        <v>0</v>
      </c>
      <c r="O33">
        <v>0</v>
      </c>
      <c r="P33">
        <v>0</v>
      </c>
      <c r="Q33">
        <v>0</v>
      </c>
      <c r="R33">
        <v>0</v>
      </c>
      <c r="S33">
        <v>0</v>
      </c>
      <c r="T33" t="s">
        <v>341</v>
      </c>
    </row>
    <row r="34" spans="1:20">
      <c r="A34" s="786">
        <f t="shared" si="0"/>
        <v>39</v>
      </c>
      <c r="B34" s="786" t="str">
        <f t="shared" si="1"/>
        <v>TT</v>
      </c>
      <c r="C34" s="786">
        <f t="shared" si="2"/>
        <v>1</v>
      </c>
      <c r="D34" s="786" t="str">
        <f t="shared" si="3"/>
        <v>SI</v>
      </c>
      <c r="E34" s="38">
        <v>45922</v>
      </c>
      <c r="F34" s="614">
        <v>0.85416666666666663</v>
      </c>
      <c r="G34" s="614" t="str">
        <f>VLOOKUP(H34,'BASE DATOS'!$BN$2:$BO$40,2,FALSE)</f>
        <v>PLANTA BAJA</v>
      </c>
      <c r="H34" t="s">
        <v>1228</v>
      </c>
      <c r="I34" t="s">
        <v>1207</v>
      </c>
      <c r="J34" t="s">
        <v>1250</v>
      </c>
      <c r="K34">
        <v>1</v>
      </c>
      <c r="L34">
        <v>1</v>
      </c>
      <c r="M34">
        <v>1</v>
      </c>
      <c r="N34">
        <v>1</v>
      </c>
      <c r="O34">
        <v>1</v>
      </c>
      <c r="P34">
        <v>1</v>
      </c>
      <c r="Q34">
        <v>1</v>
      </c>
      <c r="R34">
        <v>1</v>
      </c>
      <c r="S34">
        <v>1</v>
      </c>
      <c r="T34" t="s">
        <v>341</v>
      </c>
    </row>
    <row r="35" spans="1:20">
      <c r="A35" s="786">
        <f t="shared" si="0"/>
        <v>39</v>
      </c>
      <c r="B35" s="786" t="str">
        <f t="shared" si="1"/>
        <v>TT</v>
      </c>
      <c r="C35" s="786">
        <f t="shared" si="2"/>
        <v>1</v>
      </c>
      <c r="D35" s="786" t="str">
        <f t="shared" si="3"/>
        <v>NO</v>
      </c>
      <c r="E35" s="38">
        <v>45922</v>
      </c>
      <c r="F35" s="614">
        <v>0.875</v>
      </c>
      <c r="G35" s="614" t="str">
        <f>VLOOKUP(H35,'BASE DATOS'!$BN$2:$BO$40,2,FALSE)</f>
        <v>ENTRE PISO</v>
      </c>
      <c r="H35" t="s">
        <v>1238</v>
      </c>
      <c r="I35" t="s">
        <v>1214</v>
      </c>
      <c r="J35" t="s">
        <v>1251</v>
      </c>
      <c r="K35">
        <v>0</v>
      </c>
      <c r="L35">
        <v>0</v>
      </c>
      <c r="M35">
        <v>0</v>
      </c>
      <c r="N35">
        <v>0</v>
      </c>
      <c r="O35">
        <v>1</v>
      </c>
      <c r="P35">
        <v>0</v>
      </c>
      <c r="Q35">
        <v>0</v>
      </c>
      <c r="R35">
        <v>0</v>
      </c>
      <c r="S35">
        <v>0</v>
      </c>
      <c r="T35" t="s">
        <v>341</v>
      </c>
    </row>
    <row r="36" spans="1:20">
      <c r="A36" s="786">
        <f t="shared" si="0"/>
        <v>39</v>
      </c>
      <c r="B36" s="786" t="str">
        <f t="shared" si="1"/>
        <v>TM</v>
      </c>
      <c r="C36" s="786">
        <f t="shared" si="2"/>
        <v>1</v>
      </c>
      <c r="D36" s="786" t="str">
        <f t="shared" si="3"/>
        <v>NO</v>
      </c>
      <c r="E36" s="38">
        <v>45924</v>
      </c>
      <c r="F36" s="614">
        <v>0.66666666666666663</v>
      </c>
      <c r="G36" s="614" t="str">
        <f>VLOOKUP(H36,'BASE DATOS'!$BN$2:$BO$40,2,FALSE)</f>
        <v>PRIMER PISO</v>
      </c>
      <c r="H36" t="s">
        <v>1252</v>
      </c>
      <c r="I36" t="s">
        <v>1253</v>
      </c>
      <c r="K36">
        <v>0</v>
      </c>
      <c r="L36">
        <v>0</v>
      </c>
      <c r="M36">
        <v>0</v>
      </c>
      <c r="N36">
        <v>0</v>
      </c>
      <c r="O36">
        <v>0</v>
      </c>
      <c r="P36">
        <v>0</v>
      </c>
      <c r="Q36">
        <v>0</v>
      </c>
      <c r="R36">
        <v>0</v>
      </c>
      <c r="S36">
        <v>1</v>
      </c>
      <c r="T36" t="s">
        <v>341</v>
      </c>
    </row>
    <row r="37" spans="1:20">
      <c r="A37" s="786">
        <f t="shared" si="0"/>
        <v>39</v>
      </c>
      <c r="B37" s="786" t="str">
        <f t="shared" si="1"/>
        <v>TT</v>
      </c>
      <c r="C37" s="786">
        <f t="shared" si="2"/>
        <v>1</v>
      </c>
      <c r="D37" s="786" t="str">
        <f t="shared" si="3"/>
        <v>SI</v>
      </c>
      <c r="E37" s="38">
        <v>45925</v>
      </c>
      <c r="F37" s="614">
        <v>0.20833333333333334</v>
      </c>
      <c r="G37" s="614" t="str">
        <f>VLOOKUP(H37,'BASE DATOS'!$BN$2:$BO$40,2,FALSE)</f>
        <v>PRIMER PISO</v>
      </c>
      <c r="H37" t="s">
        <v>1206</v>
      </c>
      <c r="I37" t="s">
        <v>1207</v>
      </c>
      <c r="J37" t="s">
        <v>1254</v>
      </c>
      <c r="K37">
        <v>1</v>
      </c>
      <c r="L37">
        <v>1</v>
      </c>
      <c r="M37">
        <v>1</v>
      </c>
      <c r="N37">
        <v>1</v>
      </c>
      <c r="O37">
        <v>1</v>
      </c>
      <c r="P37">
        <v>1</v>
      </c>
      <c r="Q37">
        <v>1</v>
      </c>
      <c r="R37">
        <v>1</v>
      </c>
      <c r="S37">
        <v>1</v>
      </c>
      <c r="T37" t="s">
        <v>341</v>
      </c>
    </row>
    <row r="38" spans="1:20">
      <c r="A38" s="786">
        <f t="shared" si="0"/>
        <v>39</v>
      </c>
      <c r="B38" s="786" t="str">
        <f t="shared" si="1"/>
        <v>TM</v>
      </c>
      <c r="C38" s="786">
        <f t="shared" si="2"/>
        <v>1</v>
      </c>
      <c r="D38" s="786" t="str">
        <f t="shared" si="3"/>
        <v>NO</v>
      </c>
      <c r="E38" s="38">
        <v>45925</v>
      </c>
      <c r="F38" s="614">
        <v>0.63888888888888884</v>
      </c>
      <c r="G38" s="614" t="str">
        <f>VLOOKUP(H38,'BASE DATOS'!$BN$2:$BO$40,2,FALSE)</f>
        <v>PRIMER PISO</v>
      </c>
      <c r="H38" t="s">
        <v>1219</v>
      </c>
      <c r="I38" t="s">
        <v>1234</v>
      </c>
      <c r="J38" t="s">
        <v>1255</v>
      </c>
      <c r="K38">
        <v>0</v>
      </c>
      <c r="L38">
        <v>0</v>
      </c>
      <c r="M38">
        <v>0</v>
      </c>
      <c r="N38">
        <v>0</v>
      </c>
      <c r="O38">
        <v>0</v>
      </c>
      <c r="P38">
        <v>0</v>
      </c>
      <c r="Q38">
        <v>0</v>
      </c>
      <c r="R38">
        <v>0</v>
      </c>
      <c r="S38">
        <v>1</v>
      </c>
      <c r="T38" t="s">
        <v>341</v>
      </c>
    </row>
    <row r="39" spans="1:20">
      <c r="A39" s="786">
        <f t="shared" si="0"/>
        <v>39</v>
      </c>
      <c r="B39" s="786" t="str">
        <f t="shared" si="1"/>
        <v>TM</v>
      </c>
      <c r="C39" s="786">
        <f t="shared" si="2"/>
        <v>0</v>
      </c>
      <c r="D39" s="786" t="str">
        <f t="shared" si="3"/>
        <v>NO</v>
      </c>
      <c r="E39" s="38">
        <v>45925</v>
      </c>
      <c r="F39" s="614">
        <v>0.63888888888888884</v>
      </c>
      <c r="G39" s="614" t="str">
        <f>VLOOKUP(H39,'BASE DATOS'!$BN$2:$BO$40,2,FALSE)</f>
        <v>PRIMER PISO</v>
      </c>
      <c r="H39" t="s">
        <v>1219</v>
      </c>
      <c r="I39" t="s">
        <v>1210</v>
      </c>
      <c r="K39">
        <v>0</v>
      </c>
      <c r="L39">
        <v>0</v>
      </c>
      <c r="M39">
        <v>0</v>
      </c>
      <c r="N39">
        <v>1</v>
      </c>
      <c r="O39">
        <v>0</v>
      </c>
      <c r="P39">
        <v>0</v>
      </c>
      <c r="Q39">
        <v>0</v>
      </c>
      <c r="R39">
        <v>0</v>
      </c>
      <c r="S39">
        <v>0</v>
      </c>
      <c r="T39" t="s">
        <v>341</v>
      </c>
    </row>
    <row r="40" spans="1:20">
      <c r="A40" s="786">
        <f t="shared" si="0"/>
        <v>39</v>
      </c>
      <c r="B40" s="786" t="str">
        <f t="shared" si="1"/>
        <v>TM</v>
      </c>
      <c r="C40" s="786">
        <f t="shared" si="2"/>
        <v>1</v>
      </c>
      <c r="D40" s="786" t="str">
        <f t="shared" si="3"/>
        <v>NO</v>
      </c>
      <c r="E40" s="38">
        <v>45925</v>
      </c>
      <c r="F40" s="614">
        <v>0.63888888888888884</v>
      </c>
      <c r="G40" s="614" t="str">
        <f>VLOOKUP(H40,'BASE DATOS'!$BN$2:$BO$40,2,FALSE)</f>
        <v>ENTRE PISO</v>
      </c>
      <c r="H40" t="s">
        <v>1256</v>
      </c>
      <c r="I40" t="s">
        <v>1253</v>
      </c>
      <c r="K40">
        <v>0</v>
      </c>
      <c r="L40">
        <v>0</v>
      </c>
      <c r="M40">
        <v>0</v>
      </c>
      <c r="N40">
        <v>0</v>
      </c>
      <c r="O40">
        <v>0</v>
      </c>
      <c r="P40">
        <v>0</v>
      </c>
      <c r="Q40">
        <v>0</v>
      </c>
      <c r="R40">
        <v>0</v>
      </c>
      <c r="S40">
        <v>1</v>
      </c>
      <c r="T40" t="s">
        <v>341</v>
      </c>
    </row>
    <row r="41" spans="1:20">
      <c r="A41" s="786">
        <f t="shared" si="0"/>
        <v>39</v>
      </c>
      <c r="B41" s="786" t="str">
        <f t="shared" si="1"/>
        <v>TM</v>
      </c>
      <c r="C41" s="786">
        <f t="shared" si="2"/>
        <v>1</v>
      </c>
      <c r="D41" s="786" t="str">
        <f t="shared" si="3"/>
        <v>NO</v>
      </c>
      <c r="E41" s="38">
        <v>45925</v>
      </c>
      <c r="F41" s="614">
        <v>0.64583333333333337</v>
      </c>
      <c r="G41" s="614" t="s">
        <v>1248</v>
      </c>
      <c r="H41" t="s">
        <v>970</v>
      </c>
      <c r="I41" t="s">
        <v>1210</v>
      </c>
      <c r="J41" t="s">
        <v>1257</v>
      </c>
      <c r="K41">
        <v>1</v>
      </c>
      <c r="L41">
        <v>0</v>
      </c>
      <c r="M41">
        <v>0</v>
      </c>
      <c r="N41">
        <v>1</v>
      </c>
      <c r="O41">
        <v>0</v>
      </c>
      <c r="P41">
        <v>0</v>
      </c>
      <c r="Q41">
        <v>0</v>
      </c>
      <c r="R41">
        <v>0</v>
      </c>
      <c r="S41">
        <v>0</v>
      </c>
      <c r="T41" t="s">
        <v>341</v>
      </c>
    </row>
    <row r="42" spans="1:20">
      <c r="A42" s="786">
        <f t="shared" si="0"/>
        <v>39</v>
      </c>
      <c r="B42" s="786" t="str">
        <f t="shared" si="1"/>
        <v>TM</v>
      </c>
      <c r="C42" s="786">
        <f t="shared" si="2"/>
        <v>0</v>
      </c>
      <c r="D42" s="786" t="str">
        <f t="shared" si="3"/>
        <v>SI</v>
      </c>
      <c r="E42" s="38">
        <v>45925</v>
      </c>
      <c r="F42" s="614">
        <v>0.64583333333333337</v>
      </c>
      <c r="G42" s="614" t="str">
        <f>VLOOKUP(H42,'BASE DATOS'!$BN$2:$BO$40,2,FALSE)</f>
        <v>PLANTA BAJA</v>
      </c>
      <c r="H42" t="s">
        <v>1258</v>
      </c>
      <c r="I42" t="s">
        <v>1210</v>
      </c>
      <c r="J42" t="s">
        <v>1259</v>
      </c>
      <c r="K42">
        <v>1</v>
      </c>
      <c r="L42">
        <v>1</v>
      </c>
      <c r="M42">
        <v>1</v>
      </c>
      <c r="N42">
        <v>1</v>
      </c>
      <c r="O42">
        <v>1</v>
      </c>
      <c r="P42">
        <v>1</v>
      </c>
      <c r="Q42">
        <v>1</v>
      </c>
      <c r="R42">
        <v>1</v>
      </c>
      <c r="S42">
        <v>1</v>
      </c>
      <c r="T42" t="s">
        <v>341</v>
      </c>
    </row>
    <row r="43" spans="1:20">
      <c r="A43" s="786">
        <f t="shared" si="0"/>
        <v>39</v>
      </c>
      <c r="B43" s="786" t="str">
        <f t="shared" si="1"/>
        <v>TT</v>
      </c>
      <c r="C43" s="786">
        <f t="shared" si="2"/>
        <v>1</v>
      </c>
      <c r="D43" s="786" t="str">
        <f t="shared" si="3"/>
        <v>NO</v>
      </c>
      <c r="E43" s="38">
        <v>45926</v>
      </c>
      <c r="F43" s="614">
        <v>0.16666666666666666</v>
      </c>
      <c r="G43" s="614" t="str">
        <f>VLOOKUP(H43,'BASE DATOS'!$BN$2:$BO$40,2,FALSE)</f>
        <v>PRIMER PISO</v>
      </c>
      <c r="H43" t="s">
        <v>1223</v>
      </c>
      <c r="I43" t="s">
        <v>1224</v>
      </c>
      <c r="J43" t="s">
        <v>1260</v>
      </c>
      <c r="K43">
        <v>0</v>
      </c>
      <c r="L43">
        <v>0</v>
      </c>
      <c r="M43">
        <v>0</v>
      </c>
      <c r="N43">
        <v>0</v>
      </c>
      <c r="O43">
        <v>1</v>
      </c>
      <c r="P43">
        <v>0</v>
      </c>
      <c r="Q43">
        <v>0</v>
      </c>
      <c r="R43">
        <v>0</v>
      </c>
      <c r="S43">
        <v>0</v>
      </c>
      <c r="T43" t="s">
        <v>341</v>
      </c>
    </row>
    <row r="44" spans="1:20">
      <c r="A44" s="786">
        <f t="shared" si="0"/>
        <v>39</v>
      </c>
      <c r="B44" s="786" t="str">
        <f t="shared" si="1"/>
        <v>TT</v>
      </c>
      <c r="C44" s="786">
        <f t="shared" si="2"/>
        <v>0</v>
      </c>
      <c r="D44" s="786" t="str">
        <f t="shared" si="3"/>
        <v>NO</v>
      </c>
      <c r="E44" s="38">
        <v>45926</v>
      </c>
      <c r="F44" s="614">
        <v>0.16666666666666666</v>
      </c>
      <c r="G44" s="614" t="str">
        <f>VLOOKUP(H44,'BASE DATOS'!$BN$2:$BO$40,2,FALSE)</f>
        <v>PRIMER PISO</v>
      </c>
      <c r="H44" t="s">
        <v>1193</v>
      </c>
      <c r="I44" t="s">
        <v>1194</v>
      </c>
      <c r="K44">
        <v>0</v>
      </c>
      <c r="L44">
        <v>0</v>
      </c>
      <c r="M44">
        <v>0</v>
      </c>
      <c r="N44">
        <v>0</v>
      </c>
      <c r="O44">
        <v>1</v>
      </c>
      <c r="P44">
        <v>0</v>
      </c>
      <c r="Q44">
        <v>0</v>
      </c>
      <c r="R44">
        <v>0</v>
      </c>
      <c r="S44">
        <v>0</v>
      </c>
      <c r="T44" t="s">
        <v>341</v>
      </c>
    </row>
    <row r="45" spans="1:20">
      <c r="A45" s="786">
        <f t="shared" si="0"/>
        <v>39</v>
      </c>
      <c r="B45" s="786" t="str">
        <f t="shared" si="1"/>
        <v>TT</v>
      </c>
      <c r="C45" s="786">
        <f t="shared" si="2"/>
        <v>0</v>
      </c>
      <c r="D45" s="786" t="str">
        <f t="shared" si="3"/>
        <v>NO</v>
      </c>
      <c r="E45" s="38">
        <v>45926</v>
      </c>
      <c r="F45" s="614">
        <v>0.16666666666666666</v>
      </c>
      <c r="G45" s="614" t="str">
        <f>VLOOKUP(H45,'BASE DATOS'!$BN$2:$BO$40,2,FALSE)</f>
        <v>PRIMER PISO</v>
      </c>
      <c r="H45" t="s">
        <v>1209</v>
      </c>
      <c r="I45" t="s">
        <v>1194</v>
      </c>
      <c r="K45">
        <v>0</v>
      </c>
      <c r="L45">
        <v>0</v>
      </c>
      <c r="M45">
        <v>0</v>
      </c>
      <c r="N45">
        <v>0</v>
      </c>
      <c r="O45">
        <v>1</v>
      </c>
      <c r="P45">
        <v>0</v>
      </c>
      <c r="Q45">
        <v>0</v>
      </c>
      <c r="R45">
        <v>0</v>
      </c>
      <c r="S45">
        <v>0</v>
      </c>
      <c r="T45" t="s">
        <v>341</v>
      </c>
    </row>
    <row r="46" spans="1:20">
      <c r="A46" s="786">
        <f t="shared" si="0"/>
        <v>39</v>
      </c>
      <c r="B46" s="786" t="str">
        <f t="shared" si="1"/>
        <v>TT</v>
      </c>
      <c r="C46" s="786">
        <f t="shared" si="2"/>
        <v>0</v>
      </c>
      <c r="D46" s="786" t="str">
        <f t="shared" si="3"/>
        <v>SI</v>
      </c>
      <c r="E46" s="38">
        <v>45926</v>
      </c>
      <c r="F46" s="614">
        <v>0.16666666666666666</v>
      </c>
      <c r="G46" s="614" t="str">
        <f>VLOOKUP(H46,'BASE DATOS'!$BN$2:$BO$40,2,FALSE)</f>
        <v>PRIMER PISO</v>
      </c>
      <c r="H46" t="s">
        <v>1261</v>
      </c>
      <c r="I46" t="s">
        <v>1262</v>
      </c>
      <c r="J46" t="s">
        <v>1263</v>
      </c>
      <c r="K46">
        <v>1</v>
      </c>
      <c r="L46">
        <v>1</v>
      </c>
      <c r="M46">
        <v>1</v>
      </c>
      <c r="N46">
        <v>1</v>
      </c>
      <c r="O46">
        <v>1</v>
      </c>
      <c r="P46">
        <v>1</v>
      </c>
      <c r="Q46">
        <v>1</v>
      </c>
      <c r="R46">
        <v>1</v>
      </c>
      <c r="S46">
        <v>1</v>
      </c>
      <c r="T46" t="s">
        <v>341</v>
      </c>
    </row>
    <row r="47" spans="1:20">
      <c r="A47" s="786">
        <f t="shared" si="0"/>
        <v>40</v>
      </c>
      <c r="B47" s="786" t="str">
        <f t="shared" si="1"/>
        <v>TM</v>
      </c>
      <c r="C47" s="786">
        <f t="shared" si="2"/>
        <v>1</v>
      </c>
      <c r="D47" s="786" t="str">
        <f t="shared" si="3"/>
        <v>NO</v>
      </c>
      <c r="E47" s="38">
        <v>45929</v>
      </c>
      <c r="F47" s="614">
        <v>0.66666666666666663</v>
      </c>
      <c r="G47" s="614" t="str">
        <f>VLOOKUP(H47,'BASE DATOS'!$BN$2:$BO$40,2,FALSE)</f>
        <v>PRIMER PISO</v>
      </c>
      <c r="H47" t="s">
        <v>1223</v>
      </c>
      <c r="I47" t="s">
        <v>1262</v>
      </c>
      <c r="J47" t="s">
        <v>1264</v>
      </c>
      <c r="K47">
        <v>0</v>
      </c>
      <c r="L47">
        <v>0</v>
      </c>
      <c r="M47">
        <v>0</v>
      </c>
      <c r="N47">
        <v>1</v>
      </c>
      <c r="O47">
        <v>0</v>
      </c>
      <c r="P47">
        <v>0</v>
      </c>
      <c r="Q47">
        <v>0</v>
      </c>
      <c r="R47">
        <v>0</v>
      </c>
      <c r="S47">
        <v>0</v>
      </c>
      <c r="T47" t="s">
        <v>341</v>
      </c>
    </row>
    <row r="48" spans="1:20">
      <c r="A48" s="786">
        <f t="shared" si="0"/>
        <v>40</v>
      </c>
      <c r="B48" s="786" t="str">
        <f t="shared" si="1"/>
        <v>TM</v>
      </c>
      <c r="C48" s="786">
        <f t="shared" si="2"/>
        <v>0</v>
      </c>
      <c r="D48" s="786" t="str">
        <f t="shared" si="3"/>
        <v>NO</v>
      </c>
      <c r="E48" s="38">
        <v>45929</v>
      </c>
      <c r="F48" s="614">
        <v>0.66666666666666663</v>
      </c>
      <c r="G48" s="614" t="str">
        <f>VLOOKUP(H48,'BASE DATOS'!$BN$2:$BO$40,2,FALSE)</f>
        <v>PRIMER PISO</v>
      </c>
      <c r="H48" t="s">
        <v>1265</v>
      </c>
      <c r="I48" t="s">
        <v>1210</v>
      </c>
      <c r="J48" t="s">
        <v>1266</v>
      </c>
      <c r="K48">
        <v>0</v>
      </c>
      <c r="L48">
        <v>0</v>
      </c>
      <c r="M48">
        <v>0</v>
      </c>
      <c r="N48">
        <v>1</v>
      </c>
      <c r="O48">
        <v>0</v>
      </c>
      <c r="P48">
        <v>0</v>
      </c>
      <c r="Q48">
        <v>0</v>
      </c>
      <c r="R48">
        <v>0</v>
      </c>
      <c r="S48">
        <v>0</v>
      </c>
      <c r="T48" t="s">
        <v>341</v>
      </c>
    </row>
    <row r="49" spans="1:20">
      <c r="A49" s="786">
        <f t="shared" si="0"/>
        <v>40</v>
      </c>
      <c r="B49" s="786" t="str">
        <f t="shared" si="1"/>
        <v>TM</v>
      </c>
      <c r="C49" s="786">
        <f t="shared" si="2"/>
        <v>0</v>
      </c>
      <c r="D49" s="786" t="str">
        <f t="shared" si="3"/>
        <v>NO</v>
      </c>
      <c r="E49" s="38">
        <v>45929</v>
      </c>
      <c r="F49" s="614">
        <v>0.66666666666666663</v>
      </c>
      <c r="G49" s="614" t="str">
        <f>VLOOKUP(H49,'BASE DATOS'!$BN$2:$BO$40,2,FALSE)</f>
        <v>PRIMER PISO</v>
      </c>
      <c r="H49" t="s">
        <v>1209</v>
      </c>
      <c r="I49" t="s">
        <v>1201</v>
      </c>
      <c r="J49" t="s">
        <v>1267</v>
      </c>
      <c r="K49">
        <v>0</v>
      </c>
      <c r="L49">
        <v>0</v>
      </c>
      <c r="M49">
        <v>0</v>
      </c>
      <c r="N49">
        <v>1</v>
      </c>
      <c r="O49">
        <v>0</v>
      </c>
      <c r="P49">
        <v>0</v>
      </c>
      <c r="Q49">
        <v>0</v>
      </c>
      <c r="R49">
        <v>0</v>
      </c>
      <c r="S49">
        <v>1</v>
      </c>
      <c r="T49" t="s">
        <v>341</v>
      </c>
    </row>
    <row r="50" spans="1:20">
      <c r="A50" s="786">
        <f t="shared" si="0"/>
        <v>40</v>
      </c>
      <c r="B50" s="786" t="str">
        <f t="shared" si="1"/>
        <v>TM</v>
      </c>
      <c r="C50" s="786">
        <f t="shared" si="2"/>
        <v>1</v>
      </c>
      <c r="D50" s="786" t="str">
        <f t="shared" si="3"/>
        <v>SI</v>
      </c>
      <c r="E50" s="38">
        <v>45929</v>
      </c>
      <c r="F50" s="614">
        <v>0.66666666666666663</v>
      </c>
      <c r="G50" s="614" t="str">
        <f>VLOOKUP(H50,'BASE DATOS'!$BN$2:$BO$40,2,FALSE)</f>
        <v>PLANTA BAJA</v>
      </c>
      <c r="H50" t="s">
        <v>1228</v>
      </c>
      <c r="I50" t="s">
        <v>1207</v>
      </c>
      <c r="J50" t="s">
        <v>1254</v>
      </c>
      <c r="K50">
        <v>1</v>
      </c>
      <c r="L50">
        <v>1</v>
      </c>
      <c r="M50">
        <v>1</v>
      </c>
      <c r="N50">
        <v>1</v>
      </c>
      <c r="O50">
        <v>1</v>
      </c>
      <c r="P50">
        <v>1</v>
      </c>
      <c r="Q50">
        <v>1</v>
      </c>
      <c r="R50">
        <v>1</v>
      </c>
      <c r="S50">
        <v>1</v>
      </c>
      <c r="T50" t="s">
        <v>341</v>
      </c>
    </row>
    <row r="51" spans="1:20">
      <c r="A51" s="786">
        <f t="shared" si="0"/>
        <v>40</v>
      </c>
      <c r="B51" s="786" t="str">
        <f t="shared" si="1"/>
        <v>TT</v>
      </c>
      <c r="C51" s="786">
        <f t="shared" si="2"/>
        <v>1</v>
      </c>
      <c r="D51" s="786" t="str">
        <f t="shared" si="3"/>
        <v>NO</v>
      </c>
      <c r="E51" s="38">
        <v>45930</v>
      </c>
      <c r="F51" s="614">
        <v>0.16666666666666666</v>
      </c>
      <c r="G51" s="614" t="str">
        <f>VLOOKUP(H51,'BASE DATOS'!$BN$2:$BO$40,2,FALSE)</f>
        <v>PRIMER PISO</v>
      </c>
      <c r="H51" t="s">
        <v>1223</v>
      </c>
      <c r="I51" t="s">
        <v>1224</v>
      </c>
      <c r="J51" t="s">
        <v>1268</v>
      </c>
      <c r="K51">
        <v>0</v>
      </c>
      <c r="L51">
        <v>0</v>
      </c>
      <c r="M51">
        <v>0</v>
      </c>
      <c r="N51">
        <v>0</v>
      </c>
      <c r="O51">
        <v>1</v>
      </c>
      <c r="P51">
        <v>0</v>
      </c>
      <c r="Q51">
        <v>0</v>
      </c>
      <c r="R51">
        <v>0</v>
      </c>
      <c r="S51">
        <v>0</v>
      </c>
      <c r="T51" t="s">
        <v>341</v>
      </c>
    </row>
    <row r="52" spans="1:20">
      <c r="A52" s="786">
        <f t="shared" si="0"/>
        <v>40</v>
      </c>
      <c r="B52" s="786" t="str">
        <f t="shared" si="1"/>
        <v>TT</v>
      </c>
      <c r="C52" s="786">
        <f t="shared" si="2"/>
        <v>0</v>
      </c>
      <c r="D52" s="786" t="str">
        <f t="shared" si="3"/>
        <v>NO</v>
      </c>
      <c r="E52" s="38">
        <v>45930</v>
      </c>
      <c r="F52" s="614">
        <v>0.16666666666666666</v>
      </c>
      <c r="G52" s="614" t="str">
        <f>VLOOKUP(H52,'BASE DATOS'!$BN$2:$BO$40,2,FALSE)</f>
        <v>PRIMER PISO</v>
      </c>
      <c r="H52" t="s">
        <v>1223</v>
      </c>
      <c r="I52" t="s">
        <v>1224</v>
      </c>
      <c r="J52" t="s">
        <v>1269</v>
      </c>
      <c r="K52">
        <v>0</v>
      </c>
      <c r="L52">
        <v>0</v>
      </c>
      <c r="M52">
        <v>0</v>
      </c>
      <c r="N52">
        <v>0</v>
      </c>
      <c r="O52">
        <v>1</v>
      </c>
      <c r="P52">
        <v>0</v>
      </c>
      <c r="Q52">
        <v>0</v>
      </c>
      <c r="R52">
        <v>0</v>
      </c>
      <c r="S52">
        <v>0</v>
      </c>
      <c r="T52" t="s">
        <v>341</v>
      </c>
    </row>
    <row r="53" spans="1:20">
      <c r="A53" s="786">
        <f t="shared" si="0"/>
        <v>40</v>
      </c>
      <c r="B53" s="786" t="str">
        <f t="shared" si="1"/>
        <v>TT</v>
      </c>
      <c r="C53" s="786">
        <f t="shared" si="2"/>
        <v>0</v>
      </c>
      <c r="D53" s="786" t="str">
        <f t="shared" si="3"/>
        <v>NO</v>
      </c>
      <c r="E53" s="38">
        <v>45930</v>
      </c>
      <c r="F53" s="614">
        <v>0.16666666666666666</v>
      </c>
      <c r="G53" s="614" t="str">
        <f>VLOOKUP(H53,'BASE DATOS'!$BN$2:$BO$40,2,FALSE)</f>
        <v>PRIMER PISO</v>
      </c>
      <c r="H53" t="s">
        <v>1198</v>
      </c>
      <c r="I53" t="s">
        <v>1199</v>
      </c>
      <c r="J53" t="s">
        <v>1270</v>
      </c>
      <c r="K53">
        <v>0</v>
      </c>
      <c r="L53">
        <v>0</v>
      </c>
      <c r="M53">
        <v>0</v>
      </c>
      <c r="N53">
        <v>0</v>
      </c>
      <c r="O53">
        <v>1</v>
      </c>
      <c r="P53">
        <v>0</v>
      </c>
      <c r="Q53">
        <v>0</v>
      </c>
      <c r="R53">
        <v>0</v>
      </c>
      <c r="S53">
        <v>0</v>
      </c>
      <c r="T53" t="s">
        <v>341</v>
      </c>
    </row>
    <row r="54" spans="1:20">
      <c r="A54" s="786">
        <f t="shared" si="0"/>
        <v>40</v>
      </c>
      <c r="B54" s="786" t="str">
        <f t="shared" si="1"/>
        <v>TT</v>
      </c>
      <c r="C54" s="786">
        <f t="shared" si="2"/>
        <v>0</v>
      </c>
      <c r="D54" s="786" t="str">
        <f t="shared" si="3"/>
        <v>NO</v>
      </c>
      <c r="E54" s="38">
        <v>45930</v>
      </c>
      <c r="F54" s="614">
        <v>0.16666666666666666</v>
      </c>
      <c r="G54" s="614" t="str">
        <f>VLOOKUP(H54,'BASE DATOS'!$BN$2:$BO$40,2,FALSE)</f>
        <v>PRIMER PISO</v>
      </c>
      <c r="H54" t="s">
        <v>1271</v>
      </c>
      <c r="I54" t="s">
        <v>1210</v>
      </c>
      <c r="J54" t="s">
        <v>1272</v>
      </c>
      <c r="K54">
        <v>0</v>
      </c>
      <c r="L54">
        <v>0</v>
      </c>
      <c r="M54">
        <v>0</v>
      </c>
      <c r="N54">
        <v>0</v>
      </c>
      <c r="O54">
        <v>1</v>
      </c>
      <c r="P54">
        <v>0</v>
      </c>
      <c r="Q54">
        <v>0</v>
      </c>
      <c r="R54">
        <v>0</v>
      </c>
      <c r="S54">
        <v>0</v>
      </c>
      <c r="T54" t="s">
        <v>341</v>
      </c>
    </row>
    <row r="55" spans="1:20">
      <c r="A55" s="786">
        <f t="shared" si="0"/>
        <v>40</v>
      </c>
      <c r="B55" s="786" t="str">
        <f t="shared" si="1"/>
        <v>TT</v>
      </c>
      <c r="C55" s="786">
        <f t="shared" si="2"/>
        <v>0</v>
      </c>
      <c r="D55" s="786" t="str">
        <f t="shared" si="3"/>
        <v>NO</v>
      </c>
      <c r="E55" s="38">
        <v>45930</v>
      </c>
      <c r="F55" s="614">
        <v>0.16666666666666666</v>
      </c>
      <c r="G55" s="614" t="str">
        <f>VLOOKUP(H55,'BASE DATOS'!$BN$2:$BO$40,2,FALSE)</f>
        <v>PRIMER PISO</v>
      </c>
      <c r="H55" t="s">
        <v>1193</v>
      </c>
      <c r="I55" t="s">
        <v>1210</v>
      </c>
      <c r="J55" t="s">
        <v>1273</v>
      </c>
      <c r="K55">
        <v>0</v>
      </c>
      <c r="L55">
        <v>0</v>
      </c>
      <c r="M55">
        <v>0</v>
      </c>
      <c r="N55">
        <v>0</v>
      </c>
      <c r="O55">
        <v>1</v>
      </c>
      <c r="P55">
        <v>0</v>
      </c>
      <c r="Q55">
        <v>0</v>
      </c>
      <c r="R55">
        <v>0</v>
      </c>
      <c r="S55">
        <v>0</v>
      </c>
      <c r="T55" t="s">
        <v>341</v>
      </c>
    </row>
    <row r="56" spans="1:20">
      <c r="A56" s="786">
        <f t="shared" si="0"/>
        <v>40</v>
      </c>
      <c r="B56" s="786" t="str">
        <f t="shared" si="1"/>
        <v>TT</v>
      </c>
      <c r="C56" s="786">
        <f t="shared" si="2"/>
        <v>0</v>
      </c>
      <c r="D56" s="786" t="str">
        <f t="shared" si="3"/>
        <v>NO</v>
      </c>
      <c r="E56" s="38">
        <v>45930</v>
      </c>
      <c r="F56" s="614">
        <v>0.16666666666666666</v>
      </c>
      <c r="G56" s="614" t="str">
        <f>VLOOKUP(H56,'BASE DATOS'!$BN$2:$BO$40,2,FALSE)</f>
        <v>PRIMER PISO</v>
      </c>
      <c r="H56" t="s">
        <v>1193</v>
      </c>
      <c r="I56" t="s">
        <v>1201</v>
      </c>
      <c r="J56" t="s">
        <v>1274</v>
      </c>
      <c r="K56">
        <v>0</v>
      </c>
      <c r="L56">
        <v>0</v>
      </c>
      <c r="M56">
        <v>1</v>
      </c>
      <c r="N56">
        <v>0</v>
      </c>
      <c r="O56">
        <v>1</v>
      </c>
      <c r="P56">
        <v>0</v>
      </c>
      <c r="Q56">
        <v>0</v>
      </c>
      <c r="R56">
        <v>0</v>
      </c>
      <c r="S56">
        <v>0</v>
      </c>
      <c r="T56" t="s">
        <v>341</v>
      </c>
    </row>
    <row r="57" spans="1:20">
      <c r="A57" s="786">
        <f t="shared" si="0"/>
        <v>40</v>
      </c>
      <c r="B57" s="786" t="str">
        <f t="shared" si="1"/>
        <v>TT</v>
      </c>
      <c r="C57" s="786">
        <f t="shared" si="2"/>
        <v>0</v>
      </c>
      <c r="D57" s="786" t="str">
        <f t="shared" si="3"/>
        <v>NO</v>
      </c>
      <c r="E57" s="38">
        <v>45930</v>
      </c>
      <c r="F57" s="614">
        <v>0.16666666666666666</v>
      </c>
      <c r="G57" s="614" t="str">
        <f>VLOOKUP(H57,'BASE DATOS'!$BN$2:$BO$40,2,FALSE)</f>
        <v>PRIMER PISO</v>
      </c>
      <c r="H57" t="s">
        <v>1275</v>
      </c>
      <c r="I57" t="s">
        <v>1210</v>
      </c>
      <c r="J57" t="s">
        <v>1276</v>
      </c>
      <c r="K57">
        <v>0</v>
      </c>
      <c r="L57">
        <v>0</v>
      </c>
      <c r="M57">
        <v>0</v>
      </c>
      <c r="N57">
        <v>0</v>
      </c>
      <c r="O57">
        <v>1</v>
      </c>
      <c r="P57">
        <v>0</v>
      </c>
      <c r="Q57">
        <v>0</v>
      </c>
      <c r="R57">
        <v>0</v>
      </c>
      <c r="S57">
        <v>0</v>
      </c>
      <c r="T57" t="s">
        <v>341</v>
      </c>
    </row>
    <row r="58" spans="1:20">
      <c r="A58" s="786">
        <f t="shared" si="0"/>
        <v>40</v>
      </c>
      <c r="B58" s="786" t="str">
        <f t="shared" si="1"/>
        <v>TT</v>
      </c>
      <c r="C58" s="786">
        <v>0</v>
      </c>
      <c r="D58" s="786" t="str">
        <f t="shared" si="3"/>
        <v>NO</v>
      </c>
      <c r="E58" s="38">
        <v>45930</v>
      </c>
      <c r="F58" s="614">
        <v>0.25</v>
      </c>
      <c r="G58" s="614" t="str">
        <f>VLOOKUP(H58,'BASE DATOS'!$BN$2:$BO$40,2,FALSE)</f>
        <v>PRIMER PISO</v>
      </c>
      <c r="H58" t="s">
        <v>1223</v>
      </c>
      <c r="I58" t="s">
        <v>1262</v>
      </c>
      <c r="J58" t="s">
        <v>1277</v>
      </c>
      <c r="K58">
        <v>0</v>
      </c>
      <c r="L58">
        <v>0</v>
      </c>
      <c r="M58">
        <v>0</v>
      </c>
      <c r="N58">
        <v>0</v>
      </c>
      <c r="O58">
        <v>1</v>
      </c>
      <c r="P58">
        <v>0</v>
      </c>
      <c r="Q58">
        <v>0</v>
      </c>
      <c r="R58">
        <v>0</v>
      </c>
      <c r="S58">
        <v>0</v>
      </c>
      <c r="T58" t="s">
        <v>341</v>
      </c>
    </row>
    <row r="59" spans="1:20">
      <c r="A59" s="786">
        <f t="shared" si="0"/>
        <v>40</v>
      </c>
      <c r="B59" s="786" t="str">
        <f t="shared" si="1"/>
        <v>TT</v>
      </c>
      <c r="C59" s="786">
        <f t="shared" ref="C59:C71" si="4">+IF(OR(F59&lt;&gt;F58,G59&lt;&gt;G58,E59&lt;&gt;E58),1,0)</f>
        <v>1</v>
      </c>
      <c r="D59" s="786" t="str">
        <f t="shared" si="3"/>
        <v>SI</v>
      </c>
      <c r="E59" s="773">
        <v>45930</v>
      </c>
      <c r="F59" s="774">
        <v>0.89583333333333337</v>
      </c>
      <c r="G59" s="774" t="str">
        <f>VLOOKUP(H59,'BASE DATOS'!$BN$2:$BO$40,2,FALSE)</f>
        <v>PLANTA BAJA</v>
      </c>
      <c r="H59" s="775" t="s">
        <v>1228</v>
      </c>
      <c r="I59" s="775" t="s">
        <v>1207</v>
      </c>
      <c r="J59" s="775" t="s">
        <v>1278</v>
      </c>
      <c r="K59" s="775">
        <v>1</v>
      </c>
      <c r="L59" s="775">
        <v>1</v>
      </c>
      <c r="M59" s="775">
        <v>1</v>
      </c>
      <c r="N59" s="775">
        <v>1</v>
      </c>
      <c r="O59" s="775">
        <v>1</v>
      </c>
      <c r="P59" s="775">
        <v>1</v>
      </c>
      <c r="Q59" s="775">
        <v>1</v>
      </c>
      <c r="R59" s="775">
        <v>1</v>
      </c>
      <c r="S59" s="775">
        <v>1</v>
      </c>
      <c r="T59" t="s">
        <v>341</v>
      </c>
    </row>
    <row r="60" spans="1:20">
      <c r="A60" s="786">
        <f t="shared" si="0"/>
        <v>40</v>
      </c>
      <c r="B60" s="786" t="str">
        <f t="shared" si="1"/>
        <v>TT</v>
      </c>
      <c r="C60" s="786">
        <f t="shared" si="4"/>
        <v>1</v>
      </c>
      <c r="D60" s="786" t="str">
        <f t="shared" si="3"/>
        <v>NO</v>
      </c>
      <c r="E60" s="38">
        <v>45931</v>
      </c>
      <c r="F60" s="614">
        <v>0.1875</v>
      </c>
      <c r="G60" s="614" t="str">
        <f>VLOOKUP(H60,'BASE DATOS'!$BN$2:$BO$40,2,FALSE)</f>
        <v>PRIMER PISO</v>
      </c>
      <c r="H60" t="s">
        <v>1275</v>
      </c>
      <c r="I60" t="s">
        <v>1210</v>
      </c>
      <c r="J60" t="s">
        <v>1279</v>
      </c>
      <c r="K60">
        <v>0</v>
      </c>
      <c r="L60">
        <v>0</v>
      </c>
      <c r="M60">
        <v>0</v>
      </c>
      <c r="N60">
        <v>0</v>
      </c>
      <c r="O60">
        <v>1</v>
      </c>
      <c r="P60">
        <v>0</v>
      </c>
      <c r="Q60">
        <v>0</v>
      </c>
      <c r="R60">
        <v>0</v>
      </c>
      <c r="S60">
        <v>0</v>
      </c>
      <c r="T60" t="s">
        <v>341</v>
      </c>
    </row>
    <row r="61" spans="1:20">
      <c r="A61" s="786">
        <f t="shared" si="0"/>
        <v>40</v>
      </c>
      <c r="B61" s="786" t="str">
        <f t="shared" si="1"/>
        <v>TT</v>
      </c>
      <c r="C61" s="786">
        <f t="shared" si="4"/>
        <v>0</v>
      </c>
      <c r="D61" s="786" t="str">
        <f t="shared" si="3"/>
        <v>NO</v>
      </c>
      <c r="E61" s="38">
        <v>45931</v>
      </c>
      <c r="F61" s="614">
        <v>0.1875</v>
      </c>
      <c r="G61" s="614" t="str">
        <f>VLOOKUP(H61,'BASE DATOS'!$BN$2:$BO$40,2,FALSE)</f>
        <v>PRIMER PISO</v>
      </c>
      <c r="H61" t="s">
        <v>1195</v>
      </c>
      <c r="I61" t="s">
        <v>1210</v>
      </c>
      <c r="J61" t="s">
        <v>1280</v>
      </c>
      <c r="K61">
        <v>0</v>
      </c>
      <c r="L61">
        <v>0</v>
      </c>
      <c r="M61">
        <v>0</v>
      </c>
      <c r="N61">
        <v>0</v>
      </c>
      <c r="O61">
        <v>1</v>
      </c>
      <c r="P61">
        <v>0</v>
      </c>
      <c r="Q61">
        <v>0</v>
      </c>
      <c r="R61">
        <v>0</v>
      </c>
      <c r="S61">
        <v>0</v>
      </c>
      <c r="T61" t="s">
        <v>341</v>
      </c>
    </row>
    <row r="62" spans="1:20">
      <c r="A62" s="786">
        <f t="shared" si="0"/>
        <v>40</v>
      </c>
      <c r="B62" s="786" t="str">
        <f t="shared" si="1"/>
        <v>TT</v>
      </c>
      <c r="C62" s="786">
        <f t="shared" si="4"/>
        <v>0</v>
      </c>
      <c r="D62" s="786" t="str">
        <f t="shared" si="3"/>
        <v>NO</v>
      </c>
      <c r="E62" s="38">
        <v>45931</v>
      </c>
      <c r="F62" s="614">
        <v>0.1875</v>
      </c>
      <c r="G62" s="614" t="str">
        <f>VLOOKUP(H62,'BASE DATOS'!$BN$2:$BO$40,2,FALSE)</f>
        <v>PRIMER PISO</v>
      </c>
      <c r="H62" t="s">
        <v>1223</v>
      </c>
      <c r="I62" t="s">
        <v>1262</v>
      </c>
      <c r="J62" t="s">
        <v>1281</v>
      </c>
      <c r="K62">
        <v>0</v>
      </c>
      <c r="L62">
        <v>0</v>
      </c>
      <c r="M62">
        <v>0</v>
      </c>
      <c r="N62">
        <v>0</v>
      </c>
      <c r="O62">
        <v>1</v>
      </c>
      <c r="P62">
        <v>0</v>
      </c>
      <c r="Q62">
        <v>0</v>
      </c>
      <c r="R62">
        <v>0</v>
      </c>
      <c r="S62">
        <v>0</v>
      </c>
      <c r="T62" t="s">
        <v>341</v>
      </c>
    </row>
    <row r="63" spans="1:20">
      <c r="A63" s="786">
        <f t="shared" si="0"/>
        <v>40</v>
      </c>
      <c r="B63" s="786" t="str">
        <f t="shared" si="1"/>
        <v>TT</v>
      </c>
      <c r="C63" s="786">
        <f t="shared" si="4"/>
        <v>0</v>
      </c>
      <c r="D63" s="786" t="str">
        <f t="shared" si="3"/>
        <v>NO</v>
      </c>
      <c r="E63" s="38">
        <v>45931</v>
      </c>
      <c r="F63" s="614">
        <v>0.1875</v>
      </c>
      <c r="G63" s="614" t="str">
        <f>VLOOKUP(H63,'BASE DATOS'!$BN$2:$BO$40,2,FALSE)</f>
        <v>PRIMER PISO</v>
      </c>
      <c r="H63" t="s">
        <v>1265</v>
      </c>
      <c r="I63" t="s">
        <v>1210</v>
      </c>
      <c r="J63" t="s">
        <v>1280</v>
      </c>
      <c r="K63">
        <v>0</v>
      </c>
      <c r="L63">
        <v>0</v>
      </c>
      <c r="M63">
        <v>0</v>
      </c>
      <c r="N63">
        <v>0</v>
      </c>
      <c r="O63">
        <v>1</v>
      </c>
      <c r="P63">
        <v>0</v>
      </c>
      <c r="Q63">
        <v>0</v>
      </c>
      <c r="R63">
        <v>0</v>
      </c>
      <c r="S63">
        <v>0</v>
      </c>
      <c r="T63" t="s">
        <v>341</v>
      </c>
    </row>
    <row r="64" spans="1:20">
      <c r="A64" s="786">
        <f t="shared" si="0"/>
        <v>40</v>
      </c>
      <c r="B64" s="786" t="str">
        <f t="shared" si="1"/>
        <v>TM</v>
      </c>
      <c r="C64" s="786">
        <f t="shared" si="4"/>
        <v>1</v>
      </c>
      <c r="D64" s="786" t="str">
        <f t="shared" si="3"/>
        <v>NO</v>
      </c>
      <c r="E64" s="38">
        <v>45931</v>
      </c>
      <c r="F64" s="614">
        <v>0.41666666666666669</v>
      </c>
      <c r="G64" s="614" t="str">
        <f>VLOOKUP(H64,'BASE DATOS'!$BN$2:$BO$40,2,FALSE)</f>
        <v>ENTRE PISO</v>
      </c>
      <c r="H64" t="s">
        <v>1238</v>
      </c>
      <c r="I64" t="s">
        <v>1201</v>
      </c>
      <c r="J64" t="s">
        <v>1282</v>
      </c>
      <c r="K64">
        <v>1</v>
      </c>
      <c r="L64">
        <v>0</v>
      </c>
      <c r="M64">
        <v>0</v>
      </c>
      <c r="N64">
        <v>1</v>
      </c>
      <c r="O64">
        <v>0</v>
      </c>
      <c r="P64">
        <v>0</v>
      </c>
      <c r="Q64">
        <v>0</v>
      </c>
      <c r="R64">
        <v>0</v>
      </c>
      <c r="S64">
        <v>0</v>
      </c>
      <c r="T64" t="s">
        <v>341</v>
      </c>
    </row>
    <row r="65" spans="1:20">
      <c r="A65" s="786">
        <f t="shared" si="0"/>
        <v>40</v>
      </c>
      <c r="B65" s="786" t="str">
        <f t="shared" si="1"/>
        <v>TM</v>
      </c>
      <c r="C65" s="786">
        <f t="shared" si="4"/>
        <v>0</v>
      </c>
      <c r="D65" s="786" t="str">
        <f t="shared" si="3"/>
        <v>NO</v>
      </c>
      <c r="E65" s="38">
        <v>45931</v>
      </c>
      <c r="F65" s="614">
        <v>0.41666666666666669</v>
      </c>
      <c r="G65" s="614" t="str">
        <f>VLOOKUP(H65,'BASE DATOS'!$BN$2:$BO$40,2,FALSE)</f>
        <v>ENTRE PISO</v>
      </c>
      <c r="H65" t="s">
        <v>1238</v>
      </c>
      <c r="I65" t="s">
        <v>1214</v>
      </c>
      <c r="J65" t="s">
        <v>1283</v>
      </c>
      <c r="K65">
        <v>0</v>
      </c>
      <c r="L65">
        <v>0</v>
      </c>
      <c r="M65">
        <v>0</v>
      </c>
      <c r="N65">
        <v>1</v>
      </c>
      <c r="O65">
        <v>0</v>
      </c>
      <c r="P65">
        <v>0</v>
      </c>
      <c r="Q65">
        <v>0</v>
      </c>
      <c r="R65">
        <v>0</v>
      </c>
      <c r="S65">
        <v>0</v>
      </c>
      <c r="T65" t="s">
        <v>341</v>
      </c>
    </row>
    <row r="66" spans="1:20">
      <c r="A66" s="786">
        <f t="shared" si="0"/>
        <v>40</v>
      </c>
      <c r="B66" s="786" t="str">
        <f t="shared" si="1"/>
        <v>TM</v>
      </c>
      <c r="C66" s="786">
        <f t="shared" si="4"/>
        <v>1</v>
      </c>
      <c r="D66" s="786" t="str">
        <f t="shared" si="3"/>
        <v>SI</v>
      </c>
      <c r="E66" s="38">
        <v>45931</v>
      </c>
      <c r="F66" s="614">
        <v>0.41666666666666669</v>
      </c>
      <c r="G66" s="614" t="str">
        <f>VLOOKUP(H66,'BASE DATOS'!$BN$2:$BO$40,2,FALSE)</f>
        <v>SEGUNDO PISO</v>
      </c>
      <c r="H66" t="s">
        <v>1233</v>
      </c>
      <c r="I66" t="s">
        <v>1229</v>
      </c>
      <c r="J66" t="s">
        <v>1284</v>
      </c>
      <c r="K66">
        <v>1</v>
      </c>
      <c r="L66">
        <v>1</v>
      </c>
      <c r="M66">
        <v>1</v>
      </c>
      <c r="N66">
        <v>1</v>
      </c>
      <c r="O66">
        <v>1</v>
      </c>
      <c r="P66">
        <v>1</v>
      </c>
      <c r="Q66">
        <v>1</v>
      </c>
      <c r="R66">
        <v>1</v>
      </c>
      <c r="S66">
        <v>1</v>
      </c>
      <c r="T66" t="s">
        <v>341</v>
      </c>
    </row>
    <row r="67" spans="1:20">
      <c r="A67" s="786">
        <f t="shared" ref="A67:A122" si="5">_xlfn.ISOWEEKNUM(E67)</f>
        <v>40</v>
      </c>
      <c r="B67" s="786" t="str">
        <f t="shared" ref="B67:B122" si="6">IF(AND(F67&gt;0.25,F67&lt;0.75),"TM","TT")</f>
        <v>TM</v>
      </c>
      <c r="C67" s="786">
        <f t="shared" si="4"/>
        <v>0</v>
      </c>
      <c r="D67" s="786" t="str">
        <f t="shared" ref="D67:D130" si="7">IF(OR(LEFT(H67,4)="VEST",LEFT(H67,4)="BAÑO",LEFT(H67,4)="COME"),"SI","NO")</f>
        <v>SI</v>
      </c>
      <c r="E67" s="38">
        <v>45931</v>
      </c>
      <c r="F67" s="614">
        <v>0.41666666666666669</v>
      </c>
      <c r="G67" s="614" t="str">
        <f>VLOOKUP(H67,'BASE DATOS'!$BN$2:$BO$40,2,FALSE)</f>
        <v>SEGUNDO PISO</v>
      </c>
      <c r="H67" t="s">
        <v>1233</v>
      </c>
      <c r="I67" t="s">
        <v>1234</v>
      </c>
      <c r="J67" t="s">
        <v>1235</v>
      </c>
      <c r="K67">
        <v>1</v>
      </c>
      <c r="L67">
        <v>1</v>
      </c>
      <c r="M67">
        <v>1</v>
      </c>
      <c r="N67">
        <v>1</v>
      </c>
      <c r="O67">
        <v>1</v>
      </c>
      <c r="P67">
        <v>1</v>
      </c>
      <c r="Q67">
        <v>1</v>
      </c>
      <c r="R67">
        <v>1</v>
      </c>
      <c r="S67">
        <v>1</v>
      </c>
      <c r="T67" t="s">
        <v>341</v>
      </c>
    </row>
    <row r="68" spans="1:20">
      <c r="A68" s="786">
        <f t="shared" si="5"/>
        <v>40</v>
      </c>
      <c r="B68" s="786" t="str">
        <f t="shared" si="6"/>
        <v>TM</v>
      </c>
      <c r="C68" s="786">
        <f t="shared" si="4"/>
        <v>0</v>
      </c>
      <c r="D68" s="786" t="str">
        <f t="shared" si="7"/>
        <v>SI</v>
      </c>
      <c r="E68" s="38">
        <v>45931</v>
      </c>
      <c r="F68" s="614">
        <v>0.41666666666666669</v>
      </c>
      <c r="G68" s="614" t="str">
        <f>VLOOKUP(H68,'BASE DATOS'!$BN$2:$BO$40,2,FALSE)</f>
        <v>SEGUNDO PISO</v>
      </c>
      <c r="H68" t="s">
        <v>1233</v>
      </c>
      <c r="I68" t="s">
        <v>1210</v>
      </c>
      <c r="J68" t="s">
        <v>1285</v>
      </c>
      <c r="K68">
        <v>0</v>
      </c>
      <c r="L68">
        <v>0</v>
      </c>
      <c r="M68">
        <v>0</v>
      </c>
      <c r="N68">
        <v>0</v>
      </c>
      <c r="O68">
        <v>0</v>
      </c>
      <c r="P68">
        <v>0</v>
      </c>
      <c r="Q68">
        <v>0</v>
      </c>
      <c r="R68">
        <v>0</v>
      </c>
      <c r="S68">
        <v>1</v>
      </c>
      <c r="T68" t="s">
        <v>341</v>
      </c>
    </row>
    <row r="69" spans="1:20">
      <c r="A69" s="786">
        <f t="shared" si="5"/>
        <v>40</v>
      </c>
      <c r="B69" s="786" t="str">
        <f t="shared" si="6"/>
        <v>TM</v>
      </c>
      <c r="C69" s="786">
        <f t="shared" si="4"/>
        <v>1</v>
      </c>
      <c r="D69" s="786" t="str">
        <f t="shared" si="7"/>
        <v>SI</v>
      </c>
      <c r="E69" s="38">
        <v>45931</v>
      </c>
      <c r="F69" s="614">
        <v>0.66666666666666663</v>
      </c>
      <c r="G69" s="614" t="str">
        <f>VLOOKUP(H69,'BASE DATOS'!$BN$2:$BO$40,2,FALSE)</f>
        <v>PRIMER PISO</v>
      </c>
      <c r="H69" t="s">
        <v>1206</v>
      </c>
      <c r="I69" t="s">
        <v>1207</v>
      </c>
      <c r="J69" t="s">
        <v>1286</v>
      </c>
      <c r="K69">
        <v>1</v>
      </c>
      <c r="L69">
        <v>1</v>
      </c>
      <c r="M69">
        <v>1</v>
      </c>
      <c r="N69">
        <v>1</v>
      </c>
      <c r="O69">
        <v>1</v>
      </c>
      <c r="P69">
        <v>1</v>
      </c>
      <c r="Q69">
        <v>1</v>
      </c>
      <c r="R69">
        <v>1</v>
      </c>
      <c r="S69">
        <v>1</v>
      </c>
      <c r="T69" t="s">
        <v>341</v>
      </c>
    </row>
    <row r="70" spans="1:20">
      <c r="A70" s="786">
        <f t="shared" si="5"/>
        <v>40</v>
      </c>
      <c r="B70" s="786" t="str">
        <f t="shared" si="6"/>
        <v>TM</v>
      </c>
      <c r="C70" s="786">
        <f t="shared" si="4"/>
        <v>1</v>
      </c>
      <c r="D70" s="786" t="str">
        <f t="shared" si="7"/>
        <v>NO</v>
      </c>
      <c r="E70" s="38">
        <v>45931</v>
      </c>
      <c r="F70" s="614">
        <v>0.66666666666666663</v>
      </c>
      <c r="G70" s="614" t="s">
        <v>1248</v>
      </c>
      <c r="H70" t="s">
        <v>970</v>
      </c>
      <c r="I70" t="s">
        <v>1234</v>
      </c>
      <c r="J70" t="s">
        <v>1287</v>
      </c>
      <c r="K70">
        <v>0</v>
      </c>
      <c r="L70">
        <v>0</v>
      </c>
      <c r="M70">
        <v>0</v>
      </c>
      <c r="N70">
        <v>0</v>
      </c>
      <c r="O70">
        <v>0</v>
      </c>
      <c r="P70">
        <v>0</v>
      </c>
      <c r="Q70">
        <v>0</v>
      </c>
      <c r="R70">
        <v>0</v>
      </c>
      <c r="S70">
        <v>1</v>
      </c>
      <c r="T70" t="s">
        <v>341</v>
      </c>
    </row>
    <row r="71" spans="1:20">
      <c r="A71" s="786">
        <f t="shared" si="5"/>
        <v>40</v>
      </c>
      <c r="B71" s="786" t="str">
        <f t="shared" si="6"/>
        <v>TM</v>
      </c>
      <c r="C71" s="786">
        <f t="shared" si="4"/>
        <v>0</v>
      </c>
      <c r="D71" s="786" t="str">
        <f t="shared" si="7"/>
        <v>NO</v>
      </c>
      <c r="E71" s="38">
        <v>45931</v>
      </c>
      <c r="F71" s="614">
        <v>0.66666666666666663</v>
      </c>
      <c r="G71" s="614" t="s">
        <v>1248</v>
      </c>
      <c r="H71" t="s">
        <v>970</v>
      </c>
      <c r="I71" t="s">
        <v>1194</v>
      </c>
      <c r="J71" t="s">
        <v>1288</v>
      </c>
      <c r="K71">
        <v>1</v>
      </c>
      <c r="L71">
        <v>0</v>
      </c>
      <c r="M71">
        <v>0</v>
      </c>
      <c r="N71">
        <v>0</v>
      </c>
      <c r="O71">
        <v>0</v>
      </c>
      <c r="P71">
        <v>0</v>
      </c>
      <c r="Q71">
        <v>0</v>
      </c>
      <c r="R71">
        <v>0</v>
      </c>
      <c r="S71">
        <v>0</v>
      </c>
      <c r="T71" t="s">
        <v>341</v>
      </c>
    </row>
    <row r="72" spans="1:20">
      <c r="A72" s="786">
        <f t="shared" si="5"/>
        <v>40</v>
      </c>
      <c r="B72" s="786" t="str">
        <f t="shared" si="6"/>
        <v>TT</v>
      </c>
      <c r="C72" s="786">
        <v>0</v>
      </c>
      <c r="D72" s="786" t="str">
        <f t="shared" si="7"/>
        <v>NO</v>
      </c>
      <c r="E72" s="38">
        <v>45932</v>
      </c>
      <c r="F72" s="614">
        <v>0.91666666666666663</v>
      </c>
      <c r="G72" s="614" t="str">
        <f>VLOOKUP(H72,'BASE DATOS'!$BN$2:$BO$40,2,FALSE)</f>
        <v>PRIMER PISO</v>
      </c>
      <c r="H72" t="s">
        <v>1223</v>
      </c>
      <c r="I72" t="s">
        <v>1224</v>
      </c>
      <c r="J72" t="s">
        <v>1289</v>
      </c>
      <c r="K72">
        <v>0</v>
      </c>
      <c r="L72">
        <v>0</v>
      </c>
      <c r="M72">
        <v>0</v>
      </c>
      <c r="N72">
        <v>0</v>
      </c>
      <c r="O72">
        <v>0</v>
      </c>
      <c r="P72">
        <v>0</v>
      </c>
      <c r="Q72">
        <v>0</v>
      </c>
      <c r="R72">
        <v>0</v>
      </c>
      <c r="S72">
        <v>0</v>
      </c>
      <c r="T72" t="s">
        <v>341</v>
      </c>
    </row>
    <row r="73" spans="1:20">
      <c r="A73" s="786">
        <f t="shared" si="5"/>
        <v>40</v>
      </c>
      <c r="B73" s="786" t="str">
        <f t="shared" si="6"/>
        <v>TT</v>
      </c>
      <c r="C73" s="786">
        <f t="shared" ref="C73:C136" si="8">+IF(OR(F73&lt;&gt;F72,G73&lt;&gt;G72,E73&lt;&gt;E72),1,0)</f>
        <v>1</v>
      </c>
      <c r="D73" s="786" t="str">
        <f t="shared" si="7"/>
        <v>NO</v>
      </c>
      <c r="E73" s="38">
        <v>45933</v>
      </c>
      <c r="F73" s="614">
        <v>0.25</v>
      </c>
      <c r="G73" s="614" t="str">
        <f>VLOOKUP(H73,'BASE DATOS'!$BN$2:$BO$40,2,FALSE)</f>
        <v>PRIMER PISO</v>
      </c>
      <c r="H73" t="s">
        <v>1265</v>
      </c>
      <c r="I73" t="s">
        <v>1224</v>
      </c>
      <c r="J73" t="s">
        <v>1290</v>
      </c>
      <c r="K73">
        <v>0</v>
      </c>
      <c r="L73">
        <v>0</v>
      </c>
      <c r="M73">
        <v>0</v>
      </c>
      <c r="N73">
        <v>0</v>
      </c>
      <c r="O73">
        <v>1</v>
      </c>
      <c r="P73">
        <v>0</v>
      </c>
      <c r="Q73">
        <v>0</v>
      </c>
      <c r="R73">
        <v>0</v>
      </c>
      <c r="S73">
        <v>0</v>
      </c>
      <c r="T73" t="s">
        <v>341</v>
      </c>
    </row>
    <row r="74" spans="1:20">
      <c r="A74" s="786">
        <f t="shared" si="5"/>
        <v>40</v>
      </c>
      <c r="B74" s="786" t="str">
        <f t="shared" si="6"/>
        <v>TT</v>
      </c>
      <c r="C74" s="786">
        <f t="shared" si="8"/>
        <v>1</v>
      </c>
      <c r="D74" s="786" t="str">
        <f t="shared" si="7"/>
        <v>SI</v>
      </c>
      <c r="E74" s="38">
        <v>45932</v>
      </c>
      <c r="F74" s="614">
        <v>0.95833333333333337</v>
      </c>
      <c r="G74" s="614" t="str">
        <f>VLOOKUP(H74,'BASE DATOS'!$BN$2:$BO$40,2,FALSE)</f>
        <v>PLANTA BAJA</v>
      </c>
      <c r="H74" t="s">
        <v>1228</v>
      </c>
      <c r="I74" t="s">
        <v>1207</v>
      </c>
      <c r="J74" t="s">
        <v>1254</v>
      </c>
      <c r="K74">
        <v>1</v>
      </c>
      <c r="L74">
        <v>1</v>
      </c>
      <c r="M74">
        <v>1</v>
      </c>
      <c r="N74">
        <v>1</v>
      </c>
      <c r="O74">
        <v>1</v>
      </c>
      <c r="P74">
        <v>1</v>
      </c>
      <c r="Q74">
        <v>1</v>
      </c>
      <c r="R74">
        <v>1</v>
      </c>
      <c r="S74">
        <v>1</v>
      </c>
      <c r="T74" t="s">
        <v>341</v>
      </c>
    </row>
    <row r="75" spans="1:20">
      <c r="A75" s="786">
        <f t="shared" si="5"/>
        <v>40</v>
      </c>
      <c r="B75" s="786" t="str">
        <f t="shared" si="6"/>
        <v>TM</v>
      </c>
      <c r="C75" s="786">
        <f t="shared" si="8"/>
        <v>1</v>
      </c>
      <c r="D75" s="786" t="str">
        <f t="shared" si="7"/>
        <v>NO</v>
      </c>
      <c r="E75" s="38">
        <v>45933</v>
      </c>
      <c r="F75" s="614">
        <v>0.66666666666666663</v>
      </c>
      <c r="G75" s="614" t="str">
        <f>VLOOKUP(H75,'BASE DATOS'!$BN$2:$BO$40,2,FALSE)</f>
        <v>PRIMER PISO</v>
      </c>
      <c r="H75" t="s">
        <v>1193</v>
      </c>
      <c r="I75" t="s">
        <v>1210</v>
      </c>
      <c r="J75" t="s">
        <v>1291</v>
      </c>
      <c r="K75">
        <v>0</v>
      </c>
      <c r="L75">
        <v>0</v>
      </c>
      <c r="M75">
        <v>0</v>
      </c>
      <c r="N75">
        <v>1</v>
      </c>
      <c r="O75">
        <v>0</v>
      </c>
      <c r="P75">
        <v>0</v>
      </c>
      <c r="Q75">
        <v>0</v>
      </c>
      <c r="R75">
        <v>0</v>
      </c>
      <c r="S75">
        <v>0</v>
      </c>
      <c r="T75" t="s">
        <v>341</v>
      </c>
    </row>
    <row r="76" spans="1:20">
      <c r="A76" s="786">
        <f t="shared" si="5"/>
        <v>40</v>
      </c>
      <c r="B76" s="786" t="str">
        <f t="shared" si="6"/>
        <v>TT</v>
      </c>
      <c r="C76" s="786">
        <f t="shared" si="8"/>
        <v>1</v>
      </c>
      <c r="D76" s="786" t="str">
        <f t="shared" si="7"/>
        <v>SI</v>
      </c>
      <c r="E76" s="38">
        <v>45933</v>
      </c>
      <c r="F76" s="614">
        <v>0.875</v>
      </c>
      <c r="G76" s="614" t="str">
        <f>VLOOKUP(H76,'BASE DATOS'!$BN$2:$BO$40,2,FALSE)</f>
        <v>PLANTA BAJA</v>
      </c>
      <c r="H76" t="s">
        <v>1228</v>
      </c>
      <c r="I76" t="s">
        <v>1207</v>
      </c>
      <c r="J76" t="s">
        <v>1254</v>
      </c>
      <c r="K76">
        <v>1</v>
      </c>
      <c r="L76">
        <v>1</v>
      </c>
      <c r="M76">
        <v>1</v>
      </c>
      <c r="N76">
        <v>1</v>
      </c>
      <c r="O76">
        <v>1</v>
      </c>
      <c r="P76">
        <v>1</v>
      </c>
      <c r="Q76">
        <v>1</v>
      </c>
      <c r="R76">
        <v>1</v>
      </c>
      <c r="S76">
        <v>1</v>
      </c>
      <c r="T76" t="s">
        <v>341</v>
      </c>
    </row>
    <row r="77" spans="1:20">
      <c r="A77" s="786">
        <f t="shared" si="5"/>
        <v>40</v>
      </c>
      <c r="B77" s="786" t="str">
        <f t="shared" si="6"/>
        <v>TT</v>
      </c>
      <c r="C77" s="786">
        <f t="shared" si="8"/>
        <v>0</v>
      </c>
      <c r="D77" s="786" t="str">
        <f t="shared" si="7"/>
        <v>SI</v>
      </c>
      <c r="E77" s="38">
        <v>45933</v>
      </c>
      <c r="F77" s="614">
        <v>0.875</v>
      </c>
      <c r="G77" s="614" t="str">
        <f>VLOOKUP(H77,'BASE DATOS'!$BN$2:$BO$40,2,FALSE)</f>
        <v>PLANTA BAJA</v>
      </c>
      <c r="H77" t="s">
        <v>1228</v>
      </c>
      <c r="I77" t="s">
        <v>1229</v>
      </c>
      <c r="J77" t="s">
        <v>1292</v>
      </c>
      <c r="K77">
        <v>1</v>
      </c>
      <c r="L77">
        <v>1</v>
      </c>
      <c r="M77">
        <v>1</v>
      </c>
      <c r="N77">
        <v>1</v>
      </c>
      <c r="O77">
        <v>1</v>
      </c>
      <c r="P77">
        <v>1</v>
      </c>
      <c r="Q77">
        <v>1</v>
      </c>
      <c r="R77">
        <v>1</v>
      </c>
      <c r="S77">
        <v>1</v>
      </c>
      <c r="T77" t="s">
        <v>341</v>
      </c>
    </row>
    <row r="78" spans="1:20">
      <c r="A78" s="786">
        <f t="shared" si="5"/>
        <v>40</v>
      </c>
      <c r="B78" s="786" t="str">
        <f t="shared" si="6"/>
        <v>TT</v>
      </c>
      <c r="C78" s="786">
        <f t="shared" si="8"/>
        <v>0</v>
      </c>
      <c r="D78" s="786" t="str">
        <f t="shared" si="7"/>
        <v>NO</v>
      </c>
      <c r="E78" s="38">
        <v>45933</v>
      </c>
      <c r="F78" s="614">
        <v>0.875</v>
      </c>
      <c r="G78" s="614" t="str">
        <f>VLOOKUP(H78,'BASE DATOS'!$BN$2:$BO$40,2,FALSE)</f>
        <v>PLANTA BAJA</v>
      </c>
      <c r="H78" t="s">
        <v>1245</v>
      </c>
      <c r="I78" t="s">
        <v>1234</v>
      </c>
      <c r="J78" t="s">
        <v>1293</v>
      </c>
      <c r="K78">
        <v>0</v>
      </c>
      <c r="L78">
        <v>0</v>
      </c>
      <c r="M78">
        <v>1</v>
      </c>
      <c r="N78">
        <v>0</v>
      </c>
      <c r="O78">
        <v>0</v>
      </c>
      <c r="P78">
        <v>0</v>
      </c>
      <c r="Q78">
        <v>0</v>
      </c>
      <c r="R78">
        <v>0</v>
      </c>
      <c r="S78">
        <v>0</v>
      </c>
      <c r="T78" t="s">
        <v>341</v>
      </c>
    </row>
    <row r="79" spans="1:20">
      <c r="A79" s="786">
        <f t="shared" si="5"/>
        <v>41</v>
      </c>
      <c r="B79" s="786" t="str">
        <f t="shared" si="6"/>
        <v>TM</v>
      </c>
      <c r="C79" s="786">
        <f t="shared" si="8"/>
        <v>1</v>
      </c>
      <c r="D79" s="786" t="str">
        <f t="shared" si="7"/>
        <v>SI</v>
      </c>
      <c r="E79" s="38">
        <v>45936</v>
      </c>
      <c r="F79" s="614">
        <v>0.66666666666666663</v>
      </c>
      <c r="G79" s="614" t="str">
        <f>VLOOKUP(H79,'BASE DATOS'!$BN$2:$BO$40,2,FALSE)</f>
        <v>PLANTA BAJA</v>
      </c>
      <c r="H79" t="s">
        <v>1228</v>
      </c>
      <c r="I79" t="s">
        <v>1207</v>
      </c>
      <c r="J79" t="s">
        <v>1254</v>
      </c>
      <c r="K79">
        <v>1</v>
      </c>
      <c r="L79">
        <v>1</v>
      </c>
      <c r="M79">
        <v>1</v>
      </c>
      <c r="N79">
        <v>1</v>
      </c>
      <c r="O79">
        <v>1</v>
      </c>
      <c r="P79">
        <v>1</v>
      </c>
      <c r="Q79">
        <v>1</v>
      </c>
      <c r="R79">
        <v>1</v>
      </c>
      <c r="S79">
        <v>1</v>
      </c>
      <c r="T79" t="s">
        <v>341</v>
      </c>
    </row>
    <row r="80" spans="1:20">
      <c r="A80" s="786">
        <f t="shared" si="5"/>
        <v>41</v>
      </c>
      <c r="B80" s="786" t="str">
        <f t="shared" si="6"/>
        <v>TT</v>
      </c>
      <c r="C80" s="786">
        <f t="shared" si="8"/>
        <v>1</v>
      </c>
      <c r="D80" s="786" t="str">
        <f t="shared" si="7"/>
        <v>NO</v>
      </c>
      <c r="E80" s="38">
        <v>45937</v>
      </c>
      <c r="F80" s="614">
        <v>0.1875</v>
      </c>
      <c r="G80" s="614" t="str">
        <f>VLOOKUP(H80,'BASE DATOS'!$BN$2:$BO$40,2,FALSE)</f>
        <v>PRIMER PISO</v>
      </c>
      <c r="H80" t="s">
        <v>1271</v>
      </c>
      <c r="I80" t="s">
        <v>970</v>
      </c>
      <c r="J80" t="s">
        <v>1294</v>
      </c>
      <c r="K80">
        <v>0</v>
      </c>
      <c r="L80">
        <v>0</v>
      </c>
      <c r="M80">
        <v>0</v>
      </c>
      <c r="N80">
        <v>0</v>
      </c>
      <c r="O80">
        <v>1</v>
      </c>
      <c r="P80">
        <v>0</v>
      </c>
      <c r="Q80">
        <v>0</v>
      </c>
      <c r="R80">
        <v>0</v>
      </c>
      <c r="S80">
        <v>0</v>
      </c>
      <c r="T80" t="s">
        <v>341</v>
      </c>
    </row>
    <row r="81" spans="1:20">
      <c r="A81" s="786">
        <f t="shared" si="5"/>
        <v>41</v>
      </c>
      <c r="B81" s="786" t="str">
        <f t="shared" si="6"/>
        <v>TT</v>
      </c>
      <c r="C81" s="786">
        <f t="shared" si="8"/>
        <v>0</v>
      </c>
      <c r="D81" s="786" t="str">
        <f t="shared" si="7"/>
        <v>NO</v>
      </c>
      <c r="E81" s="38">
        <v>45937</v>
      </c>
      <c r="F81" s="614">
        <v>0.1875</v>
      </c>
      <c r="G81" s="614" t="str">
        <f>VLOOKUP(H81,'BASE DATOS'!$BN$2:$BO$40,2,FALSE)</f>
        <v>PRIMER PISO</v>
      </c>
      <c r="H81" t="s">
        <v>1209</v>
      </c>
      <c r="I81" t="s">
        <v>1210</v>
      </c>
      <c r="J81" t="s">
        <v>1295</v>
      </c>
      <c r="K81">
        <v>0</v>
      </c>
      <c r="L81">
        <v>0</v>
      </c>
      <c r="M81">
        <v>0</v>
      </c>
      <c r="N81">
        <v>0</v>
      </c>
      <c r="O81">
        <v>1</v>
      </c>
      <c r="P81">
        <v>0</v>
      </c>
      <c r="Q81">
        <v>0</v>
      </c>
      <c r="R81">
        <v>0</v>
      </c>
      <c r="S81">
        <v>1</v>
      </c>
      <c r="T81" t="s">
        <v>341</v>
      </c>
    </row>
    <row r="82" spans="1:20">
      <c r="A82" s="786">
        <f t="shared" si="5"/>
        <v>41</v>
      </c>
      <c r="B82" s="786" t="str">
        <f t="shared" si="6"/>
        <v>TT</v>
      </c>
      <c r="C82" s="786">
        <f t="shared" si="8"/>
        <v>0</v>
      </c>
      <c r="D82" s="786" t="str">
        <f t="shared" si="7"/>
        <v>NO</v>
      </c>
      <c r="E82" s="38">
        <v>45937</v>
      </c>
      <c r="F82" s="614">
        <v>0.1875</v>
      </c>
      <c r="G82" s="614" t="str">
        <f>VLOOKUP(H82,'BASE DATOS'!$BN$2:$BO$40,2,FALSE)</f>
        <v>PRIMER PISO</v>
      </c>
      <c r="H82" t="s">
        <v>1223</v>
      </c>
      <c r="I82" t="s">
        <v>1210</v>
      </c>
      <c r="J82" t="s">
        <v>1296</v>
      </c>
      <c r="K82">
        <v>0</v>
      </c>
      <c r="L82">
        <v>0</v>
      </c>
      <c r="M82">
        <v>0</v>
      </c>
      <c r="N82">
        <v>0</v>
      </c>
      <c r="O82">
        <v>1</v>
      </c>
      <c r="P82">
        <v>0</v>
      </c>
      <c r="Q82">
        <v>0</v>
      </c>
      <c r="R82">
        <v>0</v>
      </c>
      <c r="S82">
        <v>0</v>
      </c>
      <c r="T82" t="s">
        <v>341</v>
      </c>
    </row>
    <row r="83" spans="1:20">
      <c r="A83" s="786">
        <f t="shared" si="5"/>
        <v>41</v>
      </c>
      <c r="B83" s="786" t="str">
        <f t="shared" si="6"/>
        <v>TM</v>
      </c>
      <c r="C83" s="786">
        <f t="shared" si="8"/>
        <v>1</v>
      </c>
      <c r="D83" s="786" t="str">
        <f t="shared" si="7"/>
        <v>SI</v>
      </c>
      <c r="E83" s="38">
        <v>45937</v>
      </c>
      <c r="F83" s="614">
        <v>0.66666666666666663</v>
      </c>
      <c r="G83" s="614" t="str">
        <f>VLOOKUP(H83,'BASE DATOS'!$BN$2:$BO$40,2,FALSE)</f>
        <v>PRIMER PISO</v>
      </c>
      <c r="H83" t="s">
        <v>1206</v>
      </c>
      <c r="I83" t="s">
        <v>1207</v>
      </c>
      <c r="J83" t="s">
        <v>1297</v>
      </c>
      <c r="K83">
        <v>1</v>
      </c>
      <c r="L83">
        <v>1</v>
      </c>
      <c r="M83">
        <v>1</v>
      </c>
      <c r="N83">
        <v>1</v>
      </c>
      <c r="O83">
        <v>1</v>
      </c>
      <c r="P83">
        <v>1</v>
      </c>
      <c r="Q83">
        <v>1</v>
      </c>
      <c r="R83">
        <v>1</v>
      </c>
      <c r="S83">
        <v>1</v>
      </c>
      <c r="T83" t="s">
        <v>341</v>
      </c>
    </row>
    <row r="84" spans="1:20">
      <c r="A84" s="786">
        <f t="shared" si="5"/>
        <v>41</v>
      </c>
      <c r="B84" s="786" t="str">
        <f t="shared" si="6"/>
        <v>TM</v>
      </c>
      <c r="C84" s="786">
        <f t="shared" si="8"/>
        <v>0</v>
      </c>
      <c r="D84" s="786" t="str">
        <f t="shared" si="7"/>
        <v>SI</v>
      </c>
      <c r="E84" s="38">
        <v>45937</v>
      </c>
      <c r="F84" s="614">
        <v>0.66666666666666663</v>
      </c>
      <c r="G84" s="614" t="str">
        <f>VLOOKUP(H84,'BASE DATOS'!$BN$2:$BO$40,2,FALSE)</f>
        <v>PRIMER PISO</v>
      </c>
      <c r="H84" t="s">
        <v>1261</v>
      </c>
      <c r="I84" t="s">
        <v>1210</v>
      </c>
      <c r="J84" t="s">
        <v>1298</v>
      </c>
      <c r="K84">
        <v>1</v>
      </c>
      <c r="L84">
        <v>1</v>
      </c>
      <c r="M84">
        <v>1</v>
      </c>
      <c r="N84">
        <v>1</v>
      </c>
      <c r="O84">
        <v>1</v>
      </c>
      <c r="P84">
        <v>1</v>
      </c>
      <c r="Q84">
        <v>1</v>
      </c>
      <c r="R84">
        <v>1</v>
      </c>
      <c r="S84">
        <v>1</v>
      </c>
      <c r="T84" t="s">
        <v>341</v>
      </c>
    </row>
    <row r="85" spans="1:20">
      <c r="A85" s="786">
        <f t="shared" si="5"/>
        <v>41</v>
      </c>
      <c r="B85" s="786" t="str">
        <f t="shared" si="6"/>
        <v>TT</v>
      </c>
      <c r="C85" s="786">
        <f t="shared" si="8"/>
        <v>1</v>
      </c>
      <c r="D85" s="786" t="str">
        <f t="shared" si="7"/>
        <v>SI</v>
      </c>
      <c r="E85" s="38">
        <v>45937</v>
      </c>
      <c r="F85" s="614">
        <v>0.89583333333333337</v>
      </c>
      <c r="G85" s="614" t="str">
        <f>VLOOKUP(H85,'BASE DATOS'!$BN$2:$BO$40,2,FALSE)</f>
        <v>PLANTA BAJA</v>
      </c>
      <c r="H85" t="s">
        <v>1228</v>
      </c>
      <c r="I85" t="s">
        <v>1207</v>
      </c>
      <c r="J85" t="s">
        <v>1299</v>
      </c>
      <c r="K85">
        <v>1</v>
      </c>
      <c r="L85">
        <v>1</v>
      </c>
      <c r="M85">
        <v>1</v>
      </c>
      <c r="N85">
        <v>1</v>
      </c>
      <c r="O85">
        <v>1</v>
      </c>
      <c r="P85">
        <v>1</v>
      </c>
      <c r="Q85">
        <v>1</v>
      </c>
      <c r="R85">
        <v>1</v>
      </c>
      <c r="S85">
        <v>1</v>
      </c>
      <c r="T85" t="s">
        <v>341</v>
      </c>
    </row>
    <row r="86" spans="1:20">
      <c r="A86" s="786">
        <f t="shared" si="5"/>
        <v>41</v>
      </c>
      <c r="B86" s="786" t="str">
        <f t="shared" si="6"/>
        <v>TT</v>
      </c>
      <c r="C86" s="786">
        <f t="shared" si="8"/>
        <v>0</v>
      </c>
      <c r="D86" s="786" t="str">
        <f t="shared" si="7"/>
        <v>NO</v>
      </c>
      <c r="E86" s="38">
        <v>45937</v>
      </c>
      <c r="F86" s="614">
        <v>0.89583333333333337</v>
      </c>
      <c r="G86" s="614" t="str">
        <f>VLOOKUP(H86,'BASE DATOS'!$BN$2:$BO$40,2,FALSE)</f>
        <v>PLANTA BAJA</v>
      </c>
      <c r="H86" t="s">
        <v>1243</v>
      </c>
      <c r="I86" t="s">
        <v>1216</v>
      </c>
      <c r="J86" t="s">
        <v>1300</v>
      </c>
      <c r="K86">
        <v>0</v>
      </c>
      <c r="L86">
        <v>0</v>
      </c>
      <c r="M86">
        <v>0</v>
      </c>
      <c r="N86">
        <v>0</v>
      </c>
      <c r="O86">
        <v>0</v>
      </c>
      <c r="P86">
        <v>0</v>
      </c>
      <c r="Q86">
        <v>0</v>
      </c>
      <c r="R86">
        <v>1</v>
      </c>
      <c r="S86">
        <v>0</v>
      </c>
      <c r="T86" t="s">
        <v>341</v>
      </c>
    </row>
    <row r="87" spans="1:20">
      <c r="A87" s="786">
        <f t="shared" si="5"/>
        <v>41</v>
      </c>
      <c r="B87" s="786" t="str">
        <f t="shared" si="6"/>
        <v>TM</v>
      </c>
      <c r="C87" s="786">
        <f t="shared" si="8"/>
        <v>1</v>
      </c>
      <c r="D87" s="786" t="str">
        <f t="shared" si="7"/>
        <v>NO</v>
      </c>
      <c r="E87" s="38">
        <v>45938</v>
      </c>
      <c r="F87" s="614">
        <v>0.41666666666666669</v>
      </c>
      <c r="G87" s="614" t="s">
        <v>1248</v>
      </c>
      <c r="H87" t="s">
        <v>970</v>
      </c>
      <c r="I87" t="s">
        <v>1216</v>
      </c>
      <c r="J87" t="s">
        <v>1301</v>
      </c>
      <c r="K87">
        <v>0</v>
      </c>
      <c r="L87">
        <v>0</v>
      </c>
      <c r="M87">
        <v>0</v>
      </c>
      <c r="N87">
        <v>0</v>
      </c>
      <c r="O87">
        <v>0</v>
      </c>
      <c r="P87">
        <v>0</v>
      </c>
      <c r="Q87">
        <v>0</v>
      </c>
      <c r="R87">
        <v>0</v>
      </c>
      <c r="S87">
        <v>0</v>
      </c>
      <c r="T87" t="s">
        <v>341</v>
      </c>
    </row>
    <row r="88" spans="1:20">
      <c r="A88" s="786">
        <f t="shared" si="5"/>
        <v>41</v>
      </c>
      <c r="B88" s="786" t="str">
        <f t="shared" si="6"/>
        <v>TM</v>
      </c>
      <c r="C88" s="786">
        <f t="shared" si="8"/>
        <v>0</v>
      </c>
      <c r="D88" s="786" t="str">
        <f t="shared" si="7"/>
        <v>NO</v>
      </c>
      <c r="E88" s="38">
        <v>45938</v>
      </c>
      <c r="F88" s="614">
        <v>0.41666666666666669</v>
      </c>
      <c r="G88" s="614" t="str">
        <f>VLOOKUP(H88,'BASE DATOS'!$BN$2:$BO$40,2,FALSE)</f>
        <v>PLANTA BAJA</v>
      </c>
      <c r="H88" t="s">
        <v>1243</v>
      </c>
      <c r="I88" t="s">
        <v>1207</v>
      </c>
      <c r="J88" t="s">
        <v>1302</v>
      </c>
      <c r="K88">
        <v>1</v>
      </c>
      <c r="L88">
        <v>0</v>
      </c>
      <c r="M88">
        <v>0</v>
      </c>
      <c r="N88">
        <v>0</v>
      </c>
      <c r="O88">
        <v>0</v>
      </c>
      <c r="P88">
        <v>0</v>
      </c>
      <c r="Q88">
        <v>0</v>
      </c>
      <c r="R88">
        <v>0</v>
      </c>
      <c r="S88">
        <v>0</v>
      </c>
      <c r="T88" t="s">
        <v>341</v>
      </c>
    </row>
    <row r="89" spans="1:20">
      <c r="A89" s="786">
        <f t="shared" si="5"/>
        <v>41</v>
      </c>
      <c r="B89" s="786" t="str">
        <f t="shared" si="6"/>
        <v>TM</v>
      </c>
      <c r="C89" s="786">
        <f t="shared" si="8"/>
        <v>0</v>
      </c>
      <c r="D89" s="786" t="str">
        <f t="shared" si="7"/>
        <v>NO</v>
      </c>
      <c r="E89" s="38">
        <v>45938</v>
      </c>
      <c r="F89" s="614">
        <v>0.41666666666666669</v>
      </c>
      <c r="G89" s="614" t="str">
        <f>VLOOKUP(H89,'BASE DATOS'!$BN$2:$BO$40,2,FALSE)</f>
        <v>PLANTA BAJA</v>
      </c>
      <c r="H89" t="s">
        <v>1303</v>
      </c>
      <c r="I89" t="s">
        <v>1210</v>
      </c>
      <c r="J89" t="s">
        <v>1304</v>
      </c>
      <c r="K89">
        <v>1</v>
      </c>
      <c r="L89">
        <v>0</v>
      </c>
      <c r="M89">
        <v>0</v>
      </c>
      <c r="N89">
        <v>1</v>
      </c>
      <c r="O89">
        <v>0</v>
      </c>
      <c r="P89">
        <v>0</v>
      </c>
      <c r="Q89">
        <v>0</v>
      </c>
      <c r="R89">
        <v>0</v>
      </c>
      <c r="S89">
        <v>0</v>
      </c>
      <c r="T89" t="s">
        <v>341</v>
      </c>
    </row>
    <row r="90" spans="1:20">
      <c r="A90" s="786">
        <f t="shared" si="5"/>
        <v>41</v>
      </c>
      <c r="B90" s="786" t="str">
        <f t="shared" si="6"/>
        <v>TT</v>
      </c>
      <c r="C90" s="786">
        <f t="shared" si="8"/>
        <v>1</v>
      </c>
      <c r="D90" s="786" t="str">
        <f t="shared" si="7"/>
        <v>NO</v>
      </c>
      <c r="E90" s="38">
        <v>45938</v>
      </c>
      <c r="F90" s="614">
        <v>0.1875</v>
      </c>
      <c r="G90" s="614" t="str">
        <f>VLOOKUP(H90,'BASE DATOS'!$BN$2:$BO$40,2,FALSE)</f>
        <v>PRIMER PISO</v>
      </c>
      <c r="H90" t="s">
        <v>1193</v>
      </c>
      <c r="I90" t="s">
        <v>1201</v>
      </c>
      <c r="J90" t="s">
        <v>1305</v>
      </c>
      <c r="K90">
        <v>0</v>
      </c>
      <c r="L90">
        <v>0</v>
      </c>
      <c r="M90">
        <v>1</v>
      </c>
      <c r="N90">
        <v>0</v>
      </c>
      <c r="O90">
        <v>1</v>
      </c>
      <c r="P90">
        <v>0</v>
      </c>
      <c r="Q90">
        <v>0</v>
      </c>
      <c r="R90">
        <v>0</v>
      </c>
      <c r="S90">
        <v>0</v>
      </c>
      <c r="T90" t="s">
        <v>341</v>
      </c>
    </row>
    <row r="91" spans="1:20">
      <c r="A91" s="786">
        <f t="shared" si="5"/>
        <v>41</v>
      </c>
      <c r="B91" s="786" t="str">
        <f t="shared" si="6"/>
        <v>TT</v>
      </c>
      <c r="C91" s="786">
        <f t="shared" si="8"/>
        <v>0</v>
      </c>
      <c r="D91" s="786" t="str">
        <f t="shared" si="7"/>
        <v>SI</v>
      </c>
      <c r="E91" s="38">
        <v>45938</v>
      </c>
      <c r="F91" s="614">
        <v>0.1875</v>
      </c>
      <c r="G91" s="614" t="str">
        <f>VLOOKUP(H91,'BASE DATOS'!$BN$2:$BO$40,2,FALSE)</f>
        <v>PRIMER PISO</v>
      </c>
      <c r="H91" t="s">
        <v>1206</v>
      </c>
      <c r="I91" t="s">
        <v>1207</v>
      </c>
      <c r="J91" t="s">
        <v>1306</v>
      </c>
      <c r="K91">
        <v>1</v>
      </c>
      <c r="L91">
        <v>1</v>
      </c>
      <c r="M91">
        <v>1</v>
      </c>
      <c r="N91">
        <v>1</v>
      </c>
      <c r="O91">
        <v>1</v>
      </c>
      <c r="P91">
        <v>1</v>
      </c>
      <c r="Q91">
        <v>1</v>
      </c>
      <c r="R91">
        <v>1</v>
      </c>
      <c r="S91">
        <v>1</v>
      </c>
      <c r="T91" t="s">
        <v>341</v>
      </c>
    </row>
    <row r="92" spans="1:20">
      <c r="A92" s="786">
        <f t="shared" si="5"/>
        <v>42</v>
      </c>
      <c r="B92" s="786" t="str">
        <f t="shared" si="6"/>
        <v>TT</v>
      </c>
      <c r="C92" s="786">
        <f t="shared" si="8"/>
        <v>1</v>
      </c>
      <c r="D92" s="786" t="str">
        <f t="shared" si="7"/>
        <v>NO</v>
      </c>
      <c r="E92" s="38">
        <v>45944</v>
      </c>
      <c r="F92" s="614">
        <v>0.20833333333333334</v>
      </c>
      <c r="G92" s="614" t="str">
        <f>VLOOKUP(H92,'BASE DATOS'!$BN$2:$BO$40,2,FALSE)</f>
        <v>PRIMER PISO</v>
      </c>
      <c r="H92" t="s">
        <v>1198</v>
      </c>
      <c r="I92" t="s">
        <v>1199</v>
      </c>
      <c r="K92">
        <f>IF(VLOOKUP($H92,'BASE DATOS'!$BN$2:$BX$40,3,FALSE)&lt;&gt;0,1,0)</f>
        <v>0</v>
      </c>
      <c r="L92">
        <f>IF(VLOOKUP($H92,'BASE DATOS'!$BN$2:$BX$40,4,FALSE)&lt;&gt;0,1,0)</f>
        <v>0</v>
      </c>
      <c r="M92">
        <f>IF(VLOOKUP($H92,'BASE DATOS'!$BN$2:$BX$40,5,FALSE)&lt;&gt;0,1,0)</f>
        <v>0</v>
      </c>
      <c r="N92">
        <v>0</v>
      </c>
      <c r="O92">
        <f>IF(VLOOKUP($H92,'BASE DATOS'!$BN$2:$BX$40,7,FALSE)&lt;&gt;0,1,0)</f>
        <v>1</v>
      </c>
      <c r="P92">
        <f>IF(VLOOKUP($H92,'BASE DATOS'!$BN$2:$BX$40,8,FALSE)&lt;&gt;0,1,0)</f>
        <v>0</v>
      </c>
      <c r="Q92">
        <f>IF(VLOOKUP($H92,'BASE DATOS'!$BN$2:$BX$40,9,FALSE)&lt;&gt;0,1,0)</f>
        <v>0</v>
      </c>
      <c r="R92">
        <f>IF(VLOOKUP($H92,'BASE DATOS'!$BN$2:$BX$40,10,FALSE)&lt;&gt;0,1,0)</f>
        <v>0</v>
      </c>
      <c r="S92">
        <f>IF(VLOOKUP($H92,'BASE DATOS'!$BN$2:$BX$40,11,FALSE)&lt;&gt;0,1,0)</f>
        <v>0</v>
      </c>
      <c r="T92" t="s">
        <v>341</v>
      </c>
    </row>
    <row r="93" spans="1:20">
      <c r="A93" s="786">
        <f t="shared" si="5"/>
        <v>42</v>
      </c>
      <c r="B93" s="786" t="str">
        <f t="shared" si="6"/>
        <v>TM</v>
      </c>
      <c r="C93" s="786">
        <f t="shared" si="8"/>
        <v>1</v>
      </c>
      <c r="D93" s="786" t="str">
        <f t="shared" si="7"/>
        <v>NO</v>
      </c>
      <c r="E93" s="38">
        <v>45944</v>
      </c>
      <c r="F93" s="614">
        <v>0.66666666666666663</v>
      </c>
      <c r="G93" s="614" t="str">
        <f>VLOOKUP(H93,'BASE DATOS'!$BN$2:$BO$40,2,FALSE)</f>
        <v>PRIMER PISO</v>
      </c>
      <c r="H93" t="s">
        <v>1219</v>
      </c>
      <c r="I93" t="s">
        <v>1210</v>
      </c>
      <c r="J93" t="s">
        <v>1304</v>
      </c>
      <c r="K93">
        <f>IF(VLOOKUP($H93,'BASE DATOS'!$BN$2:$BX$40,3,FALSE)&lt;&gt;0,1,0)</f>
        <v>0</v>
      </c>
      <c r="L93">
        <f>IF(VLOOKUP($H93,'BASE DATOS'!$BN$2:$BX$40,4,FALSE)&lt;&gt;0,1,0)</f>
        <v>0</v>
      </c>
      <c r="M93">
        <f>IF(VLOOKUP($H93,'BASE DATOS'!$BN$2:$BX$40,5,FALSE)&lt;&gt;0,1,0)</f>
        <v>0</v>
      </c>
      <c r="N93">
        <f>IF(VLOOKUP($H93,'BASE DATOS'!$BN$2:$BX$40,6,FALSE)&lt;&gt;0,1,0)</f>
        <v>1</v>
      </c>
      <c r="O93">
        <v>0</v>
      </c>
      <c r="P93">
        <f>IF(VLOOKUP($H93,'BASE DATOS'!$BN$2:$BX$40,8,FALSE)&lt;&gt;0,1,0)</f>
        <v>0</v>
      </c>
      <c r="Q93">
        <f>IF(VLOOKUP($H93,'BASE DATOS'!$BN$2:$BX$40,9,FALSE)&lt;&gt;0,1,0)</f>
        <v>0</v>
      </c>
      <c r="R93">
        <f>IF(VLOOKUP($H93,'BASE DATOS'!$BN$2:$BX$40,10,FALSE)&lt;&gt;0,1,0)</f>
        <v>0</v>
      </c>
      <c r="S93">
        <f>IF(VLOOKUP($H93,'BASE DATOS'!$BN$2:$BX$40,11,FALSE)&lt;&gt;0,1,0)</f>
        <v>0</v>
      </c>
      <c r="T93" t="s">
        <v>341</v>
      </c>
    </row>
    <row r="94" spans="1:20">
      <c r="A94" s="786">
        <f t="shared" si="5"/>
        <v>42</v>
      </c>
      <c r="B94" s="786" t="str">
        <f t="shared" si="6"/>
        <v>TM</v>
      </c>
      <c r="C94" s="786">
        <f t="shared" si="8"/>
        <v>0</v>
      </c>
      <c r="D94" s="786" t="str">
        <f t="shared" si="7"/>
        <v>NO</v>
      </c>
      <c r="E94" s="38">
        <v>45944</v>
      </c>
      <c r="F94" s="614">
        <v>0.66666666666666663</v>
      </c>
      <c r="G94" s="614" t="str">
        <f>VLOOKUP(H94,'BASE DATOS'!$BN$2:$BO$40,2,FALSE)</f>
        <v>PRIMER PISO</v>
      </c>
      <c r="H94" t="s">
        <v>1223</v>
      </c>
      <c r="I94" t="s">
        <v>1224</v>
      </c>
      <c r="J94" t="s">
        <v>1225</v>
      </c>
      <c r="K94">
        <f>IF(VLOOKUP($H94,'BASE DATOS'!$BN$2:$BX$40,3,FALSE)&lt;&gt;0,1,0)</f>
        <v>0</v>
      </c>
      <c r="L94">
        <f>IF(VLOOKUP($H94,'BASE DATOS'!$BN$2:$BX$40,4,FALSE)&lt;&gt;0,1,0)</f>
        <v>0</v>
      </c>
      <c r="M94">
        <f>IF(VLOOKUP($H94,'BASE DATOS'!$BN$2:$BX$40,5,FALSE)&lt;&gt;0,1,0)</f>
        <v>0</v>
      </c>
      <c r="N94">
        <f>IF(VLOOKUP($H94,'BASE DATOS'!$BN$2:$BX$40,6,FALSE)&lt;&gt;0,1,0)</f>
        <v>1</v>
      </c>
      <c r="O94">
        <v>0</v>
      </c>
      <c r="P94">
        <f>IF(VLOOKUP($H94,'BASE DATOS'!$BN$2:$BX$40,8,FALSE)&lt;&gt;0,1,0)</f>
        <v>0</v>
      </c>
      <c r="Q94">
        <f>IF(VLOOKUP($H94,'BASE DATOS'!$BN$2:$BX$40,9,FALSE)&lt;&gt;0,1,0)</f>
        <v>0</v>
      </c>
      <c r="R94">
        <f>IF(VLOOKUP($H94,'BASE DATOS'!$BN$2:$BX$40,10,FALSE)&lt;&gt;0,1,0)</f>
        <v>0</v>
      </c>
      <c r="S94">
        <f>IF(VLOOKUP($H94,'BASE DATOS'!$BN$2:$BX$40,11,FALSE)&lt;&gt;0,1,0)</f>
        <v>0</v>
      </c>
      <c r="T94" t="s">
        <v>341</v>
      </c>
    </row>
    <row r="95" spans="1:20">
      <c r="A95" s="786">
        <f t="shared" si="5"/>
        <v>42</v>
      </c>
      <c r="B95" s="786" t="str">
        <f t="shared" si="6"/>
        <v>TM</v>
      </c>
      <c r="C95" s="786">
        <f t="shared" si="8"/>
        <v>0</v>
      </c>
      <c r="D95" s="786" t="str">
        <f t="shared" si="7"/>
        <v>NO</v>
      </c>
      <c r="E95" s="38">
        <v>45944</v>
      </c>
      <c r="F95" s="614">
        <v>0.66666666666666663</v>
      </c>
      <c r="G95" s="614" t="str">
        <f>VLOOKUP(H95,'BASE DATOS'!$BN$2:$BO$40,2,FALSE)</f>
        <v>PRIMER PISO</v>
      </c>
      <c r="H95" t="s">
        <v>1193</v>
      </c>
      <c r="I95" t="s">
        <v>1201</v>
      </c>
      <c r="J95" t="s">
        <v>1307</v>
      </c>
      <c r="K95">
        <f>IF(VLOOKUP($H95,'BASE DATOS'!$BN$2:$BX$40,3,FALSE)&lt;&gt;0,1,0)</f>
        <v>0</v>
      </c>
      <c r="L95">
        <f>IF(VLOOKUP($H95,'BASE DATOS'!$BN$2:$BX$40,4,FALSE)&lt;&gt;0,1,0)</f>
        <v>0</v>
      </c>
      <c r="M95">
        <f>IF(VLOOKUP($H95,'BASE DATOS'!$BN$2:$BX$40,5,FALSE)&lt;&gt;0,1,0)</f>
        <v>0</v>
      </c>
      <c r="N95">
        <f>IF(VLOOKUP($H95,'BASE DATOS'!$BN$2:$BX$40,6,FALSE)&lt;&gt;0,1,0)</f>
        <v>1</v>
      </c>
      <c r="O95">
        <v>0</v>
      </c>
      <c r="P95">
        <f>IF(VLOOKUP($H95,'BASE DATOS'!$BN$2:$BX$40,8,FALSE)&lt;&gt;0,1,0)</f>
        <v>0</v>
      </c>
      <c r="Q95">
        <f>IF(VLOOKUP($H95,'BASE DATOS'!$BN$2:$BX$40,9,FALSE)&lt;&gt;0,1,0)</f>
        <v>0</v>
      </c>
      <c r="R95">
        <f>IF(VLOOKUP($H95,'BASE DATOS'!$BN$2:$BX$40,10,FALSE)&lt;&gt;0,1,0)</f>
        <v>0</v>
      </c>
      <c r="S95">
        <f>IF(VLOOKUP($H95,'BASE DATOS'!$BN$2:$BX$40,11,FALSE)&lt;&gt;0,1,0)</f>
        <v>0</v>
      </c>
      <c r="T95" t="s">
        <v>341</v>
      </c>
    </row>
    <row r="96" spans="1:20">
      <c r="A96" s="786">
        <f t="shared" si="5"/>
        <v>42</v>
      </c>
      <c r="B96" s="786" t="str">
        <f t="shared" si="6"/>
        <v>TM</v>
      </c>
      <c r="C96" s="786">
        <f t="shared" si="8"/>
        <v>0</v>
      </c>
      <c r="D96" s="786" t="str">
        <f t="shared" si="7"/>
        <v>SI</v>
      </c>
      <c r="E96" s="38">
        <v>45944</v>
      </c>
      <c r="F96" s="614">
        <v>0.66666666666666663</v>
      </c>
      <c r="G96" s="614" t="str">
        <f>VLOOKUP(H96,'BASE DATOS'!$BN$2:$BO$40,2,FALSE)</f>
        <v>PRIMER PISO</v>
      </c>
      <c r="H96" t="s">
        <v>1206</v>
      </c>
      <c r="I96" t="s">
        <v>1204</v>
      </c>
      <c r="J96" t="s">
        <v>1308</v>
      </c>
      <c r="K96">
        <f>IF(VLOOKUP($H96,'BASE DATOS'!$BN$2:$BX$40,3,FALSE)&lt;&gt;0,1,0)</f>
        <v>1</v>
      </c>
      <c r="L96">
        <f>IF(VLOOKUP($H96,'BASE DATOS'!$BN$2:$BX$40,4,FALSE)&lt;&gt;0,1,0)</f>
        <v>1</v>
      </c>
      <c r="M96">
        <f>IF(VLOOKUP($H96,'BASE DATOS'!$BN$2:$BX$40,5,FALSE)&lt;&gt;0,1,0)</f>
        <v>1</v>
      </c>
      <c r="N96">
        <f>IF(VLOOKUP($H96,'BASE DATOS'!$BN$2:$BX$40,6,FALSE)&lt;&gt;0,1,0)</f>
        <v>1</v>
      </c>
      <c r="O96">
        <f>IF(VLOOKUP($H96,'BASE DATOS'!$BN$2:$BX$40,7,FALSE)&lt;&gt;0,1,0)</f>
        <v>1</v>
      </c>
      <c r="P96">
        <f>IF(VLOOKUP($H96,'BASE DATOS'!$BN$2:$BX$40,8,FALSE)&lt;&gt;0,1,0)</f>
        <v>1</v>
      </c>
      <c r="Q96">
        <f>IF(VLOOKUP($H96,'BASE DATOS'!$BN$2:$BX$40,9,FALSE)&lt;&gt;0,1,0)</f>
        <v>1</v>
      </c>
      <c r="R96">
        <f>IF(VLOOKUP($H96,'BASE DATOS'!$BN$2:$BX$40,10,FALSE)&lt;&gt;0,1,0)</f>
        <v>1</v>
      </c>
      <c r="S96">
        <f>IF(VLOOKUP($H96,'BASE DATOS'!$BN$2:$BX$40,11,FALSE)&lt;&gt;0,1,0)</f>
        <v>1</v>
      </c>
      <c r="T96" t="s">
        <v>341</v>
      </c>
    </row>
    <row r="97" spans="1:20">
      <c r="A97" s="786">
        <f t="shared" si="5"/>
        <v>42</v>
      </c>
      <c r="B97" s="786" t="str">
        <f t="shared" si="6"/>
        <v>TT</v>
      </c>
      <c r="C97" s="786">
        <f t="shared" si="8"/>
        <v>1</v>
      </c>
      <c r="D97" s="786" t="str">
        <f t="shared" si="7"/>
        <v>SI</v>
      </c>
      <c r="E97" s="38">
        <v>45944</v>
      </c>
      <c r="F97" s="614">
        <v>0.85416666666666663</v>
      </c>
      <c r="G97" s="614" t="str">
        <f>VLOOKUP(H97,'BASE DATOS'!$BN$2:$BO$40,2,FALSE)</f>
        <v>PLANTA BAJA</v>
      </c>
      <c r="H97" t="s">
        <v>1228</v>
      </c>
      <c r="I97" t="s">
        <v>1207</v>
      </c>
      <c r="J97" t="s">
        <v>1297</v>
      </c>
      <c r="K97">
        <f>IF(VLOOKUP($H97,'BASE DATOS'!$BN$2:$BX$40,3,FALSE)&lt;&gt;0,1,0)</f>
        <v>1</v>
      </c>
      <c r="L97">
        <f>IF(VLOOKUP($H97,'BASE DATOS'!$BN$2:$BX$40,4,FALSE)&lt;&gt;0,1,0)</f>
        <v>1</v>
      </c>
      <c r="M97">
        <f>IF(VLOOKUP($H97,'BASE DATOS'!$BN$2:$BX$40,5,FALSE)&lt;&gt;0,1,0)</f>
        <v>1</v>
      </c>
      <c r="N97">
        <f>IF(VLOOKUP($H97,'BASE DATOS'!$BN$2:$BX$40,6,FALSE)&lt;&gt;0,1,0)</f>
        <v>1</v>
      </c>
      <c r="O97">
        <f>IF(VLOOKUP($H97,'BASE DATOS'!$BN$2:$BX$40,7,FALSE)&lt;&gt;0,1,0)</f>
        <v>1</v>
      </c>
      <c r="P97">
        <f>IF(VLOOKUP($H97,'BASE DATOS'!$BN$2:$BX$40,8,FALSE)&lt;&gt;0,1,0)</f>
        <v>1</v>
      </c>
      <c r="Q97">
        <f>IF(VLOOKUP($H97,'BASE DATOS'!$BN$2:$BX$40,9,FALSE)&lt;&gt;0,1,0)</f>
        <v>1</v>
      </c>
      <c r="R97">
        <f>IF(VLOOKUP($H97,'BASE DATOS'!$BN$2:$BX$40,10,FALSE)&lt;&gt;0,1,0)</f>
        <v>1</v>
      </c>
      <c r="S97">
        <f>IF(VLOOKUP($H97,'BASE DATOS'!$BN$2:$BX$40,11,FALSE)&lt;&gt;0,1,0)</f>
        <v>1</v>
      </c>
      <c r="T97" t="s">
        <v>341</v>
      </c>
    </row>
    <row r="98" spans="1:20">
      <c r="A98" s="786">
        <f t="shared" si="5"/>
        <v>42</v>
      </c>
      <c r="B98" s="786" t="str">
        <f t="shared" si="6"/>
        <v>TT</v>
      </c>
      <c r="C98" s="786">
        <f t="shared" si="8"/>
        <v>1</v>
      </c>
      <c r="D98" s="786" t="str">
        <f t="shared" si="7"/>
        <v>SI</v>
      </c>
      <c r="E98" s="38">
        <v>45944</v>
      </c>
      <c r="F98" s="614">
        <v>0.85416666666666663</v>
      </c>
      <c r="G98" s="614" t="str">
        <f>VLOOKUP(H98,'BASE DATOS'!$BN$2:$BO$40,2,FALSE)</f>
        <v>PRIMER PISO</v>
      </c>
      <c r="H98" t="s">
        <v>1261</v>
      </c>
      <c r="I98" t="s">
        <v>1210</v>
      </c>
      <c r="J98" t="s">
        <v>1309</v>
      </c>
      <c r="K98">
        <f>IF(VLOOKUP($H98,'BASE DATOS'!$BN$2:$BX$40,3,FALSE)&lt;&gt;0,1,0)</f>
        <v>1</v>
      </c>
      <c r="L98">
        <f>IF(VLOOKUP($H98,'BASE DATOS'!$BN$2:$BX$40,4,FALSE)&lt;&gt;0,1,0)</f>
        <v>1</v>
      </c>
      <c r="M98">
        <f>IF(VLOOKUP($H98,'BASE DATOS'!$BN$2:$BX$40,5,FALSE)&lt;&gt;0,1,0)</f>
        <v>1</v>
      </c>
      <c r="N98">
        <f>IF(VLOOKUP($H98,'BASE DATOS'!$BN$2:$BX$40,6,FALSE)&lt;&gt;0,1,0)</f>
        <v>1</v>
      </c>
      <c r="O98">
        <f>IF(VLOOKUP($H98,'BASE DATOS'!$BN$2:$BX$40,7,FALSE)&lt;&gt;0,1,0)</f>
        <v>1</v>
      </c>
      <c r="P98">
        <f>IF(VLOOKUP($H98,'BASE DATOS'!$BN$2:$BX$40,8,FALSE)&lt;&gt;0,1,0)</f>
        <v>1</v>
      </c>
      <c r="Q98">
        <f>IF(VLOOKUP($H98,'BASE DATOS'!$BN$2:$BX$40,9,FALSE)&lt;&gt;0,1,0)</f>
        <v>1</v>
      </c>
      <c r="R98">
        <f>IF(VLOOKUP($H98,'BASE DATOS'!$BN$2:$BX$40,10,FALSE)&lt;&gt;0,1,0)</f>
        <v>1</v>
      </c>
      <c r="S98">
        <f>IF(VLOOKUP($H98,'BASE DATOS'!$BN$2:$BX$40,11,FALSE)&lt;&gt;0,1,0)</f>
        <v>1</v>
      </c>
      <c r="T98" t="s">
        <v>341</v>
      </c>
    </row>
    <row r="99" spans="1:20">
      <c r="A99" s="786">
        <f t="shared" si="5"/>
        <v>42</v>
      </c>
      <c r="B99" s="786" t="str">
        <f t="shared" si="6"/>
        <v>TM</v>
      </c>
      <c r="C99" s="786">
        <f t="shared" si="8"/>
        <v>1</v>
      </c>
      <c r="D99" s="786" t="str">
        <f t="shared" si="7"/>
        <v>NO</v>
      </c>
      <c r="E99" s="38">
        <v>45945</v>
      </c>
      <c r="F99" s="614">
        <v>0.43055555555555558</v>
      </c>
      <c r="G99" s="614" t="str">
        <f>VLOOKUP(H99,'BASE DATOS'!$BN$2:$BO$40,2,FALSE)</f>
        <v>ENTRE PISO</v>
      </c>
      <c r="H99" t="s">
        <v>1310</v>
      </c>
      <c r="I99" t="s">
        <v>1210</v>
      </c>
      <c r="J99" t="s">
        <v>1311</v>
      </c>
      <c r="K99">
        <v>0</v>
      </c>
      <c r="L99">
        <f>IF(VLOOKUP($H99,'BASE DATOS'!$BN$2:$BX$40,4,FALSE)&lt;&gt;0,1,0)</f>
        <v>0</v>
      </c>
      <c r="M99">
        <f>IF(VLOOKUP($H99,'BASE DATOS'!$BN$2:$BX$40,5,FALSE)&lt;&gt;0,1,0)</f>
        <v>0</v>
      </c>
      <c r="N99">
        <f>IF(VLOOKUP($H99,'BASE DATOS'!$BN$2:$BX$40,6,FALSE)&lt;&gt;0,1,0)</f>
        <v>1</v>
      </c>
      <c r="O99">
        <v>0</v>
      </c>
      <c r="P99">
        <f>IF(VLOOKUP($H99,'BASE DATOS'!$BN$2:$BX$40,8,FALSE)&lt;&gt;0,1,0)</f>
        <v>0</v>
      </c>
      <c r="Q99">
        <f>IF(VLOOKUP($H99,'BASE DATOS'!$BN$2:$BX$40,9,FALSE)&lt;&gt;0,1,0)</f>
        <v>0</v>
      </c>
      <c r="R99">
        <f>IF(VLOOKUP($H99,'BASE DATOS'!$BN$2:$BX$40,10,FALSE)&lt;&gt;0,1,0)</f>
        <v>0</v>
      </c>
      <c r="S99">
        <f>IF(VLOOKUP($H99,'BASE DATOS'!$BN$2:$BX$40,11,FALSE)&lt;&gt;0,1,0)</f>
        <v>0</v>
      </c>
      <c r="T99" t="s">
        <v>341</v>
      </c>
    </row>
    <row r="100" spans="1:20">
      <c r="A100" s="786">
        <f t="shared" si="5"/>
        <v>43</v>
      </c>
      <c r="B100" s="786" t="str">
        <f t="shared" si="6"/>
        <v>TM</v>
      </c>
      <c r="C100" s="786">
        <f t="shared" si="8"/>
        <v>1</v>
      </c>
      <c r="D100" s="786" t="str">
        <f t="shared" si="7"/>
        <v>NO</v>
      </c>
      <c r="E100" s="38">
        <v>45950</v>
      </c>
      <c r="F100" s="614">
        <v>0.625</v>
      </c>
      <c r="G100" s="614" t="str">
        <f>VLOOKUP(H100,'BASE DATOS'!$BN$2:$BO$40,2,FALSE)</f>
        <v>PLANTA BAJA</v>
      </c>
      <c r="H100" t="s">
        <v>1245</v>
      </c>
      <c r="I100" t="s">
        <v>970</v>
      </c>
      <c r="J100" t="s">
        <v>1312</v>
      </c>
      <c r="K100">
        <f>IF(VLOOKUP($H100,'BASE DATOS'!$BN$2:$BX$40,3,FALSE)&lt;&gt;0,1,0)</f>
        <v>1</v>
      </c>
      <c r="L100">
        <v>0</v>
      </c>
      <c r="M100">
        <f>IF(VLOOKUP($H100,'BASE DATOS'!$BN$2:$BX$40,5,FALSE)&lt;&gt;0,1,0)</f>
        <v>1</v>
      </c>
      <c r="N100">
        <v>1</v>
      </c>
      <c r="O100">
        <f>IF(VLOOKUP($H100,'BASE DATOS'!$BN$2:$BX$40,7,FALSE)&lt;&gt;0,1,0)</f>
        <v>0</v>
      </c>
      <c r="P100">
        <f>IF(VLOOKUP($H100,'BASE DATOS'!$BN$2:$BX$40,8,FALSE)&lt;&gt;0,1,0)</f>
        <v>0</v>
      </c>
      <c r="Q100">
        <f>IF(VLOOKUP($H100,'BASE DATOS'!$BN$2:$BX$40,9,FALSE)&lt;&gt;0,1,0)</f>
        <v>0</v>
      </c>
      <c r="R100">
        <f>IF(VLOOKUP($H100,'BASE DATOS'!$BN$2:$BX$40,10,FALSE)&lt;&gt;0,1,0)</f>
        <v>0</v>
      </c>
      <c r="S100">
        <f>IF(VLOOKUP($H100,'BASE DATOS'!$BN$2:$BX$40,11,FALSE)&lt;&gt;0,1,0)</f>
        <v>0</v>
      </c>
      <c r="T100" t="s">
        <v>341</v>
      </c>
    </row>
    <row r="101" spans="1:20">
      <c r="A101" s="786">
        <f t="shared" si="5"/>
        <v>43</v>
      </c>
      <c r="B101" s="786" t="str">
        <f t="shared" si="6"/>
        <v>TM</v>
      </c>
      <c r="C101" s="786">
        <f t="shared" si="8"/>
        <v>1</v>
      </c>
      <c r="D101" s="786" t="str">
        <f t="shared" si="7"/>
        <v>NO</v>
      </c>
      <c r="E101" s="38">
        <v>45950</v>
      </c>
      <c r="F101" s="614">
        <v>0.66666666666666663</v>
      </c>
      <c r="G101" s="614" t="str">
        <f>VLOOKUP(H101,'BASE DATOS'!$BN$2:$BO$40,2,FALSE)</f>
        <v>PRIMER PISO</v>
      </c>
      <c r="H101" t="s">
        <v>1198</v>
      </c>
      <c r="I101" t="s">
        <v>1199</v>
      </c>
      <c r="J101" t="s">
        <v>1313</v>
      </c>
      <c r="K101">
        <f>IF(VLOOKUP($H101,'BASE DATOS'!$BN$2:$BX$40,3,FALSE)&lt;&gt;0,1,0)</f>
        <v>0</v>
      </c>
      <c r="L101">
        <f>IF(VLOOKUP($H101,'BASE DATOS'!$BN$2:$BX$40,4,FALSE)&lt;&gt;0,1,0)</f>
        <v>0</v>
      </c>
      <c r="M101">
        <f>IF(VLOOKUP($H101,'BASE DATOS'!$BN$2:$BX$40,5,FALSE)&lt;&gt;0,1,0)</f>
        <v>0</v>
      </c>
      <c r="N101">
        <f>IF(VLOOKUP($H101,'BASE DATOS'!$BN$2:$BX$40,6,FALSE)&lt;&gt;0,1,0)</f>
        <v>1</v>
      </c>
      <c r="O101">
        <v>0</v>
      </c>
      <c r="P101">
        <f>IF(VLOOKUP($H101,'BASE DATOS'!$BN$2:$BX$40,8,FALSE)&lt;&gt;0,1,0)</f>
        <v>0</v>
      </c>
      <c r="Q101">
        <f>IF(VLOOKUP($H101,'BASE DATOS'!$BN$2:$BX$40,9,FALSE)&lt;&gt;0,1,0)</f>
        <v>0</v>
      </c>
      <c r="R101">
        <f>IF(VLOOKUP($H101,'BASE DATOS'!$BN$2:$BX$40,10,FALSE)&lt;&gt;0,1,0)</f>
        <v>0</v>
      </c>
      <c r="S101">
        <f>IF(VLOOKUP($H101,'BASE DATOS'!$BN$2:$BX$40,11,FALSE)&lt;&gt;0,1,0)</f>
        <v>0</v>
      </c>
      <c r="T101" t="s">
        <v>341</v>
      </c>
    </row>
    <row r="102" spans="1:20">
      <c r="A102" s="786">
        <f t="shared" si="5"/>
        <v>43</v>
      </c>
      <c r="B102" s="786" t="str">
        <f t="shared" si="6"/>
        <v>TM</v>
      </c>
      <c r="C102" s="786">
        <f t="shared" si="8"/>
        <v>0</v>
      </c>
      <c r="D102" s="786" t="str">
        <f t="shared" si="7"/>
        <v>NO</v>
      </c>
      <c r="E102" s="38">
        <v>45950</v>
      </c>
      <c r="F102" s="614">
        <v>0.66666666666666663</v>
      </c>
      <c r="G102" s="614" t="str">
        <f>VLOOKUP(H102,'BASE DATOS'!$BN$2:$BO$40,2,FALSE)</f>
        <v>PRIMER PISO</v>
      </c>
      <c r="H102" t="s">
        <v>1265</v>
      </c>
      <c r="I102" t="s">
        <v>1210</v>
      </c>
      <c r="J102" t="s">
        <v>1314</v>
      </c>
      <c r="K102">
        <f>IF(VLOOKUP($H102,'BASE DATOS'!$BN$2:$BX$40,3,FALSE)&lt;&gt;0,1,0)</f>
        <v>0</v>
      </c>
      <c r="L102">
        <f>IF(VLOOKUP($H102,'BASE DATOS'!$BN$2:$BX$40,4,FALSE)&lt;&gt;0,1,0)</f>
        <v>0</v>
      </c>
      <c r="M102">
        <f>IF(VLOOKUP($H102,'BASE DATOS'!$BN$2:$BX$40,5,FALSE)&lt;&gt;0,1,0)</f>
        <v>0</v>
      </c>
      <c r="N102">
        <f>IF(VLOOKUP($H102,'BASE DATOS'!$BN$2:$BX$40,6,FALSE)&lt;&gt;0,1,0)</f>
        <v>1</v>
      </c>
      <c r="O102">
        <v>0</v>
      </c>
      <c r="P102">
        <f>IF(VLOOKUP($H102,'BASE DATOS'!$BN$2:$BX$40,8,FALSE)&lt;&gt;0,1,0)</f>
        <v>0</v>
      </c>
      <c r="Q102">
        <f>IF(VLOOKUP($H102,'BASE DATOS'!$BN$2:$BX$40,9,FALSE)&lt;&gt;0,1,0)</f>
        <v>0</v>
      </c>
      <c r="R102">
        <f>IF(VLOOKUP($H102,'BASE DATOS'!$BN$2:$BX$40,10,FALSE)&lt;&gt;0,1,0)</f>
        <v>0</v>
      </c>
      <c r="S102">
        <f>IF(VLOOKUP($H102,'BASE DATOS'!$BN$2:$BX$40,11,FALSE)&lt;&gt;0,1,0)</f>
        <v>0</v>
      </c>
      <c r="T102" t="s">
        <v>341</v>
      </c>
    </row>
    <row r="103" spans="1:20">
      <c r="A103" s="786">
        <f t="shared" si="5"/>
        <v>43</v>
      </c>
      <c r="B103" s="786" t="str">
        <f t="shared" si="6"/>
        <v>TM</v>
      </c>
      <c r="C103" s="786">
        <f t="shared" si="8"/>
        <v>0</v>
      </c>
      <c r="D103" s="786" t="str">
        <f t="shared" si="7"/>
        <v>NO</v>
      </c>
      <c r="E103" s="38">
        <v>45950</v>
      </c>
      <c r="F103" s="614">
        <v>0.66666666666666663</v>
      </c>
      <c r="G103" s="614" t="str">
        <f>VLOOKUP(H103,'BASE DATOS'!$BN$2:$BO$40,2,FALSE)</f>
        <v>PRIMER PISO</v>
      </c>
      <c r="H103" t="s">
        <v>1265</v>
      </c>
      <c r="I103" t="s">
        <v>1196</v>
      </c>
      <c r="J103" t="s">
        <v>1315</v>
      </c>
      <c r="K103">
        <f>IF(VLOOKUP($H103,'BASE DATOS'!$BN$2:$BX$40,3,FALSE)&lt;&gt;0,1,0)</f>
        <v>0</v>
      </c>
      <c r="L103">
        <f>IF(VLOOKUP($H103,'BASE DATOS'!$BN$2:$BX$40,4,FALSE)&lt;&gt;0,1,0)</f>
        <v>0</v>
      </c>
      <c r="M103">
        <f>IF(VLOOKUP($H103,'BASE DATOS'!$BN$2:$BX$40,5,FALSE)&lt;&gt;0,1,0)</f>
        <v>0</v>
      </c>
      <c r="N103">
        <f>IF(VLOOKUP($H103,'BASE DATOS'!$BN$2:$BX$40,6,FALSE)&lt;&gt;0,1,0)</f>
        <v>1</v>
      </c>
      <c r="O103">
        <v>0</v>
      </c>
      <c r="P103">
        <f>IF(VLOOKUP($H103,'BASE DATOS'!$BN$2:$BX$40,8,FALSE)&lt;&gt;0,1,0)</f>
        <v>0</v>
      </c>
      <c r="Q103">
        <f>IF(VLOOKUP($H103,'BASE DATOS'!$BN$2:$BX$40,9,FALSE)&lt;&gt;0,1,0)</f>
        <v>0</v>
      </c>
      <c r="R103">
        <f>IF(VLOOKUP($H103,'BASE DATOS'!$BN$2:$BX$40,10,FALSE)&lt;&gt;0,1,0)</f>
        <v>0</v>
      </c>
      <c r="S103">
        <f>IF(VLOOKUP($H103,'BASE DATOS'!$BN$2:$BX$40,11,FALSE)&lt;&gt;0,1,0)</f>
        <v>0</v>
      </c>
      <c r="T103" t="s">
        <v>341</v>
      </c>
    </row>
    <row r="104" spans="1:20">
      <c r="A104" s="786">
        <f t="shared" si="5"/>
        <v>43</v>
      </c>
      <c r="B104" s="786" t="str">
        <f t="shared" si="6"/>
        <v>TM</v>
      </c>
      <c r="C104" s="786">
        <f t="shared" si="8"/>
        <v>0</v>
      </c>
      <c r="D104" s="786" t="str">
        <f t="shared" si="7"/>
        <v>NO</v>
      </c>
      <c r="E104" s="38">
        <v>45950</v>
      </c>
      <c r="F104" s="614">
        <v>0.66666666666666663</v>
      </c>
      <c r="G104" s="614" t="str">
        <f>VLOOKUP(H104,'BASE DATOS'!$BN$2:$BO$40,2,FALSE)</f>
        <v>PRIMER PISO</v>
      </c>
      <c r="H104" t="s">
        <v>1193</v>
      </c>
      <c r="I104" t="s">
        <v>1201</v>
      </c>
      <c r="J104" t="s">
        <v>1316</v>
      </c>
      <c r="K104">
        <f>IF(VLOOKUP($H104,'BASE DATOS'!$BN$2:$BX$40,3,FALSE)&lt;&gt;0,1,0)</f>
        <v>0</v>
      </c>
      <c r="L104">
        <f>IF(VLOOKUP($H104,'BASE DATOS'!$BN$2:$BX$40,4,FALSE)&lt;&gt;0,1,0)</f>
        <v>0</v>
      </c>
      <c r="M104">
        <f>IF(VLOOKUP($H104,'BASE DATOS'!$BN$2:$BX$40,5,FALSE)&lt;&gt;0,1,0)</f>
        <v>0</v>
      </c>
      <c r="N104">
        <f>IF(VLOOKUP($H104,'BASE DATOS'!$BN$2:$BX$40,6,FALSE)&lt;&gt;0,1,0)</f>
        <v>1</v>
      </c>
      <c r="O104">
        <v>0</v>
      </c>
      <c r="P104">
        <f>IF(VLOOKUP($H104,'BASE DATOS'!$BN$2:$BX$40,8,FALSE)&lt;&gt;0,1,0)</f>
        <v>0</v>
      </c>
      <c r="Q104">
        <f>IF(VLOOKUP($H104,'BASE DATOS'!$BN$2:$BX$40,9,FALSE)&lt;&gt;0,1,0)</f>
        <v>0</v>
      </c>
      <c r="R104">
        <f>IF(VLOOKUP($H104,'BASE DATOS'!$BN$2:$BX$40,10,FALSE)&lt;&gt;0,1,0)</f>
        <v>0</v>
      </c>
      <c r="S104">
        <f>IF(VLOOKUP($H104,'BASE DATOS'!$BN$2:$BX$40,11,FALSE)&lt;&gt;0,1,0)</f>
        <v>0</v>
      </c>
      <c r="T104" t="s">
        <v>341</v>
      </c>
    </row>
    <row r="105" spans="1:20">
      <c r="A105" s="786">
        <f t="shared" si="5"/>
        <v>43</v>
      </c>
      <c r="B105" s="786" t="str">
        <f t="shared" si="6"/>
        <v>TM</v>
      </c>
      <c r="C105" s="786">
        <f t="shared" si="8"/>
        <v>0</v>
      </c>
      <c r="D105" s="786" t="str">
        <f t="shared" si="7"/>
        <v>SI</v>
      </c>
      <c r="E105" s="38">
        <v>45950</v>
      </c>
      <c r="F105" s="614">
        <v>0.66666666666666663</v>
      </c>
      <c r="G105" s="614" t="str">
        <f>VLOOKUP(H105,'BASE DATOS'!$BN$2:$BO$40,2,FALSE)</f>
        <v>PRIMER PISO</v>
      </c>
      <c r="H105" t="s">
        <v>1206</v>
      </c>
      <c r="I105" t="s">
        <v>1207</v>
      </c>
      <c r="J105" t="s">
        <v>1297</v>
      </c>
      <c r="K105">
        <f>IF(VLOOKUP($H105,'BASE DATOS'!$BN$2:$BX$40,3,FALSE)&lt;&gt;0,1,0)</f>
        <v>1</v>
      </c>
      <c r="L105">
        <f>IF(VLOOKUP($H105,'BASE DATOS'!$BN$2:$BX$40,4,FALSE)&lt;&gt;0,1,0)</f>
        <v>1</v>
      </c>
      <c r="M105">
        <f>IF(VLOOKUP($H105,'BASE DATOS'!$BN$2:$BX$40,5,FALSE)&lt;&gt;0,1,0)</f>
        <v>1</v>
      </c>
      <c r="N105">
        <f>IF(VLOOKUP($H105,'BASE DATOS'!$BN$2:$BX$40,6,FALSE)&lt;&gt;0,1,0)</f>
        <v>1</v>
      </c>
      <c r="O105">
        <f>IF(VLOOKUP($H105,'BASE DATOS'!$BN$2:$BX$40,7,FALSE)&lt;&gt;0,1,0)</f>
        <v>1</v>
      </c>
      <c r="P105">
        <f>IF(VLOOKUP($H105,'BASE DATOS'!$BN$2:$BX$40,8,FALSE)&lt;&gt;0,1,0)</f>
        <v>1</v>
      </c>
      <c r="Q105">
        <f>IF(VLOOKUP($H105,'BASE DATOS'!$BN$2:$BX$40,9,FALSE)&lt;&gt;0,1,0)</f>
        <v>1</v>
      </c>
      <c r="R105">
        <f>IF(VLOOKUP($H105,'BASE DATOS'!$BN$2:$BX$40,10,FALSE)&lt;&gt;0,1,0)</f>
        <v>1</v>
      </c>
      <c r="S105">
        <f>IF(VLOOKUP($H105,'BASE DATOS'!$BN$2:$BX$40,11,FALSE)&lt;&gt;0,1,0)</f>
        <v>1</v>
      </c>
      <c r="T105" t="s">
        <v>341</v>
      </c>
    </row>
    <row r="106" spans="1:20">
      <c r="A106" s="786">
        <f t="shared" si="5"/>
        <v>43</v>
      </c>
      <c r="B106" s="786" t="str">
        <f t="shared" si="6"/>
        <v>TM</v>
      </c>
      <c r="C106" s="786">
        <f t="shared" si="8"/>
        <v>1</v>
      </c>
      <c r="D106" s="786" t="str">
        <f t="shared" si="7"/>
        <v>NO</v>
      </c>
      <c r="E106" s="38">
        <v>45951</v>
      </c>
      <c r="F106" s="614">
        <v>0.66666666666666663</v>
      </c>
      <c r="G106" s="614" t="str">
        <f>VLOOKUP(H106,'BASE DATOS'!$BN$2:$BO$40,2,FALSE)</f>
        <v>PRIMER PISO</v>
      </c>
      <c r="H106" t="s">
        <v>1265</v>
      </c>
      <c r="I106" t="s">
        <v>1210</v>
      </c>
      <c r="J106" t="s">
        <v>1317</v>
      </c>
      <c r="K106">
        <f>IF(VLOOKUP($H106,'BASE DATOS'!$BN$2:$BX$40,3,FALSE)&lt;&gt;0,1,0)</f>
        <v>0</v>
      </c>
      <c r="L106">
        <f>IF(VLOOKUP($H106,'BASE DATOS'!$BN$2:$BX$40,4,FALSE)&lt;&gt;0,1,0)</f>
        <v>0</v>
      </c>
      <c r="M106">
        <f>IF(VLOOKUP($H106,'BASE DATOS'!$BN$2:$BX$40,5,FALSE)&lt;&gt;0,1,0)</f>
        <v>0</v>
      </c>
      <c r="N106">
        <f>IF(VLOOKUP($H106,'BASE DATOS'!$BN$2:$BX$40,6,FALSE)&lt;&gt;0,1,0)</f>
        <v>1</v>
      </c>
      <c r="O106">
        <v>0</v>
      </c>
      <c r="P106">
        <f>IF(VLOOKUP($H106,'BASE DATOS'!$BN$2:$BX$40,8,FALSE)&lt;&gt;0,1,0)</f>
        <v>0</v>
      </c>
      <c r="Q106">
        <f>IF(VLOOKUP($H106,'BASE DATOS'!$BN$2:$BX$40,9,FALSE)&lt;&gt;0,1,0)</f>
        <v>0</v>
      </c>
      <c r="R106">
        <f>IF(VLOOKUP($H106,'BASE DATOS'!$BN$2:$BX$40,10,FALSE)&lt;&gt;0,1,0)</f>
        <v>0</v>
      </c>
      <c r="S106">
        <f>IF(VLOOKUP($H106,'BASE DATOS'!$BN$2:$BX$40,11,FALSE)&lt;&gt;0,1,0)</f>
        <v>0</v>
      </c>
      <c r="T106" t="s">
        <v>341</v>
      </c>
    </row>
    <row r="107" spans="1:20">
      <c r="A107" s="786">
        <f t="shared" si="5"/>
        <v>43</v>
      </c>
      <c r="B107" s="786" t="str">
        <f t="shared" si="6"/>
        <v>TM</v>
      </c>
      <c r="C107" s="786">
        <f t="shared" si="8"/>
        <v>0</v>
      </c>
      <c r="D107" s="786" t="str">
        <f t="shared" si="7"/>
        <v>NO</v>
      </c>
      <c r="E107" s="38">
        <v>45951</v>
      </c>
      <c r="F107" s="614">
        <v>0.66666666666666663</v>
      </c>
      <c r="G107" s="614" t="str">
        <f>VLOOKUP(H107,'BASE DATOS'!$BN$2:$BO$40,2,FALSE)</f>
        <v>PRIMER PISO</v>
      </c>
      <c r="H107" t="s">
        <v>1219</v>
      </c>
      <c r="I107" t="s">
        <v>1210</v>
      </c>
      <c r="J107" t="s">
        <v>1304</v>
      </c>
      <c r="K107">
        <f>IF(VLOOKUP($H107,'BASE DATOS'!$BN$2:$BX$40,3,FALSE)&lt;&gt;0,1,0)</f>
        <v>0</v>
      </c>
      <c r="L107">
        <f>IF(VLOOKUP($H107,'BASE DATOS'!$BN$2:$BX$40,4,FALSE)&lt;&gt;0,1,0)</f>
        <v>0</v>
      </c>
      <c r="M107">
        <f>IF(VLOOKUP($H107,'BASE DATOS'!$BN$2:$BX$40,5,FALSE)&lt;&gt;0,1,0)</f>
        <v>0</v>
      </c>
      <c r="N107">
        <f>IF(VLOOKUP($H107,'BASE DATOS'!$BN$2:$BX$40,6,FALSE)&lt;&gt;0,1,0)</f>
        <v>1</v>
      </c>
      <c r="O107">
        <v>0</v>
      </c>
      <c r="P107">
        <f>IF(VLOOKUP($H107,'BASE DATOS'!$BN$2:$BX$40,8,FALSE)&lt;&gt;0,1,0)</f>
        <v>0</v>
      </c>
      <c r="Q107">
        <f>IF(VLOOKUP($H107,'BASE DATOS'!$BN$2:$BX$40,9,FALSE)&lt;&gt;0,1,0)</f>
        <v>0</v>
      </c>
      <c r="R107">
        <f>IF(VLOOKUP($H107,'BASE DATOS'!$BN$2:$BX$40,10,FALSE)&lt;&gt;0,1,0)</f>
        <v>0</v>
      </c>
      <c r="S107">
        <f>IF(VLOOKUP($H107,'BASE DATOS'!$BN$2:$BX$40,11,FALSE)&lt;&gt;0,1,0)</f>
        <v>0</v>
      </c>
      <c r="T107" t="s">
        <v>341</v>
      </c>
    </row>
    <row r="108" spans="1:20">
      <c r="A108" s="786">
        <f t="shared" si="5"/>
        <v>43</v>
      </c>
      <c r="B108" s="786" t="str">
        <f t="shared" si="6"/>
        <v>TM</v>
      </c>
      <c r="C108" s="786">
        <f t="shared" si="8"/>
        <v>0</v>
      </c>
      <c r="D108" s="786" t="str">
        <f t="shared" si="7"/>
        <v>NO</v>
      </c>
      <c r="E108" s="38">
        <v>45951</v>
      </c>
      <c r="F108" s="614">
        <v>0.66666666666666663</v>
      </c>
      <c r="G108" s="614" t="str">
        <f>VLOOKUP(H108,'BASE DATOS'!$BN$2:$BO$40,2,FALSE)</f>
        <v>PRIMER PISO</v>
      </c>
      <c r="H108" t="s">
        <v>1271</v>
      </c>
      <c r="I108" t="s">
        <v>1210</v>
      </c>
      <c r="J108" t="s">
        <v>1318</v>
      </c>
      <c r="K108">
        <f>IF(VLOOKUP($H108,'BASE DATOS'!$BN$2:$BX$40,3,FALSE)&lt;&gt;0,1,0)</f>
        <v>0</v>
      </c>
      <c r="L108">
        <f>IF(VLOOKUP($H108,'BASE DATOS'!$BN$2:$BX$40,4,FALSE)&lt;&gt;0,1,0)</f>
        <v>0</v>
      </c>
      <c r="M108">
        <f>IF(VLOOKUP($H108,'BASE DATOS'!$BN$2:$BX$40,5,FALSE)&lt;&gt;0,1,0)</f>
        <v>0</v>
      </c>
      <c r="N108">
        <f>IF(VLOOKUP($H108,'BASE DATOS'!$BN$2:$BX$40,6,FALSE)&lt;&gt;0,1,0)</f>
        <v>1</v>
      </c>
      <c r="O108">
        <v>0</v>
      </c>
      <c r="P108">
        <f>IF(VLOOKUP($H108,'BASE DATOS'!$BN$2:$BX$40,8,FALSE)&lt;&gt;0,1,0)</f>
        <v>0</v>
      </c>
      <c r="Q108">
        <f>IF(VLOOKUP($H108,'BASE DATOS'!$BN$2:$BX$40,9,FALSE)&lt;&gt;0,1,0)</f>
        <v>0</v>
      </c>
      <c r="R108">
        <f>IF(VLOOKUP($H108,'BASE DATOS'!$BN$2:$BX$40,10,FALSE)&lt;&gt;0,1,0)</f>
        <v>0</v>
      </c>
      <c r="S108">
        <f>IF(VLOOKUP($H108,'BASE DATOS'!$BN$2:$BX$40,11,FALSE)&lt;&gt;0,1,0)</f>
        <v>0</v>
      </c>
      <c r="T108" t="s">
        <v>341</v>
      </c>
    </row>
    <row r="109" spans="1:20">
      <c r="A109" s="786">
        <f t="shared" si="5"/>
        <v>43</v>
      </c>
      <c r="B109" s="786" t="str">
        <f t="shared" si="6"/>
        <v>TM</v>
      </c>
      <c r="C109" s="786">
        <f t="shared" si="8"/>
        <v>0</v>
      </c>
      <c r="D109" s="786" t="str">
        <f t="shared" si="7"/>
        <v>NO</v>
      </c>
      <c r="E109" s="38">
        <v>45951</v>
      </c>
      <c r="F109" s="614">
        <v>0.66666666666666663</v>
      </c>
      <c r="G109" s="614" t="str">
        <f>VLOOKUP(H109,'BASE DATOS'!$BN$2:$BO$40,2,FALSE)</f>
        <v>PRIMER PISO</v>
      </c>
      <c r="H109" t="s">
        <v>1219</v>
      </c>
      <c r="I109" t="s">
        <v>1220</v>
      </c>
      <c r="J109" t="s">
        <v>1319</v>
      </c>
      <c r="K109">
        <f>IF(VLOOKUP($H109,'BASE DATOS'!$BN$2:$BX$40,3,FALSE)&lt;&gt;0,1,0)</f>
        <v>0</v>
      </c>
      <c r="L109">
        <f>IF(VLOOKUP($H109,'BASE DATOS'!$BN$2:$BX$40,4,FALSE)&lt;&gt;0,1,0)</f>
        <v>0</v>
      </c>
      <c r="M109">
        <f>IF(VLOOKUP($H109,'BASE DATOS'!$BN$2:$BX$40,5,FALSE)&lt;&gt;0,1,0)</f>
        <v>0</v>
      </c>
      <c r="N109">
        <f>IF(VLOOKUP($H109,'BASE DATOS'!$BN$2:$BX$40,6,FALSE)&lt;&gt;0,1,0)</f>
        <v>1</v>
      </c>
      <c r="O109">
        <v>0</v>
      </c>
      <c r="P109">
        <f>IF(VLOOKUP($H109,'BASE DATOS'!$BN$2:$BX$40,8,FALSE)&lt;&gt;0,1,0)</f>
        <v>0</v>
      </c>
      <c r="Q109">
        <f>IF(VLOOKUP($H109,'BASE DATOS'!$BN$2:$BX$40,9,FALSE)&lt;&gt;0,1,0)</f>
        <v>0</v>
      </c>
      <c r="R109">
        <f>IF(VLOOKUP($H109,'BASE DATOS'!$BN$2:$BX$40,10,FALSE)&lt;&gt;0,1,0)</f>
        <v>0</v>
      </c>
      <c r="S109">
        <f>IF(VLOOKUP($H109,'BASE DATOS'!$BN$2:$BX$40,11,FALSE)&lt;&gt;0,1,0)</f>
        <v>0</v>
      </c>
      <c r="T109" t="s">
        <v>341</v>
      </c>
    </row>
    <row r="110" spans="1:20">
      <c r="A110" s="786">
        <f t="shared" si="5"/>
        <v>43</v>
      </c>
      <c r="B110" s="786" t="str">
        <f t="shared" si="6"/>
        <v>TM</v>
      </c>
      <c r="C110" s="786">
        <f t="shared" si="8"/>
        <v>0</v>
      </c>
      <c r="D110" s="786" t="str">
        <f t="shared" si="7"/>
        <v>NO</v>
      </c>
      <c r="E110" s="38">
        <v>45951</v>
      </c>
      <c r="F110" s="614">
        <v>0.66666666666666663</v>
      </c>
      <c r="G110" s="614" t="str">
        <f>VLOOKUP(H110,'BASE DATOS'!$BN$2:$BO$40,2,FALSE)</f>
        <v>PRIMER PISO</v>
      </c>
      <c r="H110" t="s">
        <v>1219</v>
      </c>
      <c r="I110" t="s">
        <v>1320</v>
      </c>
      <c r="J110" t="s">
        <v>1321</v>
      </c>
      <c r="K110">
        <f>IF(VLOOKUP($H110,'BASE DATOS'!$BN$2:$BX$40,3,FALSE)&lt;&gt;0,1,0)</f>
        <v>0</v>
      </c>
      <c r="L110">
        <f>IF(VLOOKUP($H110,'BASE DATOS'!$BN$2:$BX$40,4,FALSE)&lt;&gt;0,1,0)</f>
        <v>0</v>
      </c>
      <c r="M110">
        <f>IF(VLOOKUP($H110,'BASE DATOS'!$BN$2:$BX$40,5,FALSE)&lt;&gt;0,1,0)</f>
        <v>0</v>
      </c>
      <c r="N110">
        <f>IF(VLOOKUP($H110,'BASE DATOS'!$BN$2:$BX$40,6,FALSE)&lt;&gt;0,1,0)</f>
        <v>1</v>
      </c>
      <c r="O110">
        <v>0</v>
      </c>
      <c r="P110">
        <f>IF(VLOOKUP($H110,'BASE DATOS'!$BN$2:$BX$40,8,FALSE)&lt;&gt;0,1,0)</f>
        <v>0</v>
      </c>
      <c r="Q110">
        <f>IF(VLOOKUP($H110,'BASE DATOS'!$BN$2:$BX$40,9,FALSE)&lt;&gt;0,1,0)</f>
        <v>0</v>
      </c>
      <c r="R110">
        <f>IF(VLOOKUP($H110,'BASE DATOS'!$BN$2:$BX$40,10,FALSE)&lt;&gt;0,1,0)</f>
        <v>0</v>
      </c>
      <c r="S110">
        <f>IF(VLOOKUP($H110,'BASE DATOS'!$BN$2:$BX$40,11,FALSE)&lt;&gt;0,1,0)</f>
        <v>0</v>
      </c>
      <c r="T110" t="s">
        <v>341</v>
      </c>
    </row>
    <row r="111" spans="1:20">
      <c r="A111" s="786">
        <f t="shared" si="5"/>
        <v>43</v>
      </c>
      <c r="B111" s="786" t="str">
        <f t="shared" si="6"/>
        <v>TT</v>
      </c>
      <c r="C111" s="786">
        <f t="shared" si="8"/>
        <v>1</v>
      </c>
      <c r="D111" s="786" t="str">
        <f t="shared" si="7"/>
        <v>SI</v>
      </c>
      <c r="E111" s="38">
        <v>45952</v>
      </c>
      <c r="F111" s="614">
        <v>0</v>
      </c>
      <c r="G111" s="614" t="str">
        <f>VLOOKUP(H111,'BASE DATOS'!$BN$2:$BO$40,2,FALSE)</f>
        <v>PLANTA BAJA</v>
      </c>
      <c r="H111" t="s">
        <v>1228</v>
      </c>
      <c r="I111" t="s">
        <v>1207</v>
      </c>
      <c r="J111" t="s">
        <v>1208</v>
      </c>
      <c r="K111">
        <f>IF(VLOOKUP($H111,'BASE DATOS'!$BN$2:$BX$40,3,FALSE)&lt;&gt;0,1,0)</f>
        <v>1</v>
      </c>
      <c r="L111">
        <f>IF(VLOOKUP($H111,'BASE DATOS'!$BN$2:$BX$40,4,FALSE)&lt;&gt;0,1,0)</f>
        <v>1</v>
      </c>
      <c r="M111">
        <f>IF(VLOOKUP($H111,'BASE DATOS'!$BN$2:$BX$40,5,FALSE)&lt;&gt;0,1,0)</f>
        <v>1</v>
      </c>
      <c r="N111">
        <f>IF(VLOOKUP($H111,'BASE DATOS'!$BN$2:$BX$40,6,FALSE)&lt;&gt;0,1,0)</f>
        <v>1</v>
      </c>
      <c r="O111">
        <f>IF(VLOOKUP($H111,'BASE DATOS'!$BN$2:$BX$40,7,FALSE)&lt;&gt;0,1,0)</f>
        <v>1</v>
      </c>
      <c r="P111">
        <f>IF(VLOOKUP($H111,'BASE DATOS'!$BN$2:$BX$40,8,FALSE)&lt;&gt;0,1,0)</f>
        <v>1</v>
      </c>
      <c r="Q111">
        <f>IF(VLOOKUP($H111,'BASE DATOS'!$BN$2:$BX$40,9,FALSE)&lt;&gt;0,1,0)</f>
        <v>1</v>
      </c>
      <c r="R111">
        <f>IF(VLOOKUP($H111,'BASE DATOS'!$BN$2:$BX$40,10,FALSE)&lt;&gt;0,1,0)</f>
        <v>1</v>
      </c>
      <c r="S111">
        <f>IF(VLOOKUP($H111,'BASE DATOS'!$BN$2:$BX$40,11,FALSE)&lt;&gt;0,1,0)</f>
        <v>1</v>
      </c>
      <c r="T111" t="s">
        <v>341</v>
      </c>
    </row>
    <row r="112" spans="1:20">
      <c r="A112" s="786">
        <f t="shared" si="5"/>
        <v>43</v>
      </c>
      <c r="B112" s="786" t="str">
        <f t="shared" si="6"/>
        <v>TT</v>
      </c>
      <c r="C112" s="786">
        <f t="shared" si="8"/>
        <v>0</v>
      </c>
      <c r="D112" s="786" t="str">
        <f t="shared" si="7"/>
        <v>NO</v>
      </c>
      <c r="E112" s="38">
        <v>45952</v>
      </c>
      <c r="F112" s="614">
        <v>0</v>
      </c>
      <c r="G112" s="614" t="str">
        <f>VLOOKUP(H112,'BASE DATOS'!$BN$2:$BO$40,2,FALSE)</f>
        <v>PLANTA BAJA</v>
      </c>
      <c r="H112" t="s">
        <v>1200</v>
      </c>
      <c r="I112" t="s">
        <v>1214</v>
      </c>
      <c r="J112" t="s">
        <v>392</v>
      </c>
      <c r="K112">
        <f>IF(VLOOKUP($H112,'BASE DATOS'!$BN$2:$BX$40,3,FALSE)&lt;&gt;0,1,0)</f>
        <v>0</v>
      </c>
      <c r="L112">
        <v>0</v>
      </c>
      <c r="M112">
        <f>IF(VLOOKUP($H112,'BASE DATOS'!$BN$2:$BX$40,5,FALSE)&lt;&gt;0,1,0)</f>
        <v>1</v>
      </c>
      <c r="N112">
        <v>0</v>
      </c>
      <c r="O112">
        <f>IF(VLOOKUP($H112,'BASE DATOS'!$BN$2:$BX$40,7,FALSE)&lt;&gt;0,1,0)</f>
        <v>1</v>
      </c>
      <c r="P112">
        <f>IF(VLOOKUP($H112,'BASE DATOS'!$BN$2:$BX$40,8,FALSE)&lt;&gt;0,1,0)</f>
        <v>0</v>
      </c>
      <c r="Q112">
        <f>IF(VLOOKUP($H112,'BASE DATOS'!$BN$2:$BX$40,9,FALSE)&lt;&gt;0,1,0)</f>
        <v>0</v>
      </c>
      <c r="R112">
        <f>IF(VLOOKUP($H112,'BASE DATOS'!$BN$2:$BX$40,10,FALSE)&lt;&gt;0,1,0)</f>
        <v>0</v>
      </c>
      <c r="S112">
        <f>IF(VLOOKUP($H112,'BASE DATOS'!$BN$2:$BX$40,11,FALSE)&lt;&gt;0,1,0)</f>
        <v>0</v>
      </c>
      <c r="T112" t="s">
        <v>341</v>
      </c>
    </row>
    <row r="113" spans="1:20">
      <c r="A113" s="786">
        <f t="shared" si="5"/>
        <v>43</v>
      </c>
      <c r="B113" s="786" t="str">
        <f t="shared" si="6"/>
        <v>TT</v>
      </c>
      <c r="C113" s="786">
        <f t="shared" si="8"/>
        <v>0</v>
      </c>
      <c r="D113" s="786" t="str">
        <f t="shared" si="7"/>
        <v>NO</v>
      </c>
      <c r="E113" s="38">
        <v>45952</v>
      </c>
      <c r="F113" s="614">
        <v>0</v>
      </c>
      <c r="G113" s="614" t="str">
        <f>VLOOKUP(H113,'BASE DATOS'!$BN$2:$BO$40,2,FALSE)</f>
        <v>PLANTA BAJA</v>
      </c>
      <c r="H113" t="s">
        <v>1202</v>
      </c>
      <c r="I113" t="s">
        <v>1214</v>
      </c>
      <c r="J113" t="s">
        <v>392</v>
      </c>
      <c r="K113">
        <f>IF(VLOOKUP($H113,'BASE DATOS'!$BN$2:$BX$40,3,FALSE)&lt;&gt;0,1,0)</f>
        <v>0</v>
      </c>
      <c r="L113">
        <v>0</v>
      </c>
      <c r="M113">
        <f>IF(VLOOKUP($H113,'BASE DATOS'!$BN$2:$BX$40,5,FALSE)&lt;&gt;0,1,0)</f>
        <v>1</v>
      </c>
      <c r="N113">
        <v>0</v>
      </c>
      <c r="O113">
        <f>IF(VLOOKUP($H113,'BASE DATOS'!$BN$2:$BX$40,7,FALSE)&lt;&gt;0,1,0)</f>
        <v>1</v>
      </c>
      <c r="P113">
        <f>IF(VLOOKUP($H113,'BASE DATOS'!$BN$2:$BX$40,8,FALSE)&lt;&gt;0,1,0)</f>
        <v>0</v>
      </c>
      <c r="Q113">
        <f>IF(VLOOKUP($H113,'BASE DATOS'!$BN$2:$BX$40,9,FALSE)&lt;&gt;0,1,0)</f>
        <v>0</v>
      </c>
      <c r="R113">
        <f>IF(VLOOKUP($H113,'BASE DATOS'!$BN$2:$BX$40,10,FALSE)&lt;&gt;0,1,0)</f>
        <v>0</v>
      </c>
      <c r="S113">
        <f>IF(VLOOKUP($H113,'BASE DATOS'!$BN$2:$BX$40,11,FALSE)&lt;&gt;0,1,0)</f>
        <v>0</v>
      </c>
      <c r="T113" t="s">
        <v>341</v>
      </c>
    </row>
    <row r="114" spans="1:20">
      <c r="A114" s="786">
        <f t="shared" si="5"/>
        <v>43</v>
      </c>
      <c r="B114" s="786" t="str">
        <f t="shared" si="6"/>
        <v>TT</v>
      </c>
      <c r="C114" s="786">
        <f t="shared" si="8"/>
        <v>1</v>
      </c>
      <c r="D114" s="786" t="str">
        <f t="shared" si="7"/>
        <v>SI</v>
      </c>
      <c r="E114" s="38">
        <v>45952</v>
      </c>
      <c r="F114" s="614">
        <v>0.25</v>
      </c>
      <c r="G114" s="614" t="str">
        <f>VLOOKUP(H114,'BASE DATOS'!$BN$2:$BO$40,2,FALSE)</f>
        <v>PRIMER PISO</v>
      </c>
      <c r="H114" t="s">
        <v>1206</v>
      </c>
      <c r="I114" t="s">
        <v>1207</v>
      </c>
      <c r="J114" t="s">
        <v>1322</v>
      </c>
      <c r="K114">
        <f>IF(VLOOKUP($H114,'BASE DATOS'!$BN$2:$BX$40,3,FALSE)&lt;&gt;0,1,0)</f>
        <v>1</v>
      </c>
      <c r="L114">
        <f>IF(VLOOKUP($H114,'BASE DATOS'!$BN$2:$BX$40,4,FALSE)&lt;&gt;0,1,0)</f>
        <v>1</v>
      </c>
      <c r="M114">
        <f>IF(VLOOKUP($H114,'BASE DATOS'!$BN$2:$BX$40,5,FALSE)&lt;&gt;0,1,0)</f>
        <v>1</v>
      </c>
      <c r="N114">
        <f>IF(VLOOKUP($H114,'BASE DATOS'!$BN$2:$BX$40,6,FALSE)&lt;&gt;0,1,0)</f>
        <v>1</v>
      </c>
      <c r="O114">
        <f>IF(VLOOKUP($H114,'BASE DATOS'!$BN$2:$BX$40,7,FALSE)&lt;&gt;0,1,0)</f>
        <v>1</v>
      </c>
      <c r="P114">
        <f>IF(VLOOKUP($H114,'BASE DATOS'!$BN$2:$BX$40,8,FALSE)&lt;&gt;0,1,0)</f>
        <v>1</v>
      </c>
      <c r="Q114">
        <f>IF(VLOOKUP($H114,'BASE DATOS'!$BN$2:$BX$40,9,FALSE)&lt;&gt;0,1,0)</f>
        <v>1</v>
      </c>
      <c r="R114">
        <f>IF(VLOOKUP($H114,'BASE DATOS'!$BN$2:$BX$40,10,FALSE)&lt;&gt;0,1,0)</f>
        <v>1</v>
      </c>
      <c r="S114">
        <f>IF(VLOOKUP($H114,'BASE DATOS'!$BN$2:$BX$40,11,FALSE)&lt;&gt;0,1,0)</f>
        <v>1</v>
      </c>
      <c r="T114" t="s">
        <v>341</v>
      </c>
    </row>
    <row r="115" spans="1:20">
      <c r="A115" s="786">
        <f t="shared" si="5"/>
        <v>43</v>
      </c>
      <c r="B115" s="786" t="str">
        <f t="shared" si="6"/>
        <v>TT</v>
      </c>
      <c r="C115" s="786">
        <f t="shared" si="8"/>
        <v>0</v>
      </c>
      <c r="D115" s="786" t="str">
        <f t="shared" si="7"/>
        <v>NO</v>
      </c>
      <c r="E115" s="38">
        <v>45952</v>
      </c>
      <c r="F115" s="614">
        <v>0.25</v>
      </c>
      <c r="G115" s="614" t="str">
        <f>VLOOKUP(H115,'BASE DATOS'!$BN$2:$BO$40,2,FALSE)</f>
        <v>PRIMER PISO</v>
      </c>
      <c r="H115" t="s">
        <v>1195</v>
      </c>
      <c r="I115" t="s">
        <v>1224</v>
      </c>
      <c r="J115" t="s">
        <v>1323</v>
      </c>
      <c r="K115">
        <f>IF(VLOOKUP($H115,'BASE DATOS'!$BN$2:$BX$40,3,FALSE)&lt;&gt;0,1,0)</f>
        <v>0</v>
      </c>
      <c r="L115">
        <f>IF(VLOOKUP($H115,'BASE DATOS'!$BN$2:$BX$40,4,FALSE)&lt;&gt;0,1,0)</f>
        <v>0</v>
      </c>
      <c r="M115">
        <f>IF(VLOOKUP($H115,'BASE DATOS'!$BN$2:$BX$40,5,FALSE)&lt;&gt;0,1,0)</f>
        <v>0</v>
      </c>
      <c r="N115">
        <v>0</v>
      </c>
      <c r="O115">
        <f>IF(VLOOKUP($H115,'BASE DATOS'!$BN$2:$BX$40,7,FALSE)&lt;&gt;0,1,0)</f>
        <v>1</v>
      </c>
      <c r="P115">
        <f>IF(VLOOKUP($H115,'BASE DATOS'!$BN$2:$BX$40,8,FALSE)&lt;&gt;0,1,0)</f>
        <v>0</v>
      </c>
      <c r="Q115">
        <f>IF(VLOOKUP($H115,'BASE DATOS'!$BN$2:$BX$40,9,FALSE)&lt;&gt;0,1,0)</f>
        <v>0</v>
      </c>
      <c r="R115">
        <f>IF(VLOOKUP($H115,'BASE DATOS'!$BN$2:$BX$40,10,FALSE)&lt;&gt;0,1,0)</f>
        <v>0</v>
      </c>
      <c r="S115">
        <f>IF(VLOOKUP($H115,'BASE DATOS'!$BN$2:$BX$40,11,FALSE)&lt;&gt;0,1,0)</f>
        <v>0</v>
      </c>
      <c r="T115" t="s">
        <v>341</v>
      </c>
    </row>
    <row r="116" spans="1:20">
      <c r="A116" s="786">
        <f t="shared" si="5"/>
        <v>43</v>
      </c>
      <c r="B116" s="786" t="str">
        <f t="shared" si="6"/>
        <v>TT</v>
      </c>
      <c r="C116" s="786">
        <f t="shared" si="8"/>
        <v>0</v>
      </c>
      <c r="D116" s="786" t="str">
        <f t="shared" si="7"/>
        <v>NO</v>
      </c>
      <c r="E116" s="38">
        <v>45952</v>
      </c>
      <c r="F116" s="614">
        <v>0.25</v>
      </c>
      <c r="G116" s="614" t="str">
        <f>VLOOKUP(H116,'BASE DATOS'!$BN$2:$BO$40,2,FALSE)</f>
        <v>PRIMER PISO</v>
      </c>
      <c r="H116" t="s">
        <v>1223</v>
      </c>
      <c r="I116" t="s">
        <v>1224</v>
      </c>
      <c r="J116" t="s">
        <v>1324</v>
      </c>
      <c r="K116">
        <f>IF(VLOOKUP($H116,'BASE DATOS'!$BN$2:$BX$40,3,FALSE)&lt;&gt;0,1,0)</f>
        <v>0</v>
      </c>
      <c r="L116">
        <f>IF(VLOOKUP($H116,'BASE DATOS'!$BN$2:$BX$40,4,FALSE)&lt;&gt;0,1,0)</f>
        <v>0</v>
      </c>
      <c r="M116">
        <f>IF(VLOOKUP($H116,'BASE DATOS'!$BN$2:$BX$40,5,FALSE)&lt;&gt;0,1,0)</f>
        <v>0</v>
      </c>
      <c r="N116">
        <v>0</v>
      </c>
      <c r="O116">
        <f>IF(VLOOKUP($H116,'BASE DATOS'!$BN$2:$BX$40,7,FALSE)&lt;&gt;0,1,0)</f>
        <v>1</v>
      </c>
      <c r="P116">
        <f>IF(VLOOKUP($H116,'BASE DATOS'!$BN$2:$BX$40,8,FALSE)&lt;&gt;0,1,0)</f>
        <v>0</v>
      </c>
      <c r="Q116">
        <f>IF(VLOOKUP($H116,'BASE DATOS'!$BN$2:$BX$40,9,FALSE)&lt;&gt;0,1,0)</f>
        <v>0</v>
      </c>
      <c r="R116">
        <f>IF(VLOOKUP($H116,'BASE DATOS'!$BN$2:$BX$40,10,FALSE)&lt;&gt;0,1,0)</f>
        <v>0</v>
      </c>
      <c r="S116">
        <f>IF(VLOOKUP($H116,'BASE DATOS'!$BN$2:$BX$40,11,FALSE)&lt;&gt;0,1,0)</f>
        <v>0</v>
      </c>
      <c r="T116" t="s">
        <v>341</v>
      </c>
    </row>
    <row r="117" spans="1:20">
      <c r="A117" s="786">
        <f t="shared" si="5"/>
        <v>43</v>
      </c>
      <c r="B117" s="786" t="str">
        <f t="shared" si="6"/>
        <v>TT</v>
      </c>
      <c r="C117" s="786">
        <f t="shared" si="8"/>
        <v>0</v>
      </c>
      <c r="D117" s="786" t="str">
        <f t="shared" si="7"/>
        <v>NO</v>
      </c>
      <c r="E117" s="38">
        <v>45952</v>
      </c>
      <c r="F117" s="614">
        <v>0.25</v>
      </c>
      <c r="G117" s="614" t="str">
        <f>VLOOKUP(H117,'BASE DATOS'!$BN$2:$BO$40,2,FALSE)</f>
        <v>PRIMER PISO</v>
      </c>
      <c r="H117" t="s">
        <v>1223</v>
      </c>
      <c r="I117" t="s">
        <v>1210</v>
      </c>
      <c r="J117" t="s">
        <v>1325</v>
      </c>
      <c r="K117">
        <f>IF(VLOOKUP($H117,'BASE DATOS'!$BN$2:$BX$40,3,FALSE)&lt;&gt;0,1,0)</f>
        <v>0</v>
      </c>
      <c r="L117">
        <f>IF(VLOOKUP($H117,'BASE DATOS'!$BN$2:$BX$40,4,FALSE)&lt;&gt;0,1,0)</f>
        <v>0</v>
      </c>
      <c r="M117">
        <f>IF(VLOOKUP($H117,'BASE DATOS'!$BN$2:$BX$40,5,FALSE)&lt;&gt;0,1,0)</f>
        <v>0</v>
      </c>
      <c r="N117">
        <v>0</v>
      </c>
      <c r="O117">
        <f>IF(VLOOKUP($H117,'BASE DATOS'!$BN$2:$BX$40,7,FALSE)&lt;&gt;0,1,0)</f>
        <v>1</v>
      </c>
      <c r="P117">
        <f>IF(VLOOKUP($H117,'BASE DATOS'!$BN$2:$BX$40,8,FALSE)&lt;&gt;0,1,0)</f>
        <v>0</v>
      </c>
      <c r="Q117">
        <f>IF(VLOOKUP($H117,'BASE DATOS'!$BN$2:$BX$40,9,FALSE)&lt;&gt;0,1,0)</f>
        <v>0</v>
      </c>
      <c r="R117">
        <f>IF(VLOOKUP($H117,'BASE DATOS'!$BN$2:$BX$40,10,FALSE)&lt;&gt;0,1,0)</f>
        <v>0</v>
      </c>
      <c r="S117">
        <f>IF(VLOOKUP($H117,'BASE DATOS'!$BN$2:$BX$40,11,FALSE)&lt;&gt;0,1,0)</f>
        <v>0</v>
      </c>
      <c r="T117" t="s">
        <v>341</v>
      </c>
    </row>
    <row r="118" spans="1:20">
      <c r="A118" s="786">
        <f t="shared" si="5"/>
        <v>43</v>
      </c>
      <c r="B118" s="786" t="str">
        <f t="shared" si="6"/>
        <v>TT</v>
      </c>
      <c r="C118" s="786">
        <f t="shared" si="8"/>
        <v>0</v>
      </c>
      <c r="D118" s="786" t="str">
        <f t="shared" si="7"/>
        <v>NO</v>
      </c>
      <c r="E118" s="38">
        <v>45952</v>
      </c>
      <c r="F118" s="614">
        <v>0.25</v>
      </c>
      <c r="G118" s="614" t="str">
        <f>VLOOKUP(H118,'BASE DATOS'!$BN$2:$BO$40,2,FALSE)</f>
        <v>PRIMER PISO</v>
      </c>
      <c r="H118" t="s">
        <v>1271</v>
      </c>
      <c r="I118" t="s">
        <v>1210</v>
      </c>
      <c r="J118" t="s">
        <v>1326</v>
      </c>
      <c r="K118">
        <f>IF(VLOOKUP($H118,'BASE DATOS'!$BN$2:$BX$40,3,FALSE)&lt;&gt;0,1,0)</f>
        <v>0</v>
      </c>
      <c r="L118">
        <f>IF(VLOOKUP($H118,'BASE DATOS'!$BN$2:$BX$40,4,FALSE)&lt;&gt;0,1,0)</f>
        <v>0</v>
      </c>
      <c r="M118">
        <f>IF(VLOOKUP($H118,'BASE DATOS'!$BN$2:$BX$40,5,FALSE)&lt;&gt;0,1,0)</f>
        <v>0</v>
      </c>
      <c r="N118">
        <v>0</v>
      </c>
      <c r="O118">
        <f>IF(VLOOKUP($H118,'BASE DATOS'!$BN$2:$BX$40,7,FALSE)&lt;&gt;0,1,0)</f>
        <v>1</v>
      </c>
      <c r="P118">
        <f>IF(VLOOKUP($H118,'BASE DATOS'!$BN$2:$BX$40,8,FALSE)&lt;&gt;0,1,0)</f>
        <v>0</v>
      </c>
      <c r="Q118">
        <f>IF(VLOOKUP($H118,'BASE DATOS'!$BN$2:$BX$40,9,FALSE)&lt;&gt;0,1,0)</f>
        <v>0</v>
      </c>
      <c r="R118">
        <f>IF(VLOOKUP($H118,'BASE DATOS'!$BN$2:$BX$40,10,FALSE)&lt;&gt;0,1,0)</f>
        <v>0</v>
      </c>
      <c r="S118">
        <f>IF(VLOOKUP($H118,'BASE DATOS'!$BN$2:$BX$40,11,FALSE)&lt;&gt;0,1,0)</f>
        <v>0</v>
      </c>
      <c r="T118" t="s">
        <v>341</v>
      </c>
    </row>
    <row r="119" spans="1:20">
      <c r="A119" s="786">
        <f t="shared" si="5"/>
        <v>43</v>
      </c>
      <c r="B119" s="786" t="str">
        <f t="shared" si="6"/>
        <v>TT</v>
      </c>
      <c r="C119" s="786">
        <f t="shared" si="8"/>
        <v>0</v>
      </c>
      <c r="D119" s="786" t="str">
        <f t="shared" si="7"/>
        <v>NO</v>
      </c>
      <c r="E119" s="38">
        <v>45952</v>
      </c>
      <c r="F119" s="614">
        <v>0.25</v>
      </c>
      <c r="G119" s="614" t="str">
        <f>VLOOKUP(H119,'BASE DATOS'!$BN$2:$BO$40,2,FALSE)</f>
        <v>PRIMER PISO</v>
      </c>
      <c r="H119" t="s">
        <v>1271</v>
      </c>
      <c r="I119" t="s">
        <v>1210</v>
      </c>
      <c r="J119" t="s">
        <v>1327</v>
      </c>
      <c r="K119">
        <f>IF(VLOOKUP($H119,'BASE DATOS'!$BN$2:$BX$40,3,FALSE)&lt;&gt;0,1,0)</f>
        <v>0</v>
      </c>
      <c r="L119">
        <f>IF(VLOOKUP($H119,'BASE DATOS'!$BN$2:$BX$40,4,FALSE)&lt;&gt;0,1,0)</f>
        <v>0</v>
      </c>
      <c r="M119">
        <f>IF(VLOOKUP($H119,'BASE DATOS'!$BN$2:$BX$40,5,FALSE)&lt;&gt;0,1,0)</f>
        <v>0</v>
      </c>
      <c r="N119">
        <v>0</v>
      </c>
      <c r="O119">
        <f>IF(VLOOKUP($H119,'BASE DATOS'!$BN$2:$BX$40,7,FALSE)&lt;&gt;0,1,0)</f>
        <v>1</v>
      </c>
      <c r="P119">
        <f>IF(VLOOKUP($H119,'BASE DATOS'!$BN$2:$BX$40,8,FALSE)&lt;&gt;0,1,0)</f>
        <v>0</v>
      </c>
      <c r="Q119">
        <f>IF(VLOOKUP($H119,'BASE DATOS'!$BN$2:$BX$40,9,FALSE)&lt;&gt;0,1,0)</f>
        <v>0</v>
      </c>
      <c r="R119">
        <f>IF(VLOOKUP($H119,'BASE DATOS'!$BN$2:$BX$40,10,FALSE)&lt;&gt;0,1,0)</f>
        <v>0</v>
      </c>
      <c r="S119">
        <f>IF(VLOOKUP($H119,'BASE DATOS'!$BN$2:$BX$40,11,FALSE)&lt;&gt;0,1,0)</f>
        <v>0</v>
      </c>
      <c r="T119" t="s">
        <v>341</v>
      </c>
    </row>
    <row r="120" spans="1:20">
      <c r="A120" s="786">
        <f t="shared" si="5"/>
        <v>43</v>
      </c>
      <c r="B120" s="786" t="str">
        <f t="shared" si="6"/>
        <v>TT</v>
      </c>
      <c r="C120" s="786">
        <f t="shared" si="8"/>
        <v>0</v>
      </c>
      <c r="D120" s="786" t="str">
        <f t="shared" si="7"/>
        <v>SI</v>
      </c>
      <c r="E120" s="38">
        <v>45952</v>
      </c>
      <c r="F120" s="614">
        <v>0.25</v>
      </c>
      <c r="G120" s="614" t="str">
        <f>VLOOKUP(H120,'BASE DATOS'!$BN$2:$BO$40,2,FALSE)</f>
        <v>PRIMER PISO</v>
      </c>
      <c r="H120" t="s">
        <v>1261</v>
      </c>
      <c r="I120" t="s">
        <v>1207</v>
      </c>
      <c r="J120" t="s">
        <v>1328</v>
      </c>
      <c r="K120">
        <f>IF(VLOOKUP($H120,'BASE DATOS'!$BN$2:$BX$40,3,FALSE)&lt;&gt;0,1,0)</f>
        <v>1</v>
      </c>
      <c r="L120">
        <f>IF(VLOOKUP($H120,'BASE DATOS'!$BN$2:$BX$40,4,FALSE)&lt;&gt;0,1,0)</f>
        <v>1</v>
      </c>
      <c r="M120">
        <f>IF(VLOOKUP($H120,'BASE DATOS'!$BN$2:$BX$40,5,FALSE)&lt;&gt;0,1,0)</f>
        <v>1</v>
      </c>
      <c r="N120">
        <f>IF(VLOOKUP($H120,'BASE DATOS'!$BN$2:$BX$40,6,FALSE)&lt;&gt;0,1,0)</f>
        <v>1</v>
      </c>
      <c r="O120">
        <f>IF(VLOOKUP($H120,'BASE DATOS'!$BN$2:$BX$40,7,FALSE)&lt;&gt;0,1,0)</f>
        <v>1</v>
      </c>
      <c r="P120">
        <f>IF(VLOOKUP($H120,'BASE DATOS'!$BN$2:$BX$40,8,FALSE)&lt;&gt;0,1,0)</f>
        <v>1</v>
      </c>
      <c r="Q120">
        <f>IF(VLOOKUP($H120,'BASE DATOS'!$BN$2:$BX$40,9,FALSE)&lt;&gt;0,1,0)</f>
        <v>1</v>
      </c>
      <c r="R120">
        <f>IF(VLOOKUP($H120,'BASE DATOS'!$BN$2:$BX$40,10,FALSE)&lt;&gt;0,1,0)</f>
        <v>1</v>
      </c>
      <c r="S120">
        <f>IF(VLOOKUP($H120,'BASE DATOS'!$BN$2:$BX$40,11,FALSE)&lt;&gt;0,1,0)</f>
        <v>1</v>
      </c>
      <c r="T120" t="s">
        <v>341</v>
      </c>
    </row>
    <row r="121" spans="1:20">
      <c r="A121" s="786">
        <f t="shared" si="5"/>
        <v>43</v>
      </c>
      <c r="B121" s="786" t="str">
        <f t="shared" si="6"/>
        <v>TT</v>
      </c>
      <c r="C121" s="786">
        <f t="shared" si="8"/>
        <v>0</v>
      </c>
      <c r="D121" s="786" t="str">
        <f t="shared" si="7"/>
        <v>NO</v>
      </c>
      <c r="E121" s="38">
        <v>45952</v>
      </c>
      <c r="F121" s="614">
        <v>0.25</v>
      </c>
      <c r="G121" s="614" t="str">
        <f>VLOOKUP(H121,'BASE DATOS'!$BN$2:$BO$40,2,FALSE)</f>
        <v>PRIMER PISO</v>
      </c>
      <c r="H121" t="s">
        <v>1265</v>
      </c>
      <c r="I121" t="s">
        <v>1224</v>
      </c>
      <c r="J121" t="s">
        <v>1329</v>
      </c>
      <c r="K121">
        <f>IF(VLOOKUP($H121,'BASE DATOS'!$BN$2:$BX$40,3,FALSE)&lt;&gt;0,1,0)</f>
        <v>0</v>
      </c>
      <c r="L121">
        <f>IF(VLOOKUP($H121,'BASE DATOS'!$BN$2:$BX$40,4,FALSE)&lt;&gt;0,1,0)</f>
        <v>0</v>
      </c>
      <c r="M121">
        <f>IF(VLOOKUP($H121,'BASE DATOS'!$BN$2:$BX$40,5,FALSE)&lt;&gt;0,1,0)</f>
        <v>0</v>
      </c>
      <c r="N121">
        <v>0</v>
      </c>
      <c r="O121">
        <f>IF(VLOOKUP($H121,'BASE DATOS'!$BN$2:$BX$40,7,FALSE)&lt;&gt;0,1,0)</f>
        <v>1</v>
      </c>
      <c r="P121">
        <f>IF(VLOOKUP($H121,'BASE DATOS'!$BN$2:$BX$40,8,FALSE)&lt;&gt;0,1,0)</f>
        <v>0</v>
      </c>
      <c r="Q121">
        <f>IF(VLOOKUP($H121,'BASE DATOS'!$BN$2:$BX$40,9,FALSE)&lt;&gt;0,1,0)</f>
        <v>0</v>
      </c>
      <c r="R121">
        <f>IF(VLOOKUP($H121,'BASE DATOS'!$BN$2:$BX$40,10,FALSE)&lt;&gt;0,1,0)</f>
        <v>0</v>
      </c>
      <c r="S121">
        <f>IF(VLOOKUP($H121,'BASE DATOS'!$BN$2:$BX$40,11,FALSE)&lt;&gt;0,1,0)</f>
        <v>0</v>
      </c>
      <c r="T121" t="s">
        <v>341</v>
      </c>
    </row>
    <row r="122" spans="1:20">
      <c r="A122" s="786">
        <f t="shared" si="5"/>
        <v>43</v>
      </c>
      <c r="B122" s="786" t="str">
        <f t="shared" si="6"/>
        <v>TT</v>
      </c>
      <c r="C122" s="786">
        <f t="shared" si="8"/>
        <v>0</v>
      </c>
      <c r="D122" s="786" t="str">
        <f t="shared" si="7"/>
        <v>NO</v>
      </c>
      <c r="E122" s="38">
        <v>45952</v>
      </c>
      <c r="F122" s="614">
        <v>0.25</v>
      </c>
      <c r="G122" s="614" t="str">
        <f>VLOOKUP(H122,'BASE DATOS'!$BN$2:$BO$40,2,FALSE)</f>
        <v>PRIMER PISO</v>
      </c>
      <c r="H122" t="s">
        <v>1198</v>
      </c>
      <c r="I122" t="s">
        <v>1330</v>
      </c>
      <c r="J122" t="s">
        <v>1331</v>
      </c>
      <c r="K122">
        <f>IF(VLOOKUP($H122,'BASE DATOS'!$BN$2:$BX$40,3,FALSE)&lt;&gt;0,1,0)</f>
        <v>0</v>
      </c>
      <c r="L122">
        <f>IF(VLOOKUP($H122,'BASE DATOS'!$BN$2:$BX$40,4,FALSE)&lt;&gt;0,1,0)</f>
        <v>0</v>
      </c>
      <c r="M122">
        <f>IF(VLOOKUP($H122,'BASE DATOS'!$BN$2:$BX$40,5,FALSE)&lt;&gt;0,1,0)</f>
        <v>0</v>
      </c>
      <c r="N122">
        <v>0</v>
      </c>
      <c r="O122">
        <f>IF(VLOOKUP($H122,'BASE DATOS'!$BN$2:$BX$40,7,FALSE)&lt;&gt;0,1,0)</f>
        <v>1</v>
      </c>
      <c r="P122">
        <f>IF(VLOOKUP($H122,'BASE DATOS'!$BN$2:$BX$40,8,FALSE)&lt;&gt;0,1,0)</f>
        <v>0</v>
      </c>
      <c r="Q122">
        <f>IF(VLOOKUP($H122,'BASE DATOS'!$BN$2:$BX$40,9,FALSE)&lt;&gt;0,1,0)</f>
        <v>0</v>
      </c>
      <c r="R122">
        <f>IF(VLOOKUP($H122,'BASE DATOS'!$BN$2:$BX$40,10,FALSE)&lt;&gt;0,1,0)</f>
        <v>0</v>
      </c>
      <c r="S122">
        <f>IF(VLOOKUP($H122,'BASE DATOS'!$BN$2:$BX$40,11,FALSE)&lt;&gt;0,1,0)</f>
        <v>0</v>
      </c>
      <c r="T122" t="s">
        <v>341</v>
      </c>
    </row>
    <row r="123" spans="1:20">
      <c r="A123" s="786">
        <f>IF(E123="","FD",_xlfn.ISOWEEKNUM(E123))</f>
        <v>43</v>
      </c>
      <c r="B123" s="786" t="str">
        <f>IF(F123="","FD",IF(AND(F123&gt;0.25,F123&lt;0.75),"TM","TT"))</f>
        <v>TT</v>
      </c>
      <c r="C123" s="786">
        <f t="shared" si="8"/>
        <v>1</v>
      </c>
      <c r="D123" s="786" t="str">
        <f t="shared" si="7"/>
        <v>SI</v>
      </c>
      <c r="E123" s="38">
        <v>45953</v>
      </c>
      <c r="F123" s="614">
        <v>0.25</v>
      </c>
      <c r="G123" s="614" t="str">
        <f>IFERROR(VLOOKUP(H123,'BASE DATOS'!$BN$2:$BO$40,2,FALSE),"FD")</f>
        <v>PRIMER PISO</v>
      </c>
      <c r="H123" t="s">
        <v>1206</v>
      </c>
      <c r="I123" t="s">
        <v>1207</v>
      </c>
      <c r="J123" t="s">
        <v>1332</v>
      </c>
      <c r="K123">
        <f>IFERROR(IF(VLOOKUP($H123,'BASE DATOS'!$BN$2:$BX$40,3,FALSE)&lt;&gt;0,1,0),"-")</f>
        <v>1</v>
      </c>
      <c r="L123">
        <f>IFERROR(IF(VLOOKUP($H123,'BASE DATOS'!$BN$2:$BX$40,4,FALSE)&lt;&gt;0,1,0),"-")</f>
        <v>1</v>
      </c>
      <c r="M123">
        <f>IFERROR(IF(VLOOKUP($H123,'BASE DATOS'!$BN$2:$BX$40,5,FALSE)&lt;&gt;0,1,0),"-")</f>
        <v>1</v>
      </c>
      <c r="N123">
        <f>IFERROR(IF(VLOOKUP($H123,'BASE DATOS'!$BN$2:$BX$40,6,FALSE)&lt;&gt;0,1,0),"-")</f>
        <v>1</v>
      </c>
      <c r="O123">
        <f>IFERROR(IF(VLOOKUP($H123,'BASE DATOS'!$BN$2:$BX$40,7,FALSE)&lt;&gt;0,1,0),"-")</f>
        <v>1</v>
      </c>
      <c r="P123">
        <f>IFERROR(IF(VLOOKUP($H123,'BASE DATOS'!$BN$2:$BX$40,8,FALSE)&lt;&gt;0,1,0),"-")</f>
        <v>1</v>
      </c>
      <c r="Q123">
        <f>IFERROR(IF(VLOOKUP($H123,'BASE DATOS'!$BN$2:$BX$40,9,FALSE)&lt;&gt;0,1,0),"-")</f>
        <v>1</v>
      </c>
      <c r="R123">
        <f>IFERROR(IF(VLOOKUP($H123,'BASE DATOS'!$BN$2:$BX$40,10,FALSE)&lt;&gt;0,1,0),"-")</f>
        <v>1</v>
      </c>
      <c r="S123">
        <f>IFERROR(IF(VLOOKUP($H123,'BASE DATOS'!$BN$2:$BX$40,11,FALSE)&lt;&gt;0,1,0),"-")</f>
        <v>1</v>
      </c>
      <c r="T123" t="s">
        <v>341</v>
      </c>
    </row>
    <row r="124" spans="1:20">
      <c r="A124" s="786">
        <f t="shared" ref="A124:A140" si="9">IF(E124="","FD",_xlfn.ISOWEEKNUM(E124))</f>
        <v>43</v>
      </c>
      <c r="B124" s="786" t="str">
        <f t="shared" ref="B124:B140" si="10">IF(F124="","FD",IF(AND(F124&gt;0.25,F124&lt;0.75),"TM","TT"))</f>
        <v>TT</v>
      </c>
      <c r="C124" s="786">
        <f t="shared" si="8"/>
        <v>0</v>
      </c>
      <c r="D124" s="786" t="str">
        <f t="shared" si="7"/>
        <v>SI</v>
      </c>
      <c r="E124" s="38">
        <v>45953</v>
      </c>
      <c r="F124" s="614">
        <v>0.25</v>
      </c>
      <c r="G124" s="614" t="str">
        <f>IFERROR(VLOOKUP(H124,'BASE DATOS'!$BN$2:$BO$40,2,FALSE),"FD")</f>
        <v>PRIMER PISO</v>
      </c>
      <c r="H124" t="s">
        <v>1206</v>
      </c>
      <c r="I124" t="s">
        <v>1210</v>
      </c>
      <c r="J124" t="s">
        <v>1333</v>
      </c>
      <c r="K124">
        <f>IFERROR(IF(VLOOKUP($H124,'BASE DATOS'!$BN$2:$BX$40,3,FALSE)&lt;&gt;0,1,0),"-")</f>
        <v>1</v>
      </c>
      <c r="L124">
        <f>IFERROR(IF(VLOOKUP($H124,'BASE DATOS'!$BN$2:$BX$40,4,FALSE)&lt;&gt;0,1,0),"-")</f>
        <v>1</v>
      </c>
      <c r="M124">
        <f>IFERROR(IF(VLOOKUP($H124,'BASE DATOS'!$BN$2:$BX$40,5,FALSE)&lt;&gt;0,1,0),"-")</f>
        <v>1</v>
      </c>
      <c r="N124">
        <f>IFERROR(IF(VLOOKUP($H124,'BASE DATOS'!$BN$2:$BX$40,6,FALSE)&lt;&gt;0,1,0),"-")</f>
        <v>1</v>
      </c>
      <c r="O124">
        <f>IFERROR(IF(VLOOKUP($H124,'BASE DATOS'!$BN$2:$BX$40,7,FALSE)&lt;&gt;0,1,0),"-")</f>
        <v>1</v>
      </c>
      <c r="P124">
        <f>IFERROR(IF(VLOOKUP($H124,'BASE DATOS'!$BN$2:$BX$40,8,FALSE)&lt;&gt;0,1,0),"-")</f>
        <v>1</v>
      </c>
      <c r="Q124">
        <f>IFERROR(IF(VLOOKUP($H124,'BASE DATOS'!$BN$2:$BX$40,9,FALSE)&lt;&gt;0,1,0),"-")</f>
        <v>1</v>
      </c>
      <c r="R124">
        <f>IFERROR(IF(VLOOKUP($H124,'BASE DATOS'!$BN$2:$BX$40,10,FALSE)&lt;&gt;0,1,0),"-")</f>
        <v>1</v>
      </c>
      <c r="S124">
        <f>IFERROR(IF(VLOOKUP($H124,'BASE DATOS'!$BN$2:$BX$40,11,FALSE)&lt;&gt;0,1,0),"-")</f>
        <v>1</v>
      </c>
      <c r="T124" t="s">
        <v>341</v>
      </c>
    </row>
    <row r="125" spans="1:20">
      <c r="A125" s="786">
        <f t="shared" si="9"/>
        <v>43</v>
      </c>
      <c r="B125" s="786" t="str">
        <f t="shared" si="10"/>
        <v>TM</v>
      </c>
      <c r="C125" s="786">
        <f t="shared" si="8"/>
        <v>1</v>
      </c>
      <c r="D125" s="786" t="str">
        <f t="shared" si="7"/>
        <v>NO</v>
      </c>
      <c r="E125" s="38">
        <v>45953</v>
      </c>
      <c r="F125" s="614">
        <v>0.64583333333333337</v>
      </c>
      <c r="G125" s="614" t="str">
        <f>IFERROR(VLOOKUP(H125,'BASE DATOS'!$BN$2:$BO$40,2,FALSE),"FD")</f>
        <v>PLANTA BAJA</v>
      </c>
      <c r="H125" t="s">
        <v>1202</v>
      </c>
      <c r="I125" t="s">
        <v>1214</v>
      </c>
      <c r="J125" t="s">
        <v>1334</v>
      </c>
      <c r="K125">
        <f>IFERROR(IF(VLOOKUP($H125,'BASE DATOS'!$BN$2:$BX$40,3,FALSE)&lt;&gt;0,1,0),"-")</f>
        <v>0</v>
      </c>
      <c r="L125">
        <v>0</v>
      </c>
      <c r="M125">
        <v>0</v>
      </c>
      <c r="N125">
        <f>IFERROR(IF(VLOOKUP($H125,'BASE DATOS'!$BN$2:$BX$40,6,FALSE)&lt;&gt;0,1,0),"-")</f>
        <v>1</v>
      </c>
      <c r="O125">
        <v>0</v>
      </c>
      <c r="P125">
        <f>IFERROR(IF(VLOOKUP($H125,'BASE DATOS'!$BN$2:$BX$40,8,FALSE)&lt;&gt;0,1,0),"-")</f>
        <v>0</v>
      </c>
      <c r="Q125">
        <f>IFERROR(IF(VLOOKUP($H125,'BASE DATOS'!$BN$2:$BX$40,9,FALSE)&lt;&gt;0,1,0),"-")</f>
        <v>0</v>
      </c>
      <c r="R125">
        <f>IFERROR(IF(VLOOKUP($H125,'BASE DATOS'!$BN$2:$BX$40,10,FALSE)&lt;&gt;0,1,0),"-")</f>
        <v>0</v>
      </c>
      <c r="S125">
        <f>IFERROR(IF(VLOOKUP($H125,'BASE DATOS'!$BN$2:$BX$40,11,FALSE)&lt;&gt;0,1,0),"-")</f>
        <v>0</v>
      </c>
      <c r="T125" t="s">
        <v>341</v>
      </c>
    </row>
    <row r="126" spans="1:20">
      <c r="A126" s="786">
        <f t="shared" si="9"/>
        <v>43</v>
      </c>
      <c r="B126" s="786" t="str">
        <f t="shared" si="10"/>
        <v>TM</v>
      </c>
      <c r="C126" s="786">
        <f t="shared" si="8"/>
        <v>0</v>
      </c>
      <c r="D126" s="786" t="str">
        <f t="shared" si="7"/>
        <v>NO</v>
      </c>
      <c r="E126" s="38">
        <v>45953</v>
      </c>
      <c r="F126" s="614">
        <v>0.64583333333333337</v>
      </c>
      <c r="G126" s="614" t="str">
        <f>IFERROR(VLOOKUP(H126,'BASE DATOS'!$BN$2:$BO$40,2,FALSE),"FD")</f>
        <v>PLANTA BAJA</v>
      </c>
      <c r="H126" t="s">
        <v>1200</v>
      </c>
      <c r="I126" t="s">
        <v>1214</v>
      </c>
      <c r="J126" t="s">
        <v>1335</v>
      </c>
      <c r="K126">
        <f>IFERROR(IF(VLOOKUP($H126,'BASE DATOS'!$BN$2:$BX$40,3,FALSE)&lt;&gt;0,1,0),"-")</f>
        <v>0</v>
      </c>
      <c r="L126">
        <v>0</v>
      </c>
      <c r="M126">
        <v>0</v>
      </c>
      <c r="N126">
        <f>IFERROR(IF(VLOOKUP($H126,'BASE DATOS'!$BN$2:$BX$40,6,FALSE)&lt;&gt;0,1,0),"-")</f>
        <v>1</v>
      </c>
      <c r="O126">
        <v>0</v>
      </c>
      <c r="P126">
        <f>IFERROR(IF(VLOOKUP($H126,'BASE DATOS'!$BN$2:$BX$40,8,FALSE)&lt;&gt;0,1,0),"-")</f>
        <v>0</v>
      </c>
      <c r="Q126">
        <f>IFERROR(IF(VLOOKUP($H126,'BASE DATOS'!$BN$2:$BX$40,9,FALSE)&lt;&gt;0,1,0),"-")</f>
        <v>0</v>
      </c>
      <c r="R126">
        <f>IFERROR(IF(VLOOKUP($H126,'BASE DATOS'!$BN$2:$BX$40,10,FALSE)&lt;&gt;0,1,0),"-")</f>
        <v>0</v>
      </c>
      <c r="S126">
        <f>IFERROR(IF(VLOOKUP($H126,'BASE DATOS'!$BN$2:$BX$40,11,FALSE)&lt;&gt;0,1,0),"-")</f>
        <v>0</v>
      </c>
      <c r="T126" t="s">
        <v>341</v>
      </c>
    </row>
    <row r="127" spans="1:20">
      <c r="A127" s="786">
        <f t="shared" si="9"/>
        <v>43</v>
      </c>
      <c r="B127" s="786" t="str">
        <f t="shared" si="10"/>
        <v>TM</v>
      </c>
      <c r="C127" s="786">
        <f t="shared" si="8"/>
        <v>0</v>
      </c>
      <c r="D127" s="786" t="str">
        <f t="shared" si="7"/>
        <v>NO</v>
      </c>
      <c r="E127" s="38">
        <v>45953</v>
      </c>
      <c r="F127" s="614">
        <v>0.64583333333333337</v>
      </c>
      <c r="G127" s="614" t="str">
        <f>IFERROR(VLOOKUP(H127,'BASE DATOS'!$BN$2:$BO$40,2,FALSE),"FD")</f>
        <v>PLANTA BAJA</v>
      </c>
      <c r="H127" t="s">
        <v>1336</v>
      </c>
      <c r="I127" t="s">
        <v>1216</v>
      </c>
      <c r="J127" t="s">
        <v>1337</v>
      </c>
      <c r="K127">
        <v>0</v>
      </c>
      <c r="L127">
        <v>0</v>
      </c>
      <c r="M127">
        <v>0</v>
      </c>
      <c r="N127">
        <f>IFERROR(IF(VLOOKUP($H127,'BASE DATOS'!$BN$2:$BX$40,6,FALSE)&lt;&gt;0,1,0),"-")</f>
        <v>0</v>
      </c>
      <c r="O127">
        <f>IFERROR(IF(VLOOKUP($H127,'BASE DATOS'!$BN$2:$BX$40,7,FALSE)&lt;&gt;0,1,0),"-")</f>
        <v>0</v>
      </c>
      <c r="P127">
        <f>IFERROR(IF(VLOOKUP($H127,'BASE DATOS'!$BN$2:$BX$40,8,FALSE)&lt;&gt;0,1,0),"-")</f>
        <v>0</v>
      </c>
      <c r="Q127">
        <f>IFERROR(IF(VLOOKUP($H127,'BASE DATOS'!$BN$2:$BX$40,9,FALSE)&lt;&gt;0,1,0),"-")</f>
        <v>0</v>
      </c>
      <c r="R127">
        <f>IFERROR(IF(VLOOKUP($H127,'BASE DATOS'!$BN$2:$BX$40,10,FALSE)&lt;&gt;0,1,0),"-")</f>
        <v>0</v>
      </c>
      <c r="S127">
        <f>IFERROR(IF(VLOOKUP($H127,'BASE DATOS'!$BN$2:$BX$40,11,FALSE)&lt;&gt;0,1,0),"-")</f>
        <v>0</v>
      </c>
      <c r="T127" t="s">
        <v>341</v>
      </c>
    </row>
    <row r="128" spans="1:20">
      <c r="A128" s="786">
        <f t="shared" si="9"/>
        <v>43</v>
      </c>
      <c r="B128" s="786" t="str">
        <f t="shared" si="10"/>
        <v>TM</v>
      </c>
      <c r="C128" s="786">
        <f t="shared" si="8"/>
        <v>0</v>
      </c>
      <c r="D128" s="786" t="str">
        <f t="shared" si="7"/>
        <v>NO</v>
      </c>
      <c r="E128" s="38">
        <v>45953</v>
      </c>
      <c r="F128" s="614">
        <v>0.64583333333333337</v>
      </c>
      <c r="G128" s="614" t="str">
        <f>IFERROR(VLOOKUP(H128,'BASE DATOS'!$BN$2:$BO$40,2,FALSE),"FD")</f>
        <v>PLANTA BAJA</v>
      </c>
      <c r="H128" t="s">
        <v>1243</v>
      </c>
      <c r="I128" t="s">
        <v>1338</v>
      </c>
      <c r="J128" t="s">
        <v>1339</v>
      </c>
      <c r="K128">
        <f>IFERROR(IF(VLOOKUP($H128,'BASE DATOS'!$BN$2:$BX$40,3,FALSE)&lt;&gt;0,1,0),"-")</f>
        <v>1</v>
      </c>
      <c r="L128">
        <f>IFERROR(IF(VLOOKUP($H128,'BASE DATOS'!$BN$2:$BX$40,4,FALSE)&lt;&gt;0,1,0),"-")</f>
        <v>0</v>
      </c>
      <c r="M128">
        <f>IFERROR(IF(VLOOKUP($H128,'BASE DATOS'!$BN$2:$BX$40,5,FALSE)&lt;&gt;0,1,0),"-")</f>
        <v>0</v>
      </c>
      <c r="N128">
        <f>IFERROR(IF(VLOOKUP($H128,'BASE DATOS'!$BN$2:$BX$40,6,FALSE)&lt;&gt;0,1,0),"-")</f>
        <v>0</v>
      </c>
      <c r="O128">
        <f>IFERROR(IF(VLOOKUP($H128,'BASE DATOS'!$BN$2:$BX$40,7,FALSE)&lt;&gt;0,1,0),"-")</f>
        <v>0</v>
      </c>
      <c r="P128">
        <f>IFERROR(IF(VLOOKUP($H128,'BASE DATOS'!$BN$2:$BX$40,8,FALSE)&lt;&gt;0,1,0),"-")</f>
        <v>0</v>
      </c>
      <c r="Q128">
        <f>IFERROR(IF(VLOOKUP($H128,'BASE DATOS'!$BN$2:$BX$40,9,FALSE)&lt;&gt;0,1,0),"-")</f>
        <v>0</v>
      </c>
      <c r="R128">
        <v>0</v>
      </c>
      <c r="S128">
        <f>IFERROR(IF(VLOOKUP($H128,'BASE DATOS'!$BN$2:$BX$40,11,FALSE)&lt;&gt;0,1,0),"-")</f>
        <v>0</v>
      </c>
      <c r="T128" t="s">
        <v>341</v>
      </c>
    </row>
    <row r="129" spans="1:20">
      <c r="A129" s="786">
        <f t="shared" si="9"/>
        <v>43</v>
      </c>
      <c r="B129" s="786" t="str">
        <f t="shared" si="10"/>
        <v>TM</v>
      </c>
      <c r="C129" s="786">
        <f t="shared" si="8"/>
        <v>0</v>
      </c>
      <c r="D129" s="786" t="str">
        <f t="shared" si="7"/>
        <v>NO</v>
      </c>
      <c r="E129" s="38">
        <v>45953</v>
      </c>
      <c r="F129" s="614">
        <v>0.64583333333333337</v>
      </c>
      <c r="G129" s="614" t="str">
        <f>IFERROR(VLOOKUP(H129,'BASE DATOS'!$BN$2:$BO$40,2,FALSE),"FD")</f>
        <v>PLANTA BAJA</v>
      </c>
      <c r="H129" t="s">
        <v>1243</v>
      </c>
      <c r="I129" t="s">
        <v>970</v>
      </c>
      <c r="J129" t="s">
        <v>1340</v>
      </c>
      <c r="K129">
        <f>IFERROR(IF(VLOOKUP($H129,'BASE DATOS'!$BN$2:$BX$40,3,FALSE)&lt;&gt;0,1,0),"-")</f>
        <v>1</v>
      </c>
      <c r="L129">
        <f>IFERROR(IF(VLOOKUP($H129,'BASE DATOS'!$BN$2:$BX$40,4,FALSE)&lt;&gt;0,1,0),"-")</f>
        <v>0</v>
      </c>
      <c r="M129">
        <f>IFERROR(IF(VLOOKUP($H129,'BASE DATOS'!$BN$2:$BX$40,5,FALSE)&lt;&gt;0,1,0),"-")</f>
        <v>0</v>
      </c>
      <c r="N129">
        <f>IFERROR(IF(VLOOKUP($H129,'BASE DATOS'!$BN$2:$BX$40,6,FALSE)&lt;&gt;0,1,0),"-")</f>
        <v>0</v>
      </c>
      <c r="O129">
        <f>IFERROR(IF(VLOOKUP($H129,'BASE DATOS'!$BN$2:$BX$40,7,FALSE)&lt;&gt;0,1,0),"-")</f>
        <v>0</v>
      </c>
      <c r="P129">
        <f>IFERROR(IF(VLOOKUP($H129,'BASE DATOS'!$BN$2:$BX$40,8,FALSE)&lt;&gt;0,1,0),"-")</f>
        <v>0</v>
      </c>
      <c r="Q129">
        <f>IFERROR(IF(VLOOKUP($H129,'BASE DATOS'!$BN$2:$BX$40,9,FALSE)&lt;&gt;0,1,0),"-")</f>
        <v>0</v>
      </c>
      <c r="R129">
        <v>0</v>
      </c>
      <c r="S129">
        <f>IFERROR(IF(VLOOKUP($H129,'BASE DATOS'!$BN$2:$BX$40,11,FALSE)&lt;&gt;0,1,0),"-")</f>
        <v>0</v>
      </c>
      <c r="T129" t="s">
        <v>341</v>
      </c>
    </row>
    <row r="130" spans="1:20">
      <c r="A130" s="786">
        <f t="shared" si="9"/>
        <v>43</v>
      </c>
      <c r="B130" s="786" t="str">
        <f t="shared" si="10"/>
        <v>TM</v>
      </c>
      <c r="C130" s="786">
        <f t="shared" si="8"/>
        <v>0</v>
      </c>
      <c r="D130" s="786" t="str">
        <f t="shared" si="7"/>
        <v>SI</v>
      </c>
      <c r="E130" s="38">
        <v>45953</v>
      </c>
      <c r="F130" s="614">
        <v>0.64583333333333337</v>
      </c>
      <c r="G130" s="614" t="str">
        <f>IFERROR(VLOOKUP(H130,'BASE DATOS'!$BN$2:$BO$40,2,FALSE),"FD")</f>
        <v>PLANTA BAJA</v>
      </c>
      <c r="H130" t="s">
        <v>1228</v>
      </c>
      <c r="I130" t="s">
        <v>1216</v>
      </c>
      <c r="J130" t="s">
        <v>1341</v>
      </c>
      <c r="K130">
        <v>0</v>
      </c>
      <c r="L130">
        <v>0</v>
      </c>
      <c r="M130">
        <v>0</v>
      </c>
      <c r="N130">
        <v>0</v>
      </c>
      <c r="O130">
        <v>0</v>
      </c>
      <c r="P130">
        <v>0</v>
      </c>
      <c r="Q130">
        <v>0</v>
      </c>
      <c r="R130">
        <v>0</v>
      </c>
      <c r="S130">
        <v>0</v>
      </c>
      <c r="T130" t="s">
        <v>341</v>
      </c>
    </row>
    <row r="131" spans="1:20">
      <c r="A131" s="786">
        <f t="shared" si="9"/>
        <v>43</v>
      </c>
      <c r="B131" s="786" t="str">
        <f t="shared" si="10"/>
        <v>TM</v>
      </c>
      <c r="C131" s="786">
        <f t="shared" si="8"/>
        <v>1</v>
      </c>
      <c r="D131" s="786" t="str">
        <f t="shared" ref="D131:D166" si="11">IF(OR(LEFT(H131,4)="VEST",LEFT(H131,4)="BAÑO",LEFT(H131,4)="COME"),"SI","NO")</f>
        <v>NO</v>
      </c>
      <c r="E131" s="38">
        <v>45954</v>
      </c>
      <c r="F131" s="614">
        <v>0.52083333333333337</v>
      </c>
      <c r="G131" s="614" t="str">
        <f>IFERROR(VLOOKUP(H131,'BASE DATOS'!$BN$2:$BO$40,2,FALSE),"FD")</f>
        <v>ENTRE PISO</v>
      </c>
      <c r="H131" t="s">
        <v>1342</v>
      </c>
      <c r="I131" t="s">
        <v>1207</v>
      </c>
      <c r="J131" t="s">
        <v>1343</v>
      </c>
      <c r="K131">
        <f>IFERROR(IF(VLOOKUP($H131,'BASE DATOS'!$BN$2:$BX$40,3,FALSE)&lt;&gt;0,1,0),"-")</f>
        <v>0</v>
      </c>
      <c r="L131">
        <f>IFERROR(IF(VLOOKUP($H131,'BASE DATOS'!$BN$2:$BX$40,4,FALSE)&lt;&gt;0,1,0),"-")</f>
        <v>0</v>
      </c>
      <c r="M131">
        <f>IFERROR(IF(VLOOKUP($H131,'BASE DATOS'!$BN$2:$BX$40,5,FALSE)&lt;&gt;0,1,0),"-")</f>
        <v>0</v>
      </c>
      <c r="N131">
        <f>IFERROR(IF(VLOOKUP($H131,'BASE DATOS'!$BN$2:$BX$40,6,FALSE)&lt;&gt;0,1,0),"-")</f>
        <v>0</v>
      </c>
      <c r="O131">
        <f>IFERROR(IF(VLOOKUP($H131,'BASE DATOS'!$BN$2:$BX$40,7,FALSE)&lt;&gt;0,1,0),"-")</f>
        <v>0</v>
      </c>
      <c r="P131">
        <f>IFERROR(IF(VLOOKUP($H131,'BASE DATOS'!$BN$2:$BX$40,8,FALSE)&lt;&gt;0,1,0),"-")</f>
        <v>0</v>
      </c>
      <c r="Q131">
        <f>IFERROR(IF(VLOOKUP($H131,'BASE DATOS'!$BN$2:$BX$40,9,FALSE)&lt;&gt;0,1,0),"-")</f>
        <v>0</v>
      </c>
      <c r="R131">
        <f>IFERROR(IF(VLOOKUP($H131,'BASE DATOS'!$BN$2:$BX$40,10,FALSE)&lt;&gt;0,1,0),"-")</f>
        <v>0</v>
      </c>
      <c r="S131">
        <f>IFERROR(IF(VLOOKUP($H131,'BASE DATOS'!$BN$2:$BX$40,11,FALSE)&lt;&gt;0,1,0),"-")</f>
        <v>1</v>
      </c>
      <c r="T131" t="s">
        <v>341</v>
      </c>
    </row>
    <row r="132" spans="1:20">
      <c r="A132" s="786">
        <f t="shared" si="9"/>
        <v>43</v>
      </c>
      <c r="B132" s="786" t="str">
        <f t="shared" si="10"/>
        <v>TM</v>
      </c>
      <c r="C132" s="786">
        <f t="shared" si="8"/>
        <v>0</v>
      </c>
      <c r="D132" s="786" t="str">
        <f t="shared" si="11"/>
        <v>NO</v>
      </c>
      <c r="E132" s="38">
        <v>45954</v>
      </c>
      <c r="F132" s="614">
        <v>0.52083333333333337</v>
      </c>
      <c r="G132" s="614" t="str">
        <f>IFERROR(VLOOKUP(H132,'BASE DATOS'!$BN$2:$BO$40,2,FALSE),"FD")</f>
        <v>ENTRE PISO</v>
      </c>
      <c r="H132" t="s">
        <v>1342</v>
      </c>
      <c r="I132" t="s">
        <v>1210</v>
      </c>
      <c r="J132" t="s">
        <v>1344</v>
      </c>
      <c r="K132">
        <f>IFERROR(IF(VLOOKUP($H132,'BASE DATOS'!$BN$2:$BX$40,3,FALSE)&lt;&gt;0,1,0),"-")</f>
        <v>0</v>
      </c>
      <c r="L132">
        <f>IFERROR(IF(VLOOKUP($H132,'BASE DATOS'!$BN$2:$BX$40,4,FALSE)&lt;&gt;0,1,0),"-")</f>
        <v>0</v>
      </c>
      <c r="M132">
        <f>IFERROR(IF(VLOOKUP($H132,'BASE DATOS'!$BN$2:$BX$40,5,FALSE)&lt;&gt;0,1,0),"-")</f>
        <v>0</v>
      </c>
      <c r="N132">
        <f>IFERROR(IF(VLOOKUP($H132,'BASE DATOS'!$BN$2:$BX$40,6,FALSE)&lt;&gt;0,1,0),"-")</f>
        <v>0</v>
      </c>
      <c r="O132">
        <f>IFERROR(IF(VLOOKUP($H132,'BASE DATOS'!$BN$2:$BX$40,7,FALSE)&lt;&gt;0,1,0),"-")</f>
        <v>0</v>
      </c>
      <c r="P132">
        <f>IFERROR(IF(VLOOKUP($H132,'BASE DATOS'!$BN$2:$BX$40,8,FALSE)&lt;&gt;0,1,0),"-")</f>
        <v>0</v>
      </c>
      <c r="Q132">
        <f>IFERROR(IF(VLOOKUP($H132,'BASE DATOS'!$BN$2:$BX$40,9,FALSE)&lt;&gt;0,1,0),"-")</f>
        <v>0</v>
      </c>
      <c r="R132">
        <f>IFERROR(IF(VLOOKUP($H132,'BASE DATOS'!$BN$2:$BX$40,10,FALSE)&lt;&gt;0,1,0),"-")</f>
        <v>0</v>
      </c>
      <c r="S132">
        <f>IFERROR(IF(VLOOKUP($H132,'BASE DATOS'!$BN$2:$BX$40,11,FALSE)&lt;&gt;0,1,0),"-")</f>
        <v>1</v>
      </c>
      <c r="T132" t="s">
        <v>341</v>
      </c>
    </row>
    <row r="133" spans="1:20">
      <c r="A133" s="786">
        <f t="shared" si="9"/>
        <v>43</v>
      </c>
      <c r="B133" s="786" t="str">
        <f t="shared" si="10"/>
        <v>TM</v>
      </c>
      <c r="C133" s="786">
        <f t="shared" si="8"/>
        <v>0</v>
      </c>
      <c r="D133" s="786" t="str">
        <f t="shared" si="11"/>
        <v>NO</v>
      </c>
      <c r="E133" s="38">
        <v>45954</v>
      </c>
      <c r="F133" s="614">
        <v>0.52083333333333337</v>
      </c>
      <c r="G133" s="614" t="str">
        <f>IFERROR(VLOOKUP(H133,'BASE DATOS'!$BN$2:$BO$40,2,FALSE),"FD")</f>
        <v>ENTRE PISO</v>
      </c>
      <c r="H133" t="s">
        <v>1342</v>
      </c>
      <c r="I133" t="s">
        <v>1338</v>
      </c>
      <c r="J133" t="s">
        <v>1345</v>
      </c>
      <c r="K133">
        <f>IFERROR(IF(VLOOKUP($H133,'BASE DATOS'!$BN$2:$BX$40,3,FALSE)&lt;&gt;0,1,0),"-")</f>
        <v>0</v>
      </c>
      <c r="L133">
        <f>IFERROR(IF(VLOOKUP($H133,'BASE DATOS'!$BN$2:$BX$40,4,FALSE)&lt;&gt;0,1,0),"-")</f>
        <v>0</v>
      </c>
      <c r="M133">
        <f>IFERROR(IF(VLOOKUP($H133,'BASE DATOS'!$BN$2:$BX$40,5,FALSE)&lt;&gt;0,1,0),"-")</f>
        <v>0</v>
      </c>
      <c r="N133">
        <f>IFERROR(IF(VLOOKUP($H133,'BASE DATOS'!$BN$2:$BX$40,6,FALSE)&lt;&gt;0,1,0),"-")</f>
        <v>0</v>
      </c>
      <c r="O133">
        <f>IFERROR(IF(VLOOKUP($H133,'BASE DATOS'!$BN$2:$BX$40,7,FALSE)&lt;&gt;0,1,0),"-")</f>
        <v>0</v>
      </c>
      <c r="P133">
        <f>IFERROR(IF(VLOOKUP($H133,'BASE DATOS'!$BN$2:$BX$40,8,FALSE)&lt;&gt;0,1,0),"-")</f>
        <v>0</v>
      </c>
      <c r="Q133">
        <f>IFERROR(IF(VLOOKUP($H133,'BASE DATOS'!$BN$2:$BX$40,9,FALSE)&lt;&gt;0,1,0),"-")</f>
        <v>0</v>
      </c>
      <c r="R133">
        <f>IFERROR(IF(VLOOKUP($H133,'BASE DATOS'!$BN$2:$BX$40,10,FALSE)&lt;&gt;0,1,0),"-")</f>
        <v>0</v>
      </c>
      <c r="S133">
        <f>IFERROR(IF(VLOOKUP($H133,'BASE DATOS'!$BN$2:$BX$40,11,FALSE)&lt;&gt;0,1,0),"-")</f>
        <v>1</v>
      </c>
      <c r="T133" t="s">
        <v>341</v>
      </c>
    </row>
    <row r="134" spans="1:20">
      <c r="A134" s="786">
        <f t="shared" si="9"/>
        <v>43</v>
      </c>
      <c r="B134" s="786" t="str">
        <f t="shared" si="10"/>
        <v>TM</v>
      </c>
      <c r="C134" s="786">
        <f t="shared" si="8"/>
        <v>0</v>
      </c>
      <c r="D134" s="786" t="str">
        <f t="shared" si="11"/>
        <v>NO</v>
      </c>
      <c r="E134" s="38">
        <v>45954</v>
      </c>
      <c r="F134" s="614">
        <v>0.52083333333333337</v>
      </c>
      <c r="G134" s="614" t="s">
        <v>1346</v>
      </c>
      <c r="H134" t="s">
        <v>970</v>
      </c>
      <c r="I134" t="s">
        <v>1216</v>
      </c>
      <c r="J134" t="s">
        <v>1347</v>
      </c>
      <c r="K134">
        <v>0</v>
      </c>
      <c r="L134">
        <v>0</v>
      </c>
      <c r="M134">
        <v>0</v>
      </c>
      <c r="N134">
        <v>0</v>
      </c>
      <c r="O134">
        <v>0</v>
      </c>
      <c r="P134">
        <v>0</v>
      </c>
      <c r="Q134">
        <v>0</v>
      </c>
      <c r="R134">
        <v>0</v>
      </c>
      <c r="S134">
        <v>0</v>
      </c>
      <c r="T134" t="s">
        <v>341</v>
      </c>
    </row>
    <row r="135" spans="1:20">
      <c r="A135" s="786">
        <f t="shared" si="9"/>
        <v>43</v>
      </c>
      <c r="B135" s="786" t="str">
        <f t="shared" si="10"/>
        <v>TM</v>
      </c>
      <c r="C135" s="786">
        <f t="shared" si="8"/>
        <v>0</v>
      </c>
      <c r="D135" s="786" t="str">
        <f t="shared" si="11"/>
        <v>NO</v>
      </c>
      <c r="E135" s="38">
        <v>45954</v>
      </c>
      <c r="F135" s="614">
        <v>0.52083333333333337</v>
      </c>
      <c r="G135" s="614" t="str">
        <f>IFERROR(VLOOKUP(H135,'BASE DATOS'!$BN$2:$BO$40,2,FALSE),"FD")</f>
        <v>ENTRE PISO</v>
      </c>
      <c r="H135" t="s">
        <v>1310</v>
      </c>
      <c r="I135" t="s">
        <v>1216</v>
      </c>
      <c r="J135" t="s">
        <v>1348</v>
      </c>
      <c r="K135">
        <v>0</v>
      </c>
      <c r="L135">
        <f>IFERROR(IF(VLOOKUP($H135,'BASE DATOS'!$BN$2:$BX$40,4,FALSE)&lt;&gt;0,1,0),"-")</f>
        <v>0</v>
      </c>
      <c r="M135">
        <f>IFERROR(IF(VLOOKUP($H135,'BASE DATOS'!$BN$2:$BX$40,5,FALSE)&lt;&gt;0,1,0),"-")</f>
        <v>0</v>
      </c>
      <c r="N135">
        <v>0</v>
      </c>
      <c r="O135">
        <v>0</v>
      </c>
      <c r="P135">
        <f>IFERROR(IF(VLOOKUP($H135,'BASE DATOS'!$BN$2:$BX$40,8,FALSE)&lt;&gt;0,1,0),"-")</f>
        <v>0</v>
      </c>
      <c r="Q135">
        <f>IFERROR(IF(VLOOKUP($H135,'BASE DATOS'!$BN$2:$BX$40,9,FALSE)&lt;&gt;0,1,0),"-")</f>
        <v>0</v>
      </c>
      <c r="R135">
        <f>IFERROR(IF(VLOOKUP($H135,'BASE DATOS'!$BN$2:$BX$40,10,FALSE)&lt;&gt;0,1,0),"-")</f>
        <v>0</v>
      </c>
      <c r="S135">
        <f>IFERROR(IF(VLOOKUP($H135,'BASE DATOS'!$BN$2:$BX$40,11,FALSE)&lt;&gt;0,1,0),"-")</f>
        <v>0</v>
      </c>
      <c r="T135" t="s">
        <v>341</v>
      </c>
    </row>
    <row r="136" spans="1:20">
      <c r="A136" s="786">
        <f t="shared" si="9"/>
        <v>43</v>
      </c>
      <c r="B136" s="786" t="str">
        <f t="shared" si="10"/>
        <v>TM</v>
      </c>
      <c r="C136" s="786">
        <f t="shared" si="8"/>
        <v>0</v>
      </c>
      <c r="D136" s="786" t="str">
        <f t="shared" si="11"/>
        <v>NO</v>
      </c>
      <c r="E136" s="38">
        <v>45954</v>
      </c>
      <c r="F136" s="614">
        <v>0.52083333333333337</v>
      </c>
      <c r="G136" s="614" t="s">
        <v>1346</v>
      </c>
      <c r="H136" t="s">
        <v>970</v>
      </c>
      <c r="I136" t="s">
        <v>1234</v>
      </c>
      <c r="J136" t="s">
        <v>1349</v>
      </c>
      <c r="K136">
        <v>0</v>
      </c>
      <c r="L136">
        <v>0</v>
      </c>
      <c r="M136">
        <v>0</v>
      </c>
      <c r="N136">
        <v>0</v>
      </c>
      <c r="O136">
        <v>0</v>
      </c>
      <c r="P136">
        <v>0</v>
      </c>
      <c r="Q136">
        <v>0</v>
      </c>
      <c r="R136">
        <v>0</v>
      </c>
      <c r="S136">
        <v>1</v>
      </c>
      <c r="T136" t="s">
        <v>341</v>
      </c>
    </row>
    <row r="137" spans="1:20">
      <c r="A137" s="786">
        <f t="shared" si="9"/>
        <v>43</v>
      </c>
      <c r="B137" s="786" t="str">
        <f t="shared" si="10"/>
        <v>TM</v>
      </c>
      <c r="C137" s="786">
        <f t="shared" ref="C137:C166" si="12">+IF(OR(F137&lt;&gt;F136,G137&lt;&gt;G136,E137&lt;&gt;E136),1,0)</f>
        <v>0</v>
      </c>
      <c r="D137" s="786" t="str">
        <f t="shared" si="11"/>
        <v>NO</v>
      </c>
      <c r="E137" s="38">
        <v>45954</v>
      </c>
      <c r="F137" s="614">
        <v>0.52083333333333337</v>
      </c>
      <c r="G137" s="614" t="s">
        <v>1346</v>
      </c>
      <c r="H137" t="s">
        <v>970</v>
      </c>
      <c r="I137" t="s">
        <v>1262</v>
      </c>
      <c r="J137" t="s">
        <v>1350</v>
      </c>
      <c r="K137">
        <v>0</v>
      </c>
      <c r="L137">
        <v>0</v>
      </c>
      <c r="M137">
        <v>0</v>
      </c>
      <c r="N137">
        <v>0</v>
      </c>
      <c r="O137">
        <v>0</v>
      </c>
      <c r="P137">
        <v>0</v>
      </c>
      <c r="Q137">
        <v>0</v>
      </c>
      <c r="R137">
        <v>0</v>
      </c>
      <c r="S137">
        <v>0</v>
      </c>
      <c r="T137" t="s">
        <v>341</v>
      </c>
    </row>
    <row r="138" spans="1:20">
      <c r="A138" s="786">
        <f t="shared" si="9"/>
        <v>43</v>
      </c>
      <c r="B138" s="786" t="str">
        <f t="shared" si="10"/>
        <v>TM</v>
      </c>
      <c r="C138" s="786">
        <f t="shared" si="12"/>
        <v>0</v>
      </c>
      <c r="D138" s="786" t="str">
        <f t="shared" si="11"/>
        <v>NO</v>
      </c>
      <c r="E138" s="38">
        <v>45954</v>
      </c>
      <c r="F138" s="614">
        <v>0.52083333333333337</v>
      </c>
      <c r="G138" s="614" t="str">
        <f>IFERROR(VLOOKUP(H138,'BASE DATOS'!$BN$2:$BO$40,2,FALSE),"FD")</f>
        <v>ENTRE PISO</v>
      </c>
      <c r="H138" t="s">
        <v>1342</v>
      </c>
      <c r="I138" t="s">
        <v>1216</v>
      </c>
      <c r="J138" t="s">
        <v>1351</v>
      </c>
      <c r="K138">
        <f>IFERROR(IF(VLOOKUP($H138,'BASE DATOS'!$BN$2:$BX$40,3,FALSE)&lt;&gt;0,1,0),"-")</f>
        <v>0</v>
      </c>
      <c r="L138">
        <f>IFERROR(IF(VLOOKUP($H138,'BASE DATOS'!$BN$2:$BX$40,4,FALSE)&lt;&gt;0,1,0),"-")</f>
        <v>0</v>
      </c>
      <c r="M138">
        <f>IFERROR(IF(VLOOKUP($H138,'BASE DATOS'!$BN$2:$BX$40,5,FALSE)&lt;&gt;0,1,0),"-")</f>
        <v>0</v>
      </c>
      <c r="N138">
        <f>IFERROR(IF(VLOOKUP($H138,'BASE DATOS'!$BN$2:$BX$40,6,FALSE)&lt;&gt;0,1,0),"-")</f>
        <v>0</v>
      </c>
      <c r="O138">
        <f>IFERROR(IF(VLOOKUP($H138,'BASE DATOS'!$BN$2:$BX$40,7,FALSE)&lt;&gt;0,1,0),"-")</f>
        <v>0</v>
      </c>
      <c r="P138">
        <f>IFERROR(IF(VLOOKUP($H138,'BASE DATOS'!$BN$2:$BX$40,8,FALSE)&lt;&gt;0,1,0),"-")</f>
        <v>0</v>
      </c>
      <c r="Q138">
        <f>IFERROR(IF(VLOOKUP($H138,'BASE DATOS'!$BN$2:$BX$40,9,FALSE)&lt;&gt;0,1,0),"-")</f>
        <v>0</v>
      </c>
      <c r="R138">
        <f>IFERROR(IF(VLOOKUP($H138,'BASE DATOS'!$BN$2:$BX$40,10,FALSE)&lt;&gt;0,1,0),"-")</f>
        <v>0</v>
      </c>
      <c r="S138">
        <v>0</v>
      </c>
      <c r="T138" t="s">
        <v>341</v>
      </c>
    </row>
    <row r="139" spans="1:20">
      <c r="A139" s="786">
        <f t="shared" si="9"/>
        <v>43</v>
      </c>
      <c r="B139" s="786" t="str">
        <f t="shared" si="10"/>
        <v>TM</v>
      </c>
      <c r="C139" s="786">
        <f t="shared" si="12"/>
        <v>1</v>
      </c>
      <c r="D139" s="786" t="str">
        <f t="shared" si="11"/>
        <v>NO</v>
      </c>
      <c r="E139" s="38">
        <v>45954</v>
      </c>
      <c r="F139" s="614">
        <v>0.52083333333333337</v>
      </c>
      <c r="G139" s="614" t="str">
        <f>IFERROR(VLOOKUP(H139,'BASE DATOS'!$BN$2:$BO$40,2,FALSE),"FD")</f>
        <v>SEGUNDO PISO</v>
      </c>
      <c r="H139" t="s">
        <v>1352</v>
      </c>
      <c r="I139" t="s">
        <v>1216</v>
      </c>
      <c r="J139" t="s">
        <v>1353</v>
      </c>
      <c r="K139">
        <f>IFERROR(IF(VLOOKUP($H139,'BASE DATOS'!$BN$2:$BX$40,3,FALSE)&lt;&gt;0,1,0),"-")</f>
        <v>0</v>
      </c>
      <c r="L139">
        <f>IFERROR(IF(VLOOKUP($H139,'BASE DATOS'!$BN$2:$BX$40,4,FALSE)&lt;&gt;0,1,0),"-")</f>
        <v>0</v>
      </c>
      <c r="M139">
        <f>IFERROR(IF(VLOOKUP($H139,'BASE DATOS'!$BN$2:$BX$40,5,FALSE)&lt;&gt;0,1,0),"-")</f>
        <v>0</v>
      </c>
      <c r="N139">
        <f>IFERROR(IF(VLOOKUP($H139,'BASE DATOS'!$BN$2:$BX$40,6,FALSE)&lt;&gt;0,1,0),"-")</f>
        <v>0</v>
      </c>
      <c r="O139">
        <f>IFERROR(IF(VLOOKUP($H139,'BASE DATOS'!$BN$2:$BX$40,7,FALSE)&lt;&gt;0,1,0),"-")</f>
        <v>0</v>
      </c>
      <c r="P139">
        <f>IFERROR(IF(VLOOKUP($H139,'BASE DATOS'!$BN$2:$BX$40,8,FALSE)&lt;&gt;0,1,0),"-")</f>
        <v>0</v>
      </c>
      <c r="Q139">
        <f>IFERROR(IF(VLOOKUP($H139,'BASE DATOS'!$BN$2:$BX$40,9,FALSE)&lt;&gt;0,1,0),"-")</f>
        <v>0</v>
      </c>
      <c r="R139">
        <f>IFERROR(IF(VLOOKUP($H139,'BASE DATOS'!$BN$2:$BX$40,10,FALSE)&lt;&gt;0,1,0),"-")</f>
        <v>0</v>
      </c>
      <c r="S139">
        <v>0</v>
      </c>
      <c r="T139" t="s">
        <v>341</v>
      </c>
    </row>
    <row r="140" spans="1:20">
      <c r="A140" s="786">
        <f t="shared" si="9"/>
        <v>43</v>
      </c>
      <c r="B140" s="786" t="str">
        <f t="shared" si="10"/>
        <v>TM</v>
      </c>
      <c r="C140" s="786">
        <f t="shared" si="12"/>
        <v>0</v>
      </c>
      <c r="D140" s="786" t="str">
        <f t="shared" si="11"/>
        <v>SI</v>
      </c>
      <c r="E140" s="38">
        <v>45954</v>
      </c>
      <c r="F140" s="614">
        <v>0.52083333333333337</v>
      </c>
      <c r="G140" s="614" t="str">
        <f>IFERROR(VLOOKUP(H140,'BASE DATOS'!$BN$2:$BO$40,2,FALSE),"FD")</f>
        <v>SEGUNDO PISO</v>
      </c>
      <c r="H140" t="s">
        <v>1232</v>
      </c>
      <c r="I140" t="s">
        <v>1207</v>
      </c>
      <c r="J140" t="s">
        <v>1354</v>
      </c>
      <c r="K140">
        <f>IFERROR(IF(VLOOKUP($H140,'BASE DATOS'!$BN$2:$BX$40,3,FALSE)&lt;&gt;0,1,0),"-")</f>
        <v>1</v>
      </c>
      <c r="L140">
        <f>IFERROR(IF(VLOOKUP($H140,'BASE DATOS'!$BN$2:$BX$40,4,FALSE)&lt;&gt;0,1,0),"-")</f>
        <v>1</v>
      </c>
      <c r="M140">
        <f>IFERROR(IF(VLOOKUP($H140,'BASE DATOS'!$BN$2:$BX$40,5,FALSE)&lt;&gt;0,1,0),"-")</f>
        <v>1</v>
      </c>
      <c r="N140">
        <f>IFERROR(IF(VLOOKUP($H140,'BASE DATOS'!$BN$2:$BX$40,6,FALSE)&lt;&gt;0,1,0),"-")</f>
        <v>1</v>
      </c>
      <c r="O140">
        <f>IFERROR(IF(VLOOKUP($H140,'BASE DATOS'!$BN$2:$BX$40,7,FALSE)&lt;&gt;0,1,0),"-")</f>
        <v>1</v>
      </c>
      <c r="P140">
        <f>IFERROR(IF(VLOOKUP($H140,'BASE DATOS'!$BN$2:$BX$40,8,FALSE)&lt;&gt;0,1,0),"-")</f>
        <v>1</v>
      </c>
      <c r="Q140">
        <f>IFERROR(IF(VLOOKUP($H140,'BASE DATOS'!$BN$2:$BX$40,9,FALSE)&lt;&gt;0,1,0),"-")</f>
        <v>1</v>
      </c>
      <c r="R140">
        <f>IFERROR(IF(VLOOKUP($H140,'BASE DATOS'!$BN$2:$BX$40,10,FALSE)&lt;&gt;0,1,0),"-")</f>
        <v>1</v>
      </c>
      <c r="S140">
        <f>IFERROR(IF(VLOOKUP($H140,'BASE DATOS'!$BN$2:$BX$40,11,FALSE)&lt;&gt;0,1,0),"-")</f>
        <v>1</v>
      </c>
      <c r="T140" t="s">
        <v>341</v>
      </c>
    </row>
    <row r="141" spans="1:20">
      <c r="A141" s="786">
        <f t="shared" ref="A141:A166" si="13">IF(E141="","FD",_xlfn.ISOWEEKNUM(E141))</f>
        <v>43</v>
      </c>
      <c r="B141" s="786" t="str">
        <f t="shared" ref="B141:B166" si="14">IF(F141="","FD",IF(AND(F141&gt;0.25,F141&lt;0.75),"TM","TT"))</f>
        <v>TM</v>
      </c>
      <c r="C141" s="786">
        <f t="shared" si="12"/>
        <v>0</v>
      </c>
      <c r="D141" s="786" t="str">
        <f t="shared" si="11"/>
        <v>SI</v>
      </c>
      <c r="E141" s="38">
        <v>45954</v>
      </c>
      <c r="F141" s="614">
        <v>0.52083333333333337</v>
      </c>
      <c r="G141" s="614" t="str">
        <f>IFERROR(VLOOKUP(H141,'BASE DATOS'!$BN$2:$BO$40,2,FALSE),"FD")</f>
        <v>SEGUNDO PISO</v>
      </c>
      <c r="H141" t="s">
        <v>1232</v>
      </c>
      <c r="I141" t="s">
        <v>1207</v>
      </c>
      <c r="J141" t="s">
        <v>1355</v>
      </c>
      <c r="K141">
        <f>IFERROR(IF(VLOOKUP($H141,'BASE DATOS'!$BN$2:$BX$40,3,FALSE)&lt;&gt;0,1,0),"-")</f>
        <v>1</v>
      </c>
      <c r="L141">
        <f>IFERROR(IF(VLOOKUP($H141,'BASE DATOS'!$BN$2:$BX$40,4,FALSE)&lt;&gt;0,1,0),"-")</f>
        <v>1</v>
      </c>
      <c r="M141">
        <f>IFERROR(IF(VLOOKUP($H141,'BASE DATOS'!$BN$2:$BX$40,5,FALSE)&lt;&gt;0,1,0),"-")</f>
        <v>1</v>
      </c>
      <c r="N141">
        <f>IFERROR(IF(VLOOKUP($H141,'BASE DATOS'!$BN$2:$BX$40,6,FALSE)&lt;&gt;0,1,0),"-")</f>
        <v>1</v>
      </c>
      <c r="O141">
        <f>IFERROR(IF(VLOOKUP($H141,'BASE DATOS'!$BN$2:$BX$40,7,FALSE)&lt;&gt;0,1,0),"-")</f>
        <v>1</v>
      </c>
      <c r="P141">
        <f>IFERROR(IF(VLOOKUP($H141,'BASE DATOS'!$BN$2:$BX$40,8,FALSE)&lt;&gt;0,1,0),"-")</f>
        <v>1</v>
      </c>
      <c r="Q141">
        <f>IFERROR(IF(VLOOKUP($H141,'BASE DATOS'!$BN$2:$BX$40,9,FALSE)&lt;&gt;0,1,0),"-")</f>
        <v>1</v>
      </c>
      <c r="R141">
        <f>IFERROR(IF(VLOOKUP($H141,'BASE DATOS'!$BN$2:$BX$40,10,FALSE)&lt;&gt;0,1,0),"-")</f>
        <v>1</v>
      </c>
      <c r="S141">
        <f>IFERROR(IF(VLOOKUP($H141,'BASE DATOS'!$BN$2:$BX$40,11,FALSE)&lt;&gt;0,1,0),"-")</f>
        <v>1</v>
      </c>
      <c r="T141" t="s">
        <v>341</v>
      </c>
    </row>
    <row r="142" spans="1:20">
      <c r="A142" s="786">
        <f t="shared" si="13"/>
        <v>43</v>
      </c>
      <c r="B142" s="786" t="str">
        <f t="shared" si="14"/>
        <v>TM</v>
      </c>
      <c r="C142" s="786">
        <f t="shared" si="12"/>
        <v>0</v>
      </c>
      <c r="D142" s="786" t="str">
        <f t="shared" si="11"/>
        <v>SI</v>
      </c>
      <c r="E142" s="38">
        <v>45954</v>
      </c>
      <c r="F142" s="614">
        <v>0.52083333333333337</v>
      </c>
      <c r="G142" s="614" t="str">
        <f>IFERROR(VLOOKUP(H142,'BASE DATOS'!$BN$2:$BO$40,2,FALSE),"FD")</f>
        <v>SEGUNDO PISO</v>
      </c>
      <c r="H142" t="s">
        <v>1233</v>
      </c>
      <c r="I142" t="s">
        <v>1210</v>
      </c>
      <c r="J142" t="s">
        <v>1356</v>
      </c>
      <c r="K142">
        <f>IFERROR(IF(VLOOKUP($H142,'BASE DATOS'!$BN$2:$BX$40,3,FALSE)&lt;&gt;0,1,0),"-")</f>
        <v>1</v>
      </c>
      <c r="L142">
        <f>IFERROR(IF(VLOOKUP($H142,'BASE DATOS'!$BN$2:$BX$40,4,FALSE)&lt;&gt;0,1,0),"-")</f>
        <v>1</v>
      </c>
      <c r="M142">
        <f>IFERROR(IF(VLOOKUP($H142,'BASE DATOS'!$BN$2:$BX$40,5,FALSE)&lt;&gt;0,1,0),"-")</f>
        <v>1</v>
      </c>
      <c r="N142">
        <f>IFERROR(IF(VLOOKUP($H142,'BASE DATOS'!$BN$2:$BX$40,6,FALSE)&lt;&gt;0,1,0),"-")</f>
        <v>1</v>
      </c>
      <c r="O142">
        <f>IFERROR(IF(VLOOKUP($H142,'BASE DATOS'!$BN$2:$BX$40,7,FALSE)&lt;&gt;0,1,0),"-")</f>
        <v>1</v>
      </c>
      <c r="P142">
        <f>IFERROR(IF(VLOOKUP($H142,'BASE DATOS'!$BN$2:$BX$40,8,FALSE)&lt;&gt;0,1,0),"-")</f>
        <v>1</v>
      </c>
      <c r="Q142">
        <f>IFERROR(IF(VLOOKUP($H142,'BASE DATOS'!$BN$2:$BX$40,9,FALSE)&lt;&gt;0,1,0),"-")</f>
        <v>1</v>
      </c>
      <c r="R142">
        <f>IFERROR(IF(VLOOKUP($H142,'BASE DATOS'!$BN$2:$BX$40,10,FALSE)&lt;&gt;0,1,0),"-")</f>
        <v>1</v>
      </c>
      <c r="S142">
        <f>IFERROR(IF(VLOOKUP($H142,'BASE DATOS'!$BN$2:$BX$40,11,FALSE)&lt;&gt;0,1,0),"-")</f>
        <v>1</v>
      </c>
      <c r="T142" t="s">
        <v>341</v>
      </c>
    </row>
    <row r="143" spans="1:20">
      <c r="A143" s="786">
        <f t="shared" si="13"/>
        <v>43</v>
      </c>
      <c r="B143" s="786" t="str">
        <f t="shared" si="14"/>
        <v>TM</v>
      </c>
      <c r="C143" s="786">
        <f t="shared" si="12"/>
        <v>0</v>
      </c>
      <c r="D143" s="786" t="str">
        <f t="shared" si="11"/>
        <v>SI</v>
      </c>
      <c r="E143" s="38">
        <v>45954</v>
      </c>
      <c r="F143" s="614">
        <v>0.52083333333333337</v>
      </c>
      <c r="G143" s="614" t="str">
        <f>IFERROR(VLOOKUP(H143,'BASE DATOS'!$BN$2:$BO$40,2,FALSE),"FD")</f>
        <v>SEGUNDO PISO</v>
      </c>
      <c r="H143" t="s">
        <v>1233</v>
      </c>
      <c r="I143" t="s">
        <v>1210</v>
      </c>
      <c r="J143" t="s">
        <v>1357</v>
      </c>
      <c r="K143">
        <f>IFERROR(IF(VLOOKUP($H143,'BASE DATOS'!$BN$2:$BX$40,3,FALSE)&lt;&gt;0,1,0),"-")</f>
        <v>1</v>
      </c>
      <c r="L143">
        <f>IFERROR(IF(VLOOKUP($H143,'BASE DATOS'!$BN$2:$BX$40,4,FALSE)&lt;&gt;0,1,0),"-")</f>
        <v>1</v>
      </c>
      <c r="M143">
        <f>IFERROR(IF(VLOOKUP($H143,'BASE DATOS'!$BN$2:$BX$40,5,FALSE)&lt;&gt;0,1,0),"-")</f>
        <v>1</v>
      </c>
      <c r="N143">
        <f>IFERROR(IF(VLOOKUP($H143,'BASE DATOS'!$BN$2:$BX$40,6,FALSE)&lt;&gt;0,1,0),"-")</f>
        <v>1</v>
      </c>
      <c r="O143">
        <f>IFERROR(IF(VLOOKUP($H143,'BASE DATOS'!$BN$2:$BX$40,7,FALSE)&lt;&gt;0,1,0),"-")</f>
        <v>1</v>
      </c>
      <c r="P143">
        <f>IFERROR(IF(VLOOKUP($H143,'BASE DATOS'!$BN$2:$BX$40,8,FALSE)&lt;&gt;0,1,0),"-")</f>
        <v>1</v>
      </c>
      <c r="Q143">
        <f>IFERROR(IF(VLOOKUP($H143,'BASE DATOS'!$BN$2:$BX$40,9,FALSE)&lt;&gt;0,1,0),"-")</f>
        <v>1</v>
      </c>
      <c r="R143">
        <f>IFERROR(IF(VLOOKUP($H143,'BASE DATOS'!$BN$2:$BX$40,10,FALSE)&lt;&gt;0,1,0),"-")</f>
        <v>1</v>
      </c>
      <c r="S143">
        <f>IFERROR(IF(VLOOKUP($H143,'BASE DATOS'!$BN$2:$BX$40,11,FALSE)&lt;&gt;0,1,0),"-")</f>
        <v>1</v>
      </c>
      <c r="T143" t="s">
        <v>341</v>
      </c>
    </row>
    <row r="144" spans="1:20">
      <c r="A144" s="786">
        <f t="shared" si="13"/>
        <v>43</v>
      </c>
      <c r="B144" s="786" t="str">
        <f t="shared" si="14"/>
        <v>TM</v>
      </c>
      <c r="C144" s="786">
        <f t="shared" si="12"/>
        <v>0</v>
      </c>
      <c r="D144" s="786" t="str">
        <f t="shared" si="11"/>
        <v>NO</v>
      </c>
      <c r="E144" s="38">
        <v>45954</v>
      </c>
      <c r="F144" s="614">
        <v>0.52083333333333337</v>
      </c>
      <c r="G144" s="614" t="str">
        <f>IFERROR(VLOOKUP(H144,'BASE DATOS'!$BN$2:$BO$40,2,FALSE),"FD")</f>
        <v>SEGUNDO PISO</v>
      </c>
      <c r="H144" t="s">
        <v>1236</v>
      </c>
      <c r="I144" t="s">
        <v>1216</v>
      </c>
      <c r="J144" t="s">
        <v>1358</v>
      </c>
      <c r="K144">
        <f>IFERROR(IF(VLOOKUP($H144,'BASE DATOS'!$BN$2:$BX$40,3,FALSE)&lt;&gt;0,1,0),"-")</f>
        <v>0</v>
      </c>
      <c r="L144">
        <f>IFERROR(IF(VLOOKUP($H144,'BASE DATOS'!$BN$2:$BX$40,4,FALSE)&lt;&gt;0,1,0),"-")</f>
        <v>0</v>
      </c>
      <c r="M144">
        <f>IFERROR(IF(VLOOKUP($H144,'BASE DATOS'!$BN$2:$BX$40,5,FALSE)&lt;&gt;0,1,0),"-")</f>
        <v>0</v>
      </c>
      <c r="N144">
        <f>IFERROR(IF(VLOOKUP($H144,'BASE DATOS'!$BN$2:$BX$40,6,FALSE)&lt;&gt;0,1,0),"-")</f>
        <v>0</v>
      </c>
      <c r="O144">
        <f>IFERROR(IF(VLOOKUP($H144,'BASE DATOS'!$BN$2:$BX$40,7,FALSE)&lt;&gt;0,1,0),"-")</f>
        <v>0</v>
      </c>
      <c r="P144">
        <f>IFERROR(IF(VLOOKUP($H144,'BASE DATOS'!$BN$2:$BX$40,8,FALSE)&lt;&gt;0,1,0),"-")</f>
        <v>1</v>
      </c>
      <c r="Q144">
        <f>IFERROR(IF(VLOOKUP($H144,'BASE DATOS'!$BN$2:$BX$40,9,FALSE)&lt;&gt;0,1,0),"-")</f>
        <v>0</v>
      </c>
      <c r="R144">
        <f>IFERROR(IF(VLOOKUP($H144,'BASE DATOS'!$BN$2:$BX$40,10,FALSE)&lt;&gt;0,1,0),"-")</f>
        <v>0</v>
      </c>
      <c r="S144">
        <f>IFERROR(IF(VLOOKUP($H144,'BASE DATOS'!$BN$2:$BX$40,11,FALSE)&lt;&gt;0,1,0),"-")</f>
        <v>0</v>
      </c>
      <c r="T144" t="s">
        <v>341</v>
      </c>
    </row>
    <row r="145" spans="1:20">
      <c r="A145" s="786">
        <f t="shared" si="13"/>
        <v>43</v>
      </c>
      <c r="B145" s="786" t="str">
        <f t="shared" si="14"/>
        <v>TM</v>
      </c>
      <c r="C145" s="786">
        <f t="shared" si="12"/>
        <v>0</v>
      </c>
      <c r="D145" s="786" t="str">
        <f t="shared" si="11"/>
        <v>SI</v>
      </c>
      <c r="E145" s="38">
        <v>45954</v>
      </c>
      <c r="F145" s="614">
        <v>0.52083333333333337</v>
      </c>
      <c r="G145" s="614" t="str">
        <f>IFERROR(VLOOKUP(H145,'BASE DATOS'!$BN$2:$BO$40,2,FALSE),"FD")</f>
        <v>SEGUNDO PISO</v>
      </c>
      <c r="H145" t="s">
        <v>1233</v>
      </c>
      <c r="I145" t="s">
        <v>1207</v>
      </c>
      <c r="J145" t="s">
        <v>1359</v>
      </c>
      <c r="K145">
        <f>IFERROR(IF(VLOOKUP($H145,'BASE DATOS'!$BN$2:$BX$40,3,FALSE)&lt;&gt;0,1,0),"-")</f>
        <v>1</v>
      </c>
      <c r="L145">
        <f>IFERROR(IF(VLOOKUP($H145,'BASE DATOS'!$BN$2:$BX$40,4,FALSE)&lt;&gt;0,1,0),"-")</f>
        <v>1</v>
      </c>
      <c r="M145">
        <f>IFERROR(IF(VLOOKUP($H145,'BASE DATOS'!$BN$2:$BX$40,5,FALSE)&lt;&gt;0,1,0),"-")</f>
        <v>1</v>
      </c>
      <c r="N145">
        <f>IFERROR(IF(VLOOKUP($H145,'BASE DATOS'!$BN$2:$BX$40,6,FALSE)&lt;&gt;0,1,0),"-")</f>
        <v>1</v>
      </c>
      <c r="O145">
        <f>IFERROR(IF(VLOOKUP($H145,'BASE DATOS'!$BN$2:$BX$40,7,FALSE)&lt;&gt;0,1,0),"-")</f>
        <v>1</v>
      </c>
      <c r="P145">
        <f>IFERROR(IF(VLOOKUP($H145,'BASE DATOS'!$BN$2:$BX$40,8,FALSE)&lt;&gt;0,1,0),"-")</f>
        <v>1</v>
      </c>
      <c r="Q145">
        <f>IFERROR(IF(VLOOKUP($H145,'BASE DATOS'!$BN$2:$BX$40,9,FALSE)&lt;&gt;0,1,0),"-")</f>
        <v>1</v>
      </c>
      <c r="R145">
        <f>IFERROR(IF(VLOOKUP($H145,'BASE DATOS'!$BN$2:$BX$40,10,FALSE)&lt;&gt;0,1,0),"-")</f>
        <v>1</v>
      </c>
      <c r="S145">
        <f>IFERROR(IF(VLOOKUP($H145,'BASE DATOS'!$BN$2:$BX$40,11,FALSE)&lt;&gt;0,1,0),"-")</f>
        <v>1</v>
      </c>
      <c r="T145" t="s">
        <v>341</v>
      </c>
    </row>
    <row r="146" spans="1:20">
      <c r="A146" s="786">
        <f t="shared" si="13"/>
        <v>43</v>
      </c>
      <c r="B146" s="786" t="str">
        <f t="shared" si="14"/>
        <v>TM</v>
      </c>
      <c r="C146" s="786">
        <f t="shared" si="12"/>
        <v>0</v>
      </c>
      <c r="D146" s="786" t="str">
        <f t="shared" si="11"/>
        <v>NO</v>
      </c>
      <c r="E146" s="38">
        <v>45954</v>
      </c>
      <c r="F146" s="614">
        <v>0.52083333333333337</v>
      </c>
      <c r="G146" s="614" t="str">
        <f>IFERROR(VLOOKUP(H146,'BASE DATOS'!$BN$2:$BO$40,2,FALSE),"FD")</f>
        <v>SEGUNDO PISO</v>
      </c>
      <c r="H146" t="s">
        <v>1360</v>
      </c>
      <c r="I146" t="s">
        <v>970</v>
      </c>
      <c r="J146" t="s">
        <v>1361</v>
      </c>
      <c r="K146">
        <f>IFERROR(IF(VLOOKUP($H146,'BASE DATOS'!$BN$2:$BX$40,3,FALSE)&lt;&gt;0,1,0),"-")</f>
        <v>0</v>
      </c>
      <c r="L146">
        <f>IFERROR(IF(VLOOKUP($H146,'BASE DATOS'!$BN$2:$BX$40,4,FALSE)&lt;&gt;0,1,0),"-")</f>
        <v>0</v>
      </c>
      <c r="M146">
        <f>IFERROR(IF(VLOOKUP($H146,'BASE DATOS'!$BN$2:$BX$40,5,FALSE)&lt;&gt;0,1,0),"-")</f>
        <v>0</v>
      </c>
      <c r="N146">
        <f>IFERROR(IF(VLOOKUP($H146,'BASE DATOS'!$BN$2:$BX$40,6,FALSE)&lt;&gt;0,1,0),"-")</f>
        <v>0</v>
      </c>
      <c r="O146">
        <f>IFERROR(IF(VLOOKUP($H146,'BASE DATOS'!$BN$2:$BX$40,7,FALSE)&lt;&gt;0,1,0),"-")</f>
        <v>0</v>
      </c>
      <c r="P146">
        <f>IFERROR(IF(VLOOKUP($H146,'BASE DATOS'!$BN$2:$BX$40,8,FALSE)&lt;&gt;0,1,0),"-")</f>
        <v>1</v>
      </c>
      <c r="Q146">
        <f>IFERROR(IF(VLOOKUP($H146,'BASE DATOS'!$BN$2:$BX$40,9,FALSE)&lt;&gt;0,1,0),"-")</f>
        <v>0</v>
      </c>
      <c r="R146">
        <f>IFERROR(IF(VLOOKUP($H146,'BASE DATOS'!$BN$2:$BX$40,10,FALSE)&lt;&gt;0,1,0),"-")</f>
        <v>0</v>
      </c>
      <c r="S146">
        <f>IFERROR(IF(VLOOKUP($H146,'BASE DATOS'!$BN$2:$BX$40,11,FALSE)&lt;&gt;0,1,0),"-")</f>
        <v>0</v>
      </c>
      <c r="T146" t="s">
        <v>341</v>
      </c>
    </row>
    <row r="147" spans="1:20">
      <c r="A147" s="786">
        <f t="shared" si="13"/>
        <v>43</v>
      </c>
      <c r="B147" s="786" t="str">
        <f t="shared" si="14"/>
        <v>TM</v>
      </c>
      <c r="C147" s="786">
        <f t="shared" si="12"/>
        <v>0</v>
      </c>
      <c r="D147" s="786" t="str">
        <f t="shared" si="11"/>
        <v>SI</v>
      </c>
      <c r="E147" s="38">
        <v>45954</v>
      </c>
      <c r="F147" s="614">
        <v>0.52083333333333337</v>
      </c>
      <c r="G147" s="614" t="str">
        <f>IFERROR(VLOOKUP(H147,'BASE DATOS'!$BN$2:$BO$40,2,FALSE),"FD")</f>
        <v>SEGUNDO PISO</v>
      </c>
      <c r="H147" t="s">
        <v>1233</v>
      </c>
      <c r="I147" t="s">
        <v>1207</v>
      </c>
      <c r="J147" t="s">
        <v>1362</v>
      </c>
      <c r="K147">
        <f>IFERROR(IF(VLOOKUP($H147,'BASE DATOS'!$BN$2:$BX$40,3,FALSE)&lt;&gt;0,1,0),"-")</f>
        <v>1</v>
      </c>
      <c r="L147">
        <f>IFERROR(IF(VLOOKUP($H147,'BASE DATOS'!$BN$2:$BX$40,4,FALSE)&lt;&gt;0,1,0),"-")</f>
        <v>1</v>
      </c>
      <c r="M147">
        <f>IFERROR(IF(VLOOKUP($H147,'BASE DATOS'!$BN$2:$BX$40,5,FALSE)&lt;&gt;0,1,0),"-")</f>
        <v>1</v>
      </c>
      <c r="N147">
        <f>IFERROR(IF(VLOOKUP($H147,'BASE DATOS'!$BN$2:$BX$40,6,FALSE)&lt;&gt;0,1,0),"-")</f>
        <v>1</v>
      </c>
      <c r="O147">
        <f>IFERROR(IF(VLOOKUP($H147,'BASE DATOS'!$BN$2:$BX$40,7,FALSE)&lt;&gt;0,1,0),"-")</f>
        <v>1</v>
      </c>
      <c r="P147">
        <f>IFERROR(IF(VLOOKUP($H147,'BASE DATOS'!$BN$2:$BX$40,8,FALSE)&lt;&gt;0,1,0),"-")</f>
        <v>1</v>
      </c>
      <c r="Q147">
        <f>IFERROR(IF(VLOOKUP($H147,'BASE DATOS'!$BN$2:$BX$40,9,FALSE)&lt;&gt;0,1,0),"-")</f>
        <v>1</v>
      </c>
      <c r="R147">
        <f>IFERROR(IF(VLOOKUP($H147,'BASE DATOS'!$BN$2:$BX$40,10,FALSE)&lt;&gt;0,1,0),"-")</f>
        <v>1</v>
      </c>
      <c r="S147">
        <f>IFERROR(IF(VLOOKUP($H147,'BASE DATOS'!$BN$2:$BX$40,11,FALSE)&lt;&gt;0,1,0),"-")</f>
        <v>1</v>
      </c>
      <c r="T147" t="s">
        <v>341</v>
      </c>
    </row>
    <row r="148" spans="1:20">
      <c r="A148" s="786">
        <f t="shared" si="13"/>
        <v>44</v>
      </c>
      <c r="B148" s="786" t="str">
        <f t="shared" si="14"/>
        <v>TT</v>
      </c>
      <c r="C148" s="786">
        <f t="shared" si="12"/>
        <v>1</v>
      </c>
      <c r="D148" s="786" t="str">
        <f t="shared" si="11"/>
        <v>SI</v>
      </c>
      <c r="E148" s="38">
        <v>45957</v>
      </c>
      <c r="F148" s="614">
        <v>0.83333333333333337</v>
      </c>
      <c r="G148" s="614" t="str">
        <f>IFERROR(VLOOKUP(H148,'BASE DATOS'!$BN$2:$BO$40,2,FALSE),"FD")</f>
        <v>PLANTA BAJA</v>
      </c>
      <c r="H148" t="s">
        <v>1228</v>
      </c>
      <c r="I148" t="s">
        <v>1207</v>
      </c>
      <c r="J148" t="s">
        <v>1332</v>
      </c>
      <c r="K148">
        <f>IFERROR(IF(VLOOKUP($H148,'BASE DATOS'!$BN$2:$BX$40,3,FALSE)&lt;&gt;0,1,0),"-")</f>
        <v>1</v>
      </c>
      <c r="L148">
        <f>IFERROR(IF(VLOOKUP($H148,'BASE DATOS'!$BN$2:$BX$40,4,FALSE)&lt;&gt;0,1,0),"-")</f>
        <v>1</v>
      </c>
      <c r="M148">
        <f>IFERROR(IF(VLOOKUP($H148,'BASE DATOS'!$BN$2:$BX$40,5,FALSE)&lt;&gt;0,1,0),"-")</f>
        <v>1</v>
      </c>
      <c r="N148">
        <f>IFERROR(IF(VLOOKUP($H148,'BASE DATOS'!$BN$2:$BX$40,6,FALSE)&lt;&gt;0,1,0),"-")</f>
        <v>1</v>
      </c>
      <c r="O148">
        <f>IFERROR(IF(VLOOKUP($H148,'BASE DATOS'!$BN$2:$BX$40,7,FALSE)&lt;&gt;0,1,0),"-")</f>
        <v>1</v>
      </c>
      <c r="P148">
        <f>IFERROR(IF(VLOOKUP($H148,'BASE DATOS'!$BN$2:$BX$40,8,FALSE)&lt;&gt;0,1,0),"-")</f>
        <v>1</v>
      </c>
      <c r="Q148">
        <f>IFERROR(IF(VLOOKUP($H148,'BASE DATOS'!$BN$2:$BX$40,9,FALSE)&lt;&gt;0,1,0),"-")</f>
        <v>1</v>
      </c>
      <c r="R148">
        <f>IFERROR(IF(VLOOKUP($H148,'BASE DATOS'!$BN$2:$BX$40,10,FALSE)&lt;&gt;0,1,0),"-")</f>
        <v>1</v>
      </c>
      <c r="S148">
        <f>IFERROR(IF(VLOOKUP($H148,'BASE DATOS'!$BN$2:$BX$40,11,FALSE)&lt;&gt;0,1,0),"-")</f>
        <v>1</v>
      </c>
      <c r="T148" t="s">
        <v>341</v>
      </c>
    </row>
    <row r="149" spans="1:20">
      <c r="A149" s="786">
        <f t="shared" si="13"/>
        <v>44</v>
      </c>
      <c r="B149" s="786" t="str">
        <f t="shared" si="14"/>
        <v>TT</v>
      </c>
      <c r="C149" s="786">
        <f t="shared" si="12"/>
        <v>0</v>
      </c>
      <c r="D149" s="786" t="str">
        <f t="shared" si="11"/>
        <v>NO</v>
      </c>
      <c r="E149" s="38">
        <v>45957</v>
      </c>
      <c r="F149" s="614">
        <v>0.83333333333333337</v>
      </c>
      <c r="G149" s="614" t="str">
        <f>IFERROR(VLOOKUP(H149,'BASE DATOS'!$BN$2:$BO$40,2,FALSE),"FD")</f>
        <v>PLANTA BAJA</v>
      </c>
      <c r="H149" t="s">
        <v>1202</v>
      </c>
      <c r="I149" t="s">
        <v>1214</v>
      </c>
      <c r="J149" t="s">
        <v>1363</v>
      </c>
      <c r="K149">
        <f>IFERROR(IF(VLOOKUP($H149,'BASE DATOS'!$BN$2:$BX$40,3,FALSE)&lt;&gt;0,1,0),"-")</f>
        <v>0</v>
      </c>
      <c r="L149">
        <v>0</v>
      </c>
      <c r="M149">
        <f>IFERROR(IF(VLOOKUP($H149,'BASE DATOS'!$BN$2:$BX$40,5,FALSE)&lt;&gt;0,1,0),"-")</f>
        <v>1</v>
      </c>
      <c r="N149">
        <f>IFERROR(IF(VLOOKUP($H149,'BASE DATOS'!$BN$2:$BX$40,6,FALSE)&lt;&gt;0,1,0),"-")</f>
        <v>1</v>
      </c>
      <c r="O149">
        <v>0</v>
      </c>
      <c r="P149">
        <f>IFERROR(IF(VLOOKUP($H149,'BASE DATOS'!$BN$2:$BX$40,8,FALSE)&lt;&gt;0,1,0),"-")</f>
        <v>0</v>
      </c>
      <c r="Q149">
        <f>IFERROR(IF(VLOOKUP($H149,'BASE DATOS'!$BN$2:$BX$40,9,FALSE)&lt;&gt;0,1,0),"-")</f>
        <v>0</v>
      </c>
      <c r="R149">
        <f>IFERROR(IF(VLOOKUP($H149,'BASE DATOS'!$BN$2:$BX$40,10,FALSE)&lt;&gt;0,1,0),"-")</f>
        <v>0</v>
      </c>
      <c r="S149">
        <f>IFERROR(IF(VLOOKUP($H149,'BASE DATOS'!$BN$2:$BX$40,11,FALSE)&lt;&gt;0,1,0),"-")</f>
        <v>0</v>
      </c>
      <c r="T149" t="s">
        <v>341</v>
      </c>
    </row>
    <row r="150" spans="1:20">
      <c r="A150" s="786">
        <f t="shared" si="13"/>
        <v>44</v>
      </c>
      <c r="B150" s="786" t="str">
        <f t="shared" si="14"/>
        <v>TT</v>
      </c>
      <c r="C150" s="786">
        <f t="shared" si="12"/>
        <v>1</v>
      </c>
      <c r="D150" s="786" t="str">
        <f t="shared" si="11"/>
        <v>NO</v>
      </c>
      <c r="E150" s="38">
        <v>45958</v>
      </c>
      <c r="F150" s="614">
        <v>0.25</v>
      </c>
      <c r="G150" s="614" t="str">
        <f>IFERROR(VLOOKUP(H150,'BASE DATOS'!$BN$2:$BO$40,2,FALSE),"FD")</f>
        <v>PRIMER PISO</v>
      </c>
      <c r="H150" t="s">
        <v>1271</v>
      </c>
      <c r="I150" t="s">
        <v>1210</v>
      </c>
      <c r="J150" t="s">
        <v>1364</v>
      </c>
      <c r="K150">
        <f>IFERROR(IF(VLOOKUP($H150,'BASE DATOS'!$BN$2:$BX$40,3,FALSE)&lt;&gt;0,1,0),"-")</f>
        <v>0</v>
      </c>
      <c r="L150">
        <f>IFERROR(IF(VLOOKUP($H150,'BASE DATOS'!$BN$2:$BX$40,4,FALSE)&lt;&gt;0,1,0),"-")</f>
        <v>0</v>
      </c>
      <c r="M150">
        <f>IFERROR(IF(VLOOKUP($H150,'BASE DATOS'!$BN$2:$BX$40,5,FALSE)&lt;&gt;0,1,0),"-")</f>
        <v>0</v>
      </c>
      <c r="N150">
        <v>0</v>
      </c>
      <c r="O150">
        <f>IFERROR(IF(VLOOKUP($H150,'BASE DATOS'!$BN$2:$BX$40,7,FALSE)&lt;&gt;0,1,0),"-")</f>
        <v>1</v>
      </c>
      <c r="P150">
        <f>IFERROR(IF(VLOOKUP($H150,'BASE DATOS'!$BN$2:$BX$40,8,FALSE)&lt;&gt;0,1,0),"-")</f>
        <v>0</v>
      </c>
      <c r="Q150">
        <f>IFERROR(IF(VLOOKUP($H150,'BASE DATOS'!$BN$2:$BX$40,9,FALSE)&lt;&gt;0,1,0),"-")</f>
        <v>0</v>
      </c>
      <c r="R150">
        <f>IFERROR(IF(VLOOKUP($H150,'BASE DATOS'!$BN$2:$BX$40,10,FALSE)&lt;&gt;0,1,0),"-")</f>
        <v>0</v>
      </c>
      <c r="S150">
        <f>IFERROR(IF(VLOOKUP($H150,'BASE DATOS'!$BN$2:$BX$40,11,FALSE)&lt;&gt;0,1,0),"-")</f>
        <v>0</v>
      </c>
      <c r="T150" t="s">
        <v>341</v>
      </c>
    </row>
    <row r="151" spans="1:20">
      <c r="A151" s="786">
        <f t="shared" si="13"/>
        <v>44</v>
      </c>
      <c r="B151" s="786" t="str">
        <f t="shared" si="14"/>
        <v>TT</v>
      </c>
      <c r="C151" s="786">
        <f t="shared" si="12"/>
        <v>0</v>
      </c>
      <c r="D151" s="786" t="str">
        <f t="shared" si="11"/>
        <v>NO</v>
      </c>
      <c r="E151" s="38">
        <v>45958</v>
      </c>
      <c r="F151" s="614">
        <v>0.25</v>
      </c>
      <c r="G151" s="614" t="str">
        <f>IFERROR(VLOOKUP(H151,'BASE DATOS'!$BN$2:$BO$40,2,FALSE),"FD")</f>
        <v>PRIMER PISO</v>
      </c>
      <c r="H151" t="s">
        <v>1265</v>
      </c>
      <c r="I151" t="s">
        <v>1210</v>
      </c>
      <c r="J151" t="s">
        <v>1365</v>
      </c>
      <c r="K151">
        <f>IFERROR(IF(VLOOKUP($H151,'BASE DATOS'!$BN$2:$BX$40,3,FALSE)&lt;&gt;0,1,0),"-")</f>
        <v>0</v>
      </c>
      <c r="L151">
        <f>IFERROR(IF(VLOOKUP($H151,'BASE DATOS'!$BN$2:$BX$40,4,FALSE)&lt;&gt;0,1,0),"-")</f>
        <v>0</v>
      </c>
      <c r="M151">
        <f>IFERROR(IF(VLOOKUP($H151,'BASE DATOS'!$BN$2:$BX$40,5,FALSE)&lt;&gt;0,1,0),"-")</f>
        <v>0</v>
      </c>
      <c r="N151">
        <v>0</v>
      </c>
      <c r="O151">
        <f>IFERROR(IF(VLOOKUP($H151,'BASE DATOS'!$BN$2:$BX$40,7,FALSE)&lt;&gt;0,1,0),"-")</f>
        <v>1</v>
      </c>
      <c r="P151">
        <f>IFERROR(IF(VLOOKUP($H151,'BASE DATOS'!$BN$2:$BX$40,8,FALSE)&lt;&gt;0,1,0),"-")</f>
        <v>0</v>
      </c>
      <c r="Q151">
        <f>IFERROR(IF(VLOOKUP($H151,'BASE DATOS'!$BN$2:$BX$40,9,FALSE)&lt;&gt;0,1,0),"-")</f>
        <v>0</v>
      </c>
      <c r="R151">
        <f>IFERROR(IF(VLOOKUP($H151,'BASE DATOS'!$BN$2:$BX$40,10,FALSE)&lt;&gt;0,1,0),"-")</f>
        <v>0</v>
      </c>
      <c r="S151">
        <f>IFERROR(IF(VLOOKUP($H151,'BASE DATOS'!$BN$2:$BX$40,11,FALSE)&lt;&gt;0,1,0),"-")</f>
        <v>0</v>
      </c>
      <c r="T151" t="s">
        <v>341</v>
      </c>
    </row>
    <row r="152" spans="1:20">
      <c r="A152" s="786">
        <f t="shared" si="13"/>
        <v>44</v>
      </c>
      <c r="B152" s="786" t="str">
        <f t="shared" si="14"/>
        <v>TT</v>
      </c>
      <c r="C152" s="786">
        <f t="shared" si="12"/>
        <v>0</v>
      </c>
      <c r="D152" s="786" t="str">
        <f t="shared" si="11"/>
        <v>SI</v>
      </c>
      <c r="E152" s="38">
        <v>45958</v>
      </c>
      <c r="F152" s="614">
        <v>0.25</v>
      </c>
      <c r="G152" s="614" t="str">
        <f>IFERROR(VLOOKUP(H152,'BASE DATOS'!$BN$2:$BO$40,2,FALSE),"FD")</f>
        <v>PRIMER PISO</v>
      </c>
      <c r="H152" t="s">
        <v>1206</v>
      </c>
      <c r="I152" t="s">
        <v>1207</v>
      </c>
      <c r="J152" t="s">
        <v>1366</v>
      </c>
      <c r="K152">
        <f>IFERROR(IF(VLOOKUP($H152,'BASE DATOS'!$BN$2:$BX$40,3,FALSE)&lt;&gt;0,1,0),"-")</f>
        <v>1</v>
      </c>
      <c r="L152">
        <f>IFERROR(IF(VLOOKUP($H152,'BASE DATOS'!$BN$2:$BX$40,4,FALSE)&lt;&gt;0,1,0),"-")</f>
        <v>1</v>
      </c>
      <c r="M152">
        <f>IFERROR(IF(VLOOKUP($H152,'BASE DATOS'!$BN$2:$BX$40,5,FALSE)&lt;&gt;0,1,0),"-")</f>
        <v>1</v>
      </c>
      <c r="N152">
        <f>IFERROR(IF(VLOOKUP($H152,'BASE DATOS'!$BN$2:$BX$40,6,FALSE)&lt;&gt;0,1,0),"-")</f>
        <v>1</v>
      </c>
      <c r="O152">
        <f>IFERROR(IF(VLOOKUP($H152,'BASE DATOS'!$BN$2:$BX$40,7,FALSE)&lt;&gt;0,1,0),"-")</f>
        <v>1</v>
      </c>
      <c r="P152">
        <f>IFERROR(IF(VLOOKUP($H152,'BASE DATOS'!$BN$2:$BX$40,8,FALSE)&lt;&gt;0,1,0),"-")</f>
        <v>1</v>
      </c>
      <c r="Q152">
        <f>IFERROR(IF(VLOOKUP($H152,'BASE DATOS'!$BN$2:$BX$40,9,FALSE)&lt;&gt;0,1,0),"-")</f>
        <v>1</v>
      </c>
      <c r="R152">
        <f>IFERROR(IF(VLOOKUP($H152,'BASE DATOS'!$BN$2:$BX$40,10,FALSE)&lt;&gt;0,1,0),"-")</f>
        <v>1</v>
      </c>
      <c r="S152">
        <f>IFERROR(IF(VLOOKUP($H152,'BASE DATOS'!$BN$2:$BX$40,11,FALSE)&lt;&gt;0,1,0),"-")</f>
        <v>1</v>
      </c>
      <c r="T152" t="s">
        <v>341</v>
      </c>
    </row>
    <row r="153" spans="1:20">
      <c r="A153" s="786">
        <f t="shared" si="13"/>
        <v>44</v>
      </c>
      <c r="B153" s="786" t="str">
        <f t="shared" si="14"/>
        <v>TT</v>
      </c>
      <c r="C153" s="786">
        <f t="shared" si="12"/>
        <v>0</v>
      </c>
      <c r="D153" s="786" t="str">
        <f t="shared" si="11"/>
        <v>NO</v>
      </c>
      <c r="E153" s="38">
        <v>45958</v>
      </c>
      <c r="F153" s="614">
        <v>0.25</v>
      </c>
      <c r="G153" s="614" t="str">
        <f>IFERROR(VLOOKUP(H153,'BASE DATOS'!$BN$2:$BO$40,2,FALSE),"FD")</f>
        <v>PRIMER PISO</v>
      </c>
      <c r="H153" t="s">
        <v>1195</v>
      </c>
      <c r="I153" t="s">
        <v>1210</v>
      </c>
      <c r="J153" t="s">
        <v>1367</v>
      </c>
      <c r="K153">
        <f>IFERROR(IF(VLOOKUP($H153,'BASE DATOS'!$BN$2:$BX$40,3,FALSE)&lt;&gt;0,1,0),"-")</f>
        <v>0</v>
      </c>
      <c r="L153">
        <f>IFERROR(IF(VLOOKUP($H153,'BASE DATOS'!$BN$2:$BX$40,4,FALSE)&lt;&gt;0,1,0),"-")</f>
        <v>0</v>
      </c>
      <c r="M153">
        <f>IFERROR(IF(VLOOKUP($H153,'BASE DATOS'!$BN$2:$BX$40,5,FALSE)&lt;&gt;0,1,0),"-")</f>
        <v>0</v>
      </c>
      <c r="N153">
        <v>0</v>
      </c>
      <c r="O153">
        <f>IFERROR(IF(VLOOKUP($H153,'BASE DATOS'!$BN$2:$BX$40,7,FALSE)&lt;&gt;0,1,0),"-")</f>
        <v>1</v>
      </c>
      <c r="P153">
        <f>IFERROR(IF(VLOOKUP($H153,'BASE DATOS'!$BN$2:$BX$40,8,FALSE)&lt;&gt;0,1,0),"-")</f>
        <v>0</v>
      </c>
      <c r="Q153">
        <f>IFERROR(IF(VLOOKUP($H153,'BASE DATOS'!$BN$2:$BX$40,9,FALSE)&lt;&gt;0,1,0),"-")</f>
        <v>0</v>
      </c>
      <c r="R153">
        <f>IFERROR(IF(VLOOKUP($H153,'BASE DATOS'!$BN$2:$BX$40,10,FALSE)&lt;&gt;0,1,0),"-")</f>
        <v>0</v>
      </c>
      <c r="S153">
        <f>IFERROR(IF(VLOOKUP($H153,'BASE DATOS'!$BN$2:$BX$40,11,FALSE)&lt;&gt;0,1,0),"-")</f>
        <v>0</v>
      </c>
      <c r="T153" t="s">
        <v>341</v>
      </c>
    </row>
    <row r="154" spans="1:20">
      <c r="A154" s="786">
        <f t="shared" si="13"/>
        <v>44</v>
      </c>
      <c r="B154" s="786" t="str">
        <f t="shared" si="14"/>
        <v>TT</v>
      </c>
      <c r="C154" s="786">
        <f t="shared" si="12"/>
        <v>0</v>
      </c>
      <c r="D154" s="786" t="str">
        <f t="shared" si="11"/>
        <v>NO</v>
      </c>
      <c r="E154" s="38">
        <v>45958</v>
      </c>
      <c r="F154" s="614">
        <v>0.25</v>
      </c>
      <c r="G154" s="614" t="str">
        <f>IFERROR(VLOOKUP(H154,'BASE DATOS'!$BN$2:$BO$40,2,FALSE),"FD")</f>
        <v>PRIMER PISO</v>
      </c>
      <c r="H154" t="s">
        <v>1271</v>
      </c>
      <c r="I154" t="s">
        <v>1210</v>
      </c>
      <c r="J154" t="s">
        <v>1368</v>
      </c>
      <c r="K154">
        <f>IFERROR(IF(VLOOKUP($H154,'BASE DATOS'!$BN$2:$BX$40,3,FALSE)&lt;&gt;0,1,0),"-")</f>
        <v>0</v>
      </c>
      <c r="L154">
        <f>IFERROR(IF(VLOOKUP($H154,'BASE DATOS'!$BN$2:$BX$40,4,FALSE)&lt;&gt;0,1,0),"-")</f>
        <v>0</v>
      </c>
      <c r="M154">
        <f>IFERROR(IF(VLOOKUP($H154,'BASE DATOS'!$BN$2:$BX$40,5,FALSE)&lt;&gt;0,1,0),"-")</f>
        <v>0</v>
      </c>
      <c r="N154">
        <v>0</v>
      </c>
      <c r="O154">
        <f>IFERROR(IF(VLOOKUP($H154,'BASE DATOS'!$BN$2:$BX$40,7,FALSE)&lt;&gt;0,1,0),"-")</f>
        <v>1</v>
      </c>
      <c r="P154">
        <f>IFERROR(IF(VLOOKUP($H154,'BASE DATOS'!$BN$2:$BX$40,8,FALSE)&lt;&gt;0,1,0),"-")</f>
        <v>0</v>
      </c>
      <c r="Q154">
        <f>IFERROR(IF(VLOOKUP($H154,'BASE DATOS'!$BN$2:$BX$40,9,FALSE)&lt;&gt;0,1,0),"-")</f>
        <v>0</v>
      </c>
      <c r="R154">
        <f>IFERROR(IF(VLOOKUP($H154,'BASE DATOS'!$BN$2:$BX$40,10,FALSE)&lt;&gt;0,1,0),"-")</f>
        <v>0</v>
      </c>
      <c r="S154">
        <f>IFERROR(IF(VLOOKUP($H154,'BASE DATOS'!$BN$2:$BX$40,11,FALSE)&lt;&gt;0,1,0),"-")</f>
        <v>0</v>
      </c>
      <c r="T154" t="s">
        <v>341</v>
      </c>
    </row>
    <row r="155" spans="1:20">
      <c r="A155" s="786">
        <f t="shared" si="13"/>
        <v>44</v>
      </c>
      <c r="B155" s="786" t="str">
        <f t="shared" si="14"/>
        <v>TT</v>
      </c>
      <c r="C155" s="786">
        <f t="shared" si="12"/>
        <v>0</v>
      </c>
      <c r="D155" s="786" t="str">
        <f t="shared" si="11"/>
        <v>NO</v>
      </c>
      <c r="E155" s="38">
        <v>45958</v>
      </c>
      <c r="F155" s="614">
        <v>0.25</v>
      </c>
      <c r="G155" s="614" t="str">
        <f>IFERROR(VLOOKUP(H155,'BASE DATOS'!$BN$2:$BO$40,2,FALSE),"FD")</f>
        <v>PRIMER PISO</v>
      </c>
      <c r="H155" t="s">
        <v>1271</v>
      </c>
      <c r="I155" t="s">
        <v>970</v>
      </c>
      <c r="J155" t="s">
        <v>1369</v>
      </c>
      <c r="K155">
        <f>IFERROR(IF(VLOOKUP($H155,'BASE DATOS'!$BN$2:$BX$40,3,FALSE)&lt;&gt;0,1,0),"-")</f>
        <v>0</v>
      </c>
      <c r="L155">
        <f>IFERROR(IF(VLOOKUP($H155,'BASE DATOS'!$BN$2:$BX$40,4,FALSE)&lt;&gt;0,1,0),"-")</f>
        <v>0</v>
      </c>
      <c r="M155">
        <f>IFERROR(IF(VLOOKUP($H155,'BASE DATOS'!$BN$2:$BX$40,5,FALSE)&lt;&gt;0,1,0),"-")</f>
        <v>0</v>
      </c>
      <c r="N155">
        <v>0</v>
      </c>
      <c r="O155">
        <f>IFERROR(IF(VLOOKUP($H155,'BASE DATOS'!$BN$2:$BX$40,7,FALSE)&lt;&gt;0,1,0),"-")</f>
        <v>1</v>
      </c>
      <c r="P155">
        <f>IFERROR(IF(VLOOKUP($H155,'BASE DATOS'!$BN$2:$BX$40,8,FALSE)&lt;&gt;0,1,0),"-")</f>
        <v>0</v>
      </c>
      <c r="Q155">
        <f>IFERROR(IF(VLOOKUP($H155,'BASE DATOS'!$BN$2:$BX$40,9,FALSE)&lt;&gt;0,1,0),"-")</f>
        <v>0</v>
      </c>
      <c r="R155">
        <f>IFERROR(IF(VLOOKUP($H155,'BASE DATOS'!$BN$2:$BX$40,10,FALSE)&lt;&gt;0,1,0),"-")</f>
        <v>0</v>
      </c>
      <c r="S155">
        <f>IFERROR(IF(VLOOKUP($H155,'BASE DATOS'!$BN$2:$BX$40,11,FALSE)&lt;&gt;0,1,0),"-")</f>
        <v>0</v>
      </c>
      <c r="T155" t="s">
        <v>341</v>
      </c>
    </row>
    <row r="156" spans="1:20">
      <c r="A156" s="786">
        <f t="shared" si="13"/>
        <v>44</v>
      </c>
      <c r="B156" s="786" t="str">
        <f t="shared" si="14"/>
        <v>TT</v>
      </c>
      <c r="C156" s="786">
        <f t="shared" si="12"/>
        <v>1</v>
      </c>
      <c r="D156" s="786" t="str">
        <f t="shared" si="11"/>
        <v>SI</v>
      </c>
      <c r="E156" s="38">
        <v>45958</v>
      </c>
      <c r="F156" s="614">
        <v>0.91666666666666663</v>
      </c>
      <c r="G156" s="614" t="str">
        <f>IFERROR(VLOOKUP(H156,'BASE DATOS'!$BN$2:$BO$40,2,FALSE),"FD")</f>
        <v>SEGUNDO PISO</v>
      </c>
      <c r="H156" t="s">
        <v>1233</v>
      </c>
      <c r="I156" t="s">
        <v>1210</v>
      </c>
      <c r="J156" t="s">
        <v>1370</v>
      </c>
      <c r="K156">
        <f>IFERROR(IF(VLOOKUP($H156,'BASE DATOS'!$BN$2:$BX$40,3,FALSE)&lt;&gt;0,1,0),"-")</f>
        <v>1</v>
      </c>
      <c r="L156">
        <f>IFERROR(IF(VLOOKUP($H156,'BASE DATOS'!$BN$2:$BX$40,4,FALSE)&lt;&gt;0,1,0),"-")</f>
        <v>1</v>
      </c>
      <c r="M156">
        <f>IFERROR(IF(VLOOKUP($H156,'BASE DATOS'!$BN$2:$BX$40,5,FALSE)&lt;&gt;0,1,0),"-")</f>
        <v>1</v>
      </c>
      <c r="N156">
        <f>IFERROR(IF(VLOOKUP($H156,'BASE DATOS'!$BN$2:$BX$40,6,FALSE)&lt;&gt;0,1,0),"-")</f>
        <v>1</v>
      </c>
      <c r="O156">
        <f>IFERROR(IF(VLOOKUP($H156,'BASE DATOS'!$BN$2:$BX$40,7,FALSE)&lt;&gt;0,1,0),"-")</f>
        <v>1</v>
      </c>
      <c r="P156">
        <f>IFERROR(IF(VLOOKUP($H156,'BASE DATOS'!$BN$2:$BX$40,8,FALSE)&lt;&gt;0,1,0),"-")</f>
        <v>1</v>
      </c>
      <c r="Q156">
        <f>IFERROR(IF(VLOOKUP($H156,'BASE DATOS'!$BN$2:$BX$40,9,FALSE)&lt;&gt;0,1,0),"-")</f>
        <v>1</v>
      </c>
      <c r="R156">
        <f>IFERROR(IF(VLOOKUP($H156,'BASE DATOS'!$BN$2:$BX$40,10,FALSE)&lt;&gt;0,1,0),"-")</f>
        <v>1</v>
      </c>
      <c r="S156">
        <f>IFERROR(IF(VLOOKUP($H156,'BASE DATOS'!$BN$2:$BX$40,11,FALSE)&lt;&gt;0,1,0),"-")</f>
        <v>1</v>
      </c>
      <c r="T156" t="s">
        <v>341</v>
      </c>
    </row>
    <row r="157" spans="1:20">
      <c r="A157" s="786">
        <f t="shared" si="13"/>
        <v>44</v>
      </c>
      <c r="B157" s="786" t="str">
        <f t="shared" si="14"/>
        <v>TT</v>
      </c>
      <c r="C157" s="786">
        <f t="shared" si="12"/>
        <v>0</v>
      </c>
      <c r="D157" s="786" t="str">
        <f t="shared" si="11"/>
        <v>SI</v>
      </c>
      <c r="E157" s="38">
        <v>45958</v>
      </c>
      <c r="F157" s="614">
        <v>0.91666666666666663</v>
      </c>
      <c r="G157" s="614" t="str">
        <f>IFERROR(VLOOKUP(H157,'BASE DATOS'!$BN$2:$BO$40,2,FALSE),"FD")</f>
        <v>SEGUNDO PISO</v>
      </c>
      <c r="H157" t="s">
        <v>1233</v>
      </c>
      <c r="I157" t="s">
        <v>970</v>
      </c>
      <c r="J157" t="s">
        <v>1371</v>
      </c>
      <c r="K157">
        <v>0</v>
      </c>
      <c r="L157">
        <v>0</v>
      </c>
      <c r="M157">
        <v>0</v>
      </c>
      <c r="N157">
        <v>0</v>
      </c>
      <c r="O157">
        <v>0</v>
      </c>
      <c r="P157">
        <v>0</v>
      </c>
      <c r="Q157">
        <v>0</v>
      </c>
      <c r="R157">
        <v>0</v>
      </c>
      <c r="S157">
        <v>0</v>
      </c>
      <c r="T157" t="s">
        <v>341</v>
      </c>
    </row>
    <row r="158" spans="1:20">
      <c r="A158" s="786">
        <f t="shared" si="13"/>
        <v>44</v>
      </c>
      <c r="B158" s="786" t="str">
        <f t="shared" si="14"/>
        <v>TT</v>
      </c>
      <c r="C158" s="786">
        <f t="shared" si="12"/>
        <v>0</v>
      </c>
      <c r="D158" s="786" t="str">
        <f t="shared" si="11"/>
        <v>SI</v>
      </c>
      <c r="E158" s="38">
        <v>45958</v>
      </c>
      <c r="F158" s="614">
        <v>0.91666666666666663</v>
      </c>
      <c r="G158" s="614" t="str">
        <f>IFERROR(VLOOKUP(H158,'BASE DATOS'!$BN$2:$BO$40,2,FALSE),"FD")</f>
        <v>SEGUNDO PISO</v>
      </c>
      <c r="H158" t="s">
        <v>1233</v>
      </c>
      <c r="I158" t="s">
        <v>1229</v>
      </c>
      <c r="J158" t="s">
        <v>1372</v>
      </c>
      <c r="K158">
        <f>IFERROR(IF(VLOOKUP($H158,'BASE DATOS'!$BN$2:$BX$40,3,FALSE)&lt;&gt;0,1,0),"-")</f>
        <v>1</v>
      </c>
      <c r="L158">
        <f>IFERROR(IF(VLOOKUP($H158,'BASE DATOS'!$BN$2:$BX$40,4,FALSE)&lt;&gt;0,1,0),"-")</f>
        <v>1</v>
      </c>
      <c r="M158">
        <f>IFERROR(IF(VLOOKUP($H158,'BASE DATOS'!$BN$2:$BX$40,5,FALSE)&lt;&gt;0,1,0),"-")</f>
        <v>1</v>
      </c>
      <c r="N158">
        <f>IFERROR(IF(VLOOKUP($H158,'BASE DATOS'!$BN$2:$BX$40,6,FALSE)&lt;&gt;0,1,0),"-")</f>
        <v>1</v>
      </c>
      <c r="O158">
        <f>IFERROR(IF(VLOOKUP($H158,'BASE DATOS'!$BN$2:$BX$40,7,FALSE)&lt;&gt;0,1,0),"-")</f>
        <v>1</v>
      </c>
      <c r="P158">
        <f>IFERROR(IF(VLOOKUP($H158,'BASE DATOS'!$BN$2:$BX$40,8,FALSE)&lt;&gt;0,1,0),"-")</f>
        <v>1</v>
      </c>
      <c r="Q158">
        <f>IFERROR(IF(VLOOKUP($H158,'BASE DATOS'!$BN$2:$BX$40,9,FALSE)&lt;&gt;0,1,0),"-")</f>
        <v>1</v>
      </c>
      <c r="R158">
        <f>IFERROR(IF(VLOOKUP($H158,'BASE DATOS'!$BN$2:$BX$40,10,FALSE)&lt;&gt;0,1,0),"-")</f>
        <v>1</v>
      </c>
      <c r="S158">
        <f>IFERROR(IF(VLOOKUP($H158,'BASE DATOS'!$BN$2:$BX$40,11,FALSE)&lt;&gt;0,1,0),"-")</f>
        <v>1</v>
      </c>
      <c r="T158" t="s">
        <v>1373</v>
      </c>
    </row>
    <row r="159" spans="1:20">
      <c r="A159" s="786">
        <f t="shared" si="13"/>
        <v>44</v>
      </c>
      <c r="B159" s="786" t="str">
        <f t="shared" si="14"/>
        <v>TT</v>
      </c>
      <c r="C159" s="786">
        <f t="shared" si="12"/>
        <v>0</v>
      </c>
      <c r="D159" s="786" t="str">
        <f t="shared" si="11"/>
        <v>SI</v>
      </c>
      <c r="E159" s="38">
        <v>45958</v>
      </c>
      <c r="F159" s="614">
        <v>0.91666666666666663</v>
      </c>
      <c r="G159" s="614" t="str">
        <f>IFERROR(VLOOKUP(H159,'BASE DATOS'!$BN$2:$BO$40,2,FALSE),"FD")</f>
        <v>SEGUNDO PISO</v>
      </c>
      <c r="H159" t="s">
        <v>1232</v>
      </c>
      <c r="I159" t="s">
        <v>1207</v>
      </c>
      <c r="J159" t="s">
        <v>1354</v>
      </c>
      <c r="K159">
        <f>IFERROR(IF(VLOOKUP($H159,'BASE DATOS'!$BN$2:$BX$40,3,FALSE)&lt;&gt;0,1,0),"-")</f>
        <v>1</v>
      </c>
      <c r="L159">
        <f>IFERROR(IF(VLOOKUP($H159,'BASE DATOS'!$BN$2:$BX$40,4,FALSE)&lt;&gt;0,1,0),"-")</f>
        <v>1</v>
      </c>
      <c r="M159">
        <f>IFERROR(IF(VLOOKUP($H159,'BASE DATOS'!$BN$2:$BX$40,5,FALSE)&lt;&gt;0,1,0),"-")</f>
        <v>1</v>
      </c>
      <c r="N159">
        <f>IFERROR(IF(VLOOKUP($H159,'BASE DATOS'!$BN$2:$BX$40,6,FALSE)&lt;&gt;0,1,0),"-")</f>
        <v>1</v>
      </c>
      <c r="O159">
        <f>IFERROR(IF(VLOOKUP($H159,'BASE DATOS'!$BN$2:$BX$40,7,FALSE)&lt;&gt;0,1,0),"-")</f>
        <v>1</v>
      </c>
      <c r="P159">
        <f>IFERROR(IF(VLOOKUP($H159,'BASE DATOS'!$BN$2:$BX$40,8,FALSE)&lt;&gt;0,1,0),"-")</f>
        <v>1</v>
      </c>
      <c r="Q159">
        <f>IFERROR(IF(VLOOKUP($H159,'BASE DATOS'!$BN$2:$BX$40,9,FALSE)&lt;&gt;0,1,0),"-")</f>
        <v>1</v>
      </c>
      <c r="R159">
        <f>IFERROR(IF(VLOOKUP($H159,'BASE DATOS'!$BN$2:$BX$40,10,FALSE)&lt;&gt;0,1,0),"-")</f>
        <v>1</v>
      </c>
      <c r="S159">
        <f>IFERROR(IF(VLOOKUP($H159,'BASE DATOS'!$BN$2:$BX$40,11,FALSE)&lt;&gt;0,1,0),"-")</f>
        <v>1</v>
      </c>
      <c r="T159" t="s">
        <v>341</v>
      </c>
    </row>
    <row r="160" spans="1:20">
      <c r="A160" s="786">
        <f t="shared" si="13"/>
        <v>44</v>
      </c>
      <c r="B160" s="786" t="str">
        <f t="shared" si="14"/>
        <v>TT</v>
      </c>
      <c r="C160" s="786">
        <f t="shared" si="12"/>
        <v>1</v>
      </c>
      <c r="D160" s="786" t="str">
        <f t="shared" si="11"/>
        <v>NO</v>
      </c>
      <c r="E160" s="38">
        <v>45958</v>
      </c>
      <c r="F160" s="614">
        <v>0.91666666666666663</v>
      </c>
      <c r="G160" s="614" t="s">
        <v>1346</v>
      </c>
      <c r="H160" t="s">
        <v>970</v>
      </c>
      <c r="I160" t="s">
        <v>1210</v>
      </c>
      <c r="J160" t="s">
        <v>1374</v>
      </c>
      <c r="K160">
        <v>0</v>
      </c>
      <c r="L160">
        <v>0</v>
      </c>
      <c r="M160">
        <v>0</v>
      </c>
      <c r="N160">
        <v>0</v>
      </c>
      <c r="O160">
        <v>0</v>
      </c>
      <c r="P160">
        <v>0</v>
      </c>
      <c r="Q160">
        <v>0</v>
      </c>
      <c r="R160">
        <v>0</v>
      </c>
      <c r="S160">
        <v>1</v>
      </c>
      <c r="T160" t="s">
        <v>341</v>
      </c>
    </row>
    <row r="161" spans="1:20">
      <c r="A161" s="786">
        <f t="shared" si="13"/>
        <v>44</v>
      </c>
      <c r="B161" s="786" t="str">
        <f t="shared" si="14"/>
        <v>TT</v>
      </c>
      <c r="C161" s="786">
        <f t="shared" si="12"/>
        <v>0</v>
      </c>
      <c r="D161" s="786" t="str">
        <f t="shared" si="11"/>
        <v>NO</v>
      </c>
      <c r="E161" s="38">
        <v>45958</v>
      </c>
      <c r="F161" s="614">
        <v>0.91666666666666663</v>
      </c>
      <c r="G161" s="614" t="str">
        <f>IFERROR(VLOOKUP(H161,'BASE DATOS'!$BN$2:$BO$40,2,FALSE),"FD")</f>
        <v>ENTRE PISO</v>
      </c>
      <c r="H161" t="s">
        <v>1238</v>
      </c>
      <c r="I161" t="s">
        <v>1216</v>
      </c>
      <c r="J161" t="s">
        <v>1375</v>
      </c>
      <c r="K161">
        <v>0</v>
      </c>
      <c r="L161">
        <f>IFERROR(IF(VLOOKUP($H161,'BASE DATOS'!$BN$2:$BX$40,4,FALSE)&lt;&gt;0,1,0),"-")</f>
        <v>0</v>
      </c>
      <c r="M161">
        <f>IFERROR(IF(VLOOKUP($H161,'BASE DATOS'!$BN$2:$BX$40,5,FALSE)&lt;&gt;0,1,0),"-")</f>
        <v>0</v>
      </c>
      <c r="N161">
        <v>0</v>
      </c>
      <c r="O161">
        <v>0</v>
      </c>
      <c r="P161">
        <f>IFERROR(IF(VLOOKUP($H161,'BASE DATOS'!$BN$2:$BX$40,8,FALSE)&lt;&gt;0,1,0),"-")</f>
        <v>0</v>
      </c>
      <c r="Q161">
        <f>IFERROR(IF(VLOOKUP($H161,'BASE DATOS'!$BN$2:$BX$40,9,FALSE)&lt;&gt;0,1,0),"-")</f>
        <v>0</v>
      </c>
      <c r="R161">
        <f>IFERROR(IF(VLOOKUP($H161,'BASE DATOS'!$BN$2:$BX$40,10,FALSE)&lt;&gt;0,1,0),"-")</f>
        <v>0</v>
      </c>
      <c r="S161">
        <f>IFERROR(IF(VLOOKUP($H161,'BASE DATOS'!$BN$2:$BX$40,11,FALSE)&lt;&gt;0,1,0),"-")</f>
        <v>0</v>
      </c>
      <c r="T161" t="s">
        <v>341</v>
      </c>
    </row>
    <row r="162" spans="1:20">
      <c r="A162" s="786">
        <f t="shared" si="13"/>
        <v>44</v>
      </c>
      <c r="B162" s="786" t="str">
        <f t="shared" si="14"/>
        <v>TT</v>
      </c>
      <c r="C162" s="786">
        <f t="shared" si="12"/>
        <v>0</v>
      </c>
      <c r="D162" s="786" t="str">
        <f t="shared" si="11"/>
        <v>NO</v>
      </c>
      <c r="E162" s="38">
        <v>45958</v>
      </c>
      <c r="F162" s="614">
        <v>0.91666666666666663</v>
      </c>
      <c r="G162" s="614" t="str">
        <f>IFERROR(VLOOKUP(H162,'BASE DATOS'!$BN$2:$BO$40,2,FALSE),"FD")</f>
        <v>ENTRE PISO</v>
      </c>
      <c r="H162" t="s">
        <v>1238</v>
      </c>
      <c r="I162" t="s">
        <v>970</v>
      </c>
      <c r="J162" t="s">
        <v>1376</v>
      </c>
      <c r="K162">
        <v>0</v>
      </c>
      <c r="L162">
        <f>IFERROR(IF(VLOOKUP($H162,'BASE DATOS'!$BN$2:$BX$40,4,FALSE)&lt;&gt;0,1,0),"-")</f>
        <v>0</v>
      </c>
      <c r="M162">
        <f>IFERROR(IF(VLOOKUP($H162,'BASE DATOS'!$BN$2:$BX$40,5,FALSE)&lt;&gt;0,1,0),"-")</f>
        <v>0</v>
      </c>
      <c r="N162">
        <v>0</v>
      </c>
      <c r="O162">
        <f>IFERROR(IF(VLOOKUP($H162,'BASE DATOS'!$BN$2:$BX$40,7,FALSE)&lt;&gt;0,1,0),"-")</f>
        <v>1</v>
      </c>
      <c r="P162">
        <f>IFERROR(IF(VLOOKUP($H162,'BASE DATOS'!$BN$2:$BX$40,8,FALSE)&lt;&gt;0,1,0),"-")</f>
        <v>0</v>
      </c>
      <c r="Q162">
        <f>IFERROR(IF(VLOOKUP($H162,'BASE DATOS'!$BN$2:$BX$40,9,FALSE)&lt;&gt;0,1,0),"-")</f>
        <v>0</v>
      </c>
      <c r="R162">
        <f>IFERROR(IF(VLOOKUP($H162,'BASE DATOS'!$BN$2:$BX$40,10,FALSE)&lt;&gt;0,1,0),"-")</f>
        <v>0</v>
      </c>
      <c r="S162">
        <f>IFERROR(IF(VLOOKUP($H162,'BASE DATOS'!$BN$2:$BX$40,11,FALSE)&lt;&gt;0,1,0),"-")</f>
        <v>0</v>
      </c>
      <c r="T162" t="s">
        <v>341</v>
      </c>
    </row>
    <row r="163" spans="1:20">
      <c r="A163" s="786">
        <f t="shared" si="13"/>
        <v>44</v>
      </c>
      <c r="B163" s="786" t="str">
        <f t="shared" si="14"/>
        <v>TT</v>
      </c>
      <c r="C163" s="786">
        <f t="shared" si="12"/>
        <v>0</v>
      </c>
      <c r="D163" s="786" t="str">
        <f t="shared" si="11"/>
        <v>NO</v>
      </c>
      <c r="E163" s="38">
        <v>45958</v>
      </c>
      <c r="F163" s="614">
        <v>0.91666666666666663</v>
      </c>
      <c r="G163" s="614" t="str">
        <f>IFERROR(VLOOKUP(H163,'BASE DATOS'!$BN$2:$BO$40,2,FALSE),"FD")</f>
        <v>ENTRE PISO</v>
      </c>
      <c r="H163" t="s">
        <v>1238</v>
      </c>
      <c r="I163" t="s">
        <v>970</v>
      </c>
      <c r="J163" t="s">
        <v>1377</v>
      </c>
      <c r="K163">
        <v>0</v>
      </c>
      <c r="L163">
        <v>0</v>
      </c>
      <c r="M163">
        <v>0</v>
      </c>
      <c r="N163">
        <v>0</v>
      </c>
      <c r="O163">
        <v>0</v>
      </c>
      <c r="P163">
        <v>0</v>
      </c>
      <c r="Q163">
        <v>0</v>
      </c>
      <c r="R163">
        <v>0</v>
      </c>
      <c r="S163">
        <v>0</v>
      </c>
      <c r="T163" t="s">
        <v>341</v>
      </c>
    </row>
    <row r="164" spans="1:20">
      <c r="A164" s="786">
        <f t="shared" si="13"/>
        <v>44</v>
      </c>
      <c r="B164" s="786" t="str">
        <f t="shared" si="14"/>
        <v>TM</v>
      </c>
      <c r="C164" s="786">
        <f t="shared" si="12"/>
        <v>1</v>
      </c>
      <c r="D164" s="786" t="str">
        <f t="shared" si="11"/>
        <v>NO</v>
      </c>
      <c r="E164" s="38">
        <v>45959</v>
      </c>
      <c r="F164" s="614">
        <v>0.64583333333333337</v>
      </c>
      <c r="G164" s="614" t="s">
        <v>1248</v>
      </c>
      <c r="H164" t="s">
        <v>970</v>
      </c>
      <c r="I164" t="s">
        <v>1234</v>
      </c>
      <c r="J164" t="s">
        <v>1378</v>
      </c>
      <c r="K164">
        <v>0</v>
      </c>
      <c r="L164">
        <v>0</v>
      </c>
      <c r="M164">
        <v>0</v>
      </c>
      <c r="N164">
        <v>0</v>
      </c>
      <c r="O164">
        <v>0</v>
      </c>
      <c r="P164">
        <v>0</v>
      </c>
      <c r="Q164">
        <v>0</v>
      </c>
      <c r="R164">
        <v>0</v>
      </c>
      <c r="S164">
        <v>1</v>
      </c>
      <c r="T164" t="s">
        <v>341</v>
      </c>
    </row>
    <row r="165" spans="1:20">
      <c r="A165" s="786">
        <f t="shared" si="13"/>
        <v>44</v>
      </c>
      <c r="B165" s="786" t="str">
        <f t="shared" si="14"/>
        <v>TM</v>
      </c>
      <c r="C165" s="786">
        <f t="shared" si="12"/>
        <v>1</v>
      </c>
      <c r="D165" s="786" t="str">
        <f t="shared" si="11"/>
        <v>NO</v>
      </c>
      <c r="E165" s="38">
        <v>45959</v>
      </c>
      <c r="F165" s="614">
        <v>0.66666666666666663</v>
      </c>
      <c r="G165" s="614" t="str">
        <f>IFERROR(VLOOKUP(H165,'BASE DATOS'!$BN$2:$BO$40,2,FALSE),"FD")</f>
        <v>PRIMER PISO</v>
      </c>
      <c r="H165" t="s">
        <v>1193</v>
      </c>
      <c r="I165" t="s">
        <v>1201</v>
      </c>
      <c r="J165" t="s">
        <v>1379</v>
      </c>
      <c r="K165">
        <f>IFERROR(IF(VLOOKUP($H165,'BASE DATOS'!$BN$2:$BX$40,3,FALSE)&lt;&gt;0,1,0),"-")</f>
        <v>0</v>
      </c>
      <c r="L165">
        <f>IFERROR(IF(VLOOKUP($H165,'BASE DATOS'!$BN$2:$BX$40,4,FALSE)&lt;&gt;0,1,0),"-")</f>
        <v>0</v>
      </c>
      <c r="M165">
        <f>IFERROR(IF(VLOOKUP($H165,'BASE DATOS'!$BN$2:$BX$40,5,FALSE)&lt;&gt;0,1,0),"-")</f>
        <v>0</v>
      </c>
      <c r="N165">
        <f>IFERROR(IF(VLOOKUP($H165,'BASE DATOS'!$BN$2:$BX$40,6,FALSE)&lt;&gt;0,1,0),"-")</f>
        <v>1</v>
      </c>
      <c r="O165">
        <v>0</v>
      </c>
      <c r="P165">
        <f>IFERROR(IF(VLOOKUP($H165,'BASE DATOS'!$BN$2:$BX$40,8,FALSE)&lt;&gt;0,1,0),"-")</f>
        <v>0</v>
      </c>
      <c r="Q165">
        <f>IFERROR(IF(VLOOKUP($H165,'BASE DATOS'!$BN$2:$BX$40,9,FALSE)&lt;&gt;0,1,0),"-")</f>
        <v>0</v>
      </c>
      <c r="R165">
        <f>IFERROR(IF(VLOOKUP($H165,'BASE DATOS'!$BN$2:$BX$40,10,FALSE)&lt;&gt;0,1,0),"-")</f>
        <v>0</v>
      </c>
      <c r="S165">
        <f>IFERROR(IF(VLOOKUP($H165,'BASE DATOS'!$BN$2:$BX$40,11,FALSE)&lt;&gt;0,1,0),"-")</f>
        <v>0</v>
      </c>
      <c r="T165" t="s">
        <v>341</v>
      </c>
    </row>
    <row r="166" spans="1:20">
      <c r="A166" s="786">
        <f t="shared" si="13"/>
        <v>44</v>
      </c>
      <c r="B166" s="786" t="str">
        <f t="shared" si="14"/>
        <v>TM</v>
      </c>
      <c r="C166" s="786">
        <f t="shared" si="12"/>
        <v>0</v>
      </c>
      <c r="D166" s="786" t="str">
        <f t="shared" si="11"/>
        <v>NO</v>
      </c>
      <c r="E166" s="38">
        <v>45959</v>
      </c>
      <c r="F166" s="614">
        <v>0.66666666666666663</v>
      </c>
      <c r="G166" s="614" t="str">
        <f>IFERROR(VLOOKUP(H166,'BASE DATOS'!$BN$2:$BO$40,2,FALSE),"FD")</f>
        <v>PRIMER PISO</v>
      </c>
      <c r="H166" t="s">
        <v>1219</v>
      </c>
      <c r="I166" t="s">
        <v>970</v>
      </c>
      <c r="J166" t="s">
        <v>1380</v>
      </c>
      <c r="K166">
        <f>IFERROR(IF(VLOOKUP($H166,'BASE DATOS'!$BN$2:$BX$40,3,FALSE)&lt;&gt;0,1,0),"-")</f>
        <v>0</v>
      </c>
      <c r="L166">
        <f>IFERROR(IF(VLOOKUP($H166,'BASE DATOS'!$BN$2:$BX$40,4,FALSE)&lt;&gt;0,1,0),"-")</f>
        <v>0</v>
      </c>
      <c r="M166">
        <f>IFERROR(IF(VLOOKUP($H166,'BASE DATOS'!$BN$2:$BX$40,5,FALSE)&lt;&gt;0,1,0),"-")</f>
        <v>0</v>
      </c>
      <c r="N166">
        <f>IFERROR(IF(VLOOKUP($H166,'BASE DATOS'!$BN$2:$BX$40,6,FALSE)&lt;&gt;0,1,0),"-")</f>
        <v>1</v>
      </c>
      <c r="O166">
        <v>0</v>
      </c>
      <c r="P166">
        <f>IFERROR(IF(VLOOKUP($H166,'BASE DATOS'!$BN$2:$BX$40,8,FALSE)&lt;&gt;0,1,0),"-")</f>
        <v>0</v>
      </c>
      <c r="Q166">
        <f>IFERROR(IF(VLOOKUP($H166,'BASE DATOS'!$BN$2:$BX$40,9,FALSE)&lt;&gt;0,1,0),"-")</f>
        <v>0</v>
      </c>
      <c r="R166">
        <f>IFERROR(IF(VLOOKUP($H166,'BASE DATOS'!$BN$2:$BX$40,10,FALSE)&lt;&gt;0,1,0),"-")</f>
        <v>0</v>
      </c>
      <c r="S166">
        <f>IFERROR(IF(VLOOKUP($H166,'BASE DATOS'!$BN$2:$BX$40,11,FALSE)&lt;&gt;0,1,0),"-")</f>
        <v>0</v>
      </c>
      <c r="T166" t="s">
        <v>341</v>
      </c>
    </row>
    <row r="167" spans="1:20">
      <c r="A167" s="786">
        <f t="shared" ref="A167:A199" si="15">IF(E167="","FD",_xlfn.ISOWEEKNUM(E167))</f>
        <v>44</v>
      </c>
      <c r="B167" s="786" t="str">
        <f t="shared" ref="B167:B199" si="16">IF(F167="","FD",IF(AND(F167&gt;0.25,F167&lt;0.75),"TM","TT"))</f>
        <v>TM</v>
      </c>
      <c r="C167" s="786">
        <f t="shared" ref="C167:C199" si="17">+IF(OR(F167&lt;&gt;F166,G167&lt;&gt;G166,E167&lt;&gt;E166),1,0)</f>
        <v>0</v>
      </c>
      <c r="D167" s="786" t="str">
        <f t="shared" ref="D167:D199" si="18">IF(OR(LEFT(H167,4)="VEST",LEFT(H167,4)="BAÑO",LEFT(H167,4)="COME"),"SI","NO")</f>
        <v>SI</v>
      </c>
      <c r="E167" s="38">
        <v>45959</v>
      </c>
      <c r="F167" s="614">
        <v>0.66666666666666663</v>
      </c>
      <c r="G167" s="614" t="str">
        <f>IFERROR(VLOOKUP(H167,'BASE DATOS'!$BN$2:$BO$40,2,FALSE),"FD")</f>
        <v>PRIMER PISO</v>
      </c>
      <c r="H167" t="s">
        <v>1206</v>
      </c>
      <c r="I167" t="s">
        <v>1207</v>
      </c>
      <c r="J167" t="s">
        <v>1381</v>
      </c>
      <c r="K167">
        <f>IFERROR(IF(VLOOKUP($H167,'BASE DATOS'!$BN$2:$BX$40,3,FALSE)&lt;&gt;0,1,0),"-")</f>
        <v>1</v>
      </c>
      <c r="L167">
        <f>IFERROR(IF(VLOOKUP($H167,'BASE DATOS'!$BN$2:$BX$40,4,FALSE)&lt;&gt;0,1,0),"-")</f>
        <v>1</v>
      </c>
      <c r="M167">
        <f>IFERROR(IF(VLOOKUP($H167,'BASE DATOS'!$BN$2:$BX$40,5,FALSE)&lt;&gt;0,1,0),"-")</f>
        <v>1</v>
      </c>
      <c r="N167">
        <f>IFERROR(IF(VLOOKUP($H167,'BASE DATOS'!$BN$2:$BX$40,6,FALSE)&lt;&gt;0,1,0),"-")</f>
        <v>1</v>
      </c>
      <c r="O167">
        <f>IFERROR(IF(VLOOKUP($H167,'BASE DATOS'!$BN$2:$BX$40,7,FALSE)&lt;&gt;0,1,0),"-")</f>
        <v>1</v>
      </c>
      <c r="P167">
        <f>IFERROR(IF(VLOOKUP($H167,'BASE DATOS'!$BN$2:$BX$40,8,FALSE)&lt;&gt;0,1,0),"-")</f>
        <v>1</v>
      </c>
      <c r="Q167">
        <f>IFERROR(IF(VLOOKUP($H167,'BASE DATOS'!$BN$2:$BX$40,9,FALSE)&lt;&gt;0,1,0),"-")</f>
        <v>1</v>
      </c>
      <c r="R167">
        <f>IFERROR(IF(VLOOKUP($H167,'BASE DATOS'!$BN$2:$BX$40,10,FALSE)&lt;&gt;0,1,0),"-")</f>
        <v>1</v>
      </c>
      <c r="S167">
        <f>IFERROR(IF(VLOOKUP($H167,'BASE DATOS'!$BN$2:$BX$40,11,FALSE)&lt;&gt;0,1,0),"-")</f>
        <v>1</v>
      </c>
      <c r="T167" t="s">
        <v>341</v>
      </c>
    </row>
    <row r="168" spans="1:20">
      <c r="A168" s="786">
        <f t="shared" si="15"/>
        <v>44</v>
      </c>
      <c r="B168" s="786" t="str">
        <f t="shared" si="16"/>
        <v>TM</v>
      </c>
      <c r="C168" s="786">
        <f t="shared" si="17"/>
        <v>0</v>
      </c>
      <c r="D168" s="786" t="str">
        <f t="shared" si="18"/>
        <v>NO</v>
      </c>
      <c r="E168" s="38">
        <v>45959</v>
      </c>
      <c r="F168" s="614">
        <v>0.66666666666666663</v>
      </c>
      <c r="G168" s="614" t="str">
        <f>IFERROR(VLOOKUP(H168,'BASE DATOS'!$BN$2:$BO$40,2,FALSE),"FD")</f>
        <v>PRIMER PISO</v>
      </c>
      <c r="H168" t="s">
        <v>1222</v>
      </c>
      <c r="I168" t="s">
        <v>1204</v>
      </c>
      <c r="J168" t="s">
        <v>1382</v>
      </c>
      <c r="K168">
        <f>IFERROR(IF(VLOOKUP($H168,'BASE DATOS'!$BN$2:$BX$40,3,FALSE)&lt;&gt;0,1,0),"-")</f>
        <v>0</v>
      </c>
      <c r="L168">
        <f>IFERROR(IF(VLOOKUP($H168,'BASE DATOS'!$BN$2:$BX$40,4,FALSE)&lt;&gt;0,1,0),"-")</f>
        <v>0</v>
      </c>
      <c r="M168">
        <f>IFERROR(IF(VLOOKUP($H168,'BASE DATOS'!$BN$2:$BX$40,5,FALSE)&lt;&gt;0,1,0),"-")</f>
        <v>0</v>
      </c>
      <c r="N168">
        <v>0</v>
      </c>
      <c r="O168">
        <v>0</v>
      </c>
      <c r="P168">
        <f>IFERROR(IF(VLOOKUP($H168,'BASE DATOS'!$BN$2:$BX$40,8,FALSE)&lt;&gt;0,1,0),"-")</f>
        <v>0</v>
      </c>
      <c r="Q168">
        <f>IFERROR(IF(VLOOKUP($H168,'BASE DATOS'!$BN$2:$BX$40,9,FALSE)&lt;&gt;0,1,0),"-")</f>
        <v>0</v>
      </c>
      <c r="R168">
        <f>IFERROR(IF(VLOOKUP($H168,'BASE DATOS'!$BN$2:$BX$40,10,FALSE)&lt;&gt;0,1,0),"-")</f>
        <v>0</v>
      </c>
      <c r="S168">
        <v>1</v>
      </c>
      <c r="T168" t="s">
        <v>341</v>
      </c>
    </row>
    <row r="169" spans="1:20">
      <c r="A169" s="786">
        <f t="shared" si="15"/>
        <v>44</v>
      </c>
      <c r="B169" s="786" t="str">
        <f t="shared" si="16"/>
        <v>TM</v>
      </c>
      <c r="C169" s="786">
        <f t="shared" si="17"/>
        <v>0</v>
      </c>
      <c r="D169" s="786" t="str">
        <f t="shared" si="18"/>
        <v>NO</v>
      </c>
      <c r="E169" s="38">
        <v>45959</v>
      </c>
      <c r="F169" s="614">
        <v>0.66666666666666663</v>
      </c>
      <c r="G169" s="614" t="str">
        <f>IFERROR(VLOOKUP(H169,'BASE DATOS'!$BN$2:$BO$40,2,FALSE),"FD")</f>
        <v>PRIMER PISO</v>
      </c>
      <c r="H169" t="s">
        <v>1193</v>
      </c>
      <c r="I169" t="s">
        <v>1201</v>
      </c>
      <c r="J169" t="s">
        <v>1383</v>
      </c>
      <c r="K169">
        <f>IFERROR(IF(VLOOKUP($H169,'BASE DATOS'!$BN$2:$BX$40,3,FALSE)&lt;&gt;0,1,0),"-")</f>
        <v>0</v>
      </c>
      <c r="L169">
        <f>IFERROR(IF(VLOOKUP($H169,'BASE DATOS'!$BN$2:$BX$40,4,FALSE)&lt;&gt;0,1,0),"-")</f>
        <v>0</v>
      </c>
      <c r="M169">
        <f>IFERROR(IF(VLOOKUP($H169,'BASE DATOS'!$BN$2:$BX$40,5,FALSE)&lt;&gt;0,1,0),"-")</f>
        <v>0</v>
      </c>
      <c r="N169">
        <f>IFERROR(IF(VLOOKUP($H169,'BASE DATOS'!$BN$2:$BX$40,6,FALSE)&lt;&gt;0,1,0),"-")</f>
        <v>1</v>
      </c>
      <c r="O169">
        <v>0</v>
      </c>
      <c r="P169">
        <f>IFERROR(IF(VLOOKUP($H169,'BASE DATOS'!$BN$2:$BX$40,8,FALSE)&lt;&gt;0,1,0),"-")</f>
        <v>0</v>
      </c>
      <c r="Q169">
        <f>IFERROR(IF(VLOOKUP($H169,'BASE DATOS'!$BN$2:$BX$40,9,FALSE)&lt;&gt;0,1,0),"-")</f>
        <v>0</v>
      </c>
      <c r="R169">
        <f>IFERROR(IF(VLOOKUP($H169,'BASE DATOS'!$BN$2:$BX$40,10,FALSE)&lt;&gt;0,1,0),"-")</f>
        <v>0</v>
      </c>
      <c r="S169">
        <f>IFERROR(IF(VLOOKUP($H169,'BASE DATOS'!$BN$2:$BX$40,11,FALSE)&lt;&gt;0,1,0),"-")</f>
        <v>0</v>
      </c>
      <c r="T169" t="s">
        <v>341</v>
      </c>
    </row>
    <row r="170" spans="1:20">
      <c r="A170" s="786">
        <f t="shared" si="15"/>
        <v>44</v>
      </c>
      <c r="B170" s="786" t="str">
        <f t="shared" si="16"/>
        <v>TM</v>
      </c>
      <c r="C170" s="786">
        <f t="shared" si="17"/>
        <v>1</v>
      </c>
      <c r="D170" s="786" t="str">
        <f t="shared" si="18"/>
        <v>NO</v>
      </c>
      <c r="E170" s="38">
        <v>45960</v>
      </c>
      <c r="F170" s="614">
        <v>0.41666666666666669</v>
      </c>
      <c r="G170" s="614" t="str">
        <f>IFERROR(VLOOKUP(H170,'BASE DATOS'!$BN$2:$BO$40,2,FALSE),"FD")</f>
        <v>ENTRE PISO</v>
      </c>
      <c r="H170" t="s">
        <v>1238</v>
      </c>
      <c r="I170" t="s">
        <v>1201</v>
      </c>
      <c r="J170" t="s">
        <v>1384</v>
      </c>
      <c r="K170">
        <f>IFERROR(IF(VLOOKUP($H170,'BASE DATOS'!$BN$2:$BX$40,3,FALSE)&lt;&gt;0,1,0),"-")</f>
        <v>1</v>
      </c>
      <c r="L170">
        <f>IFERROR(IF(VLOOKUP($H170,'BASE DATOS'!$BN$2:$BX$40,4,FALSE)&lt;&gt;0,1,0),"-")</f>
        <v>0</v>
      </c>
      <c r="M170">
        <f>IFERROR(IF(VLOOKUP($H170,'BASE DATOS'!$BN$2:$BX$40,5,FALSE)&lt;&gt;0,1,0),"-")</f>
        <v>0</v>
      </c>
      <c r="N170">
        <v>1</v>
      </c>
      <c r="O170">
        <v>0</v>
      </c>
      <c r="P170">
        <f>IFERROR(IF(VLOOKUP($H170,'BASE DATOS'!$BN$2:$BX$40,8,FALSE)&lt;&gt;0,1,0),"-")</f>
        <v>0</v>
      </c>
      <c r="Q170">
        <f>IFERROR(IF(VLOOKUP($H170,'BASE DATOS'!$BN$2:$BX$40,9,FALSE)&lt;&gt;0,1,0),"-")</f>
        <v>0</v>
      </c>
      <c r="R170">
        <f>IFERROR(IF(VLOOKUP($H170,'BASE DATOS'!$BN$2:$BX$40,10,FALSE)&lt;&gt;0,1,0),"-")</f>
        <v>0</v>
      </c>
      <c r="S170">
        <f>IFERROR(IF(VLOOKUP($H170,'BASE DATOS'!$BN$2:$BX$40,11,FALSE)&lt;&gt;0,1,0),"-")</f>
        <v>0</v>
      </c>
      <c r="T170" t="s">
        <v>341</v>
      </c>
    </row>
    <row r="171" spans="1:20">
      <c r="A171" s="786">
        <f t="shared" si="15"/>
        <v>44</v>
      </c>
      <c r="B171" s="786" t="str">
        <f t="shared" si="16"/>
        <v>TM</v>
      </c>
      <c r="C171" s="786">
        <f t="shared" si="17"/>
        <v>0</v>
      </c>
      <c r="D171" s="786" t="str">
        <f t="shared" si="18"/>
        <v>NO</v>
      </c>
      <c r="E171" s="38">
        <v>45960</v>
      </c>
      <c r="F171" s="614">
        <v>0.41666666666666669</v>
      </c>
      <c r="G171" s="614" t="s">
        <v>1346</v>
      </c>
      <c r="H171" t="s">
        <v>970</v>
      </c>
      <c r="I171" t="s">
        <v>1216</v>
      </c>
      <c r="J171" t="s">
        <v>1385</v>
      </c>
      <c r="K171">
        <v>0</v>
      </c>
      <c r="L171">
        <v>0</v>
      </c>
      <c r="M171">
        <v>0</v>
      </c>
      <c r="N171">
        <v>0</v>
      </c>
      <c r="O171">
        <v>0</v>
      </c>
      <c r="P171">
        <v>0</v>
      </c>
      <c r="Q171">
        <v>0</v>
      </c>
      <c r="R171">
        <v>0</v>
      </c>
      <c r="S171">
        <v>0</v>
      </c>
      <c r="T171" t="s">
        <v>341</v>
      </c>
    </row>
    <row r="172" spans="1:20">
      <c r="A172" s="786">
        <f t="shared" si="15"/>
        <v>44</v>
      </c>
      <c r="B172" s="786" t="str">
        <f t="shared" si="16"/>
        <v>TM</v>
      </c>
      <c r="C172" s="786">
        <f t="shared" si="17"/>
        <v>0</v>
      </c>
      <c r="D172" s="786" t="str">
        <f t="shared" si="18"/>
        <v>NO</v>
      </c>
      <c r="E172" s="38">
        <v>45960</v>
      </c>
      <c r="F172" s="614">
        <v>0.41666666666666669</v>
      </c>
      <c r="G172" s="614" t="str">
        <f>IFERROR(VLOOKUP(H172,'BASE DATOS'!$BN$2:$BO$40,2,FALSE),"FD")</f>
        <v>ENTRE PISO</v>
      </c>
      <c r="H172" t="s">
        <v>1310</v>
      </c>
      <c r="I172" t="s">
        <v>1201</v>
      </c>
      <c r="J172" t="s">
        <v>1386</v>
      </c>
      <c r="K172">
        <f>IFERROR(IF(VLOOKUP($H172,'BASE DATOS'!$BN$2:$BX$40,3,FALSE)&lt;&gt;0,1,0),"-")</f>
        <v>1</v>
      </c>
      <c r="L172">
        <f>IFERROR(IF(VLOOKUP($H172,'BASE DATOS'!$BN$2:$BX$40,4,FALSE)&lt;&gt;0,1,0),"-")</f>
        <v>0</v>
      </c>
      <c r="M172">
        <f>IFERROR(IF(VLOOKUP($H172,'BASE DATOS'!$BN$2:$BX$40,5,FALSE)&lt;&gt;0,1,0),"-")</f>
        <v>0</v>
      </c>
      <c r="N172">
        <v>1</v>
      </c>
      <c r="O172">
        <v>0</v>
      </c>
      <c r="P172">
        <f>IFERROR(IF(VLOOKUP($H172,'BASE DATOS'!$BN$2:$BX$40,8,FALSE)&lt;&gt;0,1,0),"-")</f>
        <v>0</v>
      </c>
      <c r="Q172">
        <f>IFERROR(IF(VLOOKUP($H172,'BASE DATOS'!$BN$2:$BX$40,9,FALSE)&lt;&gt;0,1,0),"-")</f>
        <v>0</v>
      </c>
      <c r="R172">
        <f>IFERROR(IF(VLOOKUP($H172,'BASE DATOS'!$BN$2:$BX$40,10,FALSE)&lt;&gt;0,1,0),"-")</f>
        <v>0</v>
      </c>
      <c r="S172">
        <f>IFERROR(IF(VLOOKUP($H172,'BASE DATOS'!$BN$2:$BX$40,11,FALSE)&lt;&gt;0,1,0),"-")</f>
        <v>0</v>
      </c>
      <c r="T172" t="s">
        <v>341</v>
      </c>
    </row>
    <row r="173" spans="1:20">
      <c r="A173" s="786">
        <f t="shared" si="15"/>
        <v>44</v>
      </c>
      <c r="B173" s="786" t="str">
        <f t="shared" si="16"/>
        <v>TT</v>
      </c>
      <c r="C173" s="786">
        <f t="shared" si="17"/>
        <v>1</v>
      </c>
      <c r="D173" s="786" t="str">
        <f t="shared" si="18"/>
        <v>NO</v>
      </c>
      <c r="E173" s="38">
        <v>45960</v>
      </c>
      <c r="F173" s="614">
        <v>0.89583333333333337</v>
      </c>
      <c r="G173" s="614" t="str">
        <f>IFERROR(VLOOKUP(H173,'BASE DATOS'!$BN$2:$BO$40,2,FALSE),"FD")</f>
        <v>PLANTA BAJA</v>
      </c>
      <c r="H173" t="s">
        <v>1200</v>
      </c>
      <c r="I173" t="s">
        <v>1210</v>
      </c>
      <c r="J173" t="s">
        <v>1387</v>
      </c>
      <c r="K173">
        <f>IFERROR(IF(VLOOKUP($H173,'BASE DATOS'!$BN$2:$BX$40,3,FALSE)&lt;&gt;0,1,0),"-")</f>
        <v>0</v>
      </c>
      <c r="L173">
        <v>0</v>
      </c>
      <c r="M173">
        <f>IFERROR(IF(VLOOKUP($H173,'BASE DATOS'!$BN$2:$BX$40,5,FALSE)&lt;&gt;0,1,0),"-")</f>
        <v>1</v>
      </c>
      <c r="N173">
        <v>0</v>
      </c>
      <c r="O173">
        <f>IFERROR(IF(VLOOKUP($H173,'BASE DATOS'!$BN$2:$BX$40,7,FALSE)&lt;&gt;0,1,0),"-")</f>
        <v>1</v>
      </c>
      <c r="P173">
        <f>IFERROR(IF(VLOOKUP($H173,'BASE DATOS'!$BN$2:$BX$40,8,FALSE)&lt;&gt;0,1,0),"-")</f>
        <v>0</v>
      </c>
      <c r="Q173">
        <f>IFERROR(IF(VLOOKUP($H173,'BASE DATOS'!$BN$2:$BX$40,9,FALSE)&lt;&gt;0,1,0),"-")</f>
        <v>0</v>
      </c>
      <c r="R173">
        <f>IFERROR(IF(VLOOKUP($H173,'BASE DATOS'!$BN$2:$BX$40,10,FALSE)&lt;&gt;0,1,0),"-")</f>
        <v>0</v>
      </c>
      <c r="S173">
        <f>IFERROR(IF(VLOOKUP($H173,'BASE DATOS'!$BN$2:$BX$40,11,FALSE)&lt;&gt;0,1,0),"-")</f>
        <v>0</v>
      </c>
      <c r="T173" t="s">
        <v>341</v>
      </c>
    </row>
    <row r="174" spans="1:20">
      <c r="A174" s="786">
        <f t="shared" si="15"/>
        <v>44</v>
      </c>
      <c r="B174" s="786" t="str">
        <f t="shared" si="16"/>
        <v>TT</v>
      </c>
      <c r="C174" s="786">
        <f t="shared" si="17"/>
        <v>0</v>
      </c>
      <c r="D174" s="786" t="str">
        <f t="shared" si="18"/>
        <v>NO</v>
      </c>
      <c r="E174" s="38">
        <v>45960</v>
      </c>
      <c r="F174" s="614">
        <v>0.89583333333333337</v>
      </c>
      <c r="G174" s="614" t="str">
        <f>IFERROR(VLOOKUP(H174,'BASE DATOS'!$BN$2:$BO$40,2,FALSE),"FD")</f>
        <v>PLANTA BAJA</v>
      </c>
      <c r="H174" t="s">
        <v>1200</v>
      </c>
      <c r="I174" t="s">
        <v>1194</v>
      </c>
      <c r="J174" t="s">
        <v>1388</v>
      </c>
      <c r="K174">
        <f>IFERROR(IF(VLOOKUP($H174,'BASE DATOS'!$BN$2:$BX$40,3,FALSE)&lt;&gt;0,1,0),"-")</f>
        <v>0</v>
      </c>
      <c r="L174">
        <v>0</v>
      </c>
      <c r="M174">
        <f>IFERROR(IF(VLOOKUP($H174,'BASE DATOS'!$BN$2:$BX$40,5,FALSE)&lt;&gt;0,1,0),"-")</f>
        <v>1</v>
      </c>
      <c r="N174">
        <v>0</v>
      </c>
      <c r="O174">
        <f>IFERROR(IF(VLOOKUP($H174,'BASE DATOS'!$BN$2:$BX$40,7,FALSE)&lt;&gt;0,1,0),"-")</f>
        <v>1</v>
      </c>
      <c r="P174">
        <f>IFERROR(IF(VLOOKUP($H174,'BASE DATOS'!$BN$2:$BX$40,8,FALSE)&lt;&gt;0,1,0),"-")</f>
        <v>0</v>
      </c>
      <c r="Q174">
        <f>IFERROR(IF(VLOOKUP($H174,'BASE DATOS'!$BN$2:$BX$40,9,FALSE)&lt;&gt;0,1,0),"-")</f>
        <v>0</v>
      </c>
      <c r="R174">
        <f>IFERROR(IF(VLOOKUP($H174,'BASE DATOS'!$BN$2:$BX$40,10,FALSE)&lt;&gt;0,1,0),"-")</f>
        <v>0</v>
      </c>
      <c r="S174">
        <f>IFERROR(IF(VLOOKUP($H174,'BASE DATOS'!$BN$2:$BX$40,11,FALSE)&lt;&gt;0,1,0),"-")</f>
        <v>0</v>
      </c>
      <c r="T174" t="s">
        <v>341</v>
      </c>
    </row>
    <row r="175" spans="1:20">
      <c r="A175" s="786">
        <f t="shared" si="15"/>
        <v>44</v>
      </c>
      <c r="B175" s="786" t="str">
        <f t="shared" si="16"/>
        <v>TT</v>
      </c>
      <c r="C175" s="786">
        <f t="shared" si="17"/>
        <v>0</v>
      </c>
      <c r="D175" s="786" t="str">
        <f t="shared" si="18"/>
        <v>NO</v>
      </c>
      <c r="E175" s="38">
        <v>45960</v>
      </c>
      <c r="F175" s="614">
        <v>0.89583333333333337</v>
      </c>
      <c r="G175" s="614" t="str">
        <f>IFERROR(VLOOKUP(H175,'BASE DATOS'!$BN$2:$BO$40,2,FALSE),"FD")</f>
        <v>PLANTA BAJA</v>
      </c>
      <c r="H175" t="s">
        <v>1200</v>
      </c>
      <c r="I175" t="s">
        <v>1214</v>
      </c>
      <c r="J175" t="s">
        <v>1389</v>
      </c>
      <c r="K175">
        <f>IFERROR(IF(VLOOKUP($H175,'BASE DATOS'!$BN$2:$BX$40,3,FALSE)&lt;&gt;0,1,0),"-")</f>
        <v>0</v>
      </c>
      <c r="L175">
        <v>0</v>
      </c>
      <c r="M175">
        <f>IFERROR(IF(VLOOKUP($H175,'BASE DATOS'!$BN$2:$BX$40,5,FALSE)&lt;&gt;0,1,0),"-")</f>
        <v>1</v>
      </c>
      <c r="N175">
        <v>0</v>
      </c>
      <c r="O175">
        <f>IFERROR(IF(VLOOKUP($H175,'BASE DATOS'!$BN$2:$BX$40,7,FALSE)&lt;&gt;0,1,0),"-")</f>
        <v>1</v>
      </c>
      <c r="P175">
        <f>IFERROR(IF(VLOOKUP($H175,'BASE DATOS'!$BN$2:$BX$40,8,FALSE)&lt;&gt;0,1,0),"-")</f>
        <v>0</v>
      </c>
      <c r="Q175">
        <f>IFERROR(IF(VLOOKUP($H175,'BASE DATOS'!$BN$2:$BX$40,9,FALSE)&lt;&gt;0,1,0),"-")</f>
        <v>0</v>
      </c>
      <c r="R175">
        <f>IFERROR(IF(VLOOKUP($H175,'BASE DATOS'!$BN$2:$BX$40,10,FALSE)&lt;&gt;0,1,0),"-")</f>
        <v>0</v>
      </c>
      <c r="S175">
        <f>IFERROR(IF(VLOOKUP($H175,'BASE DATOS'!$BN$2:$BX$40,11,FALSE)&lt;&gt;0,1,0),"-")</f>
        <v>0</v>
      </c>
      <c r="T175" t="s">
        <v>341</v>
      </c>
    </row>
    <row r="176" spans="1:20">
      <c r="A176" s="786">
        <f t="shared" si="15"/>
        <v>44</v>
      </c>
      <c r="B176" s="786" t="str">
        <f t="shared" si="16"/>
        <v>TT</v>
      </c>
      <c r="C176" s="786">
        <f t="shared" si="17"/>
        <v>0</v>
      </c>
      <c r="D176" s="786" t="str">
        <f t="shared" si="18"/>
        <v>NO</v>
      </c>
      <c r="E176" s="38">
        <v>45960</v>
      </c>
      <c r="F176" s="614">
        <v>0.89583333333333337</v>
      </c>
      <c r="G176" s="614" t="str">
        <f>IFERROR(VLOOKUP(H176,'BASE DATOS'!$BN$2:$BO$40,2,FALSE),"FD")</f>
        <v>PLANTA BAJA</v>
      </c>
      <c r="H176" t="s">
        <v>1200</v>
      </c>
      <c r="I176" t="s">
        <v>1214</v>
      </c>
      <c r="J176" t="s">
        <v>1390</v>
      </c>
      <c r="K176">
        <f>IFERROR(IF(VLOOKUP($H176,'BASE DATOS'!$BN$2:$BX$40,3,FALSE)&lt;&gt;0,1,0),"-")</f>
        <v>0</v>
      </c>
      <c r="L176">
        <v>0</v>
      </c>
      <c r="M176">
        <f>IFERROR(IF(VLOOKUP($H176,'BASE DATOS'!$BN$2:$BX$40,5,FALSE)&lt;&gt;0,1,0),"-")</f>
        <v>1</v>
      </c>
      <c r="N176">
        <v>0</v>
      </c>
      <c r="O176">
        <f>IFERROR(IF(VLOOKUP($H176,'BASE DATOS'!$BN$2:$BX$40,7,FALSE)&lt;&gt;0,1,0),"-")</f>
        <v>1</v>
      </c>
      <c r="P176">
        <f>IFERROR(IF(VLOOKUP($H176,'BASE DATOS'!$BN$2:$BX$40,8,FALSE)&lt;&gt;0,1,0),"-")</f>
        <v>0</v>
      </c>
      <c r="Q176">
        <f>IFERROR(IF(VLOOKUP($H176,'BASE DATOS'!$BN$2:$BX$40,9,FALSE)&lt;&gt;0,1,0),"-")</f>
        <v>0</v>
      </c>
      <c r="R176">
        <f>IFERROR(IF(VLOOKUP($H176,'BASE DATOS'!$BN$2:$BX$40,10,FALSE)&lt;&gt;0,1,0),"-")</f>
        <v>0</v>
      </c>
      <c r="S176">
        <f>IFERROR(IF(VLOOKUP($H176,'BASE DATOS'!$BN$2:$BX$40,11,FALSE)&lt;&gt;0,1,0),"-")</f>
        <v>0</v>
      </c>
      <c r="T176" t="s">
        <v>341</v>
      </c>
    </row>
    <row r="177" spans="1:20">
      <c r="A177" s="786">
        <f t="shared" si="15"/>
        <v>44</v>
      </c>
      <c r="B177" s="786" t="str">
        <f t="shared" si="16"/>
        <v>TT</v>
      </c>
      <c r="C177" s="786">
        <f t="shared" si="17"/>
        <v>0</v>
      </c>
      <c r="D177" s="786" t="str">
        <f t="shared" si="18"/>
        <v>NO</v>
      </c>
      <c r="E177" s="38">
        <v>45960</v>
      </c>
      <c r="F177" s="614">
        <v>0.89583333333333337</v>
      </c>
      <c r="G177" s="614" t="str">
        <f>IFERROR(VLOOKUP(H177,'BASE DATOS'!$BN$2:$BO$40,2,FALSE),"FD")</f>
        <v>PLANTA BAJA</v>
      </c>
      <c r="H177" t="s">
        <v>1202</v>
      </c>
      <c r="I177" t="s">
        <v>1214</v>
      </c>
      <c r="J177" t="s">
        <v>1391</v>
      </c>
      <c r="K177">
        <f>IFERROR(IF(VLOOKUP($H177,'BASE DATOS'!$BN$2:$BX$40,3,FALSE)&lt;&gt;0,1,0),"-")</f>
        <v>0</v>
      </c>
      <c r="L177">
        <v>0</v>
      </c>
      <c r="M177">
        <f>IFERROR(IF(VLOOKUP($H177,'BASE DATOS'!$BN$2:$BX$40,5,FALSE)&lt;&gt;0,1,0),"-")</f>
        <v>1</v>
      </c>
      <c r="N177">
        <v>0</v>
      </c>
      <c r="O177">
        <f>IFERROR(IF(VLOOKUP($H177,'BASE DATOS'!$BN$2:$BX$40,7,FALSE)&lt;&gt;0,1,0),"-")</f>
        <v>1</v>
      </c>
      <c r="P177">
        <f>IFERROR(IF(VLOOKUP($H177,'BASE DATOS'!$BN$2:$BX$40,8,FALSE)&lt;&gt;0,1,0),"-")</f>
        <v>0</v>
      </c>
      <c r="Q177">
        <f>IFERROR(IF(VLOOKUP($H177,'BASE DATOS'!$BN$2:$BX$40,9,FALSE)&lt;&gt;0,1,0),"-")</f>
        <v>0</v>
      </c>
      <c r="R177">
        <f>IFERROR(IF(VLOOKUP($H177,'BASE DATOS'!$BN$2:$BX$40,10,FALSE)&lt;&gt;0,1,0),"-")</f>
        <v>0</v>
      </c>
      <c r="S177">
        <f>IFERROR(IF(VLOOKUP($H177,'BASE DATOS'!$BN$2:$BX$40,11,FALSE)&lt;&gt;0,1,0),"-")</f>
        <v>0</v>
      </c>
      <c r="T177" t="s">
        <v>341</v>
      </c>
    </row>
    <row r="178" spans="1:20">
      <c r="A178" s="786">
        <f t="shared" si="15"/>
        <v>44</v>
      </c>
      <c r="B178" s="786" t="str">
        <f t="shared" si="16"/>
        <v>TT</v>
      </c>
      <c r="C178" s="786">
        <f t="shared" si="17"/>
        <v>0</v>
      </c>
      <c r="D178" s="786" t="str">
        <f t="shared" si="18"/>
        <v>NO</v>
      </c>
      <c r="E178" s="38">
        <v>45960</v>
      </c>
      <c r="F178" s="614">
        <v>0.89583333333333337</v>
      </c>
      <c r="G178" s="614" t="str">
        <f>IFERROR(VLOOKUP(H178,'BASE DATOS'!$BN$2:$BO$40,2,FALSE),"FD")</f>
        <v>PLANTA BAJA</v>
      </c>
      <c r="H178" t="s">
        <v>1202</v>
      </c>
      <c r="I178" t="s">
        <v>1194</v>
      </c>
      <c r="J178" t="s">
        <v>1392</v>
      </c>
      <c r="K178">
        <f>IFERROR(IF(VLOOKUP($H178,'BASE DATOS'!$BN$2:$BX$40,3,FALSE)&lt;&gt;0,1,0),"-")</f>
        <v>0</v>
      </c>
      <c r="L178">
        <v>0</v>
      </c>
      <c r="M178">
        <f>IFERROR(IF(VLOOKUP($H178,'BASE DATOS'!$BN$2:$BX$40,5,FALSE)&lt;&gt;0,1,0),"-")</f>
        <v>1</v>
      </c>
      <c r="N178">
        <v>0</v>
      </c>
      <c r="O178">
        <f>IFERROR(IF(VLOOKUP($H178,'BASE DATOS'!$BN$2:$BX$40,7,FALSE)&lt;&gt;0,1,0),"-")</f>
        <v>1</v>
      </c>
      <c r="P178">
        <f>IFERROR(IF(VLOOKUP($H178,'BASE DATOS'!$BN$2:$BX$40,8,FALSE)&lt;&gt;0,1,0),"-")</f>
        <v>0</v>
      </c>
      <c r="Q178">
        <f>IFERROR(IF(VLOOKUP($H178,'BASE DATOS'!$BN$2:$BX$40,9,FALSE)&lt;&gt;0,1,0),"-")</f>
        <v>0</v>
      </c>
      <c r="R178">
        <f>IFERROR(IF(VLOOKUP($H178,'BASE DATOS'!$BN$2:$BX$40,10,FALSE)&lt;&gt;0,1,0),"-")</f>
        <v>0</v>
      </c>
      <c r="S178">
        <f>IFERROR(IF(VLOOKUP($H178,'BASE DATOS'!$BN$2:$BX$40,11,FALSE)&lt;&gt;0,1,0),"-")</f>
        <v>0</v>
      </c>
      <c r="T178" t="s">
        <v>341</v>
      </c>
    </row>
    <row r="179" spans="1:20">
      <c r="A179" s="786">
        <f t="shared" si="15"/>
        <v>44</v>
      </c>
      <c r="B179" s="786" t="str">
        <f t="shared" si="16"/>
        <v>TT</v>
      </c>
      <c r="C179" s="786">
        <f t="shared" si="17"/>
        <v>0</v>
      </c>
      <c r="D179" s="786" t="str">
        <f t="shared" si="18"/>
        <v>SI</v>
      </c>
      <c r="E179" s="38">
        <v>45960</v>
      </c>
      <c r="F179" s="614">
        <v>0.89583333333333337</v>
      </c>
      <c r="G179" s="614" t="str">
        <f>IFERROR(VLOOKUP(H179,'BASE DATOS'!$BN$2:$BO$40,2,FALSE),"FD")</f>
        <v>PLANTA BAJA</v>
      </c>
      <c r="H179" t="s">
        <v>1228</v>
      </c>
      <c r="I179" t="s">
        <v>1207</v>
      </c>
      <c r="J179" t="s">
        <v>1393</v>
      </c>
      <c r="K179">
        <f>IFERROR(IF(VLOOKUP($H179,'BASE DATOS'!$BN$2:$BX$40,3,FALSE)&lt;&gt;0,1,0),"-")</f>
        <v>1</v>
      </c>
      <c r="L179">
        <f>IFERROR(IF(VLOOKUP($H179,'BASE DATOS'!$BN$2:$BX$40,4,FALSE)&lt;&gt;0,1,0),"-")</f>
        <v>1</v>
      </c>
      <c r="M179">
        <f>IFERROR(IF(VLOOKUP($H179,'BASE DATOS'!$BN$2:$BX$40,5,FALSE)&lt;&gt;0,1,0),"-")</f>
        <v>1</v>
      </c>
      <c r="N179">
        <f>IFERROR(IF(VLOOKUP($H179,'BASE DATOS'!$BN$2:$BX$40,6,FALSE)&lt;&gt;0,1,0),"-")</f>
        <v>1</v>
      </c>
      <c r="O179">
        <f>IFERROR(IF(VLOOKUP($H179,'BASE DATOS'!$BN$2:$BX$40,7,FALSE)&lt;&gt;0,1,0),"-")</f>
        <v>1</v>
      </c>
      <c r="P179">
        <f>IFERROR(IF(VLOOKUP($H179,'BASE DATOS'!$BN$2:$BX$40,8,FALSE)&lt;&gt;0,1,0),"-")</f>
        <v>1</v>
      </c>
      <c r="Q179">
        <f>IFERROR(IF(VLOOKUP($H179,'BASE DATOS'!$BN$2:$BX$40,9,FALSE)&lt;&gt;0,1,0),"-")</f>
        <v>1</v>
      </c>
      <c r="R179">
        <f>IFERROR(IF(VLOOKUP($H179,'BASE DATOS'!$BN$2:$BX$40,10,FALSE)&lt;&gt;0,1,0),"-")</f>
        <v>1</v>
      </c>
      <c r="S179">
        <f>IFERROR(IF(VLOOKUP($H179,'BASE DATOS'!$BN$2:$BX$40,11,FALSE)&lt;&gt;0,1,0),"-")</f>
        <v>1</v>
      </c>
      <c r="T179" t="s">
        <v>341</v>
      </c>
    </row>
    <row r="180" spans="1:20">
      <c r="A180" s="786">
        <f t="shared" si="15"/>
        <v>44</v>
      </c>
      <c r="B180" s="786" t="str">
        <f t="shared" si="16"/>
        <v>TT</v>
      </c>
      <c r="C180" s="786">
        <f t="shared" si="17"/>
        <v>0</v>
      </c>
      <c r="D180" s="786" t="str">
        <f t="shared" si="18"/>
        <v>SI</v>
      </c>
      <c r="E180" s="38">
        <v>45960</v>
      </c>
      <c r="F180" s="614">
        <v>0.89583333333333337</v>
      </c>
      <c r="G180" s="614" t="str">
        <f>IFERROR(VLOOKUP(H180,'BASE DATOS'!$BN$2:$BO$40,2,FALSE),"FD")</f>
        <v>PLANTA BAJA</v>
      </c>
      <c r="H180" t="s">
        <v>1228</v>
      </c>
      <c r="I180" t="s">
        <v>1207</v>
      </c>
      <c r="J180" t="s">
        <v>1394</v>
      </c>
      <c r="K180">
        <f>IFERROR(IF(VLOOKUP($H180,'BASE DATOS'!$BN$2:$BX$40,3,FALSE)&lt;&gt;0,1,0),"-")</f>
        <v>1</v>
      </c>
      <c r="L180">
        <f>IFERROR(IF(VLOOKUP($H180,'BASE DATOS'!$BN$2:$BX$40,4,FALSE)&lt;&gt;0,1,0),"-")</f>
        <v>1</v>
      </c>
      <c r="M180">
        <f>IFERROR(IF(VLOOKUP($H180,'BASE DATOS'!$BN$2:$BX$40,5,FALSE)&lt;&gt;0,1,0),"-")</f>
        <v>1</v>
      </c>
      <c r="N180">
        <f>IFERROR(IF(VLOOKUP($H180,'BASE DATOS'!$BN$2:$BX$40,6,FALSE)&lt;&gt;0,1,0),"-")</f>
        <v>1</v>
      </c>
      <c r="O180">
        <f>IFERROR(IF(VLOOKUP($H180,'BASE DATOS'!$BN$2:$BX$40,7,FALSE)&lt;&gt;0,1,0),"-")</f>
        <v>1</v>
      </c>
      <c r="P180">
        <f>IFERROR(IF(VLOOKUP($H180,'BASE DATOS'!$BN$2:$BX$40,8,FALSE)&lt;&gt;0,1,0),"-")</f>
        <v>1</v>
      </c>
      <c r="Q180">
        <f>IFERROR(IF(VLOOKUP($H180,'BASE DATOS'!$BN$2:$BX$40,9,FALSE)&lt;&gt;0,1,0),"-")</f>
        <v>1</v>
      </c>
      <c r="R180">
        <f>IFERROR(IF(VLOOKUP($H180,'BASE DATOS'!$BN$2:$BX$40,10,FALSE)&lt;&gt;0,1,0),"-")</f>
        <v>1</v>
      </c>
      <c r="S180">
        <f>IFERROR(IF(VLOOKUP($H180,'BASE DATOS'!$BN$2:$BX$40,11,FALSE)&lt;&gt;0,1,0),"-")</f>
        <v>1</v>
      </c>
      <c r="T180" t="s">
        <v>341</v>
      </c>
    </row>
    <row r="181" spans="1:20">
      <c r="A181" s="786">
        <f t="shared" si="15"/>
        <v>44</v>
      </c>
      <c r="B181" s="786" t="str">
        <f t="shared" si="16"/>
        <v>TT</v>
      </c>
      <c r="C181" s="786">
        <v>0</v>
      </c>
      <c r="D181" s="786" t="str">
        <f t="shared" si="18"/>
        <v>NO</v>
      </c>
      <c r="E181" s="38">
        <v>45960</v>
      </c>
      <c r="F181" s="614">
        <v>0.89583333333333337</v>
      </c>
      <c r="G181" s="614" t="str">
        <f>IFERROR(VLOOKUP(H181,'BASE DATOS'!$BN$2:$BO$40,2,FALSE),"FD")</f>
        <v>PLANTA BAJA</v>
      </c>
      <c r="H181" t="s">
        <v>1243</v>
      </c>
      <c r="I181" t="s">
        <v>1216</v>
      </c>
      <c r="J181" t="s">
        <v>1395</v>
      </c>
      <c r="K181">
        <v>0</v>
      </c>
      <c r="L181">
        <f>IFERROR(IF(VLOOKUP($H181,'BASE DATOS'!$BN$2:$BX$40,4,FALSE)&lt;&gt;0,1,0),"-")</f>
        <v>0</v>
      </c>
      <c r="M181">
        <f>IFERROR(IF(VLOOKUP($H181,'BASE DATOS'!$BN$2:$BX$40,5,FALSE)&lt;&gt;0,1,0),"-")</f>
        <v>0</v>
      </c>
      <c r="N181">
        <f>IFERROR(IF(VLOOKUP($H181,'BASE DATOS'!$BN$2:$BX$40,6,FALSE)&lt;&gt;0,1,0),"-")</f>
        <v>0</v>
      </c>
      <c r="O181">
        <f>IFERROR(IF(VLOOKUP($H181,'BASE DATOS'!$BN$2:$BX$40,7,FALSE)&lt;&gt;0,1,0),"-")</f>
        <v>0</v>
      </c>
      <c r="P181">
        <f>IFERROR(IF(VLOOKUP($H181,'BASE DATOS'!$BN$2:$BX$40,8,FALSE)&lt;&gt;0,1,0),"-")</f>
        <v>0</v>
      </c>
      <c r="Q181">
        <f>IFERROR(IF(VLOOKUP($H181,'BASE DATOS'!$BN$2:$BX$40,9,FALSE)&lt;&gt;0,1,0),"-")</f>
        <v>0</v>
      </c>
      <c r="R181">
        <v>0</v>
      </c>
      <c r="S181">
        <f>IFERROR(IF(VLOOKUP($H181,'BASE DATOS'!$BN$2:$BX$40,11,FALSE)&lt;&gt;0,1,0),"-")</f>
        <v>0</v>
      </c>
      <c r="T181" t="s">
        <v>341</v>
      </c>
    </row>
    <row r="182" spans="1:20">
      <c r="A182" s="786">
        <f t="shared" si="15"/>
        <v>44</v>
      </c>
      <c r="B182" s="786" t="str">
        <f t="shared" si="16"/>
        <v>TT</v>
      </c>
      <c r="C182" s="786">
        <f t="shared" si="17"/>
        <v>0</v>
      </c>
      <c r="D182" s="786" t="str">
        <f t="shared" si="18"/>
        <v>NO</v>
      </c>
      <c r="E182" s="38">
        <v>45960</v>
      </c>
      <c r="F182" s="614">
        <v>0.89583333333333337</v>
      </c>
      <c r="G182" s="614" t="s">
        <v>1248</v>
      </c>
      <c r="H182" t="s">
        <v>1203</v>
      </c>
      <c r="I182" t="s">
        <v>1216</v>
      </c>
      <c r="J182" t="s">
        <v>1396</v>
      </c>
      <c r="K182">
        <v>0</v>
      </c>
      <c r="L182">
        <v>0</v>
      </c>
      <c r="M182">
        <v>0</v>
      </c>
      <c r="N182">
        <f>IFERROR(IF(VLOOKUP($H182,'BASE DATOS'!$BN$2:$BX$40,6,FALSE)&lt;&gt;0,1,0),"-")</f>
        <v>0</v>
      </c>
      <c r="O182">
        <f>IFERROR(IF(VLOOKUP($H182,'BASE DATOS'!$BN$2:$BX$40,7,FALSE)&lt;&gt;0,1,0),"-")</f>
        <v>0</v>
      </c>
      <c r="P182">
        <f>IFERROR(IF(VLOOKUP($H182,'BASE DATOS'!$BN$2:$BX$40,8,FALSE)&lt;&gt;0,1,0),"-")</f>
        <v>0</v>
      </c>
      <c r="Q182">
        <f>IFERROR(IF(VLOOKUP($H182,'BASE DATOS'!$BN$2:$BX$40,9,FALSE)&lt;&gt;0,1,0),"-")</f>
        <v>0</v>
      </c>
      <c r="R182">
        <v>1</v>
      </c>
      <c r="S182">
        <f>IFERROR(IF(VLOOKUP($H182,'BASE DATOS'!$BN$2:$BX$40,11,FALSE)&lt;&gt;0,1,0),"-")</f>
        <v>0</v>
      </c>
      <c r="T182" t="s">
        <v>341</v>
      </c>
    </row>
    <row r="183" spans="1:20">
      <c r="A183" s="786">
        <f t="shared" si="15"/>
        <v>44</v>
      </c>
      <c r="B183" s="786" t="str">
        <f t="shared" si="16"/>
        <v>TT</v>
      </c>
      <c r="C183" s="786">
        <f t="shared" si="17"/>
        <v>1</v>
      </c>
      <c r="D183" s="786" t="str">
        <f t="shared" si="18"/>
        <v>NO</v>
      </c>
      <c r="E183" s="38">
        <v>45961</v>
      </c>
      <c r="F183" s="614">
        <v>4.1666666666666664E-2</v>
      </c>
      <c r="G183" s="614" t="str">
        <f>IFERROR(VLOOKUP(H183,'BASE DATOS'!$BN$2:$BO$40,2,FALSE),"FD")</f>
        <v>ENTRE PISO</v>
      </c>
      <c r="H183" t="s">
        <v>1238</v>
      </c>
      <c r="I183" t="s">
        <v>1216</v>
      </c>
      <c r="J183" t="s">
        <v>1397</v>
      </c>
      <c r="K183">
        <v>0</v>
      </c>
      <c r="L183">
        <f>IFERROR(IF(VLOOKUP($H183,'BASE DATOS'!$BN$2:$BX$40,4,FALSE)&lt;&gt;0,1,0),"-")</f>
        <v>0</v>
      </c>
      <c r="M183">
        <f>IFERROR(IF(VLOOKUP($H183,'BASE DATOS'!$BN$2:$BX$40,5,FALSE)&lt;&gt;0,1,0),"-")</f>
        <v>0</v>
      </c>
      <c r="N183">
        <v>0</v>
      </c>
      <c r="O183">
        <v>0</v>
      </c>
      <c r="P183">
        <f>IFERROR(IF(VLOOKUP($H183,'BASE DATOS'!$BN$2:$BX$40,8,FALSE)&lt;&gt;0,1,0),"-")</f>
        <v>0</v>
      </c>
      <c r="Q183">
        <f>IFERROR(IF(VLOOKUP($H183,'BASE DATOS'!$BN$2:$BX$40,9,FALSE)&lt;&gt;0,1,0),"-")</f>
        <v>0</v>
      </c>
      <c r="R183">
        <f>IFERROR(IF(VLOOKUP($H183,'BASE DATOS'!$BN$2:$BX$40,10,FALSE)&lt;&gt;0,1,0),"-")</f>
        <v>0</v>
      </c>
      <c r="S183">
        <f>IFERROR(IF(VLOOKUP($H183,'BASE DATOS'!$BN$2:$BX$40,11,FALSE)&lt;&gt;0,1,0),"-")</f>
        <v>0</v>
      </c>
      <c r="T183" t="s">
        <v>341</v>
      </c>
    </row>
    <row r="184" spans="1:20">
      <c r="A184" s="786">
        <f t="shared" si="15"/>
        <v>44</v>
      </c>
      <c r="B184" s="786" t="str">
        <f t="shared" si="16"/>
        <v>TT</v>
      </c>
      <c r="C184" s="786">
        <f t="shared" si="17"/>
        <v>0</v>
      </c>
      <c r="D184" s="786" t="str">
        <f t="shared" si="18"/>
        <v>NO</v>
      </c>
      <c r="E184" s="38">
        <v>45961</v>
      </c>
      <c r="F184" s="614">
        <v>4.1666666666666664E-2</v>
      </c>
      <c r="G184" s="614" t="str">
        <f>IFERROR(VLOOKUP(H184,'BASE DATOS'!$BN$2:$BO$40,2,FALSE),"FD")</f>
        <v>ENTRE PISO</v>
      </c>
      <c r="H184" t="s">
        <v>1342</v>
      </c>
      <c r="I184" t="s">
        <v>970</v>
      </c>
      <c r="J184" t="s">
        <v>1398</v>
      </c>
      <c r="K184">
        <f>IFERROR(IF(VLOOKUP($H184,'BASE DATOS'!$BN$2:$BX$40,3,FALSE)&lt;&gt;0,1,0),"-")</f>
        <v>0</v>
      </c>
      <c r="L184">
        <f>IFERROR(IF(VLOOKUP($H184,'BASE DATOS'!$BN$2:$BX$40,4,FALSE)&lt;&gt;0,1,0),"-")</f>
        <v>0</v>
      </c>
      <c r="M184">
        <f>IFERROR(IF(VLOOKUP($H184,'BASE DATOS'!$BN$2:$BX$40,5,FALSE)&lt;&gt;0,1,0),"-")</f>
        <v>0</v>
      </c>
      <c r="N184">
        <f>IFERROR(IF(VLOOKUP($H184,'BASE DATOS'!$BN$2:$BX$40,6,FALSE)&lt;&gt;0,1,0),"-")</f>
        <v>0</v>
      </c>
      <c r="O184">
        <f>IFERROR(IF(VLOOKUP($H184,'BASE DATOS'!$BN$2:$BX$40,7,FALSE)&lt;&gt;0,1,0),"-")</f>
        <v>0</v>
      </c>
      <c r="P184">
        <f>IFERROR(IF(VLOOKUP($H184,'BASE DATOS'!$BN$2:$BX$40,8,FALSE)&lt;&gt;0,1,0),"-")</f>
        <v>0</v>
      </c>
      <c r="Q184">
        <f>IFERROR(IF(VLOOKUP($H184,'BASE DATOS'!$BN$2:$BX$40,9,FALSE)&lt;&gt;0,1,0),"-")</f>
        <v>0</v>
      </c>
      <c r="R184">
        <f>IFERROR(IF(VLOOKUP($H184,'BASE DATOS'!$BN$2:$BX$40,10,FALSE)&lt;&gt;0,1,0),"-")</f>
        <v>0</v>
      </c>
      <c r="S184">
        <f>IFERROR(IF(VLOOKUP($H184,'BASE DATOS'!$BN$2:$BX$40,11,FALSE)&lt;&gt;0,1,0),"-")</f>
        <v>1</v>
      </c>
      <c r="T184" t="s">
        <v>341</v>
      </c>
    </row>
    <row r="185" spans="1:20">
      <c r="A185" s="786">
        <f t="shared" si="15"/>
        <v>44</v>
      </c>
      <c r="B185" s="786" t="str">
        <f t="shared" si="16"/>
        <v>TT</v>
      </c>
      <c r="C185" s="786">
        <f t="shared" si="17"/>
        <v>0</v>
      </c>
      <c r="D185" s="786" t="str">
        <f t="shared" si="18"/>
        <v>NO</v>
      </c>
      <c r="E185" s="38">
        <v>45961</v>
      </c>
      <c r="F185" s="614">
        <v>4.1666666666666664E-2</v>
      </c>
      <c r="G185" s="614" t="s">
        <v>1346</v>
      </c>
      <c r="H185" t="s">
        <v>970</v>
      </c>
      <c r="I185" t="s">
        <v>1216</v>
      </c>
      <c r="J185" t="s">
        <v>1385</v>
      </c>
      <c r="K185">
        <v>0</v>
      </c>
      <c r="L185">
        <v>0</v>
      </c>
      <c r="M185">
        <v>0</v>
      </c>
      <c r="N185">
        <v>0</v>
      </c>
      <c r="O185">
        <v>0</v>
      </c>
      <c r="P185">
        <v>0</v>
      </c>
      <c r="Q185">
        <v>0</v>
      </c>
      <c r="R185">
        <v>0</v>
      </c>
      <c r="S185">
        <v>0</v>
      </c>
      <c r="T185" t="s">
        <v>341</v>
      </c>
    </row>
    <row r="186" spans="1:20">
      <c r="A186" s="786">
        <f t="shared" si="15"/>
        <v>44</v>
      </c>
      <c r="B186" s="786" t="str">
        <f t="shared" si="16"/>
        <v>TT</v>
      </c>
      <c r="C186" s="786">
        <f t="shared" si="17"/>
        <v>0</v>
      </c>
      <c r="D186" s="786" t="str">
        <f t="shared" si="18"/>
        <v>NO</v>
      </c>
      <c r="E186" s="38">
        <v>45961</v>
      </c>
      <c r="F186" s="614">
        <v>4.1666666666666664E-2</v>
      </c>
      <c r="G186" s="614" t="str">
        <f>IFERROR(VLOOKUP(H186,'BASE DATOS'!$BN$2:$BO$40,2,FALSE),"FD")</f>
        <v>ENTRE PISO</v>
      </c>
      <c r="H186" t="s">
        <v>1342</v>
      </c>
      <c r="I186" t="s">
        <v>1338</v>
      </c>
      <c r="J186" t="s">
        <v>1399</v>
      </c>
      <c r="K186">
        <f>IFERROR(IF(VLOOKUP($H186,'BASE DATOS'!$BN$2:$BX$40,3,FALSE)&lt;&gt;0,1,0),"-")</f>
        <v>0</v>
      </c>
      <c r="L186">
        <f>IFERROR(IF(VLOOKUP($H186,'BASE DATOS'!$BN$2:$BX$40,4,FALSE)&lt;&gt;0,1,0),"-")</f>
        <v>0</v>
      </c>
      <c r="M186">
        <f>IFERROR(IF(VLOOKUP($H186,'BASE DATOS'!$BN$2:$BX$40,5,FALSE)&lt;&gt;0,1,0),"-")</f>
        <v>0</v>
      </c>
      <c r="N186">
        <f>IFERROR(IF(VLOOKUP($H186,'BASE DATOS'!$BN$2:$BX$40,6,FALSE)&lt;&gt;0,1,0),"-")</f>
        <v>0</v>
      </c>
      <c r="O186">
        <f>IFERROR(IF(VLOOKUP($H186,'BASE DATOS'!$BN$2:$BX$40,7,FALSE)&lt;&gt;0,1,0),"-")</f>
        <v>0</v>
      </c>
      <c r="P186">
        <f>IFERROR(IF(VLOOKUP($H186,'BASE DATOS'!$BN$2:$BX$40,8,FALSE)&lt;&gt;0,1,0),"-")</f>
        <v>0</v>
      </c>
      <c r="Q186">
        <f>IFERROR(IF(VLOOKUP($H186,'BASE DATOS'!$BN$2:$BX$40,9,FALSE)&lt;&gt;0,1,0),"-")</f>
        <v>0</v>
      </c>
      <c r="R186">
        <f>IFERROR(IF(VLOOKUP($H186,'BASE DATOS'!$BN$2:$BX$40,10,FALSE)&lt;&gt;0,1,0),"-")</f>
        <v>0</v>
      </c>
      <c r="S186">
        <f>IFERROR(IF(VLOOKUP($H186,'BASE DATOS'!$BN$2:$BX$40,11,FALSE)&lt;&gt;0,1,0),"-")</f>
        <v>1</v>
      </c>
      <c r="T186" t="s">
        <v>341</v>
      </c>
    </row>
    <row r="187" spans="1:20">
      <c r="A187" s="786">
        <f t="shared" si="15"/>
        <v>44</v>
      </c>
      <c r="B187" s="786" t="str">
        <f t="shared" si="16"/>
        <v>TT</v>
      </c>
      <c r="C187" s="786">
        <f t="shared" si="17"/>
        <v>0</v>
      </c>
      <c r="D187" s="786" t="str">
        <f t="shared" si="18"/>
        <v>NO</v>
      </c>
      <c r="E187" s="38">
        <v>45961</v>
      </c>
      <c r="F187" s="614">
        <v>4.1666666666666664E-2</v>
      </c>
      <c r="G187" s="614" t="str">
        <f>IFERROR(VLOOKUP(H187,'BASE DATOS'!$BN$2:$BO$40,2,FALSE),"FD")</f>
        <v>ENTRE PISO</v>
      </c>
      <c r="H187" t="s">
        <v>1342</v>
      </c>
      <c r="I187" t="s">
        <v>1338</v>
      </c>
      <c r="J187" t="s">
        <v>1400</v>
      </c>
      <c r="K187">
        <f>IFERROR(IF(VLOOKUP($H187,'BASE DATOS'!$BN$2:$BX$40,3,FALSE)&lt;&gt;0,1,0),"-")</f>
        <v>0</v>
      </c>
      <c r="L187">
        <f>IFERROR(IF(VLOOKUP($H187,'BASE DATOS'!$BN$2:$BX$40,4,FALSE)&lt;&gt;0,1,0),"-")</f>
        <v>0</v>
      </c>
      <c r="M187">
        <f>IFERROR(IF(VLOOKUP($H187,'BASE DATOS'!$BN$2:$BX$40,5,FALSE)&lt;&gt;0,1,0),"-")</f>
        <v>0</v>
      </c>
      <c r="N187">
        <f>IFERROR(IF(VLOOKUP($H187,'BASE DATOS'!$BN$2:$BX$40,6,FALSE)&lt;&gt;0,1,0),"-")</f>
        <v>0</v>
      </c>
      <c r="O187">
        <f>IFERROR(IF(VLOOKUP($H187,'BASE DATOS'!$BN$2:$BX$40,7,FALSE)&lt;&gt;0,1,0),"-")</f>
        <v>0</v>
      </c>
      <c r="P187">
        <f>IFERROR(IF(VLOOKUP($H187,'BASE DATOS'!$BN$2:$BX$40,8,FALSE)&lt;&gt;0,1,0),"-")</f>
        <v>0</v>
      </c>
      <c r="Q187">
        <f>IFERROR(IF(VLOOKUP($H187,'BASE DATOS'!$BN$2:$BX$40,9,FALSE)&lt;&gt;0,1,0),"-")</f>
        <v>0</v>
      </c>
      <c r="R187">
        <f>IFERROR(IF(VLOOKUP($H187,'BASE DATOS'!$BN$2:$BX$40,10,FALSE)&lt;&gt;0,1,0),"-")</f>
        <v>0</v>
      </c>
      <c r="S187">
        <f>IFERROR(IF(VLOOKUP($H187,'BASE DATOS'!$BN$2:$BX$40,11,FALSE)&lt;&gt;0,1,0),"-")</f>
        <v>1</v>
      </c>
      <c r="T187" t="s">
        <v>341</v>
      </c>
    </row>
    <row r="188" spans="1:20">
      <c r="A188" s="786">
        <f t="shared" si="15"/>
        <v>44</v>
      </c>
      <c r="B188" s="786" t="str">
        <f t="shared" si="16"/>
        <v>TT</v>
      </c>
      <c r="C188" s="786">
        <f t="shared" si="17"/>
        <v>1</v>
      </c>
      <c r="D188" s="786" t="str">
        <f t="shared" si="18"/>
        <v>NO</v>
      </c>
      <c r="E188" s="38">
        <v>45961</v>
      </c>
      <c r="F188" s="614">
        <v>4.1666666666666664E-2</v>
      </c>
      <c r="G188" s="614" t="str">
        <f>IFERROR(VLOOKUP(H188,'BASE DATOS'!$BN$2:$BO$40,2,FALSE),"FD")</f>
        <v>SEGUNDO PISO</v>
      </c>
      <c r="H188" t="s">
        <v>1401</v>
      </c>
      <c r="I188" t="s">
        <v>970</v>
      </c>
      <c r="J188" t="s">
        <v>1402</v>
      </c>
      <c r="K188">
        <f>IFERROR(IF(VLOOKUP($H188,'BASE DATOS'!$BN$2:$BX$40,3,FALSE)&lt;&gt;0,1,0),"-")</f>
        <v>0</v>
      </c>
      <c r="L188">
        <f>IFERROR(IF(VLOOKUP($H188,'BASE DATOS'!$BN$2:$BX$40,4,FALSE)&lt;&gt;0,1,0),"-")</f>
        <v>0</v>
      </c>
      <c r="M188">
        <f>IFERROR(IF(VLOOKUP($H188,'BASE DATOS'!$BN$2:$BX$40,5,FALSE)&lt;&gt;0,1,0),"-")</f>
        <v>0</v>
      </c>
      <c r="N188">
        <f>IFERROR(IF(VLOOKUP($H188,'BASE DATOS'!$BN$2:$BX$40,6,FALSE)&lt;&gt;0,1,0),"-")</f>
        <v>0</v>
      </c>
      <c r="O188">
        <f>IFERROR(IF(VLOOKUP($H188,'BASE DATOS'!$BN$2:$BX$40,7,FALSE)&lt;&gt;0,1,0),"-")</f>
        <v>0</v>
      </c>
      <c r="P188">
        <f>IFERROR(IF(VLOOKUP($H188,'BASE DATOS'!$BN$2:$BX$40,8,FALSE)&lt;&gt;0,1,0),"-")</f>
        <v>0</v>
      </c>
      <c r="Q188">
        <f>IFERROR(IF(VLOOKUP($H188,'BASE DATOS'!$BN$2:$BX$40,9,FALSE)&lt;&gt;0,1,0),"-")</f>
        <v>1</v>
      </c>
      <c r="R188">
        <f>IFERROR(IF(VLOOKUP($H188,'BASE DATOS'!$BN$2:$BX$40,10,FALSE)&lt;&gt;0,1,0),"-")</f>
        <v>0</v>
      </c>
      <c r="S188">
        <f>IFERROR(IF(VLOOKUP($H188,'BASE DATOS'!$BN$2:$BX$40,11,FALSE)&lt;&gt;0,1,0),"-")</f>
        <v>0</v>
      </c>
      <c r="T188" t="s">
        <v>341</v>
      </c>
    </row>
    <row r="189" spans="1:20">
      <c r="A189" s="786">
        <f t="shared" si="15"/>
        <v>44</v>
      </c>
      <c r="B189" s="786" t="str">
        <f t="shared" si="16"/>
        <v>TT</v>
      </c>
      <c r="C189" s="786">
        <f t="shared" si="17"/>
        <v>0</v>
      </c>
      <c r="D189" s="786" t="str">
        <f t="shared" si="18"/>
        <v>NO</v>
      </c>
      <c r="E189" s="38">
        <v>45961</v>
      </c>
      <c r="F189" s="614">
        <v>4.1666666666666664E-2</v>
      </c>
      <c r="G189" s="614" t="str">
        <f>IFERROR(VLOOKUP(H189,'BASE DATOS'!$BN$2:$BO$40,2,FALSE),"FD")</f>
        <v>SEGUNDO PISO</v>
      </c>
      <c r="H189" t="s">
        <v>1401</v>
      </c>
      <c r="I189" t="s">
        <v>970</v>
      </c>
      <c r="J189" t="s">
        <v>1403</v>
      </c>
      <c r="K189">
        <f>IFERROR(IF(VLOOKUP($H189,'BASE DATOS'!$BN$2:$BX$40,3,FALSE)&lt;&gt;0,1,0),"-")</f>
        <v>0</v>
      </c>
      <c r="L189">
        <f>IFERROR(IF(VLOOKUP($H189,'BASE DATOS'!$BN$2:$BX$40,4,FALSE)&lt;&gt;0,1,0),"-")</f>
        <v>0</v>
      </c>
      <c r="M189">
        <f>IFERROR(IF(VLOOKUP($H189,'BASE DATOS'!$BN$2:$BX$40,5,FALSE)&lt;&gt;0,1,0),"-")</f>
        <v>0</v>
      </c>
      <c r="N189">
        <f>IFERROR(IF(VLOOKUP($H189,'BASE DATOS'!$BN$2:$BX$40,6,FALSE)&lt;&gt;0,1,0),"-")</f>
        <v>0</v>
      </c>
      <c r="O189">
        <f>IFERROR(IF(VLOOKUP($H189,'BASE DATOS'!$BN$2:$BX$40,7,FALSE)&lt;&gt;0,1,0),"-")</f>
        <v>0</v>
      </c>
      <c r="P189">
        <f>IFERROR(IF(VLOOKUP($H189,'BASE DATOS'!$BN$2:$BX$40,8,FALSE)&lt;&gt;0,1,0),"-")</f>
        <v>0</v>
      </c>
      <c r="Q189">
        <f>IFERROR(IF(VLOOKUP($H189,'BASE DATOS'!$BN$2:$BX$40,9,FALSE)&lt;&gt;0,1,0),"-")</f>
        <v>1</v>
      </c>
      <c r="R189">
        <f>IFERROR(IF(VLOOKUP($H189,'BASE DATOS'!$BN$2:$BX$40,10,FALSE)&lt;&gt;0,1,0),"-")</f>
        <v>0</v>
      </c>
      <c r="S189">
        <f>IFERROR(IF(VLOOKUP($H189,'BASE DATOS'!$BN$2:$BX$40,11,FALSE)&lt;&gt;0,1,0),"-")</f>
        <v>0</v>
      </c>
      <c r="T189" t="s">
        <v>341</v>
      </c>
    </row>
    <row r="190" spans="1:20">
      <c r="A190" s="786">
        <f t="shared" si="15"/>
        <v>44</v>
      </c>
      <c r="B190" s="786" t="str">
        <f t="shared" si="16"/>
        <v>TT</v>
      </c>
      <c r="C190" s="786">
        <f t="shared" si="17"/>
        <v>0</v>
      </c>
      <c r="D190" s="786" t="str">
        <f t="shared" si="18"/>
        <v>SI</v>
      </c>
      <c r="E190" s="38">
        <v>45961</v>
      </c>
      <c r="F190" s="614">
        <v>4.1666666666666664E-2</v>
      </c>
      <c r="G190" s="614" t="str">
        <f>IFERROR(VLOOKUP(H190,'BASE DATOS'!$BN$2:$BO$40,2,FALSE),"FD")</f>
        <v>SEGUNDO PISO</v>
      </c>
      <c r="H190" t="s">
        <v>1404</v>
      </c>
      <c r="I190" t="s">
        <v>1216</v>
      </c>
      <c r="J190" t="s">
        <v>1405</v>
      </c>
      <c r="K190">
        <v>0</v>
      </c>
      <c r="L190">
        <v>0</v>
      </c>
      <c r="M190">
        <v>0</v>
      </c>
      <c r="N190">
        <v>0</v>
      </c>
      <c r="O190">
        <v>0</v>
      </c>
      <c r="P190">
        <v>0</v>
      </c>
      <c r="Q190">
        <v>0</v>
      </c>
      <c r="R190">
        <v>0</v>
      </c>
      <c r="S190">
        <v>0</v>
      </c>
      <c r="T190" t="s">
        <v>341</v>
      </c>
    </row>
    <row r="191" spans="1:20">
      <c r="A191" s="786">
        <f t="shared" si="15"/>
        <v>44</v>
      </c>
      <c r="B191" s="786" t="str">
        <f t="shared" si="16"/>
        <v>TT</v>
      </c>
      <c r="C191" s="786">
        <f t="shared" si="17"/>
        <v>0</v>
      </c>
      <c r="D191" s="786" t="str">
        <f t="shared" si="18"/>
        <v>NO</v>
      </c>
      <c r="E191" s="38">
        <v>45961</v>
      </c>
      <c r="F191" s="614">
        <v>4.1666666666666664E-2</v>
      </c>
      <c r="G191" s="614" t="str">
        <f>IFERROR(VLOOKUP(H191,'BASE DATOS'!$BN$2:$BO$40,2,FALSE),"FD")</f>
        <v>SEGUNDO PISO</v>
      </c>
      <c r="H191" t="s">
        <v>1360</v>
      </c>
      <c r="I191" t="s">
        <v>1216</v>
      </c>
      <c r="J191" t="s">
        <v>1406</v>
      </c>
      <c r="K191">
        <f>IFERROR(IF(VLOOKUP($H191,'BASE DATOS'!$BN$2:$BX$40,3,FALSE)&lt;&gt;0,1,0),"-")</f>
        <v>0</v>
      </c>
      <c r="L191">
        <f>IFERROR(IF(VLOOKUP($H191,'BASE DATOS'!$BN$2:$BX$40,4,FALSE)&lt;&gt;0,1,0),"-")</f>
        <v>0</v>
      </c>
      <c r="M191">
        <f>IFERROR(IF(VLOOKUP($H191,'BASE DATOS'!$BN$2:$BX$40,5,FALSE)&lt;&gt;0,1,0),"-")</f>
        <v>0</v>
      </c>
      <c r="N191">
        <f>IFERROR(IF(VLOOKUP($H191,'BASE DATOS'!$BN$2:$BX$40,6,FALSE)&lt;&gt;0,1,0),"-")</f>
        <v>0</v>
      </c>
      <c r="O191">
        <f>IFERROR(IF(VLOOKUP($H191,'BASE DATOS'!$BN$2:$BX$40,7,FALSE)&lt;&gt;0,1,0),"-")</f>
        <v>0</v>
      </c>
      <c r="P191">
        <v>0</v>
      </c>
      <c r="Q191">
        <f>IFERROR(IF(VLOOKUP($H191,'BASE DATOS'!$BN$2:$BX$40,9,FALSE)&lt;&gt;0,1,0),"-")</f>
        <v>0</v>
      </c>
      <c r="R191">
        <f>IFERROR(IF(VLOOKUP($H191,'BASE DATOS'!$BN$2:$BX$40,10,FALSE)&lt;&gt;0,1,0),"-")</f>
        <v>0</v>
      </c>
      <c r="S191">
        <f>IFERROR(IF(VLOOKUP($H191,'BASE DATOS'!$BN$2:$BX$40,11,FALSE)&lt;&gt;0,1,0),"-")</f>
        <v>0</v>
      </c>
      <c r="T191" t="s">
        <v>341</v>
      </c>
    </row>
    <row r="192" spans="1:20">
      <c r="A192" s="786">
        <f t="shared" si="15"/>
        <v>44</v>
      </c>
      <c r="B192" s="786" t="str">
        <f t="shared" si="16"/>
        <v>TT</v>
      </c>
      <c r="C192" s="786">
        <f t="shared" si="17"/>
        <v>0</v>
      </c>
      <c r="D192" s="786" t="str">
        <f t="shared" si="18"/>
        <v>NO</v>
      </c>
      <c r="E192" s="38">
        <v>45961</v>
      </c>
      <c r="F192" s="614">
        <v>4.1666666666666664E-2</v>
      </c>
      <c r="G192" s="614" t="str">
        <f>IFERROR(VLOOKUP(H192,'BASE DATOS'!$BN$2:$BO$40,2,FALSE),"FD")</f>
        <v>SEGUNDO PISO</v>
      </c>
      <c r="H192" t="s">
        <v>1360</v>
      </c>
      <c r="I192" t="s">
        <v>1216</v>
      </c>
      <c r="J192" t="s">
        <v>1407</v>
      </c>
      <c r="K192">
        <f>IFERROR(IF(VLOOKUP($H192,'BASE DATOS'!$BN$2:$BX$40,3,FALSE)&lt;&gt;0,1,0),"-")</f>
        <v>0</v>
      </c>
      <c r="L192">
        <f>IFERROR(IF(VLOOKUP($H192,'BASE DATOS'!$BN$2:$BX$40,4,FALSE)&lt;&gt;0,1,0),"-")</f>
        <v>0</v>
      </c>
      <c r="M192">
        <f>IFERROR(IF(VLOOKUP($H192,'BASE DATOS'!$BN$2:$BX$40,5,FALSE)&lt;&gt;0,1,0),"-")</f>
        <v>0</v>
      </c>
      <c r="N192">
        <f>IFERROR(IF(VLOOKUP($H192,'BASE DATOS'!$BN$2:$BX$40,6,FALSE)&lt;&gt;0,1,0),"-")</f>
        <v>0</v>
      </c>
      <c r="O192">
        <f>IFERROR(IF(VLOOKUP($H192,'BASE DATOS'!$BN$2:$BX$40,7,FALSE)&lt;&gt;0,1,0),"-")</f>
        <v>0</v>
      </c>
      <c r="P192">
        <v>0</v>
      </c>
      <c r="Q192">
        <f>IFERROR(IF(VLOOKUP($H192,'BASE DATOS'!$BN$2:$BX$40,9,FALSE)&lt;&gt;0,1,0),"-")</f>
        <v>0</v>
      </c>
      <c r="R192">
        <f>IFERROR(IF(VLOOKUP($H192,'BASE DATOS'!$BN$2:$BX$40,10,FALSE)&lt;&gt;0,1,0),"-")</f>
        <v>0</v>
      </c>
      <c r="S192">
        <f>IFERROR(IF(VLOOKUP($H192,'BASE DATOS'!$BN$2:$BX$40,11,FALSE)&lt;&gt;0,1,0),"-")</f>
        <v>0</v>
      </c>
      <c r="T192" t="s">
        <v>341</v>
      </c>
    </row>
    <row r="193" spans="1:20">
      <c r="A193" s="786">
        <f t="shared" si="15"/>
        <v>44</v>
      </c>
      <c r="B193" s="786" t="str">
        <f t="shared" si="16"/>
        <v>TT</v>
      </c>
      <c r="C193" s="786">
        <f t="shared" si="17"/>
        <v>1</v>
      </c>
      <c r="D193" s="786" t="str">
        <f t="shared" si="18"/>
        <v>SI</v>
      </c>
      <c r="E193" s="38">
        <v>45961</v>
      </c>
      <c r="F193" s="614">
        <v>0.25</v>
      </c>
      <c r="G193" s="614" t="str">
        <f>IFERROR(VLOOKUP(H193,'BASE DATOS'!$BN$2:$BO$40,2,FALSE),"FD")</f>
        <v>PRIMER PISO</v>
      </c>
      <c r="H193" t="s">
        <v>1206</v>
      </c>
      <c r="I193" t="s">
        <v>1204</v>
      </c>
      <c r="J193" t="s">
        <v>1408</v>
      </c>
      <c r="K193">
        <f>IFERROR(IF(VLOOKUP($H193,'BASE DATOS'!$BN$2:$BX$40,3,FALSE)&lt;&gt;0,1,0),"-")</f>
        <v>1</v>
      </c>
      <c r="L193">
        <f>IFERROR(IF(VLOOKUP($H193,'BASE DATOS'!$BN$2:$BX$40,4,FALSE)&lt;&gt;0,1,0),"-")</f>
        <v>1</v>
      </c>
      <c r="M193">
        <f>IFERROR(IF(VLOOKUP($H193,'BASE DATOS'!$BN$2:$BX$40,5,FALSE)&lt;&gt;0,1,0),"-")</f>
        <v>1</v>
      </c>
      <c r="N193">
        <f>IFERROR(IF(VLOOKUP($H193,'BASE DATOS'!$BN$2:$BX$40,6,FALSE)&lt;&gt;0,1,0),"-")</f>
        <v>1</v>
      </c>
      <c r="O193">
        <f>IFERROR(IF(VLOOKUP($H193,'BASE DATOS'!$BN$2:$BX$40,7,FALSE)&lt;&gt;0,1,0),"-")</f>
        <v>1</v>
      </c>
      <c r="P193">
        <f>IFERROR(IF(VLOOKUP($H193,'BASE DATOS'!$BN$2:$BX$40,8,FALSE)&lt;&gt;0,1,0),"-")</f>
        <v>1</v>
      </c>
      <c r="Q193">
        <f>IFERROR(IF(VLOOKUP($H193,'BASE DATOS'!$BN$2:$BX$40,9,FALSE)&lt;&gt;0,1,0),"-")</f>
        <v>1</v>
      </c>
      <c r="R193">
        <f>IFERROR(IF(VLOOKUP($H193,'BASE DATOS'!$BN$2:$BX$40,10,FALSE)&lt;&gt;0,1,0),"-")</f>
        <v>1</v>
      </c>
      <c r="S193">
        <f>IFERROR(IF(VLOOKUP($H193,'BASE DATOS'!$BN$2:$BX$40,11,FALSE)&lt;&gt;0,1,0),"-")</f>
        <v>1</v>
      </c>
      <c r="T193" t="s">
        <v>341</v>
      </c>
    </row>
    <row r="194" spans="1:20">
      <c r="A194" s="786">
        <f t="shared" si="15"/>
        <v>44</v>
      </c>
      <c r="B194" s="786" t="str">
        <f t="shared" si="16"/>
        <v>TT</v>
      </c>
      <c r="C194" s="786">
        <f t="shared" si="17"/>
        <v>0</v>
      </c>
      <c r="D194" s="786" t="str">
        <f t="shared" si="18"/>
        <v>SI</v>
      </c>
      <c r="E194" s="38">
        <v>45961</v>
      </c>
      <c r="F194" s="614">
        <v>0.25</v>
      </c>
      <c r="G194" s="614" t="str">
        <f>IFERROR(VLOOKUP(H194,'BASE DATOS'!$BN$2:$BO$40,2,FALSE),"FD")</f>
        <v>PRIMER PISO</v>
      </c>
      <c r="H194" t="s">
        <v>1206</v>
      </c>
      <c r="I194" t="s">
        <v>1204</v>
      </c>
      <c r="J194" t="s">
        <v>1409</v>
      </c>
      <c r="K194">
        <f>IFERROR(IF(VLOOKUP($H194,'BASE DATOS'!$BN$2:$BX$40,3,FALSE)&lt;&gt;0,1,0),"-")</f>
        <v>1</v>
      </c>
      <c r="L194">
        <f>IFERROR(IF(VLOOKUP($H194,'BASE DATOS'!$BN$2:$BX$40,4,FALSE)&lt;&gt;0,1,0),"-")</f>
        <v>1</v>
      </c>
      <c r="M194">
        <f>IFERROR(IF(VLOOKUP($H194,'BASE DATOS'!$BN$2:$BX$40,5,FALSE)&lt;&gt;0,1,0),"-")</f>
        <v>1</v>
      </c>
      <c r="N194">
        <f>IFERROR(IF(VLOOKUP($H194,'BASE DATOS'!$BN$2:$BX$40,6,FALSE)&lt;&gt;0,1,0),"-")</f>
        <v>1</v>
      </c>
      <c r="O194">
        <f>IFERROR(IF(VLOOKUP($H194,'BASE DATOS'!$BN$2:$BX$40,7,FALSE)&lt;&gt;0,1,0),"-")</f>
        <v>1</v>
      </c>
      <c r="P194">
        <f>IFERROR(IF(VLOOKUP($H194,'BASE DATOS'!$BN$2:$BX$40,8,FALSE)&lt;&gt;0,1,0),"-")</f>
        <v>1</v>
      </c>
      <c r="Q194">
        <f>IFERROR(IF(VLOOKUP($H194,'BASE DATOS'!$BN$2:$BX$40,9,FALSE)&lt;&gt;0,1,0),"-")</f>
        <v>1</v>
      </c>
      <c r="R194">
        <f>IFERROR(IF(VLOOKUP($H194,'BASE DATOS'!$BN$2:$BX$40,10,FALSE)&lt;&gt;0,1,0),"-")</f>
        <v>1</v>
      </c>
      <c r="S194">
        <f>IFERROR(IF(VLOOKUP($H194,'BASE DATOS'!$BN$2:$BX$40,11,FALSE)&lt;&gt;0,1,0),"-")</f>
        <v>1</v>
      </c>
      <c r="T194" t="s">
        <v>341</v>
      </c>
    </row>
    <row r="195" spans="1:20">
      <c r="A195" s="786">
        <f t="shared" si="15"/>
        <v>44</v>
      </c>
      <c r="B195" s="786" t="str">
        <f t="shared" si="16"/>
        <v>TT</v>
      </c>
      <c r="C195" s="786">
        <f t="shared" si="17"/>
        <v>0</v>
      </c>
      <c r="D195" s="786" t="str">
        <f t="shared" si="18"/>
        <v>NO</v>
      </c>
      <c r="E195" s="38">
        <v>45961</v>
      </c>
      <c r="F195" s="614">
        <v>0.25</v>
      </c>
      <c r="G195" s="614" t="str">
        <f>IFERROR(VLOOKUP(H195,'BASE DATOS'!$BN$2:$BO$40,2,FALSE),"FD")</f>
        <v>PRIMER PISO</v>
      </c>
      <c r="H195" t="s">
        <v>1209</v>
      </c>
      <c r="I195" t="s">
        <v>1201</v>
      </c>
      <c r="J195" t="s">
        <v>1410</v>
      </c>
      <c r="K195">
        <f>IFERROR(IF(VLOOKUP($H195,'BASE DATOS'!$BN$2:$BX$40,3,FALSE)&lt;&gt;0,1,0),"-")</f>
        <v>0</v>
      </c>
      <c r="L195">
        <f>IFERROR(IF(VLOOKUP($H195,'BASE DATOS'!$BN$2:$BX$40,4,FALSE)&lt;&gt;0,1,0),"-")</f>
        <v>0</v>
      </c>
      <c r="M195">
        <f>IFERROR(IF(VLOOKUP($H195,'BASE DATOS'!$BN$2:$BX$40,5,FALSE)&lt;&gt;0,1,0),"-")</f>
        <v>0</v>
      </c>
      <c r="N195">
        <v>0</v>
      </c>
      <c r="O195">
        <f>IFERROR(IF(VLOOKUP($H195,'BASE DATOS'!$BN$2:$BX$40,7,FALSE)&lt;&gt;0,1,0),"-")</f>
        <v>1</v>
      </c>
      <c r="P195">
        <f>IFERROR(IF(VLOOKUP($H195,'BASE DATOS'!$BN$2:$BX$40,8,FALSE)&lt;&gt;0,1,0),"-")</f>
        <v>0</v>
      </c>
      <c r="Q195">
        <f>IFERROR(IF(VLOOKUP($H195,'BASE DATOS'!$BN$2:$BX$40,9,FALSE)&lt;&gt;0,1,0),"-")</f>
        <v>0</v>
      </c>
      <c r="R195">
        <f>IFERROR(IF(VLOOKUP($H195,'BASE DATOS'!$BN$2:$BX$40,10,FALSE)&lt;&gt;0,1,0),"-")</f>
        <v>0</v>
      </c>
      <c r="S195">
        <f>IFERROR(IF(VLOOKUP($H195,'BASE DATOS'!$BN$2:$BX$40,11,FALSE)&lt;&gt;0,1,0),"-")</f>
        <v>1</v>
      </c>
      <c r="T195" t="s">
        <v>341</v>
      </c>
    </row>
    <row r="196" spans="1:20">
      <c r="A196" s="786">
        <f t="shared" si="15"/>
        <v>44</v>
      </c>
      <c r="B196" s="786" t="str">
        <f t="shared" si="16"/>
        <v>TT</v>
      </c>
      <c r="C196" s="786">
        <f t="shared" si="17"/>
        <v>0</v>
      </c>
      <c r="D196" s="786" t="str">
        <f t="shared" si="18"/>
        <v>NO</v>
      </c>
      <c r="E196" s="38">
        <v>45961</v>
      </c>
      <c r="F196" s="614">
        <v>0.25</v>
      </c>
      <c r="G196" s="614" t="str">
        <f>IFERROR(VLOOKUP(H196,'BASE DATOS'!$BN$2:$BO$40,2,FALSE),"FD")</f>
        <v>PRIMER PISO</v>
      </c>
      <c r="H196" t="s">
        <v>1265</v>
      </c>
      <c r="I196" t="s">
        <v>1338</v>
      </c>
      <c r="J196" t="s">
        <v>1411</v>
      </c>
      <c r="K196">
        <f>IFERROR(IF(VLOOKUP($H196,'BASE DATOS'!$BN$2:$BX$40,3,FALSE)&lt;&gt;0,1,0),"-")</f>
        <v>0</v>
      </c>
      <c r="L196">
        <f>IFERROR(IF(VLOOKUP($H196,'BASE DATOS'!$BN$2:$BX$40,4,FALSE)&lt;&gt;0,1,0),"-")</f>
        <v>0</v>
      </c>
      <c r="M196">
        <f>IFERROR(IF(VLOOKUP($H196,'BASE DATOS'!$BN$2:$BX$40,5,FALSE)&lt;&gt;0,1,0),"-")</f>
        <v>0</v>
      </c>
      <c r="N196">
        <v>0</v>
      </c>
      <c r="O196">
        <v>0</v>
      </c>
      <c r="P196">
        <f>IFERROR(IF(VLOOKUP($H196,'BASE DATOS'!$BN$2:$BX$40,8,FALSE)&lt;&gt;0,1,0),"-")</f>
        <v>0</v>
      </c>
      <c r="Q196">
        <f>IFERROR(IF(VLOOKUP($H196,'BASE DATOS'!$BN$2:$BX$40,9,FALSE)&lt;&gt;0,1,0),"-")</f>
        <v>0</v>
      </c>
      <c r="R196">
        <f>IFERROR(IF(VLOOKUP($H196,'BASE DATOS'!$BN$2:$BX$40,10,FALSE)&lt;&gt;0,1,0),"-")</f>
        <v>0</v>
      </c>
      <c r="S196">
        <f>IFERROR(IF(VLOOKUP($H196,'BASE DATOS'!$BN$2:$BX$40,11,FALSE)&lt;&gt;0,1,0),"-")</f>
        <v>0</v>
      </c>
      <c r="T196" t="s">
        <v>341</v>
      </c>
    </row>
    <row r="197" spans="1:20">
      <c r="A197" s="786">
        <f t="shared" si="15"/>
        <v>44</v>
      </c>
      <c r="B197" s="786" t="str">
        <f t="shared" si="16"/>
        <v>TT</v>
      </c>
      <c r="C197" s="786">
        <f t="shared" si="17"/>
        <v>0</v>
      </c>
      <c r="D197" s="786" t="str">
        <f t="shared" si="18"/>
        <v>NO</v>
      </c>
      <c r="E197" s="38">
        <v>45961</v>
      </c>
      <c r="F197" s="614">
        <v>0.25</v>
      </c>
      <c r="G197" s="614" t="str">
        <f>IFERROR(VLOOKUP(H197,'BASE DATOS'!$BN$2:$BO$40,2,FALSE),"FD")</f>
        <v>PRIMER PISO</v>
      </c>
      <c r="H197" t="s">
        <v>1265</v>
      </c>
      <c r="I197" t="s">
        <v>1210</v>
      </c>
      <c r="J197" t="s">
        <v>1412</v>
      </c>
      <c r="K197">
        <f>IFERROR(IF(VLOOKUP($H197,'BASE DATOS'!$BN$2:$BX$40,3,FALSE)&lt;&gt;0,1,0),"-")</f>
        <v>0</v>
      </c>
      <c r="L197">
        <f>IFERROR(IF(VLOOKUP($H197,'BASE DATOS'!$BN$2:$BX$40,4,FALSE)&lt;&gt;0,1,0),"-")</f>
        <v>0</v>
      </c>
      <c r="M197">
        <f>IFERROR(IF(VLOOKUP($H197,'BASE DATOS'!$BN$2:$BX$40,5,FALSE)&lt;&gt;0,1,0),"-")</f>
        <v>0</v>
      </c>
      <c r="N197">
        <v>0</v>
      </c>
      <c r="O197">
        <f>IFERROR(IF(VLOOKUP($H197,'BASE DATOS'!$BN$2:$BX$40,7,FALSE)&lt;&gt;0,1,0),"-")</f>
        <v>1</v>
      </c>
      <c r="P197">
        <f>IFERROR(IF(VLOOKUP($H197,'BASE DATOS'!$BN$2:$BX$40,8,FALSE)&lt;&gt;0,1,0),"-")</f>
        <v>0</v>
      </c>
      <c r="Q197">
        <f>IFERROR(IF(VLOOKUP($H197,'BASE DATOS'!$BN$2:$BX$40,9,FALSE)&lt;&gt;0,1,0),"-")</f>
        <v>0</v>
      </c>
      <c r="R197">
        <f>IFERROR(IF(VLOOKUP($H197,'BASE DATOS'!$BN$2:$BX$40,10,FALSE)&lt;&gt;0,1,0),"-")</f>
        <v>0</v>
      </c>
      <c r="S197">
        <f>IFERROR(IF(VLOOKUP($H197,'BASE DATOS'!$BN$2:$BX$40,11,FALSE)&lt;&gt;0,1,0),"-")</f>
        <v>0</v>
      </c>
      <c r="T197" t="s">
        <v>341</v>
      </c>
    </row>
    <row r="198" spans="1:20">
      <c r="A198" s="786">
        <f t="shared" si="15"/>
        <v>44</v>
      </c>
      <c r="B198" s="786" t="str">
        <f t="shared" si="16"/>
        <v>TT</v>
      </c>
      <c r="C198" s="786">
        <f t="shared" si="17"/>
        <v>0</v>
      </c>
      <c r="D198" s="786" t="str">
        <f t="shared" si="18"/>
        <v>NO</v>
      </c>
      <c r="E198" s="38">
        <v>45961</v>
      </c>
      <c r="F198" s="614">
        <v>0.25</v>
      </c>
      <c r="G198" s="614" t="str">
        <f>IFERROR(VLOOKUP(H198,'BASE DATOS'!$BN$2:$BO$40,2,FALSE),"FD")</f>
        <v>PRIMER PISO</v>
      </c>
      <c r="H198" t="s">
        <v>1222</v>
      </c>
      <c r="I198" t="s">
        <v>1234</v>
      </c>
      <c r="J198" t="s">
        <v>1413</v>
      </c>
      <c r="K198">
        <f>IFERROR(IF(VLOOKUP($H198,'BASE DATOS'!$BN$2:$BX$40,3,FALSE)&lt;&gt;0,1,0),"-")</f>
        <v>0</v>
      </c>
      <c r="L198">
        <f>IFERROR(IF(VLOOKUP($H198,'BASE DATOS'!$BN$2:$BX$40,4,FALSE)&lt;&gt;0,1,0),"-")</f>
        <v>0</v>
      </c>
      <c r="M198">
        <f>IFERROR(IF(VLOOKUP($H198,'BASE DATOS'!$BN$2:$BX$40,5,FALSE)&lt;&gt;0,1,0),"-")</f>
        <v>0</v>
      </c>
      <c r="N198">
        <v>0</v>
      </c>
      <c r="O198">
        <v>0</v>
      </c>
      <c r="P198">
        <f>IFERROR(IF(VLOOKUP($H198,'BASE DATOS'!$BN$2:$BX$40,8,FALSE)&lt;&gt;0,1,0),"-")</f>
        <v>0</v>
      </c>
      <c r="Q198">
        <f>IFERROR(IF(VLOOKUP($H198,'BASE DATOS'!$BN$2:$BX$40,9,FALSE)&lt;&gt;0,1,0),"-")</f>
        <v>0</v>
      </c>
      <c r="R198">
        <f>IFERROR(IF(VLOOKUP($H198,'BASE DATOS'!$BN$2:$BX$40,10,FALSE)&lt;&gt;0,1,0),"-")</f>
        <v>0</v>
      </c>
      <c r="S198">
        <v>1</v>
      </c>
      <c r="T198" t="s">
        <v>341</v>
      </c>
    </row>
    <row r="199" spans="1:20">
      <c r="A199" s="786">
        <f t="shared" si="15"/>
        <v>44</v>
      </c>
      <c r="B199" s="786" t="str">
        <f t="shared" si="16"/>
        <v>TT</v>
      </c>
      <c r="C199" s="786">
        <f t="shared" si="17"/>
        <v>0</v>
      </c>
      <c r="D199" s="786" t="str">
        <f t="shared" si="18"/>
        <v>NO</v>
      </c>
      <c r="E199" s="38">
        <v>45961</v>
      </c>
      <c r="F199" s="614">
        <v>0.25</v>
      </c>
      <c r="G199" s="614" t="str">
        <f>IFERROR(VLOOKUP(H199,'BASE DATOS'!$BN$2:$BO$40,2,FALSE),"FD")</f>
        <v>PRIMER PISO</v>
      </c>
      <c r="H199" t="s">
        <v>1223</v>
      </c>
      <c r="I199" t="s">
        <v>970</v>
      </c>
      <c r="J199" t="s">
        <v>1414</v>
      </c>
      <c r="K199">
        <f>IFERROR(IF(VLOOKUP($H199,'BASE DATOS'!$BN$2:$BX$40,3,FALSE)&lt;&gt;0,1,0),"-")</f>
        <v>0</v>
      </c>
      <c r="L199">
        <f>IFERROR(IF(VLOOKUP($H199,'BASE DATOS'!$BN$2:$BX$40,4,FALSE)&lt;&gt;0,1,0),"-")</f>
        <v>0</v>
      </c>
      <c r="M199">
        <f>IFERROR(IF(VLOOKUP($H199,'BASE DATOS'!$BN$2:$BX$40,5,FALSE)&lt;&gt;0,1,0),"-")</f>
        <v>0</v>
      </c>
      <c r="N199">
        <v>0</v>
      </c>
      <c r="O199">
        <f>IFERROR(IF(VLOOKUP($H199,'BASE DATOS'!$BN$2:$BX$40,7,FALSE)&lt;&gt;0,1,0),"-")</f>
        <v>1</v>
      </c>
      <c r="P199">
        <f>IFERROR(IF(VLOOKUP($H199,'BASE DATOS'!$BN$2:$BX$40,8,FALSE)&lt;&gt;0,1,0),"-")</f>
        <v>0</v>
      </c>
      <c r="Q199">
        <f>IFERROR(IF(VLOOKUP($H199,'BASE DATOS'!$BN$2:$BX$40,9,FALSE)&lt;&gt;0,1,0),"-")</f>
        <v>0</v>
      </c>
      <c r="R199">
        <f>IFERROR(IF(VLOOKUP($H199,'BASE DATOS'!$BN$2:$BX$40,10,FALSE)&lt;&gt;0,1,0),"-")</f>
        <v>0</v>
      </c>
      <c r="S199">
        <f>IFERROR(IF(VLOOKUP($H199,'BASE DATOS'!$BN$2:$BX$40,11,FALSE)&lt;&gt;0,1,0),"-")</f>
        <v>0</v>
      </c>
      <c r="T199" t="s">
        <v>341</v>
      </c>
    </row>
    <row r="200" spans="1:20">
      <c r="A200" s="786">
        <f t="shared" ref="A200:A250" si="19">IF(E200="","FD",_xlfn.ISOWEEKNUM(E200))</f>
        <v>44</v>
      </c>
      <c r="B200" s="786" t="str">
        <f t="shared" ref="B200:B250" si="20">IF(F200="","FD",IF(AND(F200&gt;0.25,F200&lt;0.75),"TM","TT"))</f>
        <v>TM</v>
      </c>
      <c r="C200" s="786">
        <f t="shared" ref="C200:C250" si="21">+IF(OR(F200&lt;&gt;F199,G200&lt;&gt;G199,E200&lt;&gt;E199),1,0)</f>
        <v>1</v>
      </c>
      <c r="D200" s="786" t="str">
        <f t="shared" ref="D200:D250" si="22">IF(OR(LEFT(H200,4)="VEST",LEFT(H200,4)="BAÑO",LEFT(H200,4)="COME"),"SI","NO")</f>
        <v>NO</v>
      </c>
      <c r="E200" s="38">
        <v>45961</v>
      </c>
      <c r="F200" s="614">
        <v>0.64583333333333337</v>
      </c>
      <c r="G200" s="614" t="str">
        <f>IFERROR(VLOOKUP(H200,'BASE DATOS'!$BN$2:$BO$40,2,FALSE),"FD")</f>
        <v>PLANTA BAJA</v>
      </c>
      <c r="H200" t="s">
        <v>1243</v>
      </c>
      <c r="I200" t="s">
        <v>1194</v>
      </c>
      <c r="J200" t="s">
        <v>1415</v>
      </c>
      <c r="K200">
        <f>IFERROR(IF(VLOOKUP($H200,'BASE DATOS'!$BN$2:$BX$40,3,FALSE)&lt;&gt;0,1,0),"-")</f>
        <v>1</v>
      </c>
      <c r="L200">
        <f>IFERROR(IF(VLOOKUP($H200,'BASE DATOS'!$BN$2:$BX$40,4,FALSE)&lt;&gt;0,1,0),"-")</f>
        <v>0</v>
      </c>
      <c r="M200">
        <f>IFERROR(IF(VLOOKUP($H200,'BASE DATOS'!$BN$2:$BX$40,5,FALSE)&lt;&gt;0,1,0),"-")</f>
        <v>0</v>
      </c>
      <c r="N200">
        <f>IFERROR(IF(VLOOKUP($H200,'BASE DATOS'!$BN$2:$BX$40,6,FALSE)&lt;&gt;0,1,0),"-")</f>
        <v>0</v>
      </c>
      <c r="O200">
        <f>IFERROR(IF(VLOOKUP($H200,'BASE DATOS'!$BN$2:$BX$40,7,FALSE)&lt;&gt;0,1,0),"-")</f>
        <v>0</v>
      </c>
      <c r="P200">
        <f>IFERROR(IF(VLOOKUP($H200,'BASE DATOS'!$BN$2:$BX$40,8,FALSE)&lt;&gt;0,1,0),"-")</f>
        <v>0</v>
      </c>
      <c r="Q200">
        <f>IFERROR(IF(VLOOKUP($H200,'BASE DATOS'!$BN$2:$BX$40,9,FALSE)&lt;&gt;0,1,0),"-")</f>
        <v>0</v>
      </c>
      <c r="R200">
        <v>0</v>
      </c>
      <c r="S200">
        <f>IFERROR(IF(VLOOKUP($H200,'BASE DATOS'!$BN$2:$BX$40,11,FALSE)&lt;&gt;0,1,0),"-")</f>
        <v>0</v>
      </c>
      <c r="T200" t="s">
        <v>341</v>
      </c>
    </row>
    <row r="201" spans="1:20" ht="15" customHeight="1">
      <c r="A201" s="786">
        <f t="shared" si="19"/>
        <v>44</v>
      </c>
      <c r="B201" s="786" t="str">
        <f t="shared" si="20"/>
        <v>TM</v>
      </c>
      <c r="C201" s="786">
        <f t="shared" si="21"/>
        <v>0</v>
      </c>
      <c r="D201" s="786" t="str">
        <f t="shared" si="22"/>
        <v>NO</v>
      </c>
      <c r="E201" s="38">
        <v>45961</v>
      </c>
      <c r="F201" s="614">
        <v>0.64583333333333337</v>
      </c>
      <c r="G201" s="614" t="str">
        <f>IFERROR(VLOOKUP(H201,'BASE DATOS'!$BN$2:$BO$40,2,FALSE),"FD")</f>
        <v>PLANTA BAJA</v>
      </c>
      <c r="H201" t="s">
        <v>1245</v>
      </c>
      <c r="I201" t="s">
        <v>1201</v>
      </c>
      <c r="J201" t="s">
        <v>1416</v>
      </c>
      <c r="K201">
        <f>IFERROR(IF(VLOOKUP($H201,'BASE DATOS'!$BN$2:$BX$40,3,FALSE)&lt;&gt;0,1,0),"-")</f>
        <v>1</v>
      </c>
      <c r="L201">
        <v>0</v>
      </c>
      <c r="M201">
        <v>0</v>
      </c>
      <c r="N201">
        <f>IFERROR(IF(VLOOKUP($H201,'BASE DATOS'!$BN$2:$BX$40,6,FALSE)&lt;&gt;0,1,0),"-")</f>
        <v>0</v>
      </c>
      <c r="O201">
        <f>IFERROR(IF(VLOOKUP($H201,'BASE DATOS'!$BN$2:$BX$40,7,FALSE)&lt;&gt;0,1,0),"-")</f>
        <v>0</v>
      </c>
      <c r="P201">
        <f>IFERROR(IF(VLOOKUP($H201,'BASE DATOS'!$BN$2:$BX$40,8,FALSE)&lt;&gt;0,1,0),"-")</f>
        <v>0</v>
      </c>
      <c r="Q201">
        <f>IFERROR(IF(VLOOKUP($H201,'BASE DATOS'!$BN$2:$BX$40,9,FALSE)&lt;&gt;0,1,0),"-")</f>
        <v>0</v>
      </c>
      <c r="R201">
        <f>IFERROR(IF(VLOOKUP($H201,'BASE DATOS'!$BN$2:$BX$40,10,FALSE)&lt;&gt;0,1,0),"-")</f>
        <v>0</v>
      </c>
      <c r="S201">
        <f>IFERROR(IF(VLOOKUP($H201,'BASE DATOS'!$BN$2:$BX$40,11,FALSE)&lt;&gt;0,1,0),"-")</f>
        <v>0</v>
      </c>
      <c r="T201" t="s">
        <v>341</v>
      </c>
    </row>
    <row r="202" spans="1:20" ht="15" customHeight="1">
      <c r="A202" s="786">
        <f t="shared" si="19"/>
        <v>44</v>
      </c>
      <c r="B202" s="786" t="str">
        <f t="shared" si="20"/>
        <v>TM</v>
      </c>
      <c r="C202" s="786">
        <f t="shared" si="21"/>
        <v>0</v>
      </c>
      <c r="D202" s="786" t="str">
        <f t="shared" si="22"/>
        <v>NO</v>
      </c>
      <c r="E202" s="38">
        <v>45961</v>
      </c>
      <c r="F202" s="614">
        <v>0.64583333333333337</v>
      </c>
      <c r="G202" s="614" t="str">
        <f>IFERROR(VLOOKUP(H202,'BASE DATOS'!$BN$2:$BO$40,2,FALSE),"FD")</f>
        <v>PLANTA BAJA</v>
      </c>
      <c r="H202" t="s">
        <v>1245</v>
      </c>
      <c r="I202" t="s">
        <v>1194</v>
      </c>
      <c r="J202" t="s">
        <v>1417</v>
      </c>
      <c r="K202">
        <f>IFERROR(IF(VLOOKUP($H202,'BASE DATOS'!$BN$2:$BX$40,3,FALSE)&lt;&gt;0,1,0),"-")</f>
        <v>1</v>
      </c>
      <c r="L202">
        <v>0</v>
      </c>
      <c r="M202">
        <v>0</v>
      </c>
      <c r="N202">
        <v>1</v>
      </c>
      <c r="O202">
        <f>IFERROR(IF(VLOOKUP($H202,'BASE DATOS'!$BN$2:$BX$40,7,FALSE)&lt;&gt;0,1,0),"-")</f>
        <v>0</v>
      </c>
      <c r="P202">
        <f>IFERROR(IF(VLOOKUP($H202,'BASE DATOS'!$BN$2:$BX$40,8,FALSE)&lt;&gt;0,1,0),"-")</f>
        <v>0</v>
      </c>
      <c r="Q202">
        <f>IFERROR(IF(VLOOKUP($H202,'BASE DATOS'!$BN$2:$BX$40,9,FALSE)&lt;&gt;0,1,0),"-")</f>
        <v>0</v>
      </c>
      <c r="R202">
        <f>IFERROR(IF(VLOOKUP($H202,'BASE DATOS'!$BN$2:$BX$40,10,FALSE)&lt;&gt;0,1,0),"-")</f>
        <v>0</v>
      </c>
      <c r="S202">
        <f>IFERROR(IF(VLOOKUP($H202,'BASE DATOS'!$BN$2:$BX$40,11,FALSE)&lt;&gt;0,1,0),"-")</f>
        <v>0</v>
      </c>
      <c r="T202" t="s">
        <v>341</v>
      </c>
    </row>
    <row r="203" spans="1:20" ht="15" customHeight="1">
      <c r="A203" s="786">
        <f t="shared" si="19"/>
        <v>44</v>
      </c>
      <c r="B203" s="786" t="str">
        <f t="shared" si="20"/>
        <v>TM</v>
      </c>
      <c r="C203" s="786">
        <f t="shared" si="21"/>
        <v>0</v>
      </c>
      <c r="D203" s="786" t="str">
        <f t="shared" si="22"/>
        <v>NO</v>
      </c>
      <c r="E203" s="38">
        <v>45961</v>
      </c>
      <c r="F203" s="614">
        <v>0.64583333333333337</v>
      </c>
      <c r="G203" s="614" t="str">
        <f>IFERROR(VLOOKUP(H203,'BASE DATOS'!$BN$2:$BO$40,2,FALSE),"FD")</f>
        <v>PLANTA BAJA</v>
      </c>
      <c r="H203" t="s">
        <v>1203</v>
      </c>
      <c r="I203" t="s">
        <v>1338</v>
      </c>
      <c r="J203" t="s">
        <v>1418</v>
      </c>
      <c r="K203">
        <f>IFERROR(IF(VLOOKUP($H203,'BASE DATOS'!$BN$2:$BX$40,3,FALSE)&lt;&gt;0,1,0),"-")</f>
        <v>1</v>
      </c>
      <c r="L203">
        <v>0</v>
      </c>
      <c r="M203">
        <v>0</v>
      </c>
      <c r="N203">
        <v>1</v>
      </c>
      <c r="O203">
        <f>IFERROR(IF(VLOOKUP($H203,'BASE DATOS'!$BN$2:$BX$40,7,FALSE)&lt;&gt;0,1,0),"-")</f>
        <v>0</v>
      </c>
      <c r="P203">
        <f>IFERROR(IF(VLOOKUP($H203,'BASE DATOS'!$BN$2:$BX$40,8,FALSE)&lt;&gt;0,1,0),"-")</f>
        <v>0</v>
      </c>
      <c r="Q203">
        <f>IFERROR(IF(VLOOKUP($H203,'BASE DATOS'!$BN$2:$BX$40,9,FALSE)&lt;&gt;0,1,0),"-")</f>
        <v>0</v>
      </c>
      <c r="R203">
        <f>IFERROR(IF(VLOOKUP($H203,'BASE DATOS'!$BN$2:$BX$40,10,FALSE)&lt;&gt;0,1,0),"-")</f>
        <v>0</v>
      </c>
      <c r="S203">
        <f>IFERROR(IF(VLOOKUP($H203,'BASE DATOS'!$BN$2:$BX$40,11,FALSE)&lt;&gt;0,1,0),"-")</f>
        <v>0</v>
      </c>
      <c r="T203" t="s">
        <v>341</v>
      </c>
    </row>
    <row r="204" spans="1:20" ht="15" customHeight="1">
      <c r="A204" s="786">
        <f t="shared" si="19"/>
        <v>44</v>
      </c>
      <c r="B204" s="786" t="str">
        <f t="shared" si="20"/>
        <v>TM</v>
      </c>
      <c r="C204" s="786">
        <f t="shared" si="21"/>
        <v>1</v>
      </c>
      <c r="D204" s="786" t="str">
        <f t="shared" si="22"/>
        <v>NO</v>
      </c>
      <c r="E204" s="38">
        <v>45961</v>
      </c>
      <c r="F204" s="614">
        <v>0.66666666666666663</v>
      </c>
      <c r="G204" s="614" t="str">
        <f>IFERROR(VLOOKUP(H204,'BASE DATOS'!$BN$2:$BO$40,2,FALSE),"FD")</f>
        <v>PRIMER PISO</v>
      </c>
      <c r="H204" t="s">
        <v>1198</v>
      </c>
      <c r="I204" t="s">
        <v>1262</v>
      </c>
      <c r="K204">
        <f>IFERROR(IF(VLOOKUP($H204,'BASE DATOS'!$BN$2:$BX$40,3,FALSE)&lt;&gt;0,1,0),"-")</f>
        <v>0</v>
      </c>
      <c r="L204">
        <f>IFERROR(IF(VLOOKUP($H204,'BASE DATOS'!$BN$2:$BX$40,4,FALSE)&lt;&gt;0,1,0),"-")</f>
        <v>0</v>
      </c>
      <c r="M204">
        <f>IFERROR(IF(VLOOKUP($H204,'BASE DATOS'!$BN$2:$BX$40,5,FALSE)&lt;&gt;0,1,0),"-")</f>
        <v>0</v>
      </c>
      <c r="N204">
        <f>IFERROR(IF(VLOOKUP($H204,'BASE DATOS'!$BN$2:$BX$40,6,FALSE)&lt;&gt;0,1,0),"-")</f>
        <v>1</v>
      </c>
      <c r="O204">
        <v>0</v>
      </c>
      <c r="P204">
        <f>IFERROR(IF(VLOOKUP($H204,'BASE DATOS'!$BN$2:$BX$40,8,FALSE)&lt;&gt;0,1,0),"-")</f>
        <v>0</v>
      </c>
      <c r="Q204">
        <f>IFERROR(IF(VLOOKUP($H204,'BASE DATOS'!$BN$2:$BX$40,9,FALSE)&lt;&gt;0,1,0),"-")</f>
        <v>0</v>
      </c>
      <c r="R204">
        <f>IFERROR(IF(VLOOKUP($H204,'BASE DATOS'!$BN$2:$BX$40,10,FALSE)&lt;&gt;0,1,0),"-")</f>
        <v>0</v>
      </c>
      <c r="S204">
        <f>IFERROR(IF(VLOOKUP($H204,'BASE DATOS'!$BN$2:$BX$40,11,FALSE)&lt;&gt;0,1,0),"-")</f>
        <v>0</v>
      </c>
      <c r="T204" t="s">
        <v>341</v>
      </c>
    </row>
    <row r="205" spans="1:20" ht="15" customHeight="1">
      <c r="A205" s="786">
        <f t="shared" si="19"/>
        <v>44</v>
      </c>
      <c r="B205" s="786" t="str">
        <f t="shared" si="20"/>
        <v>TM</v>
      </c>
      <c r="C205" s="786">
        <f t="shared" si="21"/>
        <v>0</v>
      </c>
      <c r="D205" s="786" t="str">
        <f t="shared" si="22"/>
        <v>NO</v>
      </c>
      <c r="E205" s="38">
        <v>45961</v>
      </c>
      <c r="F205" s="614">
        <v>0.66666666666666663</v>
      </c>
      <c r="G205" s="614" t="str">
        <f>IFERROR(VLOOKUP(H205,'BASE DATOS'!$BN$2:$BO$40,2,FALSE),"FD")</f>
        <v>PRIMER PISO</v>
      </c>
      <c r="H205" t="s">
        <v>1223</v>
      </c>
      <c r="I205" t="s">
        <v>970</v>
      </c>
      <c r="J205" t="s">
        <v>1414</v>
      </c>
      <c r="K205">
        <f>IFERROR(IF(VLOOKUP($H205,'BASE DATOS'!$BN$2:$BX$40,3,FALSE)&lt;&gt;0,1,0),"-")</f>
        <v>0</v>
      </c>
      <c r="L205">
        <f>IFERROR(IF(VLOOKUP($H205,'BASE DATOS'!$BN$2:$BX$40,4,FALSE)&lt;&gt;0,1,0),"-")</f>
        <v>0</v>
      </c>
      <c r="M205">
        <f>IFERROR(IF(VLOOKUP($H205,'BASE DATOS'!$BN$2:$BX$40,5,FALSE)&lt;&gt;0,1,0),"-")</f>
        <v>0</v>
      </c>
      <c r="N205">
        <f>IFERROR(IF(VLOOKUP($H205,'BASE DATOS'!$BN$2:$BX$40,6,FALSE)&lt;&gt;0,1,0),"-")</f>
        <v>1</v>
      </c>
      <c r="O205">
        <v>0</v>
      </c>
      <c r="P205">
        <f>IFERROR(IF(VLOOKUP($H205,'BASE DATOS'!$BN$2:$BX$40,8,FALSE)&lt;&gt;0,1,0),"-")</f>
        <v>0</v>
      </c>
      <c r="Q205">
        <f>IFERROR(IF(VLOOKUP($H205,'BASE DATOS'!$BN$2:$BX$40,9,FALSE)&lt;&gt;0,1,0),"-")</f>
        <v>0</v>
      </c>
      <c r="R205">
        <f>IFERROR(IF(VLOOKUP($H205,'BASE DATOS'!$BN$2:$BX$40,10,FALSE)&lt;&gt;0,1,0),"-")</f>
        <v>0</v>
      </c>
      <c r="S205">
        <f>IFERROR(IF(VLOOKUP($H205,'BASE DATOS'!$BN$2:$BX$40,11,FALSE)&lt;&gt;0,1,0),"-")</f>
        <v>0</v>
      </c>
      <c r="T205" t="s">
        <v>341</v>
      </c>
    </row>
    <row r="206" spans="1:20" ht="15" customHeight="1">
      <c r="A206" s="786">
        <f t="shared" si="19"/>
        <v>44</v>
      </c>
      <c r="B206" s="786" t="str">
        <f t="shared" si="20"/>
        <v>TM</v>
      </c>
      <c r="C206" s="786">
        <f t="shared" si="21"/>
        <v>0</v>
      </c>
      <c r="D206" s="786" t="str">
        <f t="shared" si="22"/>
        <v>NO</v>
      </c>
      <c r="E206" s="38">
        <v>45961</v>
      </c>
      <c r="F206" s="614">
        <v>0.66666666666666663</v>
      </c>
      <c r="G206" s="614" t="str">
        <f>IFERROR(VLOOKUP(H206,'BASE DATOS'!$BN$2:$BO$40,2,FALSE),"FD")</f>
        <v>PRIMER PISO</v>
      </c>
      <c r="H206" t="s">
        <v>1223</v>
      </c>
      <c r="I206" t="s">
        <v>970</v>
      </c>
      <c r="J206" t="s">
        <v>1419</v>
      </c>
      <c r="K206">
        <f>IFERROR(IF(VLOOKUP($H206,'BASE DATOS'!$BN$2:$BX$40,3,FALSE)&lt;&gt;0,1,0),"-")</f>
        <v>0</v>
      </c>
      <c r="L206">
        <f>IFERROR(IF(VLOOKUP($H206,'BASE DATOS'!$BN$2:$BX$40,4,FALSE)&lt;&gt;0,1,0),"-")</f>
        <v>0</v>
      </c>
      <c r="M206">
        <f>IFERROR(IF(VLOOKUP($H206,'BASE DATOS'!$BN$2:$BX$40,5,FALSE)&lt;&gt;0,1,0),"-")</f>
        <v>0</v>
      </c>
      <c r="N206">
        <f>IFERROR(IF(VLOOKUP($H206,'BASE DATOS'!$BN$2:$BX$40,6,FALSE)&lt;&gt;0,1,0),"-")</f>
        <v>1</v>
      </c>
      <c r="O206">
        <v>0</v>
      </c>
      <c r="P206">
        <f>IFERROR(IF(VLOOKUP($H206,'BASE DATOS'!$BN$2:$BX$40,8,FALSE)&lt;&gt;0,1,0),"-")</f>
        <v>0</v>
      </c>
      <c r="Q206">
        <f>IFERROR(IF(VLOOKUP($H206,'BASE DATOS'!$BN$2:$BX$40,9,FALSE)&lt;&gt;0,1,0),"-")</f>
        <v>0</v>
      </c>
      <c r="R206">
        <f>IFERROR(IF(VLOOKUP($H206,'BASE DATOS'!$BN$2:$BX$40,10,FALSE)&lt;&gt;0,1,0),"-")</f>
        <v>0</v>
      </c>
      <c r="S206">
        <f>IFERROR(IF(VLOOKUP($H206,'BASE DATOS'!$BN$2:$BX$40,11,FALSE)&lt;&gt;0,1,0),"-")</f>
        <v>0</v>
      </c>
      <c r="T206" t="s">
        <v>341</v>
      </c>
    </row>
    <row r="207" spans="1:20" ht="15" customHeight="1">
      <c r="A207" s="786">
        <f t="shared" si="19"/>
        <v>44</v>
      </c>
      <c r="B207" s="786" t="str">
        <f t="shared" si="20"/>
        <v>TM</v>
      </c>
      <c r="C207" s="786">
        <f t="shared" si="21"/>
        <v>0</v>
      </c>
      <c r="D207" s="786" t="str">
        <f t="shared" si="22"/>
        <v>NO</v>
      </c>
      <c r="E207" s="38">
        <v>45961</v>
      </c>
      <c r="F207" s="614">
        <v>0.66666666666666663</v>
      </c>
      <c r="G207" s="614" t="str">
        <f>IFERROR(VLOOKUP(H207,'BASE DATOS'!$BN$2:$BO$40,2,FALSE),"FD")</f>
        <v>PRIMER PISO</v>
      </c>
      <c r="H207" t="s">
        <v>1265</v>
      </c>
      <c r="I207" t="s">
        <v>970</v>
      </c>
      <c r="J207" t="s">
        <v>1420</v>
      </c>
      <c r="K207">
        <f>IFERROR(IF(VLOOKUP($H207,'BASE DATOS'!$BN$2:$BX$40,3,FALSE)&lt;&gt;0,1,0),"-")</f>
        <v>0</v>
      </c>
      <c r="L207">
        <f>IFERROR(IF(VLOOKUP($H207,'BASE DATOS'!$BN$2:$BX$40,4,FALSE)&lt;&gt;0,1,0),"-")</f>
        <v>0</v>
      </c>
      <c r="M207">
        <f>IFERROR(IF(VLOOKUP($H207,'BASE DATOS'!$BN$2:$BX$40,5,FALSE)&lt;&gt;0,1,0),"-")</f>
        <v>0</v>
      </c>
      <c r="N207">
        <f>IFERROR(IF(VLOOKUP($H207,'BASE DATOS'!$BN$2:$BX$40,6,FALSE)&lt;&gt;0,1,0),"-")</f>
        <v>1</v>
      </c>
      <c r="O207">
        <v>0</v>
      </c>
      <c r="P207">
        <f>IFERROR(IF(VLOOKUP($H207,'BASE DATOS'!$BN$2:$BX$40,8,FALSE)&lt;&gt;0,1,0),"-")</f>
        <v>0</v>
      </c>
      <c r="Q207">
        <f>IFERROR(IF(VLOOKUP($H207,'BASE DATOS'!$BN$2:$BX$40,9,FALSE)&lt;&gt;0,1,0),"-")</f>
        <v>0</v>
      </c>
      <c r="R207">
        <f>IFERROR(IF(VLOOKUP($H207,'BASE DATOS'!$BN$2:$BX$40,10,FALSE)&lt;&gt;0,1,0),"-")</f>
        <v>0</v>
      </c>
      <c r="S207">
        <f>IFERROR(IF(VLOOKUP($H207,'BASE DATOS'!$BN$2:$BX$40,11,FALSE)&lt;&gt;0,1,0),"-")</f>
        <v>0</v>
      </c>
      <c r="T207" t="s">
        <v>341</v>
      </c>
    </row>
    <row r="208" spans="1:20" ht="15" customHeight="1">
      <c r="A208" s="786">
        <f t="shared" si="19"/>
        <v>44</v>
      </c>
      <c r="B208" s="786" t="str">
        <f t="shared" si="20"/>
        <v>TM</v>
      </c>
      <c r="C208" s="786">
        <f t="shared" si="21"/>
        <v>0</v>
      </c>
      <c r="D208" s="786" t="str">
        <f t="shared" si="22"/>
        <v>NO</v>
      </c>
      <c r="E208" s="38">
        <v>45961</v>
      </c>
      <c r="F208" s="614">
        <v>0.66666666666666663</v>
      </c>
      <c r="G208" s="614" t="str">
        <f>IFERROR(VLOOKUP(H208,'BASE DATOS'!$BN$2:$BO$40,2,FALSE),"FD")</f>
        <v>PRIMER PISO</v>
      </c>
      <c r="H208" t="s">
        <v>1271</v>
      </c>
      <c r="I208" t="s">
        <v>1194</v>
      </c>
      <c r="J208" t="s">
        <v>1421</v>
      </c>
      <c r="K208">
        <f>IFERROR(IF(VLOOKUP($H208,'BASE DATOS'!$BN$2:$BX$40,3,FALSE)&lt;&gt;0,1,0),"-")</f>
        <v>0</v>
      </c>
      <c r="L208">
        <f>IFERROR(IF(VLOOKUP($H208,'BASE DATOS'!$BN$2:$BX$40,4,FALSE)&lt;&gt;0,1,0),"-")</f>
        <v>0</v>
      </c>
      <c r="M208">
        <f>IFERROR(IF(VLOOKUP($H208,'BASE DATOS'!$BN$2:$BX$40,5,FALSE)&lt;&gt;0,1,0),"-")</f>
        <v>0</v>
      </c>
      <c r="N208">
        <f>IFERROR(IF(VLOOKUP($H208,'BASE DATOS'!$BN$2:$BX$40,6,FALSE)&lt;&gt;0,1,0),"-")</f>
        <v>1</v>
      </c>
      <c r="O208">
        <v>0</v>
      </c>
      <c r="P208">
        <f>IFERROR(IF(VLOOKUP($H208,'BASE DATOS'!$BN$2:$BX$40,8,FALSE)&lt;&gt;0,1,0),"-")</f>
        <v>0</v>
      </c>
      <c r="Q208">
        <f>IFERROR(IF(VLOOKUP($H208,'BASE DATOS'!$BN$2:$BX$40,9,FALSE)&lt;&gt;0,1,0),"-")</f>
        <v>0</v>
      </c>
      <c r="R208">
        <f>IFERROR(IF(VLOOKUP($H208,'BASE DATOS'!$BN$2:$BX$40,10,FALSE)&lt;&gt;0,1,0),"-")</f>
        <v>0</v>
      </c>
      <c r="S208">
        <f>IFERROR(IF(VLOOKUP($H208,'BASE DATOS'!$BN$2:$BX$40,11,FALSE)&lt;&gt;0,1,0),"-")</f>
        <v>0</v>
      </c>
      <c r="T208" t="s">
        <v>341</v>
      </c>
    </row>
    <row r="209" spans="1:20" ht="15" customHeight="1">
      <c r="A209" s="786">
        <f t="shared" si="19"/>
        <v>44</v>
      </c>
      <c r="B209" s="786" t="str">
        <f t="shared" si="20"/>
        <v>TM</v>
      </c>
      <c r="C209" s="786">
        <f t="shared" si="21"/>
        <v>0</v>
      </c>
      <c r="D209" s="786" t="str">
        <f t="shared" si="22"/>
        <v>NO</v>
      </c>
      <c r="E209" s="38">
        <v>45961</v>
      </c>
      <c r="F209" s="614">
        <v>0.66666666666666663</v>
      </c>
      <c r="G209" s="614" t="str">
        <f>IFERROR(VLOOKUP(H209,'BASE DATOS'!$BN$2:$BO$40,2,FALSE),"FD")</f>
        <v>PRIMER PISO</v>
      </c>
      <c r="H209" t="s">
        <v>1193</v>
      </c>
      <c r="I209" t="s">
        <v>1201</v>
      </c>
      <c r="J209" t="s">
        <v>1422</v>
      </c>
      <c r="K209">
        <f>IFERROR(IF(VLOOKUP($H209,'BASE DATOS'!$BN$2:$BX$40,3,FALSE)&lt;&gt;0,1,0),"-")</f>
        <v>0</v>
      </c>
      <c r="L209">
        <f>IFERROR(IF(VLOOKUP($H209,'BASE DATOS'!$BN$2:$BX$40,4,FALSE)&lt;&gt;0,1,0),"-")</f>
        <v>0</v>
      </c>
      <c r="M209">
        <f>IFERROR(IF(VLOOKUP($H209,'BASE DATOS'!$BN$2:$BX$40,5,FALSE)&lt;&gt;0,1,0),"-")</f>
        <v>0</v>
      </c>
      <c r="N209">
        <f>IFERROR(IF(VLOOKUP($H209,'BASE DATOS'!$BN$2:$BX$40,6,FALSE)&lt;&gt;0,1,0),"-")</f>
        <v>1</v>
      </c>
      <c r="O209">
        <v>0</v>
      </c>
      <c r="P209">
        <f>IFERROR(IF(VLOOKUP($H209,'BASE DATOS'!$BN$2:$BX$40,8,FALSE)&lt;&gt;0,1,0),"-")</f>
        <v>0</v>
      </c>
      <c r="Q209">
        <f>IFERROR(IF(VLOOKUP($H209,'BASE DATOS'!$BN$2:$BX$40,9,FALSE)&lt;&gt;0,1,0),"-")</f>
        <v>0</v>
      </c>
      <c r="R209">
        <f>IFERROR(IF(VLOOKUP($H209,'BASE DATOS'!$BN$2:$BX$40,10,FALSE)&lt;&gt;0,1,0),"-")</f>
        <v>0</v>
      </c>
      <c r="S209">
        <f>IFERROR(IF(VLOOKUP($H209,'BASE DATOS'!$BN$2:$BX$40,11,FALSE)&lt;&gt;0,1,0),"-")</f>
        <v>0</v>
      </c>
      <c r="T209" t="s">
        <v>341</v>
      </c>
    </row>
    <row r="210" spans="1:20" ht="15" customHeight="1">
      <c r="A210" s="786">
        <f t="shared" si="19"/>
        <v>44</v>
      </c>
      <c r="B210" s="786" t="str">
        <f t="shared" si="20"/>
        <v>TM</v>
      </c>
      <c r="C210" s="786">
        <f t="shared" si="21"/>
        <v>0</v>
      </c>
      <c r="D210" s="786" t="str">
        <f t="shared" si="22"/>
        <v>SI</v>
      </c>
      <c r="E210" s="38">
        <v>45961</v>
      </c>
      <c r="F210" s="614">
        <v>0.66666666666666663</v>
      </c>
      <c r="G210" s="614" t="str">
        <f>IFERROR(VLOOKUP(H210,'BASE DATOS'!$BN$2:$BO$40,2,FALSE),"FD")</f>
        <v>PRIMER PISO</v>
      </c>
      <c r="H210" t="s">
        <v>1206</v>
      </c>
      <c r="I210" t="s">
        <v>1207</v>
      </c>
      <c r="J210" t="s">
        <v>1423</v>
      </c>
      <c r="K210">
        <f>IFERROR(IF(VLOOKUP($H210,'BASE DATOS'!$BN$2:$BX$40,3,FALSE)&lt;&gt;0,1,0),"-")</f>
        <v>1</v>
      </c>
      <c r="L210">
        <f>IFERROR(IF(VLOOKUP($H210,'BASE DATOS'!$BN$2:$BX$40,4,FALSE)&lt;&gt;0,1,0),"-")</f>
        <v>1</v>
      </c>
      <c r="M210">
        <f>IFERROR(IF(VLOOKUP($H210,'BASE DATOS'!$BN$2:$BX$40,5,FALSE)&lt;&gt;0,1,0),"-")</f>
        <v>1</v>
      </c>
      <c r="N210">
        <f>IFERROR(IF(VLOOKUP($H210,'BASE DATOS'!$BN$2:$BX$40,6,FALSE)&lt;&gt;0,1,0),"-")</f>
        <v>1</v>
      </c>
      <c r="O210">
        <f>IFERROR(IF(VLOOKUP($H210,'BASE DATOS'!$BN$2:$BX$40,7,FALSE)&lt;&gt;0,1,0),"-")</f>
        <v>1</v>
      </c>
      <c r="P210">
        <f>IFERROR(IF(VLOOKUP($H210,'BASE DATOS'!$BN$2:$BX$40,8,FALSE)&lt;&gt;0,1,0),"-")</f>
        <v>1</v>
      </c>
      <c r="Q210">
        <f>IFERROR(IF(VLOOKUP($H210,'BASE DATOS'!$BN$2:$BX$40,9,FALSE)&lt;&gt;0,1,0),"-")</f>
        <v>1</v>
      </c>
      <c r="R210">
        <f>IFERROR(IF(VLOOKUP($H210,'BASE DATOS'!$BN$2:$BX$40,10,FALSE)&lt;&gt;0,1,0),"-")</f>
        <v>1</v>
      </c>
      <c r="S210">
        <f>IFERROR(IF(VLOOKUP($H210,'BASE DATOS'!$BN$2:$BX$40,11,FALSE)&lt;&gt;0,1,0),"-")</f>
        <v>1</v>
      </c>
      <c r="T210" t="s">
        <v>341</v>
      </c>
    </row>
    <row r="211" spans="1:20" ht="15" customHeight="1">
      <c r="A211" s="786">
        <f t="shared" si="19"/>
        <v>45</v>
      </c>
      <c r="B211" s="786" t="str">
        <f t="shared" si="20"/>
        <v>TT</v>
      </c>
      <c r="C211" s="786">
        <f t="shared" si="21"/>
        <v>1</v>
      </c>
      <c r="D211" s="786" t="str">
        <f t="shared" si="22"/>
        <v>NO</v>
      </c>
      <c r="E211" s="38">
        <v>45964</v>
      </c>
      <c r="F211" s="614">
        <v>0.875</v>
      </c>
      <c r="G211" s="614" t="str">
        <f>IFERROR(VLOOKUP(H211,'BASE DATOS'!$BN$2:$BO$40,2,FALSE),"FD")</f>
        <v>PLANTA BAJA</v>
      </c>
      <c r="H211" t="s">
        <v>1215</v>
      </c>
      <c r="I211" t="s">
        <v>1214</v>
      </c>
      <c r="J211" t="s">
        <v>1424</v>
      </c>
      <c r="K211">
        <v>0</v>
      </c>
      <c r="L211">
        <v>0</v>
      </c>
      <c r="M211">
        <f>IFERROR(IF(VLOOKUP($H211,'BASE DATOS'!$BN$2:$BX$40,5,FALSE)&lt;&gt;0,1,0),"-")</f>
        <v>1</v>
      </c>
      <c r="N211">
        <f>IFERROR(IF(VLOOKUP($H211,'BASE DATOS'!$BN$2:$BX$40,6,FALSE)&lt;&gt;0,1,0),"-")</f>
        <v>0</v>
      </c>
      <c r="O211">
        <v>1</v>
      </c>
      <c r="P211">
        <f>IFERROR(IF(VLOOKUP($H211,'BASE DATOS'!$BN$2:$BX$40,8,FALSE)&lt;&gt;0,1,0),"-")</f>
        <v>0</v>
      </c>
      <c r="Q211">
        <f>IFERROR(IF(VLOOKUP($H211,'BASE DATOS'!$BN$2:$BX$40,9,FALSE)&lt;&gt;0,1,0),"-")</f>
        <v>0</v>
      </c>
      <c r="R211">
        <f>IFERROR(IF(VLOOKUP($H211,'BASE DATOS'!$BN$2:$BX$40,10,FALSE)&lt;&gt;0,1,0),"-")</f>
        <v>0</v>
      </c>
      <c r="S211">
        <f>IFERROR(IF(VLOOKUP($H211,'BASE DATOS'!$BN$2:$BX$40,11,FALSE)&lt;&gt;0,1,0),"-")</f>
        <v>0</v>
      </c>
      <c r="T211" t="s">
        <v>341</v>
      </c>
    </row>
    <row r="212" spans="1:20" ht="15" customHeight="1">
      <c r="A212" s="786">
        <f t="shared" si="19"/>
        <v>45</v>
      </c>
      <c r="B212" s="786" t="str">
        <f t="shared" si="20"/>
        <v>TT</v>
      </c>
      <c r="C212" s="786">
        <f t="shared" si="21"/>
        <v>0</v>
      </c>
      <c r="D212" s="786" t="str">
        <f t="shared" si="22"/>
        <v>NO</v>
      </c>
      <c r="E212" s="38">
        <v>45964</v>
      </c>
      <c r="F212" s="614">
        <v>0.875</v>
      </c>
      <c r="G212" s="614" t="str">
        <f>IFERROR(VLOOKUP(H212,'BASE DATOS'!$BN$2:$BO$40,2,FALSE),"FD")</f>
        <v>PLANTA BAJA</v>
      </c>
      <c r="H212" t="s">
        <v>1200</v>
      </c>
      <c r="I212" t="s">
        <v>1210</v>
      </c>
      <c r="J212" t="s">
        <v>1425</v>
      </c>
      <c r="K212">
        <f>IFERROR(IF(VLOOKUP($H212,'BASE DATOS'!$BN$2:$BX$40,3,FALSE)&lt;&gt;0,1,0),"-")</f>
        <v>0</v>
      </c>
      <c r="L212">
        <v>0</v>
      </c>
      <c r="M212">
        <v>0</v>
      </c>
      <c r="N212">
        <v>0</v>
      </c>
      <c r="O212">
        <v>0</v>
      </c>
      <c r="P212">
        <f>IFERROR(IF(VLOOKUP($H212,'BASE DATOS'!$BN$2:$BX$40,8,FALSE)&lt;&gt;0,1,0),"-")</f>
        <v>0</v>
      </c>
      <c r="Q212">
        <f>IFERROR(IF(VLOOKUP($H212,'BASE DATOS'!$BN$2:$BX$40,9,FALSE)&lt;&gt;0,1,0),"-")</f>
        <v>0</v>
      </c>
      <c r="R212">
        <f>IFERROR(IF(VLOOKUP($H212,'BASE DATOS'!$BN$2:$BX$40,10,FALSE)&lt;&gt;0,1,0),"-")</f>
        <v>0</v>
      </c>
      <c r="S212">
        <f>IFERROR(IF(VLOOKUP($H212,'BASE DATOS'!$BN$2:$BX$40,11,FALSE)&lt;&gt;0,1,0),"-")</f>
        <v>0</v>
      </c>
      <c r="T212" t="s">
        <v>341</v>
      </c>
    </row>
    <row r="213" spans="1:20" ht="15" customHeight="1">
      <c r="A213" s="786">
        <f t="shared" si="19"/>
        <v>45</v>
      </c>
      <c r="B213" s="786" t="str">
        <f t="shared" si="20"/>
        <v>TT</v>
      </c>
      <c r="C213" s="786">
        <f t="shared" si="21"/>
        <v>0</v>
      </c>
      <c r="D213" s="786" t="str">
        <f t="shared" si="22"/>
        <v>NO</v>
      </c>
      <c r="E213" s="38">
        <v>45964</v>
      </c>
      <c r="F213" s="614">
        <v>0.875</v>
      </c>
      <c r="G213" s="614" t="str">
        <f>IFERROR(VLOOKUP(H213,'BASE DATOS'!$BN$2:$BO$40,2,FALSE),"FD")</f>
        <v>PLANTA BAJA</v>
      </c>
      <c r="H213" t="s">
        <v>1200</v>
      </c>
      <c r="I213" t="s">
        <v>1214</v>
      </c>
      <c r="J213" t="s">
        <v>1426</v>
      </c>
      <c r="K213">
        <f>IFERROR(IF(VLOOKUP($H213,'BASE DATOS'!$BN$2:$BX$40,3,FALSE)&lt;&gt;0,1,0),"-")</f>
        <v>0</v>
      </c>
      <c r="L213">
        <v>0</v>
      </c>
      <c r="M213">
        <f>IFERROR(IF(VLOOKUP($H213,'BASE DATOS'!$BN$2:$BX$40,5,FALSE)&lt;&gt;0,1,0),"-")</f>
        <v>1</v>
      </c>
      <c r="N213">
        <v>0</v>
      </c>
      <c r="O213">
        <f>IFERROR(IF(VLOOKUP($H213,'BASE DATOS'!$BN$2:$BX$40,7,FALSE)&lt;&gt;0,1,0),"-")</f>
        <v>1</v>
      </c>
      <c r="P213">
        <f>IFERROR(IF(VLOOKUP($H213,'BASE DATOS'!$BN$2:$BX$40,8,FALSE)&lt;&gt;0,1,0),"-")</f>
        <v>0</v>
      </c>
      <c r="Q213">
        <f>IFERROR(IF(VLOOKUP($H213,'BASE DATOS'!$BN$2:$BX$40,9,FALSE)&lt;&gt;0,1,0),"-")</f>
        <v>0</v>
      </c>
      <c r="R213">
        <f>IFERROR(IF(VLOOKUP($H213,'BASE DATOS'!$BN$2:$BX$40,10,FALSE)&lt;&gt;0,1,0),"-")</f>
        <v>0</v>
      </c>
      <c r="S213">
        <f>IFERROR(IF(VLOOKUP($H213,'BASE DATOS'!$BN$2:$BX$40,11,FALSE)&lt;&gt;0,1,0),"-")</f>
        <v>0</v>
      </c>
      <c r="T213" t="s">
        <v>341</v>
      </c>
    </row>
    <row r="214" spans="1:20" ht="15" customHeight="1">
      <c r="A214" s="786">
        <f t="shared" si="19"/>
        <v>45</v>
      </c>
      <c r="B214" s="786" t="str">
        <f t="shared" si="20"/>
        <v>TT</v>
      </c>
      <c r="C214" s="786">
        <f t="shared" si="21"/>
        <v>0</v>
      </c>
      <c r="D214" s="786" t="str">
        <f t="shared" si="22"/>
        <v>NO</v>
      </c>
      <c r="E214" s="38">
        <v>45964</v>
      </c>
      <c r="F214" s="614">
        <v>0.875</v>
      </c>
      <c r="G214" s="614" t="str">
        <f>IFERROR(VLOOKUP(H214,'BASE DATOS'!$BN$2:$BO$40,2,FALSE),"FD")</f>
        <v>PLANTA BAJA</v>
      </c>
      <c r="H214" t="s">
        <v>1202</v>
      </c>
      <c r="I214" t="s">
        <v>1214</v>
      </c>
      <c r="J214" t="s">
        <v>1427</v>
      </c>
      <c r="K214">
        <f>IFERROR(IF(VLOOKUP($H214,'BASE DATOS'!$BN$2:$BX$40,3,FALSE)&lt;&gt;0,1,0),"-")</f>
        <v>0</v>
      </c>
      <c r="L214">
        <v>0</v>
      </c>
      <c r="M214">
        <f>IFERROR(IF(VLOOKUP($H214,'BASE DATOS'!$BN$2:$BX$40,5,FALSE)&lt;&gt;0,1,0),"-")</f>
        <v>1</v>
      </c>
      <c r="N214">
        <v>0</v>
      </c>
      <c r="O214">
        <f>IFERROR(IF(VLOOKUP($H214,'BASE DATOS'!$BN$2:$BX$40,7,FALSE)&lt;&gt;0,1,0),"-")</f>
        <v>1</v>
      </c>
      <c r="P214">
        <f>IFERROR(IF(VLOOKUP($H214,'BASE DATOS'!$BN$2:$BX$40,8,FALSE)&lt;&gt;0,1,0),"-")</f>
        <v>0</v>
      </c>
      <c r="Q214">
        <f>IFERROR(IF(VLOOKUP($H214,'BASE DATOS'!$BN$2:$BX$40,9,FALSE)&lt;&gt;0,1,0),"-")</f>
        <v>0</v>
      </c>
      <c r="R214">
        <f>IFERROR(IF(VLOOKUP($H214,'BASE DATOS'!$BN$2:$BX$40,10,FALSE)&lt;&gt;0,1,0),"-")</f>
        <v>0</v>
      </c>
      <c r="S214">
        <f>IFERROR(IF(VLOOKUP($H214,'BASE DATOS'!$BN$2:$BX$40,11,FALSE)&lt;&gt;0,1,0),"-")</f>
        <v>0</v>
      </c>
      <c r="T214" t="s">
        <v>341</v>
      </c>
    </row>
    <row r="215" spans="1:20" ht="15" customHeight="1">
      <c r="A215" s="786">
        <f t="shared" si="19"/>
        <v>45</v>
      </c>
      <c r="B215" s="786" t="str">
        <f t="shared" si="20"/>
        <v>TT</v>
      </c>
      <c r="C215" s="786">
        <f t="shared" si="21"/>
        <v>0</v>
      </c>
      <c r="D215" s="786" t="str">
        <f t="shared" si="22"/>
        <v>NO</v>
      </c>
      <c r="E215" s="38">
        <v>45964</v>
      </c>
      <c r="F215" s="614">
        <v>0.875</v>
      </c>
      <c r="G215" s="614" t="str">
        <f>IFERROR(VLOOKUP(H215,'BASE DATOS'!$BN$2:$BO$40,2,FALSE),"FD")</f>
        <v>PLANTA BAJA</v>
      </c>
      <c r="H215" t="s">
        <v>1245</v>
      </c>
      <c r="I215" t="s">
        <v>1201</v>
      </c>
      <c r="J215" t="s">
        <v>1428</v>
      </c>
      <c r="K215">
        <v>0</v>
      </c>
      <c r="L215">
        <v>0</v>
      </c>
      <c r="M215">
        <f>IFERROR(IF(VLOOKUP($H215,'BASE DATOS'!$BN$2:$BX$40,5,FALSE)&lt;&gt;0,1,0),"-")</f>
        <v>1</v>
      </c>
      <c r="N215">
        <f>IFERROR(IF(VLOOKUP($H215,'BASE DATOS'!$BN$2:$BX$40,6,FALSE)&lt;&gt;0,1,0),"-")</f>
        <v>0</v>
      </c>
      <c r="O215">
        <v>1</v>
      </c>
      <c r="P215">
        <f>IFERROR(IF(VLOOKUP($H215,'BASE DATOS'!$BN$2:$BX$40,8,FALSE)&lt;&gt;0,1,0),"-")</f>
        <v>0</v>
      </c>
      <c r="Q215">
        <f>IFERROR(IF(VLOOKUP($H215,'BASE DATOS'!$BN$2:$BX$40,9,FALSE)&lt;&gt;0,1,0),"-")</f>
        <v>0</v>
      </c>
      <c r="R215">
        <f>IFERROR(IF(VLOOKUP($H215,'BASE DATOS'!$BN$2:$BX$40,10,FALSE)&lt;&gt;0,1,0),"-")</f>
        <v>0</v>
      </c>
      <c r="S215">
        <f>IFERROR(IF(VLOOKUP($H215,'BASE DATOS'!$BN$2:$BX$40,11,FALSE)&lt;&gt;0,1,0),"-")</f>
        <v>0</v>
      </c>
      <c r="T215" t="s">
        <v>341</v>
      </c>
    </row>
    <row r="216" spans="1:20" ht="15" customHeight="1">
      <c r="A216" s="786">
        <f t="shared" si="19"/>
        <v>45</v>
      </c>
      <c r="B216" s="786" t="str">
        <f t="shared" si="20"/>
        <v>TT</v>
      </c>
      <c r="C216" s="786">
        <f t="shared" si="21"/>
        <v>0</v>
      </c>
      <c r="D216" s="786" t="str">
        <f t="shared" si="22"/>
        <v>NO</v>
      </c>
      <c r="E216" s="38">
        <v>45964</v>
      </c>
      <c r="F216" s="614">
        <v>0.875</v>
      </c>
      <c r="G216" s="614" t="str">
        <f>IFERROR(VLOOKUP(H216,'BASE DATOS'!$BN$2:$BO$40,2,FALSE),"FD")</f>
        <v>PLANTA BAJA</v>
      </c>
      <c r="H216" t="s">
        <v>1245</v>
      </c>
      <c r="I216" t="s">
        <v>970</v>
      </c>
      <c r="J216" t="s">
        <v>1429</v>
      </c>
      <c r="K216">
        <v>0</v>
      </c>
      <c r="L216">
        <v>0</v>
      </c>
      <c r="M216">
        <f>IFERROR(IF(VLOOKUP($H216,'BASE DATOS'!$BN$2:$BX$40,5,FALSE)&lt;&gt;0,1,0),"-")</f>
        <v>1</v>
      </c>
      <c r="N216">
        <f>IFERROR(IF(VLOOKUP($H216,'BASE DATOS'!$BN$2:$BX$40,6,FALSE)&lt;&gt;0,1,0),"-")</f>
        <v>0</v>
      </c>
      <c r="O216">
        <v>0</v>
      </c>
      <c r="P216">
        <f>IFERROR(IF(VLOOKUP($H216,'BASE DATOS'!$BN$2:$BX$40,8,FALSE)&lt;&gt;0,1,0),"-")</f>
        <v>0</v>
      </c>
      <c r="Q216">
        <f>IFERROR(IF(VLOOKUP($H216,'BASE DATOS'!$BN$2:$BX$40,9,FALSE)&lt;&gt;0,1,0),"-")</f>
        <v>0</v>
      </c>
      <c r="R216">
        <f>IFERROR(IF(VLOOKUP($H216,'BASE DATOS'!$BN$2:$BX$40,10,FALSE)&lt;&gt;0,1,0),"-")</f>
        <v>0</v>
      </c>
      <c r="S216">
        <f>IFERROR(IF(VLOOKUP($H216,'BASE DATOS'!$BN$2:$BX$40,11,FALSE)&lt;&gt;0,1,0),"-")</f>
        <v>0</v>
      </c>
      <c r="T216" t="s">
        <v>341</v>
      </c>
    </row>
    <row r="217" spans="1:20" ht="15" customHeight="1">
      <c r="A217" s="786">
        <f t="shared" si="19"/>
        <v>45</v>
      </c>
      <c r="B217" s="786" t="str">
        <f t="shared" si="20"/>
        <v>TT</v>
      </c>
      <c r="C217" s="786">
        <f t="shared" si="21"/>
        <v>0</v>
      </c>
      <c r="D217" s="786" t="str">
        <f t="shared" si="22"/>
        <v>SI</v>
      </c>
      <c r="E217" s="38">
        <v>45964</v>
      </c>
      <c r="F217" s="614">
        <v>0.875</v>
      </c>
      <c r="G217" s="614" t="str">
        <f>IFERROR(VLOOKUP(H217,'BASE DATOS'!$BN$2:$BO$40,2,FALSE),"FD")</f>
        <v>PLANTA BAJA</v>
      </c>
      <c r="H217" t="s">
        <v>1228</v>
      </c>
      <c r="I217" t="s">
        <v>1207</v>
      </c>
      <c r="J217" t="s">
        <v>1430</v>
      </c>
      <c r="K217">
        <f>IFERROR(IF(VLOOKUP($H217,'BASE DATOS'!$BN$2:$BX$40,3,FALSE)&lt;&gt;0,1,0),"-")</f>
        <v>1</v>
      </c>
      <c r="L217">
        <f>IFERROR(IF(VLOOKUP($H217,'BASE DATOS'!$BN$2:$BX$40,4,FALSE)&lt;&gt;0,1,0),"-")</f>
        <v>1</v>
      </c>
      <c r="M217">
        <f>IFERROR(IF(VLOOKUP($H217,'BASE DATOS'!$BN$2:$BX$40,5,FALSE)&lt;&gt;0,1,0),"-")</f>
        <v>1</v>
      </c>
      <c r="N217">
        <f>IFERROR(IF(VLOOKUP($H217,'BASE DATOS'!$BN$2:$BX$40,6,FALSE)&lt;&gt;0,1,0),"-")</f>
        <v>1</v>
      </c>
      <c r="O217">
        <f>IFERROR(IF(VLOOKUP($H217,'BASE DATOS'!$BN$2:$BX$40,7,FALSE)&lt;&gt;0,1,0),"-")</f>
        <v>1</v>
      </c>
      <c r="P217">
        <f>IFERROR(IF(VLOOKUP($H217,'BASE DATOS'!$BN$2:$BX$40,8,FALSE)&lt;&gt;0,1,0),"-")</f>
        <v>1</v>
      </c>
      <c r="Q217">
        <f>IFERROR(IF(VLOOKUP($H217,'BASE DATOS'!$BN$2:$BX$40,9,FALSE)&lt;&gt;0,1,0),"-")</f>
        <v>1</v>
      </c>
      <c r="R217">
        <f>IFERROR(IF(VLOOKUP($H217,'BASE DATOS'!$BN$2:$BX$40,10,FALSE)&lt;&gt;0,1,0),"-")</f>
        <v>1</v>
      </c>
      <c r="S217">
        <f>IFERROR(IF(VLOOKUP($H217,'BASE DATOS'!$BN$2:$BX$40,11,FALSE)&lt;&gt;0,1,0),"-")</f>
        <v>1</v>
      </c>
      <c r="T217" t="s">
        <v>341</v>
      </c>
    </row>
    <row r="218" spans="1:20" ht="15" customHeight="1">
      <c r="A218" s="786">
        <f t="shared" si="19"/>
        <v>45</v>
      </c>
      <c r="B218" s="786" t="str">
        <f t="shared" si="20"/>
        <v>TT</v>
      </c>
      <c r="C218" s="786">
        <f t="shared" si="21"/>
        <v>0</v>
      </c>
      <c r="D218" s="786" t="str">
        <f t="shared" si="22"/>
        <v>SI</v>
      </c>
      <c r="E218" s="38">
        <v>45964</v>
      </c>
      <c r="F218" s="614">
        <v>0.875</v>
      </c>
      <c r="G218" s="614" t="str">
        <f>IFERROR(VLOOKUP(H218,'BASE DATOS'!$BN$2:$BO$40,2,FALSE),"FD")</f>
        <v>PLANTA BAJA</v>
      </c>
      <c r="H218" t="s">
        <v>1228</v>
      </c>
      <c r="I218" t="s">
        <v>1210</v>
      </c>
      <c r="J218" t="s">
        <v>1431</v>
      </c>
      <c r="K218">
        <f>IFERROR(IF(VLOOKUP($H218,'BASE DATOS'!$BN$2:$BX$40,3,FALSE)&lt;&gt;0,1,0),"-")</f>
        <v>1</v>
      </c>
      <c r="L218">
        <f>IFERROR(IF(VLOOKUP($H218,'BASE DATOS'!$BN$2:$BX$40,4,FALSE)&lt;&gt;0,1,0),"-")</f>
        <v>1</v>
      </c>
      <c r="M218">
        <f>IFERROR(IF(VLOOKUP($H218,'BASE DATOS'!$BN$2:$BX$40,5,FALSE)&lt;&gt;0,1,0),"-")</f>
        <v>1</v>
      </c>
      <c r="N218">
        <f>IFERROR(IF(VLOOKUP($H218,'BASE DATOS'!$BN$2:$BX$40,6,FALSE)&lt;&gt;0,1,0),"-")</f>
        <v>1</v>
      </c>
      <c r="O218">
        <f>IFERROR(IF(VLOOKUP($H218,'BASE DATOS'!$BN$2:$BX$40,7,FALSE)&lt;&gt;0,1,0),"-")</f>
        <v>1</v>
      </c>
      <c r="P218">
        <f>IFERROR(IF(VLOOKUP($H218,'BASE DATOS'!$BN$2:$BX$40,8,FALSE)&lt;&gt;0,1,0),"-")</f>
        <v>1</v>
      </c>
      <c r="Q218">
        <f>IFERROR(IF(VLOOKUP($H218,'BASE DATOS'!$BN$2:$BX$40,9,FALSE)&lt;&gt;0,1,0),"-")</f>
        <v>1</v>
      </c>
      <c r="R218">
        <f>IFERROR(IF(VLOOKUP($H218,'BASE DATOS'!$BN$2:$BX$40,10,FALSE)&lt;&gt;0,1,0),"-")</f>
        <v>1</v>
      </c>
      <c r="S218">
        <f>IFERROR(IF(VLOOKUP($H218,'BASE DATOS'!$BN$2:$BX$40,11,FALSE)&lt;&gt;0,1,0),"-")</f>
        <v>1</v>
      </c>
      <c r="T218" t="s">
        <v>341</v>
      </c>
    </row>
    <row r="219" spans="1:20" ht="15" customHeight="1">
      <c r="A219" s="786">
        <f t="shared" si="19"/>
        <v>45</v>
      </c>
      <c r="B219" s="786" t="str">
        <f t="shared" si="20"/>
        <v>TT</v>
      </c>
      <c r="C219" s="786">
        <f t="shared" si="21"/>
        <v>0</v>
      </c>
      <c r="D219" s="786" t="str">
        <f t="shared" si="22"/>
        <v>NO</v>
      </c>
      <c r="E219" s="38">
        <v>45964</v>
      </c>
      <c r="F219" s="614">
        <v>0.875</v>
      </c>
      <c r="G219" s="614" t="str">
        <f>IFERROR(VLOOKUP(H219,'BASE DATOS'!$BN$2:$BO$40,2,FALSE),"FD")</f>
        <v>PLANTA BAJA</v>
      </c>
      <c r="H219" t="s">
        <v>1202</v>
      </c>
      <c r="I219" t="s">
        <v>1210</v>
      </c>
      <c r="J219" t="s">
        <v>1432</v>
      </c>
      <c r="K219">
        <f>IFERROR(IF(VLOOKUP($H219,'BASE DATOS'!$BN$2:$BX$40,3,FALSE)&lt;&gt;0,1,0),"-")</f>
        <v>0</v>
      </c>
      <c r="L219">
        <v>0</v>
      </c>
      <c r="M219">
        <f>IFERROR(IF(VLOOKUP($H219,'BASE DATOS'!$BN$2:$BX$40,5,FALSE)&lt;&gt;0,1,0),"-")</f>
        <v>1</v>
      </c>
      <c r="N219">
        <v>0</v>
      </c>
      <c r="O219">
        <f>IFERROR(IF(VLOOKUP($H219,'BASE DATOS'!$BN$2:$BX$40,7,FALSE)&lt;&gt;0,1,0),"-")</f>
        <v>1</v>
      </c>
      <c r="P219">
        <f>IFERROR(IF(VLOOKUP($H219,'BASE DATOS'!$BN$2:$BX$40,8,FALSE)&lt;&gt;0,1,0),"-")</f>
        <v>0</v>
      </c>
      <c r="Q219">
        <f>IFERROR(IF(VLOOKUP($H219,'BASE DATOS'!$BN$2:$BX$40,9,FALSE)&lt;&gt;0,1,0),"-")</f>
        <v>0</v>
      </c>
      <c r="R219">
        <f>IFERROR(IF(VLOOKUP($H219,'BASE DATOS'!$BN$2:$BX$40,10,FALSE)&lt;&gt;0,1,0),"-")</f>
        <v>0</v>
      </c>
      <c r="S219">
        <f>IFERROR(IF(VLOOKUP($H219,'BASE DATOS'!$BN$2:$BX$40,11,FALSE)&lt;&gt;0,1,0),"-")</f>
        <v>0</v>
      </c>
      <c r="T219" t="s">
        <v>341</v>
      </c>
    </row>
    <row r="220" spans="1:20" ht="15" customHeight="1">
      <c r="A220" s="786">
        <f t="shared" si="19"/>
        <v>45</v>
      </c>
      <c r="B220" s="786" t="str">
        <f t="shared" si="20"/>
        <v>TT</v>
      </c>
      <c r="C220" s="786">
        <f t="shared" si="21"/>
        <v>1</v>
      </c>
      <c r="D220" s="786" t="str">
        <f t="shared" si="22"/>
        <v>SI</v>
      </c>
      <c r="E220" s="38">
        <v>45965</v>
      </c>
      <c r="F220" s="614">
        <v>0.25</v>
      </c>
      <c r="G220" s="614" t="str">
        <f>IFERROR(VLOOKUP(H220,'BASE DATOS'!$BN$2:$BO$40,2,FALSE),"FD")</f>
        <v>PRIMER PISO</v>
      </c>
      <c r="H220" t="s">
        <v>1206</v>
      </c>
      <c r="I220" t="s">
        <v>970</v>
      </c>
      <c r="J220" t="s">
        <v>1433</v>
      </c>
      <c r="K220">
        <v>0</v>
      </c>
      <c r="L220">
        <v>0</v>
      </c>
      <c r="M220">
        <v>0</v>
      </c>
      <c r="N220">
        <v>0</v>
      </c>
      <c r="O220">
        <v>0</v>
      </c>
      <c r="P220">
        <v>0</v>
      </c>
      <c r="Q220">
        <v>0</v>
      </c>
      <c r="R220">
        <v>0</v>
      </c>
      <c r="S220">
        <v>0</v>
      </c>
      <c r="T220" t="s">
        <v>341</v>
      </c>
    </row>
    <row r="221" spans="1:20" ht="15" customHeight="1">
      <c r="A221" s="786">
        <f t="shared" si="19"/>
        <v>45</v>
      </c>
      <c r="B221" s="786" t="str">
        <f t="shared" si="20"/>
        <v>TT</v>
      </c>
      <c r="C221" s="786">
        <f t="shared" si="21"/>
        <v>0</v>
      </c>
      <c r="D221" s="786" t="str">
        <f t="shared" si="22"/>
        <v>NO</v>
      </c>
      <c r="E221" s="38">
        <v>45965</v>
      </c>
      <c r="F221" s="614">
        <v>0.25</v>
      </c>
      <c r="G221" s="614" t="str">
        <f>IFERROR(VLOOKUP(H221,'BASE DATOS'!$BN$2:$BO$40,2,FALSE),"FD")</f>
        <v>PRIMER PISO</v>
      </c>
      <c r="H221" t="s">
        <v>1271</v>
      </c>
      <c r="I221" t="s">
        <v>970</v>
      </c>
      <c r="J221" s="46" t="s">
        <v>1434</v>
      </c>
      <c r="K221">
        <f>IFERROR(IF(VLOOKUP($H221,'BASE DATOS'!$BN$2:$BX$40,3,FALSE)&lt;&gt;0,1,0),"-")</f>
        <v>0</v>
      </c>
      <c r="L221">
        <f>IFERROR(IF(VLOOKUP($H221,'BASE DATOS'!$BN$2:$BX$40,4,FALSE)&lt;&gt;0,1,0),"-")</f>
        <v>0</v>
      </c>
      <c r="M221">
        <f>IFERROR(IF(VLOOKUP($H221,'BASE DATOS'!$BN$2:$BX$40,5,FALSE)&lt;&gt;0,1,0),"-")</f>
        <v>0</v>
      </c>
      <c r="N221">
        <v>0</v>
      </c>
      <c r="O221">
        <f>IFERROR(IF(VLOOKUP($H221,'BASE DATOS'!$BN$2:$BX$40,7,FALSE)&lt;&gt;0,1,0),"-")</f>
        <v>1</v>
      </c>
      <c r="P221">
        <f>IFERROR(IF(VLOOKUP($H221,'BASE DATOS'!$BN$2:$BX$40,8,FALSE)&lt;&gt;0,1,0),"-")</f>
        <v>0</v>
      </c>
      <c r="Q221">
        <f>IFERROR(IF(VLOOKUP($H221,'BASE DATOS'!$BN$2:$BX$40,9,FALSE)&lt;&gt;0,1,0),"-")</f>
        <v>0</v>
      </c>
      <c r="R221">
        <f>IFERROR(IF(VLOOKUP($H221,'BASE DATOS'!$BN$2:$BX$40,10,FALSE)&lt;&gt;0,1,0),"-")</f>
        <v>0</v>
      </c>
      <c r="S221">
        <f>IFERROR(IF(VLOOKUP($H221,'BASE DATOS'!$BN$2:$BX$40,11,FALSE)&lt;&gt;0,1,0),"-")</f>
        <v>0</v>
      </c>
      <c r="T221" t="s">
        <v>341</v>
      </c>
    </row>
    <row r="222" spans="1:20" ht="15" customHeight="1">
      <c r="A222" s="786">
        <f t="shared" si="19"/>
        <v>45</v>
      </c>
      <c r="B222" s="786" t="str">
        <f t="shared" si="20"/>
        <v>TT</v>
      </c>
      <c r="C222" s="786">
        <f t="shared" si="21"/>
        <v>0</v>
      </c>
      <c r="D222" s="786" t="str">
        <f t="shared" si="22"/>
        <v>NO</v>
      </c>
      <c r="E222" s="38">
        <v>45965</v>
      </c>
      <c r="F222" s="614">
        <v>0.25</v>
      </c>
      <c r="G222" s="614" t="str">
        <f>IFERROR(VLOOKUP(H222,'BASE DATOS'!$BN$2:$BO$40,2,FALSE),"FD")</f>
        <v>PRIMER PISO</v>
      </c>
      <c r="H222" t="s">
        <v>1265</v>
      </c>
      <c r="I222" t="s">
        <v>970</v>
      </c>
      <c r="J222" t="s">
        <v>1435</v>
      </c>
      <c r="K222">
        <f>IFERROR(IF(VLOOKUP($H222,'BASE DATOS'!$BN$2:$BX$40,3,FALSE)&lt;&gt;0,1,0),"-")</f>
        <v>0</v>
      </c>
      <c r="L222">
        <f>IFERROR(IF(VLOOKUP($H222,'BASE DATOS'!$BN$2:$BX$40,4,FALSE)&lt;&gt;0,1,0),"-")</f>
        <v>0</v>
      </c>
      <c r="M222">
        <f>IFERROR(IF(VLOOKUP($H222,'BASE DATOS'!$BN$2:$BX$40,5,FALSE)&lt;&gt;0,1,0),"-")</f>
        <v>0</v>
      </c>
      <c r="N222">
        <v>0</v>
      </c>
      <c r="O222">
        <f>IFERROR(IF(VLOOKUP($H222,'BASE DATOS'!$BN$2:$BX$40,7,FALSE)&lt;&gt;0,1,0),"-")</f>
        <v>1</v>
      </c>
      <c r="P222">
        <f>IFERROR(IF(VLOOKUP($H222,'BASE DATOS'!$BN$2:$BX$40,8,FALSE)&lt;&gt;0,1,0),"-")</f>
        <v>0</v>
      </c>
      <c r="Q222">
        <f>IFERROR(IF(VLOOKUP($H222,'BASE DATOS'!$BN$2:$BX$40,9,FALSE)&lt;&gt;0,1,0),"-")</f>
        <v>0</v>
      </c>
      <c r="R222">
        <f>IFERROR(IF(VLOOKUP($H222,'BASE DATOS'!$BN$2:$BX$40,10,FALSE)&lt;&gt;0,1,0),"-")</f>
        <v>0</v>
      </c>
      <c r="S222">
        <f>IFERROR(IF(VLOOKUP($H222,'BASE DATOS'!$BN$2:$BX$40,11,FALSE)&lt;&gt;0,1,0),"-")</f>
        <v>0</v>
      </c>
      <c r="T222" t="s">
        <v>341</v>
      </c>
    </row>
    <row r="223" spans="1:20" ht="15" customHeight="1">
      <c r="A223" s="786">
        <f t="shared" si="19"/>
        <v>45</v>
      </c>
      <c r="B223" s="786" t="str">
        <f t="shared" si="20"/>
        <v>TT</v>
      </c>
      <c r="C223" s="786">
        <f t="shared" si="21"/>
        <v>0</v>
      </c>
      <c r="D223" s="786" t="str">
        <f t="shared" si="22"/>
        <v>NO</v>
      </c>
      <c r="E223" s="38">
        <v>45965</v>
      </c>
      <c r="F223" s="614">
        <v>0.25</v>
      </c>
      <c r="G223" s="839" t="str">
        <f>IFERROR(VLOOKUP(H223,'BASE DATOS'!$BN$2:$BO$40,2,FALSE),"FD")</f>
        <v>PRIMER PISO</v>
      </c>
      <c r="H223" s="840" t="s">
        <v>1195</v>
      </c>
      <c r="I223" s="840" t="s">
        <v>970</v>
      </c>
      <c r="J223" s="840" t="s">
        <v>1436</v>
      </c>
      <c r="K223">
        <f>IFERROR(IF(VLOOKUP($H223,'BASE DATOS'!$BN$2:$BX$40,3,FALSE)&lt;&gt;0,1,0),"-")</f>
        <v>0</v>
      </c>
      <c r="L223">
        <f>IFERROR(IF(VLOOKUP($H223,'BASE DATOS'!$BN$2:$BX$40,4,FALSE)&lt;&gt;0,1,0),"-")</f>
        <v>0</v>
      </c>
      <c r="M223">
        <f>IFERROR(IF(VLOOKUP($H223,'BASE DATOS'!$BN$2:$BX$40,5,FALSE)&lt;&gt;0,1,0),"-")</f>
        <v>0</v>
      </c>
      <c r="N223">
        <v>0</v>
      </c>
      <c r="O223">
        <v>0</v>
      </c>
      <c r="P223">
        <f>IFERROR(IF(VLOOKUP($H223,'BASE DATOS'!$BN$2:$BX$40,8,FALSE)&lt;&gt;0,1,0),"-")</f>
        <v>0</v>
      </c>
      <c r="Q223">
        <f>IFERROR(IF(VLOOKUP($H223,'BASE DATOS'!$BN$2:$BX$40,9,FALSE)&lt;&gt;0,1,0),"-")</f>
        <v>0</v>
      </c>
      <c r="R223">
        <f>IFERROR(IF(VLOOKUP($H223,'BASE DATOS'!$BN$2:$BX$40,10,FALSE)&lt;&gt;0,1,0),"-")</f>
        <v>0</v>
      </c>
      <c r="S223">
        <f>IFERROR(IF(VLOOKUP($H223,'BASE DATOS'!$BN$2:$BX$40,11,FALSE)&lt;&gt;0,1,0),"-")</f>
        <v>0</v>
      </c>
      <c r="T223" t="s">
        <v>341</v>
      </c>
    </row>
    <row r="224" spans="1:20" ht="15" customHeight="1">
      <c r="A224" s="786">
        <f t="shared" si="19"/>
        <v>45</v>
      </c>
      <c r="B224" s="786" t="str">
        <f t="shared" si="20"/>
        <v>TT</v>
      </c>
      <c r="C224" s="786">
        <f t="shared" si="21"/>
        <v>0</v>
      </c>
      <c r="D224" s="786" t="str">
        <f t="shared" si="22"/>
        <v>NO</v>
      </c>
      <c r="E224" s="38">
        <v>45965</v>
      </c>
      <c r="F224" s="614">
        <v>0.25</v>
      </c>
      <c r="G224" s="614" t="str">
        <f>IFERROR(VLOOKUP(H224,'BASE DATOS'!$BN$2:$BO$40,2,FALSE),"FD")</f>
        <v>PRIMER PISO</v>
      </c>
      <c r="H224" t="s">
        <v>1195</v>
      </c>
      <c r="I224" t="s">
        <v>1224</v>
      </c>
      <c r="J224" t="s">
        <v>1437</v>
      </c>
      <c r="K224">
        <f>IFERROR(IF(VLOOKUP($H224,'BASE DATOS'!$BN$2:$BX$40,3,FALSE)&lt;&gt;0,1,0),"-")</f>
        <v>0</v>
      </c>
      <c r="L224">
        <f>IFERROR(IF(VLOOKUP($H224,'BASE DATOS'!$BN$2:$BX$40,4,FALSE)&lt;&gt;0,1,0),"-")</f>
        <v>0</v>
      </c>
      <c r="M224">
        <f>IFERROR(IF(VLOOKUP($H224,'BASE DATOS'!$BN$2:$BX$40,5,FALSE)&lt;&gt;0,1,0),"-")</f>
        <v>0</v>
      </c>
      <c r="N224">
        <v>0</v>
      </c>
      <c r="O224">
        <f>IFERROR(IF(VLOOKUP($H224,'BASE DATOS'!$BN$2:$BX$40,7,FALSE)&lt;&gt;0,1,0),"-")</f>
        <v>1</v>
      </c>
      <c r="P224">
        <f>IFERROR(IF(VLOOKUP($H224,'BASE DATOS'!$BN$2:$BX$40,8,FALSE)&lt;&gt;0,1,0),"-")</f>
        <v>0</v>
      </c>
      <c r="Q224">
        <f>IFERROR(IF(VLOOKUP($H224,'BASE DATOS'!$BN$2:$BX$40,9,FALSE)&lt;&gt;0,1,0),"-")</f>
        <v>0</v>
      </c>
      <c r="R224">
        <f>IFERROR(IF(VLOOKUP($H224,'BASE DATOS'!$BN$2:$BX$40,10,FALSE)&lt;&gt;0,1,0),"-")</f>
        <v>0</v>
      </c>
      <c r="S224">
        <f>IFERROR(IF(VLOOKUP($H224,'BASE DATOS'!$BN$2:$BX$40,11,FALSE)&lt;&gt;0,1,0),"-")</f>
        <v>0</v>
      </c>
      <c r="T224" t="s">
        <v>341</v>
      </c>
    </row>
    <row r="225" spans="1:20" ht="15" customHeight="1">
      <c r="A225" s="786">
        <f t="shared" si="19"/>
        <v>45</v>
      </c>
      <c r="B225" s="786" t="str">
        <f t="shared" si="20"/>
        <v>TT</v>
      </c>
      <c r="C225" s="786">
        <f t="shared" si="21"/>
        <v>0</v>
      </c>
      <c r="D225" s="786" t="str">
        <f t="shared" si="22"/>
        <v>NO</v>
      </c>
      <c r="E225" s="38">
        <v>45965</v>
      </c>
      <c r="F225" s="614">
        <v>0.25</v>
      </c>
      <c r="G225" s="614" t="str">
        <f>IFERROR(VLOOKUP(H225,'BASE DATOS'!$BN$2:$BO$40,2,FALSE),"FD")</f>
        <v>PRIMER PISO</v>
      </c>
      <c r="H225" t="s">
        <v>1195</v>
      </c>
      <c r="I225" t="s">
        <v>1234</v>
      </c>
      <c r="J225" t="s">
        <v>1438</v>
      </c>
      <c r="K225">
        <f>IFERROR(IF(VLOOKUP($H225,'BASE DATOS'!$BN$2:$BX$40,3,FALSE)&lt;&gt;0,1,0),"-")</f>
        <v>0</v>
      </c>
      <c r="L225">
        <f>IFERROR(IF(VLOOKUP($H225,'BASE DATOS'!$BN$2:$BX$40,4,FALSE)&lt;&gt;0,1,0),"-")</f>
        <v>0</v>
      </c>
      <c r="M225">
        <f>IFERROR(IF(VLOOKUP($H225,'BASE DATOS'!$BN$2:$BX$40,5,FALSE)&lt;&gt;0,1,0),"-")</f>
        <v>0</v>
      </c>
      <c r="N225">
        <v>0</v>
      </c>
      <c r="O225">
        <f>IFERROR(IF(VLOOKUP($H225,'BASE DATOS'!$BN$2:$BX$40,7,FALSE)&lt;&gt;0,1,0),"-")</f>
        <v>1</v>
      </c>
      <c r="P225">
        <f>IFERROR(IF(VLOOKUP($H225,'BASE DATOS'!$BN$2:$BX$40,8,FALSE)&lt;&gt;0,1,0),"-")</f>
        <v>0</v>
      </c>
      <c r="Q225">
        <f>IFERROR(IF(VLOOKUP($H225,'BASE DATOS'!$BN$2:$BX$40,9,FALSE)&lt;&gt;0,1,0),"-")</f>
        <v>0</v>
      </c>
      <c r="R225">
        <f>IFERROR(IF(VLOOKUP($H225,'BASE DATOS'!$BN$2:$BX$40,10,FALSE)&lt;&gt;0,1,0),"-")</f>
        <v>0</v>
      </c>
      <c r="S225">
        <f>IFERROR(IF(VLOOKUP($H225,'BASE DATOS'!$BN$2:$BX$40,11,FALSE)&lt;&gt;0,1,0),"-")</f>
        <v>0</v>
      </c>
      <c r="T225" t="s">
        <v>341</v>
      </c>
    </row>
    <row r="226" spans="1:20" ht="15" customHeight="1">
      <c r="A226" s="786">
        <f t="shared" si="19"/>
        <v>45</v>
      </c>
      <c r="B226" s="786" t="str">
        <f t="shared" si="20"/>
        <v>TT</v>
      </c>
      <c r="C226" s="786">
        <f t="shared" si="21"/>
        <v>0</v>
      </c>
      <c r="D226" s="786" t="str">
        <f t="shared" si="22"/>
        <v>NO</v>
      </c>
      <c r="E226" s="38">
        <v>45965</v>
      </c>
      <c r="F226" s="614">
        <v>0.25</v>
      </c>
      <c r="G226" s="614" t="str">
        <f>IFERROR(VLOOKUP(H226,'BASE DATOS'!$BN$2:$BO$40,2,FALSE),"FD")</f>
        <v>PRIMER PISO</v>
      </c>
      <c r="H226" t="s">
        <v>1271</v>
      </c>
      <c r="I226" t="s">
        <v>1194</v>
      </c>
      <c r="K226">
        <f>IFERROR(IF(VLOOKUP($H226,'BASE DATOS'!$BN$2:$BX$40,3,FALSE)&lt;&gt;0,1,0),"-")</f>
        <v>0</v>
      </c>
      <c r="L226">
        <f>IFERROR(IF(VLOOKUP($H226,'BASE DATOS'!$BN$2:$BX$40,4,FALSE)&lt;&gt;0,1,0),"-")</f>
        <v>0</v>
      </c>
      <c r="M226">
        <f>IFERROR(IF(VLOOKUP($H226,'BASE DATOS'!$BN$2:$BX$40,5,FALSE)&lt;&gt;0,1,0),"-")</f>
        <v>0</v>
      </c>
      <c r="N226">
        <v>0</v>
      </c>
      <c r="O226">
        <f>IFERROR(IF(VLOOKUP($H226,'BASE DATOS'!$BN$2:$BX$40,7,FALSE)&lt;&gt;0,1,0),"-")</f>
        <v>1</v>
      </c>
      <c r="P226">
        <f>IFERROR(IF(VLOOKUP($H226,'BASE DATOS'!$BN$2:$BX$40,8,FALSE)&lt;&gt;0,1,0),"-")</f>
        <v>0</v>
      </c>
      <c r="Q226">
        <f>IFERROR(IF(VLOOKUP($H226,'BASE DATOS'!$BN$2:$BX$40,9,FALSE)&lt;&gt;0,1,0),"-")</f>
        <v>0</v>
      </c>
      <c r="R226">
        <f>IFERROR(IF(VLOOKUP($H226,'BASE DATOS'!$BN$2:$BX$40,10,FALSE)&lt;&gt;0,1,0),"-")</f>
        <v>0</v>
      </c>
      <c r="S226">
        <f>IFERROR(IF(VLOOKUP($H226,'BASE DATOS'!$BN$2:$BX$40,11,FALSE)&lt;&gt;0,1,0),"-")</f>
        <v>0</v>
      </c>
      <c r="T226" t="s">
        <v>341</v>
      </c>
    </row>
    <row r="227" spans="1:20" ht="15" customHeight="1">
      <c r="A227" s="786">
        <f t="shared" si="19"/>
        <v>45</v>
      </c>
      <c r="B227" s="786" t="str">
        <f t="shared" si="20"/>
        <v>TT</v>
      </c>
      <c r="C227" s="786">
        <f t="shared" si="21"/>
        <v>0</v>
      </c>
      <c r="D227" s="786" t="str">
        <f t="shared" si="22"/>
        <v>SI</v>
      </c>
      <c r="E227" s="38">
        <v>45965</v>
      </c>
      <c r="F227" s="614">
        <v>0.25</v>
      </c>
      <c r="G227" s="614" t="str">
        <f>IFERROR(VLOOKUP(H227,'BASE DATOS'!$BN$2:$BO$40,2,FALSE),"FD")</f>
        <v>PRIMER PISO</v>
      </c>
      <c r="H227" t="s">
        <v>1261</v>
      </c>
      <c r="I227" t="s">
        <v>1207</v>
      </c>
      <c r="J227" t="s">
        <v>1439</v>
      </c>
      <c r="K227">
        <f>IFERROR(IF(VLOOKUP($H227,'BASE DATOS'!$BN$2:$BX$40,3,FALSE)&lt;&gt;0,1,0),"-")</f>
        <v>1</v>
      </c>
      <c r="L227">
        <f>IFERROR(IF(VLOOKUP($H227,'BASE DATOS'!$BN$2:$BX$40,4,FALSE)&lt;&gt;0,1,0),"-")</f>
        <v>1</v>
      </c>
      <c r="M227">
        <f>IFERROR(IF(VLOOKUP($H227,'BASE DATOS'!$BN$2:$BX$40,5,FALSE)&lt;&gt;0,1,0),"-")</f>
        <v>1</v>
      </c>
      <c r="N227">
        <f>IFERROR(IF(VLOOKUP($H227,'BASE DATOS'!$BN$2:$BX$40,6,FALSE)&lt;&gt;0,1,0),"-")</f>
        <v>1</v>
      </c>
      <c r="O227">
        <f>IFERROR(IF(VLOOKUP($H227,'BASE DATOS'!$BN$2:$BX$40,7,FALSE)&lt;&gt;0,1,0),"-")</f>
        <v>1</v>
      </c>
      <c r="P227">
        <f>IFERROR(IF(VLOOKUP($H227,'BASE DATOS'!$BN$2:$BX$40,8,FALSE)&lt;&gt;0,1,0),"-")</f>
        <v>1</v>
      </c>
      <c r="Q227">
        <f>IFERROR(IF(VLOOKUP($H227,'BASE DATOS'!$BN$2:$BX$40,9,FALSE)&lt;&gt;0,1,0),"-")</f>
        <v>1</v>
      </c>
      <c r="R227">
        <f>IFERROR(IF(VLOOKUP($H227,'BASE DATOS'!$BN$2:$BX$40,10,FALSE)&lt;&gt;0,1,0),"-")</f>
        <v>1</v>
      </c>
      <c r="S227">
        <f>IFERROR(IF(VLOOKUP($H227,'BASE DATOS'!$BN$2:$BX$40,11,FALSE)&lt;&gt;0,1,0),"-")</f>
        <v>1</v>
      </c>
      <c r="T227" t="s">
        <v>341</v>
      </c>
    </row>
    <row r="228" spans="1:20" ht="15" customHeight="1">
      <c r="A228" s="786">
        <f t="shared" si="19"/>
        <v>45</v>
      </c>
      <c r="B228" s="786" t="str">
        <f t="shared" si="20"/>
        <v>TM</v>
      </c>
      <c r="C228" s="786">
        <f t="shared" si="21"/>
        <v>1</v>
      </c>
      <c r="D228" s="786" t="str">
        <f t="shared" si="22"/>
        <v>NO</v>
      </c>
      <c r="E228" s="38">
        <v>45965</v>
      </c>
      <c r="F228" s="614">
        <v>0.64583333333333337</v>
      </c>
      <c r="G228" s="614" t="str">
        <f>IFERROR(VLOOKUP(H228,'BASE DATOS'!$BN$2:$BO$40,2,FALSE),"FD")</f>
        <v>PLANTA BAJA</v>
      </c>
      <c r="H228" t="s">
        <v>1243</v>
      </c>
      <c r="I228" t="s">
        <v>1204</v>
      </c>
      <c r="J228" t="s">
        <v>1440</v>
      </c>
      <c r="K228">
        <f>IFERROR(IF(VLOOKUP($H228,'BASE DATOS'!$BN$2:$BX$40,3,FALSE)&lt;&gt;0,1,0),"-")</f>
        <v>1</v>
      </c>
      <c r="L228">
        <f>IFERROR(IF(VLOOKUP($H228,'BASE DATOS'!$BN$2:$BX$40,4,FALSE)&lt;&gt;0,1,0),"-")</f>
        <v>0</v>
      </c>
      <c r="M228">
        <f>IFERROR(IF(VLOOKUP($H228,'BASE DATOS'!$BN$2:$BX$40,5,FALSE)&lt;&gt;0,1,0),"-")</f>
        <v>0</v>
      </c>
      <c r="N228">
        <f>IFERROR(IF(VLOOKUP($H228,'BASE DATOS'!$BN$2:$BX$40,6,FALSE)&lt;&gt;0,1,0),"-")</f>
        <v>0</v>
      </c>
      <c r="O228">
        <f>IFERROR(IF(VLOOKUP($H228,'BASE DATOS'!$BN$2:$BX$40,7,FALSE)&lt;&gt;0,1,0),"-")</f>
        <v>0</v>
      </c>
      <c r="P228">
        <f>IFERROR(IF(VLOOKUP($H228,'BASE DATOS'!$BN$2:$BX$40,8,FALSE)&lt;&gt;0,1,0),"-")</f>
        <v>0</v>
      </c>
      <c r="Q228">
        <f>IFERROR(IF(VLOOKUP($H228,'BASE DATOS'!$BN$2:$BX$40,9,FALSE)&lt;&gt;0,1,0),"-")</f>
        <v>0</v>
      </c>
      <c r="R228">
        <v>0</v>
      </c>
      <c r="S228">
        <f>IFERROR(IF(VLOOKUP($H228,'BASE DATOS'!$BN$2:$BX$40,11,FALSE)&lt;&gt;0,1,0),"-")</f>
        <v>0</v>
      </c>
      <c r="T228" t="s">
        <v>341</v>
      </c>
    </row>
    <row r="229" spans="1:20" ht="15" customHeight="1">
      <c r="A229" s="786">
        <f t="shared" si="19"/>
        <v>45</v>
      </c>
      <c r="B229" s="786" t="str">
        <f t="shared" si="20"/>
        <v>TM</v>
      </c>
      <c r="C229" s="786">
        <f t="shared" si="21"/>
        <v>0</v>
      </c>
      <c r="D229" s="786" t="str">
        <f t="shared" si="22"/>
        <v>NO</v>
      </c>
      <c r="E229" s="38">
        <v>45965</v>
      </c>
      <c r="F229" s="614">
        <v>0.64583333333333337</v>
      </c>
      <c r="G229" s="614" t="str">
        <f>IFERROR(VLOOKUP(H229,'BASE DATOS'!$BN$2:$BO$40,2,FALSE),"FD")</f>
        <v>PLANTA BAJA</v>
      </c>
      <c r="H229" t="s">
        <v>1243</v>
      </c>
      <c r="I229" t="s">
        <v>1216</v>
      </c>
      <c r="J229" t="s">
        <v>1272</v>
      </c>
      <c r="K229">
        <f>IFERROR(IF(VLOOKUP($H229,'BASE DATOS'!$BN$2:$BX$40,3,FALSE)&lt;&gt;0,1,0),"-")</f>
        <v>1</v>
      </c>
      <c r="L229">
        <f>IFERROR(IF(VLOOKUP($H229,'BASE DATOS'!$BN$2:$BX$40,4,FALSE)&lt;&gt;0,1,0),"-")</f>
        <v>0</v>
      </c>
      <c r="M229">
        <f>IFERROR(IF(VLOOKUP($H229,'BASE DATOS'!$BN$2:$BX$40,5,FALSE)&lt;&gt;0,1,0),"-")</f>
        <v>0</v>
      </c>
      <c r="N229">
        <f>IFERROR(IF(VLOOKUP($H229,'BASE DATOS'!$BN$2:$BX$40,6,FALSE)&lt;&gt;0,1,0),"-")</f>
        <v>0</v>
      </c>
      <c r="O229">
        <f>IFERROR(IF(VLOOKUP($H229,'BASE DATOS'!$BN$2:$BX$40,7,FALSE)&lt;&gt;0,1,0),"-")</f>
        <v>0</v>
      </c>
      <c r="P229">
        <f>IFERROR(IF(VLOOKUP($H229,'BASE DATOS'!$BN$2:$BX$40,8,FALSE)&lt;&gt;0,1,0),"-")</f>
        <v>0</v>
      </c>
      <c r="Q229">
        <f>IFERROR(IF(VLOOKUP($H229,'BASE DATOS'!$BN$2:$BX$40,9,FALSE)&lt;&gt;0,1,0),"-")</f>
        <v>0</v>
      </c>
      <c r="R229">
        <f>IFERROR(IF(VLOOKUP($H229,'BASE DATOS'!$BN$2:$BX$40,10,FALSE)&lt;&gt;0,1,0),"-")</f>
        <v>1</v>
      </c>
      <c r="S229">
        <f>IFERROR(IF(VLOOKUP($H229,'BASE DATOS'!$BN$2:$BX$40,11,FALSE)&lt;&gt;0,1,0),"-")</f>
        <v>0</v>
      </c>
      <c r="T229" t="s">
        <v>341</v>
      </c>
    </row>
    <row r="230" spans="1:20" ht="15" customHeight="1">
      <c r="A230" s="786">
        <f t="shared" si="19"/>
        <v>45</v>
      </c>
      <c r="B230" s="786" t="str">
        <f t="shared" si="20"/>
        <v>TM</v>
      </c>
      <c r="C230" s="786">
        <f t="shared" si="21"/>
        <v>1</v>
      </c>
      <c r="D230" s="786" t="str">
        <f t="shared" si="22"/>
        <v>NO</v>
      </c>
      <c r="E230" s="38">
        <v>45965</v>
      </c>
      <c r="F230" s="614">
        <v>0.66666666666666663</v>
      </c>
      <c r="G230" s="614" t="str">
        <f>IFERROR(VLOOKUP(H230,'BASE DATOS'!$BN$2:$BO$40,2,FALSE),"FD")</f>
        <v>PRIMER PISO</v>
      </c>
      <c r="H230" t="s">
        <v>1219</v>
      </c>
      <c r="I230" t="s">
        <v>970</v>
      </c>
      <c r="J230" t="s">
        <v>1441</v>
      </c>
      <c r="K230">
        <f>IFERROR(IF(VLOOKUP($H230,'BASE DATOS'!$BN$2:$BX$40,3,FALSE)&lt;&gt;0,1,0),"-")</f>
        <v>0</v>
      </c>
      <c r="L230">
        <f>IFERROR(IF(VLOOKUP($H230,'BASE DATOS'!$BN$2:$BX$40,4,FALSE)&lt;&gt;0,1,0),"-")</f>
        <v>0</v>
      </c>
      <c r="M230">
        <f>IFERROR(IF(VLOOKUP($H230,'BASE DATOS'!$BN$2:$BX$40,5,FALSE)&lt;&gt;0,1,0),"-")</f>
        <v>0</v>
      </c>
      <c r="N230">
        <f>IFERROR(IF(VLOOKUP($H230,'BASE DATOS'!$BN$2:$BX$40,6,FALSE)&lt;&gt;0,1,0),"-")</f>
        <v>1</v>
      </c>
      <c r="O230">
        <v>0</v>
      </c>
      <c r="P230">
        <f>IFERROR(IF(VLOOKUP($H230,'BASE DATOS'!$BN$2:$BX$40,8,FALSE)&lt;&gt;0,1,0),"-")</f>
        <v>0</v>
      </c>
      <c r="Q230">
        <f>IFERROR(IF(VLOOKUP($H230,'BASE DATOS'!$BN$2:$BX$40,9,FALSE)&lt;&gt;0,1,0),"-")</f>
        <v>0</v>
      </c>
      <c r="R230">
        <f>IFERROR(IF(VLOOKUP($H230,'BASE DATOS'!$BN$2:$BX$40,10,FALSE)&lt;&gt;0,1,0),"-")</f>
        <v>0</v>
      </c>
      <c r="S230">
        <f>IFERROR(IF(VLOOKUP($H230,'BASE DATOS'!$BN$2:$BX$40,11,FALSE)&lt;&gt;0,1,0),"-")</f>
        <v>0</v>
      </c>
      <c r="T230" t="s">
        <v>341</v>
      </c>
    </row>
    <row r="231" spans="1:20" ht="15" customHeight="1">
      <c r="A231" s="786">
        <f t="shared" si="19"/>
        <v>45</v>
      </c>
      <c r="B231" s="786" t="str">
        <f t="shared" si="20"/>
        <v>TM</v>
      </c>
      <c r="C231" s="786">
        <f t="shared" si="21"/>
        <v>0</v>
      </c>
      <c r="D231" s="786" t="str">
        <f t="shared" si="22"/>
        <v>NO</v>
      </c>
      <c r="E231" s="38">
        <v>45965</v>
      </c>
      <c r="F231" s="614">
        <v>0.66666666666666663</v>
      </c>
      <c r="G231" s="614" t="str">
        <f>IFERROR(VLOOKUP(H231,'BASE DATOS'!$BN$2:$BO$40,2,FALSE),"FD")</f>
        <v>PRIMER PISO</v>
      </c>
      <c r="H231" t="s">
        <v>1219</v>
      </c>
      <c r="I231" t="s">
        <v>970</v>
      </c>
      <c r="J231" t="s">
        <v>1442</v>
      </c>
      <c r="K231">
        <f>IFERROR(IF(VLOOKUP($H231,'BASE DATOS'!$BN$2:$BX$40,3,FALSE)&lt;&gt;0,1,0),"-")</f>
        <v>0</v>
      </c>
      <c r="L231">
        <f>IFERROR(IF(VLOOKUP($H231,'BASE DATOS'!$BN$2:$BX$40,4,FALSE)&lt;&gt;0,1,0),"-")</f>
        <v>0</v>
      </c>
      <c r="M231">
        <f>IFERROR(IF(VLOOKUP($H231,'BASE DATOS'!$BN$2:$BX$40,5,FALSE)&lt;&gt;0,1,0),"-")</f>
        <v>0</v>
      </c>
      <c r="N231">
        <f>IFERROR(IF(VLOOKUP($H231,'BASE DATOS'!$BN$2:$BX$40,6,FALSE)&lt;&gt;0,1,0),"-")</f>
        <v>1</v>
      </c>
      <c r="O231">
        <v>0</v>
      </c>
      <c r="P231">
        <f>IFERROR(IF(VLOOKUP($H231,'BASE DATOS'!$BN$2:$BX$40,8,FALSE)&lt;&gt;0,1,0),"-")</f>
        <v>0</v>
      </c>
      <c r="Q231">
        <f>IFERROR(IF(VLOOKUP($H231,'BASE DATOS'!$BN$2:$BX$40,9,FALSE)&lt;&gt;0,1,0),"-")</f>
        <v>0</v>
      </c>
      <c r="R231">
        <f>IFERROR(IF(VLOOKUP($H231,'BASE DATOS'!$BN$2:$BX$40,10,FALSE)&lt;&gt;0,1,0),"-")</f>
        <v>0</v>
      </c>
      <c r="S231">
        <f>IFERROR(IF(VLOOKUP($H231,'BASE DATOS'!$BN$2:$BX$40,11,FALSE)&lt;&gt;0,1,0),"-")</f>
        <v>0</v>
      </c>
      <c r="T231" t="s">
        <v>341</v>
      </c>
    </row>
    <row r="232" spans="1:20" ht="15" customHeight="1">
      <c r="A232" s="786">
        <f t="shared" si="19"/>
        <v>45</v>
      </c>
      <c r="B232" s="786" t="str">
        <f t="shared" si="20"/>
        <v>TM</v>
      </c>
      <c r="C232" s="786">
        <f t="shared" si="21"/>
        <v>0</v>
      </c>
      <c r="D232" s="786" t="str">
        <f t="shared" si="22"/>
        <v>NO</v>
      </c>
      <c r="E232" s="38">
        <v>45965</v>
      </c>
      <c r="F232" s="614">
        <v>0.66666666666666663</v>
      </c>
      <c r="G232" s="614" t="str">
        <f>IFERROR(VLOOKUP(H232,'BASE DATOS'!$BN$2:$BO$40,2,FALSE),"FD")</f>
        <v>PRIMER PISO</v>
      </c>
      <c r="H232" t="s">
        <v>1209</v>
      </c>
      <c r="I232" t="s">
        <v>1226</v>
      </c>
      <c r="K232">
        <f>IFERROR(IF(VLOOKUP($H232,'BASE DATOS'!$BN$2:$BX$40,3,FALSE)&lt;&gt;0,1,0),"-")</f>
        <v>0</v>
      </c>
      <c r="L232">
        <f>IFERROR(IF(VLOOKUP($H232,'BASE DATOS'!$BN$2:$BX$40,4,FALSE)&lt;&gt;0,1,0),"-")</f>
        <v>0</v>
      </c>
      <c r="M232">
        <f>IFERROR(IF(VLOOKUP($H232,'BASE DATOS'!$BN$2:$BX$40,5,FALSE)&lt;&gt;0,1,0),"-")</f>
        <v>0</v>
      </c>
      <c r="N232">
        <f>IFERROR(IF(VLOOKUP($H232,'BASE DATOS'!$BN$2:$BX$40,6,FALSE)&lt;&gt;0,1,0),"-")</f>
        <v>1</v>
      </c>
      <c r="O232">
        <v>0</v>
      </c>
      <c r="P232">
        <f>IFERROR(IF(VLOOKUP($H232,'BASE DATOS'!$BN$2:$BX$40,8,FALSE)&lt;&gt;0,1,0),"-")</f>
        <v>0</v>
      </c>
      <c r="Q232">
        <f>IFERROR(IF(VLOOKUP($H232,'BASE DATOS'!$BN$2:$BX$40,9,FALSE)&lt;&gt;0,1,0),"-")</f>
        <v>0</v>
      </c>
      <c r="R232">
        <f>IFERROR(IF(VLOOKUP($H232,'BASE DATOS'!$BN$2:$BX$40,10,FALSE)&lt;&gt;0,1,0),"-")</f>
        <v>0</v>
      </c>
      <c r="S232">
        <f>IFERROR(IF(VLOOKUP($H232,'BASE DATOS'!$BN$2:$BX$40,11,FALSE)&lt;&gt;0,1,0),"-")</f>
        <v>1</v>
      </c>
      <c r="T232" t="s">
        <v>341</v>
      </c>
    </row>
    <row r="233" spans="1:20" ht="15" customHeight="1">
      <c r="A233" s="786">
        <f t="shared" si="19"/>
        <v>45</v>
      </c>
      <c r="B233" s="786" t="str">
        <f t="shared" si="20"/>
        <v>TM</v>
      </c>
      <c r="C233" s="786">
        <f t="shared" si="21"/>
        <v>0</v>
      </c>
      <c r="D233" s="786" t="str">
        <f t="shared" si="22"/>
        <v>NO</v>
      </c>
      <c r="E233" s="38">
        <v>45965</v>
      </c>
      <c r="F233" s="614">
        <v>0.66666666666666663</v>
      </c>
      <c r="G233" s="614" t="str">
        <f>IFERROR(VLOOKUP(H233,'BASE DATOS'!$BN$2:$BO$40,2,FALSE),"FD")</f>
        <v>PRIMER PISO</v>
      </c>
      <c r="H233" t="s">
        <v>1271</v>
      </c>
      <c r="I233" t="s">
        <v>970</v>
      </c>
      <c r="J233" s="46" t="s">
        <v>1443</v>
      </c>
      <c r="K233">
        <f>IFERROR(IF(VLOOKUP($H233,'BASE DATOS'!$BN$2:$BX$40,3,FALSE)&lt;&gt;0,1,0),"-")</f>
        <v>0</v>
      </c>
      <c r="L233">
        <f>IFERROR(IF(VLOOKUP($H233,'BASE DATOS'!$BN$2:$BX$40,4,FALSE)&lt;&gt;0,1,0),"-")</f>
        <v>0</v>
      </c>
      <c r="M233">
        <f>IFERROR(IF(VLOOKUP($H233,'BASE DATOS'!$BN$2:$BX$40,5,FALSE)&lt;&gt;0,1,0),"-")</f>
        <v>0</v>
      </c>
      <c r="N233">
        <f>IFERROR(IF(VLOOKUP($H233,'BASE DATOS'!$BN$2:$BX$40,6,FALSE)&lt;&gt;0,1,0),"-")</f>
        <v>1</v>
      </c>
      <c r="O233">
        <v>0</v>
      </c>
      <c r="P233">
        <f>IFERROR(IF(VLOOKUP($H233,'BASE DATOS'!$BN$2:$BX$40,8,FALSE)&lt;&gt;0,1,0),"-")</f>
        <v>0</v>
      </c>
      <c r="Q233">
        <f>IFERROR(IF(VLOOKUP($H233,'BASE DATOS'!$BN$2:$BX$40,9,FALSE)&lt;&gt;0,1,0),"-")</f>
        <v>0</v>
      </c>
      <c r="R233">
        <f>IFERROR(IF(VLOOKUP($H233,'BASE DATOS'!$BN$2:$BX$40,10,FALSE)&lt;&gt;0,1,0),"-")</f>
        <v>0</v>
      </c>
      <c r="S233">
        <f>IFERROR(IF(VLOOKUP($H233,'BASE DATOS'!$BN$2:$BX$40,11,FALSE)&lt;&gt;0,1,0),"-")</f>
        <v>0</v>
      </c>
      <c r="T233" t="s">
        <v>341</v>
      </c>
    </row>
    <row r="234" spans="1:20" ht="15" customHeight="1">
      <c r="A234" s="786">
        <f t="shared" si="19"/>
        <v>45</v>
      </c>
      <c r="B234" s="786" t="str">
        <f t="shared" si="20"/>
        <v>TM</v>
      </c>
      <c r="C234" s="786">
        <f t="shared" si="21"/>
        <v>0</v>
      </c>
      <c r="D234" s="786" t="str">
        <f t="shared" si="22"/>
        <v>NO</v>
      </c>
      <c r="E234" s="38">
        <v>45965</v>
      </c>
      <c r="F234" s="614">
        <v>0.66666666666666663</v>
      </c>
      <c r="G234" s="614" t="str">
        <f>IFERROR(VLOOKUP(H234,'BASE DATOS'!$BN$2:$BO$40,2,FALSE),"FD")</f>
        <v>PRIMER PISO</v>
      </c>
      <c r="H234" t="s">
        <v>1265</v>
      </c>
      <c r="I234" t="s">
        <v>1196</v>
      </c>
      <c r="J234" t="s">
        <v>1444</v>
      </c>
      <c r="K234">
        <f>IFERROR(IF(VLOOKUP($H234,'BASE DATOS'!$BN$2:$BX$40,3,FALSE)&lt;&gt;0,1,0),"-")</f>
        <v>0</v>
      </c>
      <c r="L234">
        <f>IFERROR(IF(VLOOKUP($H234,'BASE DATOS'!$BN$2:$BX$40,4,FALSE)&lt;&gt;0,1,0),"-")</f>
        <v>0</v>
      </c>
      <c r="M234">
        <f>IFERROR(IF(VLOOKUP($H234,'BASE DATOS'!$BN$2:$BX$40,5,FALSE)&lt;&gt;0,1,0),"-")</f>
        <v>0</v>
      </c>
      <c r="N234">
        <f>IFERROR(IF(VLOOKUP($H234,'BASE DATOS'!$BN$2:$BX$40,6,FALSE)&lt;&gt;0,1,0),"-")</f>
        <v>1</v>
      </c>
      <c r="O234">
        <v>0</v>
      </c>
      <c r="P234">
        <f>IFERROR(IF(VLOOKUP($H234,'BASE DATOS'!$BN$2:$BX$40,8,FALSE)&lt;&gt;0,1,0),"-")</f>
        <v>0</v>
      </c>
      <c r="Q234">
        <f>IFERROR(IF(VLOOKUP($H234,'BASE DATOS'!$BN$2:$BX$40,9,FALSE)&lt;&gt;0,1,0),"-")</f>
        <v>0</v>
      </c>
      <c r="R234">
        <f>IFERROR(IF(VLOOKUP($H234,'BASE DATOS'!$BN$2:$BX$40,10,FALSE)&lt;&gt;0,1,0),"-")</f>
        <v>0</v>
      </c>
      <c r="S234">
        <f>IFERROR(IF(VLOOKUP($H234,'BASE DATOS'!$BN$2:$BX$40,11,FALSE)&lt;&gt;0,1,0),"-")</f>
        <v>0</v>
      </c>
      <c r="T234" t="s">
        <v>341</v>
      </c>
    </row>
    <row r="235" spans="1:20" ht="15" customHeight="1">
      <c r="A235" s="786">
        <f t="shared" si="19"/>
        <v>45</v>
      </c>
      <c r="B235" s="786" t="str">
        <f t="shared" si="20"/>
        <v>TM</v>
      </c>
      <c r="C235" s="786">
        <f t="shared" si="21"/>
        <v>0</v>
      </c>
      <c r="D235" s="786" t="str">
        <f t="shared" si="22"/>
        <v>NO</v>
      </c>
      <c r="E235" s="38">
        <v>45965</v>
      </c>
      <c r="F235" s="614">
        <v>0.66666666666666663</v>
      </c>
      <c r="G235" s="614" t="str">
        <f>IFERROR(VLOOKUP(H235,'BASE DATOS'!$BN$2:$BO$40,2,FALSE),"FD")</f>
        <v>PRIMER PISO</v>
      </c>
      <c r="H235" t="s">
        <v>1265</v>
      </c>
      <c r="I235" t="s">
        <v>1338</v>
      </c>
      <c r="J235" t="s">
        <v>1445</v>
      </c>
      <c r="K235">
        <f>IFERROR(IF(VLOOKUP($H235,'BASE DATOS'!$BN$2:$BX$40,3,FALSE)&lt;&gt;0,1,0),"-")</f>
        <v>0</v>
      </c>
      <c r="L235">
        <f>IFERROR(IF(VLOOKUP($H235,'BASE DATOS'!$BN$2:$BX$40,4,FALSE)&lt;&gt;0,1,0),"-")</f>
        <v>0</v>
      </c>
      <c r="M235">
        <f>IFERROR(IF(VLOOKUP($H235,'BASE DATOS'!$BN$2:$BX$40,5,FALSE)&lt;&gt;0,1,0),"-")</f>
        <v>0</v>
      </c>
      <c r="N235">
        <v>0</v>
      </c>
      <c r="O235">
        <v>0</v>
      </c>
      <c r="P235">
        <f>IFERROR(IF(VLOOKUP($H235,'BASE DATOS'!$BN$2:$BX$40,8,FALSE)&lt;&gt;0,1,0),"-")</f>
        <v>0</v>
      </c>
      <c r="Q235">
        <f>IFERROR(IF(VLOOKUP($H235,'BASE DATOS'!$BN$2:$BX$40,9,FALSE)&lt;&gt;0,1,0),"-")</f>
        <v>0</v>
      </c>
      <c r="R235">
        <f>IFERROR(IF(VLOOKUP($H235,'BASE DATOS'!$BN$2:$BX$40,10,FALSE)&lt;&gt;0,1,0),"-")</f>
        <v>0</v>
      </c>
      <c r="S235">
        <f>IFERROR(IF(VLOOKUP($H235,'BASE DATOS'!$BN$2:$BX$40,11,FALSE)&lt;&gt;0,1,0),"-")</f>
        <v>0</v>
      </c>
      <c r="T235" t="s">
        <v>341</v>
      </c>
    </row>
    <row r="236" spans="1:20" ht="15" customHeight="1">
      <c r="A236" s="786">
        <f t="shared" si="19"/>
        <v>45</v>
      </c>
      <c r="B236" s="786" t="str">
        <f t="shared" si="20"/>
        <v>TM</v>
      </c>
      <c r="C236" s="786">
        <f t="shared" si="21"/>
        <v>0</v>
      </c>
      <c r="D236" s="786" t="str">
        <f t="shared" si="22"/>
        <v>NO</v>
      </c>
      <c r="E236" s="38">
        <v>45965</v>
      </c>
      <c r="F236" s="614">
        <v>0.66666666666666663</v>
      </c>
      <c r="G236" s="614" t="str">
        <f>IFERROR(VLOOKUP(H236,'BASE DATOS'!$BN$2:$BO$40,2,FALSE),"FD")</f>
        <v>PRIMER PISO</v>
      </c>
      <c r="H236" t="s">
        <v>1223</v>
      </c>
      <c r="I236" t="s">
        <v>970</v>
      </c>
      <c r="J236" t="s">
        <v>1446</v>
      </c>
      <c r="K236">
        <f>IFERROR(IF(VLOOKUP($H236,'BASE DATOS'!$BN$2:$BX$40,3,FALSE)&lt;&gt;0,1,0),"-")</f>
        <v>0</v>
      </c>
      <c r="L236">
        <f>IFERROR(IF(VLOOKUP($H236,'BASE DATOS'!$BN$2:$BX$40,4,FALSE)&lt;&gt;0,1,0),"-")</f>
        <v>0</v>
      </c>
      <c r="M236">
        <f>IFERROR(IF(VLOOKUP($H236,'BASE DATOS'!$BN$2:$BX$40,5,FALSE)&lt;&gt;0,1,0),"-")</f>
        <v>0</v>
      </c>
      <c r="N236">
        <f>IFERROR(IF(VLOOKUP($H236,'BASE DATOS'!$BN$2:$BX$40,6,FALSE)&lt;&gt;0,1,0),"-")</f>
        <v>1</v>
      </c>
      <c r="O236">
        <f>IFERROR(IF(VLOOKUP($H236,'BASE DATOS'!$BN$2:$BX$40,7,FALSE)&lt;&gt;0,1,0),"-")</f>
        <v>1</v>
      </c>
      <c r="P236">
        <f>IFERROR(IF(VLOOKUP($H236,'BASE DATOS'!$BN$2:$BX$40,8,FALSE)&lt;&gt;0,1,0),"-")</f>
        <v>0</v>
      </c>
      <c r="Q236">
        <f>IFERROR(IF(VLOOKUP($H236,'BASE DATOS'!$BN$2:$BX$40,9,FALSE)&lt;&gt;0,1,0),"-")</f>
        <v>0</v>
      </c>
      <c r="R236">
        <f>IFERROR(IF(VLOOKUP($H236,'BASE DATOS'!$BN$2:$BX$40,10,FALSE)&lt;&gt;0,1,0),"-")</f>
        <v>0</v>
      </c>
      <c r="S236">
        <f>IFERROR(IF(VLOOKUP($H236,'BASE DATOS'!$BN$2:$BX$40,11,FALSE)&lt;&gt;0,1,0),"-")</f>
        <v>0</v>
      </c>
      <c r="T236" t="s">
        <v>341</v>
      </c>
    </row>
    <row r="237" spans="1:20" ht="15" customHeight="1">
      <c r="A237" s="786">
        <f t="shared" si="19"/>
        <v>45</v>
      </c>
      <c r="B237" s="786" t="str">
        <f t="shared" si="20"/>
        <v>TM</v>
      </c>
      <c r="C237" s="786">
        <f t="shared" si="21"/>
        <v>0</v>
      </c>
      <c r="D237" s="786" t="str">
        <f t="shared" si="22"/>
        <v>NO</v>
      </c>
      <c r="E237" s="38">
        <v>45965</v>
      </c>
      <c r="F237" s="614">
        <v>0.66666666666666663</v>
      </c>
      <c r="G237" s="614" t="str">
        <f>IFERROR(VLOOKUP(H237,'BASE DATOS'!$BN$2:$BO$40,2,FALSE),"FD")</f>
        <v>PRIMER PISO</v>
      </c>
      <c r="H237" t="s">
        <v>1265</v>
      </c>
      <c r="I237" t="s">
        <v>1216</v>
      </c>
      <c r="J237" t="s">
        <v>1447</v>
      </c>
      <c r="K237">
        <f>IFERROR(IF(VLOOKUP($H237,'BASE DATOS'!$BN$2:$BX$40,3,FALSE)&lt;&gt;0,1,0),"-")</f>
        <v>0</v>
      </c>
      <c r="L237">
        <f>IFERROR(IF(VLOOKUP($H237,'BASE DATOS'!$BN$2:$BX$40,4,FALSE)&lt;&gt;0,1,0),"-")</f>
        <v>0</v>
      </c>
      <c r="M237">
        <f>IFERROR(IF(VLOOKUP($H237,'BASE DATOS'!$BN$2:$BX$40,5,FALSE)&lt;&gt;0,1,0),"-")</f>
        <v>0</v>
      </c>
      <c r="N237">
        <v>0</v>
      </c>
      <c r="O237">
        <v>0</v>
      </c>
      <c r="P237">
        <f>IFERROR(IF(VLOOKUP($H237,'BASE DATOS'!$BN$2:$BX$40,8,FALSE)&lt;&gt;0,1,0),"-")</f>
        <v>0</v>
      </c>
      <c r="Q237">
        <f>IFERROR(IF(VLOOKUP($H237,'BASE DATOS'!$BN$2:$BX$40,9,FALSE)&lt;&gt;0,1,0),"-")</f>
        <v>0</v>
      </c>
      <c r="R237">
        <f>IFERROR(IF(VLOOKUP($H237,'BASE DATOS'!$BN$2:$BX$40,10,FALSE)&lt;&gt;0,1,0),"-")</f>
        <v>0</v>
      </c>
      <c r="S237">
        <f>IFERROR(IF(VLOOKUP($H237,'BASE DATOS'!$BN$2:$BX$40,11,FALSE)&lt;&gt;0,1,0),"-")</f>
        <v>0</v>
      </c>
      <c r="T237" t="s">
        <v>341</v>
      </c>
    </row>
    <row r="238" spans="1:20" ht="15" customHeight="1">
      <c r="A238" s="786">
        <f t="shared" si="19"/>
        <v>45</v>
      </c>
      <c r="B238" s="786" t="str">
        <f t="shared" si="20"/>
        <v>TT</v>
      </c>
      <c r="C238" s="786">
        <f t="shared" si="21"/>
        <v>1</v>
      </c>
      <c r="D238" s="786" t="str">
        <f t="shared" si="22"/>
        <v>NO</v>
      </c>
      <c r="E238" s="38">
        <v>45965</v>
      </c>
      <c r="F238" s="614">
        <v>0.9375</v>
      </c>
      <c r="G238" s="614" t="s">
        <v>1346</v>
      </c>
      <c r="H238" t="s">
        <v>970</v>
      </c>
      <c r="I238" t="s">
        <v>1216</v>
      </c>
      <c r="J238" t="s">
        <v>1448</v>
      </c>
      <c r="K238">
        <v>0</v>
      </c>
      <c r="L238">
        <v>0</v>
      </c>
      <c r="M238">
        <v>0</v>
      </c>
      <c r="N238">
        <v>0</v>
      </c>
      <c r="O238">
        <v>0</v>
      </c>
      <c r="P238">
        <v>0</v>
      </c>
      <c r="Q238">
        <v>0</v>
      </c>
      <c r="R238">
        <v>0</v>
      </c>
      <c r="S238">
        <v>0</v>
      </c>
      <c r="T238" t="s">
        <v>341</v>
      </c>
    </row>
    <row r="239" spans="1:20" ht="15" customHeight="1">
      <c r="A239" s="786">
        <f t="shared" si="19"/>
        <v>45</v>
      </c>
      <c r="B239" s="786" t="str">
        <f t="shared" si="20"/>
        <v>TT</v>
      </c>
      <c r="C239" s="786">
        <f t="shared" si="21"/>
        <v>0</v>
      </c>
      <c r="D239" s="786" t="str">
        <f t="shared" si="22"/>
        <v>NO</v>
      </c>
      <c r="E239" s="38">
        <v>45965</v>
      </c>
      <c r="F239" s="614">
        <v>0.9375</v>
      </c>
      <c r="G239" s="614" t="str">
        <f>IFERROR(VLOOKUP(H239,'BASE DATOS'!$BN$2:$BO$40,2,FALSE),"FD")</f>
        <v>ENTRE PISO</v>
      </c>
      <c r="H239" t="s">
        <v>1342</v>
      </c>
      <c r="I239" t="s">
        <v>970</v>
      </c>
      <c r="J239" t="s">
        <v>1449</v>
      </c>
      <c r="K239">
        <f>IFERROR(IF(VLOOKUP($H239,'BASE DATOS'!$BN$2:$BX$40,3,FALSE)&lt;&gt;0,1,0),"-")</f>
        <v>0</v>
      </c>
      <c r="L239">
        <f>IFERROR(IF(VLOOKUP($H239,'BASE DATOS'!$BN$2:$BX$40,4,FALSE)&lt;&gt;0,1,0),"-")</f>
        <v>0</v>
      </c>
      <c r="M239">
        <f>IFERROR(IF(VLOOKUP($H239,'BASE DATOS'!$BN$2:$BX$40,5,FALSE)&lt;&gt;0,1,0),"-")</f>
        <v>0</v>
      </c>
      <c r="N239">
        <f>IFERROR(IF(VLOOKUP($H239,'BASE DATOS'!$BN$2:$BX$40,6,FALSE)&lt;&gt;0,1,0),"-")</f>
        <v>0</v>
      </c>
      <c r="O239">
        <f>IFERROR(IF(VLOOKUP($H239,'BASE DATOS'!$BN$2:$BX$40,7,FALSE)&lt;&gt;0,1,0),"-")</f>
        <v>0</v>
      </c>
      <c r="P239">
        <f>IFERROR(IF(VLOOKUP($H239,'BASE DATOS'!$BN$2:$BX$40,8,FALSE)&lt;&gt;0,1,0),"-")</f>
        <v>0</v>
      </c>
      <c r="Q239">
        <f>IFERROR(IF(VLOOKUP($H239,'BASE DATOS'!$BN$2:$BX$40,9,FALSE)&lt;&gt;0,1,0),"-")</f>
        <v>0</v>
      </c>
      <c r="R239">
        <f>IFERROR(IF(VLOOKUP($H239,'BASE DATOS'!$BN$2:$BX$40,10,FALSE)&lt;&gt;0,1,0),"-")</f>
        <v>0</v>
      </c>
      <c r="S239">
        <f>IFERROR(IF(VLOOKUP($H239,'BASE DATOS'!$BN$2:$BX$40,11,FALSE)&lt;&gt;0,1,0),"-")</f>
        <v>1</v>
      </c>
      <c r="T239" t="s">
        <v>341</v>
      </c>
    </row>
    <row r="240" spans="1:20" ht="15" customHeight="1">
      <c r="A240" s="786">
        <f t="shared" si="19"/>
        <v>45</v>
      </c>
      <c r="B240" s="786" t="str">
        <f t="shared" si="20"/>
        <v>TT</v>
      </c>
      <c r="C240" s="786">
        <f t="shared" si="21"/>
        <v>0</v>
      </c>
      <c r="D240" s="786" t="str">
        <f t="shared" si="22"/>
        <v>NO</v>
      </c>
      <c r="E240" s="38">
        <v>45965</v>
      </c>
      <c r="F240" s="614">
        <v>0.9375</v>
      </c>
      <c r="G240" s="614" t="str">
        <f>IFERROR(VLOOKUP(H240,'BASE DATOS'!$BN$2:$BO$40,2,FALSE),"FD")</f>
        <v>ENTRE PISO</v>
      </c>
      <c r="H240" t="s">
        <v>1342</v>
      </c>
      <c r="I240" t="s">
        <v>1201</v>
      </c>
      <c r="J240" t="s">
        <v>1450</v>
      </c>
      <c r="K240">
        <f>IFERROR(IF(VLOOKUP($H240,'BASE DATOS'!$BN$2:$BX$40,3,FALSE)&lt;&gt;0,1,0),"-")</f>
        <v>0</v>
      </c>
      <c r="L240">
        <f>IFERROR(IF(VLOOKUP($H240,'BASE DATOS'!$BN$2:$BX$40,4,FALSE)&lt;&gt;0,1,0),"-")</f>
        <v>0</v>
      </c>
      <c r="M240">
        <f>IFERROR(IF(VLOOKUP($H240,'BASE DATOS'!$BN$2:$BX$40,5,FALSE)&lt;&gt;0,1,0),"-")</f>
        <v>0</v>
      </c>
      <c r="N240">
        <f>IFERROR(IF(VLOOKUP($H240,'BASE DATOS'!$BN$2:$BX$40,6,FALSE)&lt;&gt;0,1,0),"-")</f>
        <v>0</v>
      </c>
      <c r="O240">
        <f>IFERROR(IF(VLOOKUP($H240,'BASE DATOS'!$BN$2:$BX$40,7,FALSE)&lt;&gt;0,1,0),"-")</f>
        <v>0</v>
      </c>
      <c r="P240">
        <f>IFERROR(IF(VLOOKUP($H240,'BASE DATOS'!$BN$2:$BX$40,8,FALSE)&lt;&gt;0,1,0),"-")</f>
        <v>0</v>
      </c>
      <c r="Q240">
        <f>IFERROR(IF(VLOOKUP($H240,'BASE DATOS'!$BN$2:$BX$40,9,FALSE)&lt;&gt;0,1,0),"-")</f>
        <v>0</v>
      </c>
      <c r="R240">
        <f>IFERROR(IF(VLOOKUP($H240,'BASE DATOS'!$BN$2:$BX$40,10,FALSE)&lt;&gt;0,1,0),"-")</f>
        <v>0</v>
      </c>
      <c r="S240">
        <f>IFERROR(IF(VLOOKUP($H240,'BASE DATOS'!$BN$2:$BX$40,11,FALSE)&lt;&gt;0,1,0),"-")</f>
        <v>1</v>
      </c>
      <c r="T240" t="s">
        <v>341</v>
      </c>
    </row>
    <row r="241" spans="1:20" ht="15" customHeight="1">
      <c r="A241" s="786">
        <f t="shared" si="19"/>
        <v>45</v>
      </c>
      <c r="B241" s="786" t="str">
        <f t="shared" si="20"/>
        <v>TT</v>
      </c>
      <c r="C241" s="786">
        <f t="shared" si="21"/>
        <v>0</v>
      </c>
      <c r="D241" s="786" t="str">
        <f t="shared" si="22"/>
        <v>NO</v>
      </c>
      <c r="E241" s="38">
        <v>45965</v>
      </c>
      <c r="F241" s="614">
        <v>0.9375</v>
      </c>
      <c r="G241" s="614" t="str">
        <f>IFERROR(VLOOKUP(H241,'BASE DATOS'!$BN$2:$BO$40,2,FALSE),"FD")</f>
        <v>ENTRE PISO</v>
      </c>
      <c r="H241" t="s">
        <v>1342</v>
      </c>
      <c r="I241" t="s">
        <v>970</v>
      </c>
      <c r="J241" t="s">
        <v>1451</v>
      </c>
      <c r="K241">
        <f>IFERROR(IF(VLOOKUP($H241,'BASE DATOS'!$BN$2:$BX$40,3,FALSE)&lt;&gt;0,1,0),"-")</f>
        <v>0</v>
      </c>
      <c r="L241">
        <f>IFERROR(IF(VLOOKUP($H241,'BASE DATOS'!$BN$2:$BX$40,4,FALSE)&lt;&gt;0,1,0),"-")</f>
        <v>0</v>
      </c>
      <c r="M241">
        <f>IFERROR(IF(VLOOKUP($H241,'BASE DATOS'!$BN$2:$BX$40,5,FALSE)&lt;&gt;0,1,0),"-")</f>
        <v>0</v>
      </c>
      <c r="N241">
        <f>IFERROR(IF(VLOOKUP($H241,'BASE DATOS'!$BN$2:$BX$40,6,FALSE)&lt;&gt;0,1,0),"-")</f>
        <v>0</v>
      </c>
      <c r="O241">
        <f>IFERROR(IF(VLOOKUP($H241,'BASE DATOS'!$BN$2:$BX$40,7,FALSE)&lt;&gt;0,1,0),"-")</f>
        <v>0</v>
      </c>
      <c r="P241">
        <f>IFERROR(IF(VLOOKUP($H241,'BASE DATOS'!$BN$2:$BX$40,8,FALSE)&lt;&gt;0,1,0),"-")</f>
        <v>0</v>
      </c>
      <c r="Q241">
        <f>IFERROR(IF(VLOOKUP($H241,'BASE DATOS'!$BN$2:$BX$40,9,FALSE)&lt;&gt;0,1,0),"-")</f>
        <v>0</v>
      </c>
      <c r="R241">
        <f>IFERROR(IF(VLOOKUP($H241,'BASE DATOS'!$BN$2:$BX$40,10,FALSE)&lt;&gt;0,1,0),"-")</f>
        <v>0</v>
      </c>
      <c r="S241">
        <f>IFERROR(IF(VLOOKUP($H241,'BASE DATOS'!$BN$2:$BX$40,11,FALSE)&lt;&gt;0,1,0),"-")</f>
        <v>1</v>
      </c>
      <c r="T241" t="s">
        <v>341</v>
      </c>
    </row>
    <row r="242" spans="1:20" ht="15" customHeight="1">
      <c r="A242" s="786">
        <f t="shared" si="19"/>
        <v>45</v>
      </c>
      <c r="B242" s="786" t="str">
        <f t="shared" si="20"/>
        <v>TT</v>
      </c>
      <c r="C242" s="786">
        <f t="shared" si="21"/>
        <v>1</v>
      </c>
      <c r="D242" s="786" t="str">
        <f t="shared" si="22"/>
        <v>NO</v>
      </c>
      <c r="E242" s="38">
        <v>45965</v>
      </c>
      <c r="F242" s="614">
        <v>0.9375</v>
      </c>
      <c r="G242" s="614" t="str">
        <f>IFERROR(VLOOKUP(H242,'BASE DATOS'!$BN$2:$BO$40,2,FALSE),"FD")</f>
        <v>SEGUNDO PISO</v>
      </c>
      <c r="H242" t="s">
        <v>1401</v>
      </c>
      <c r="I242" t="s">
        <v>970</v>
      </c>
      <c r="J242" t="s">
        <v>1452</v>
      </c>
      <c r="K242">
        <f>IFERROR(IF(VLOOKUP($H242,'BASE DATOS'!$BN$2:$BX$40,3,FALSE)&lt;&gt;0,1,0),"-")</f>
        <v>0</v>
      </c>
      <c r="L242">
        <f>IFERROR(IF(VLOOKUP($H242,'BASE DATOS'!$BN$2:$BX$40,4,FALSE)&lt;&gt;0,1,0),"-")</f>
        <v>0</v>
      </c>
      <c r="M242">
        <f>IFERROR(IF(VLOOKUP($H242,'BASE DATOS'!$BN$2:$BX$40,5,FALSE)&lt;&gt;0,1,0),"-")</f>
        <v>0</v>
      </c>
      <c r="N242">
        <f>IFERROR(IF(VLOOKUP($H242,'BASE DATOS'!$BN$2:$BX$40,6,FALSE)&lt;&gt;0,1,0),"-")</f>
        <v>0</v>
      </c>
      <c r="O242">
        <f>IFERROR(IF(VLOOKUP($H242,'BASE DATOS'!$BN$2:$BX$40,7,FALSE)&lt;&gt;0,1,0),"-")</f>
        <v>0</v>
      </c>
      <c r="P242">
        <f>IFERROR(IF(VLOOKUP($H242,'BASE DATOS'!$BN$2:$BX$40,8,FALSE)&lt;&gt;0,1,0),"-")</f>
        <v>0</v>
      </c>
      <c r="Q242">
        <f>IFERROR(IF(VLOOKUP($H242,'BASE DATOS'!$BN$2:$BX$40,9,FALSE)&lt;&gt;0,1,0),"-")</f>
        <v>1</v>
      </c>
      <c r="R242">
        <f>IFERROR(IF(VLOOKUP($H242,'BASE DATOS'!$BN$2:$BX$40,10,FALSE)&lt;&gt;0,1,0),"-")</f>
        <v>0</v>
      </c>
      <c r="S242">
        <f>IFERROR(IF(VLOOKUP($H242,'BASE DATOS'!$BN$2:$BX$40,11,FALSE)&lt;&gt;0,1,0),"-")</f>
        <v>0</v>
      </c>
      <c r="T242" t="s">
        <v>341</v>
      </c>
    </row>
    <row r="243" spans="1:20" ht="15" customHeight="1">
      <c r="A243" s="786">
        <f t="shared" si="19"/>
        <v>45</v>
      </c>
      <c r="B243" s="786" t="str">
        <f t="shared" si="20"/>
        <v>TT</v>
      </c>
      <c r="C243" s="786">
        <f t="shared" si="21"/>
        <v>0</v>
      </c>
      <c r="D243" s="786" t="str">
        <f t="shared" si="22"/>
        <v>SI</v>
      </c>
      <c r="E243" s="38">
        <v>45965</v>
      </c>
      <c r="F243" s="614">
        <v>0.9375</v>
      </c>
      <c r="G243" s="614" t="str">
        <f>IFERROR(VLOOKUP(H243,'BASE DATOS'!$BN$2:$BO$40,2,FALSE),"FD")</f>
        <v>SEGUNDO PISO</v>
      </c>
      <c r="H243" t="s">
        <v>1404</v>
      </c>
      <c r="I243" t="s">
        <v>1216</v>
      </c>
      <c r="J243" t="s">
        <v>1453</v>
      </c>
      <c r="K243">
        <v>0</v>
      </c>
      <c r="L243">
        <v>0</v>
      </c>
      <c r="M243">
        <v>0</v>
      </c>
      <c r="N243">
        <v>0</v>
      </c>
      <c r="O243">
        <v>0</v>
      </c>
      <c r="P243">
        <v>0</v>
      </c>
      <c r="Q243">
        <v>0</v>
      </c>
      <c r="R243">
        <v>0</v>
      </c>
      <c r="S243">
        <v>0</v>
      </c>
      <c r="T243" t="s">
        <v>341</v>
      </c>
    </row>
    <row r="244" spans="1:20" ht="15" customHeight="1">
      <c r="A244" s="786">
        <f t="shared" si="19"/>
        <v>45</v>
      </c>
      <c r="B244" s="786" t="str">
        <f t="shared" si="20"/>
        <v>TT</v>
      </c>
      <c r="C244" s="786">
        <f t="shared" si="21"/>
        <v>0</v>
      </c>
      <c r="D244" s="786" t="str">
        <f t="shared" si="22"/>
        <v>SI</v>
      </c>
      <c r="E244" s="38">
        <v>45965</v>
      </c>
      <c r="F244" s="614">
        <v>0.9375</v>
      </c>
      <c r="G244" s="614" t="str">
        <f>IFERROR(VLOOKUP(H244,'BASE DATOS'!$BN$2:$BO$40,2,FALSE),"FD")</f>
        <v>SEGUNDO PISO</v>
      </c>
      <c r="H244" t="s">
        <v>1232</v>
      </c>
      <c r="I244" t="s">
        <v>1207</v>
      </c>
      <c r="J244" t="s">
        <v>1354</v>
      </c>
      <c r="K244">
        <f>IFERROR(IF(VLOOKUP($H244,'BASE DATOS'!$BN$2:$BX$40,3,FALSE)&lt;&gt;0,1,0),"-")</f>
        <v>1</v>
      </c>
      <c r="L244">
        <f>IFERROR(IF(VLOOKUP($H244,'BASE DATOS'!$BN$2:$BX$40,4,FALSE)&lt;&gt;0,1,0),"-")</f>
        <v>1</v>
      </c>
      <c r="M244">
        <f>IFERROR(IF(VLOOKUP($H244,'BASE DATOS'!$BN$2:$BX$40,5,FALSE)&lt;&gt;0,1,0),"-")</f>
        <v>1</v>
      </c>
      <c r="N244">
        <f>IFERROR(IF(VLOOKUP($H244,'BASE DATOS'!$BN$2:$BX$40,6,FALSE)&lt;&gt;0,1,0),"-")</f>
        <v>1</v>
      </c>
      <c r="O244">
        <f>IFERROR(IF(VLOOKUP($H244,'BASE DATOS'!$BN$2:$BX$40,7,FALSE)&lt;&gt;0,1,0),"-")</f>
        <v>1</v>
      </c>
      <c r="P244">
        <f>IFERROR(IF(VLOOKUP($H244,'BASE DATOS'!$BN$2:$BX$40,8,FALSE)&lt;&gt;0,1,0),"-")</f>
        <v>1</v>
      </c>
      <c r="Q244">
        <f>IFERROR(IF(VLOOKUP($H244,'BASE DATOS'!$BN$2:$BX$40,9,FALSE)&lt;&gt;0,1,0),"-")</f>
        <v>1</v>
      </c>
      <c r="R244">
        <f>IFERROR(IF(VLOOKUP($H244,'BASE DATOS'!$BN$2:$BX$40,10,FALSE)&lt;&gt;0,1,0),"-")</f>
        <v>1</v>
      </c>
      <c r="S244">
        <f>IFERROR(IF(VLOOKUP($H244,'BASE DATOS'!$BN$2:$BX$40,11,FALSE)&lt;&gt;0,1,0),"-")</f>
        <v>1</v>
      </c>
      <c r="T244" t="s">
        <v>341</v>
      </c>
    </row>
    <row r="245" spans="1:20" ht="15" customHeight="1">
      <c r="A245" s="786">
        <f t="shared" si="19"/>
        <v>45</v>
      </c>
      <c r="B245" s="786" t="str">
        <f t="shared" si="20"/>
        <v>TM</v>
      </c>
      <c r="C245" s="786">
        <f t="shared" si="21"/>
        <v>1</v>
      </c>
      <c r="D245" s="786" t="str">
        <f t="shared" si="22"/>
        <v>NO</v>
      </c>
      <c r="E245" s="38">
        <v>45966</v>
      </c>
      <c r="F245" s="614">
        <v>0.41666666666666669</v>
      </c>
      <c r="G245" s="839" t="s">
        <v>1454</v>
      </c>
      <c r="H245" s="840" t="s">
        <v>970</v>
      </c>
      <c r="I245" s="840" t="s">
        <v>1207</v>
      </c>
      <c r="J245" s="840" t="s">
        <v>1455</v>
      </c>
      <c r="K245">
        <v>0</v>
      </c>
      <c r="L245">
        <v>0</v>
      </c>
      <c r="M245">
        <v>0</v>
      </c>
      <c r="N245">
        <v>0</v>
      </c>
      <c r="O245">
        <v>0</v>
      </c>
      <c r="P245">
        <v>0</v>
      </c>
      <c r="Q245">
        <v>0</v>
      </c>
      <c r="R245">
        <v>0</v>
      </c>
      <c r="S245">
        <v>0</v>
      </c>
      <c r="T245" t="s">
        <v>341</v>
      </c>
    </row>
    <row r="246" spans="1:20" ht="15" customHeight="1">
      <c r="A246" s="786">
        <f t="shared" si="19"/>
        <v>45</v>
      </c>
      <c r="B246" s="786" t="str">
        <f t="shared" si="20"/>
        <v>TM</v>
      </c>
      <c r="C246" s="786">
        <f t="shared" si="21"/>
        <v>0</v>
      </c>
      <c r="D246" s="786" t="str">
        <f t="shared" si="22"/>
        <v>SI</v>
      </c>
      <c r="E246" s="38">
        <v>45966</v>
      </c>
      <c r="F246" s="614">
        <v>0.41666666666666669</v>
      </c>
      <c r="G246" s="614" t="str">
        <f>IFERROR(VLOOKUP(H246,'BASE DATOS'!$BN$2:$BO$40,2,FALSE),"FD")</f>
        <v>SEGUNDO PISO</v>
      </c>
      <c r="H246" t="s">
        <v>1233</v>
      </c>
      <c r="I246" t="s">
        <v>1207</v>
      </c>
      <c r="J246" t="s">
        <v>1456</v>
      </c>
      <c r="K246">
        <f>IFERROR(IF(VLOOKUP($H246,'BASE DATOS'!$BN$2:$BX$40,3,FALSE)&lt;&gt;0,1,0),"-")</f>
        <v>1</v>
      </c>
      <c r="L246">
        <f>IFERROR(IF(VLOOKUP($H246,'BASE DATOS'!$BN$2:$BX$40,4,FALSE)&lt;&gt;0,1,0),"-")</f>
        <v>1</v>
      </c>
      <c r="M246">
        <f>IFERROR(IF(VLOOKUP($H246,'BASE DATOS'!$BN$2:$BX$40,5,FALSE)&lt;&gt;0,1,0),"-")</f>
        <v>1</v>
      </c>
      <c r="N246">
        <f>IFERROR(IF(VLOOKUP($H246,'BASE DATOS'!$BN$2:$BX$40,6,FALSE)&lt;&gt;0,1,0),"-")</f>
        <v>1</v>
      </c>
      <c r="O246">
        <f>IFERROR(IF(VLOOKUP($H246,'BASE DATOS'!$BN$2:$BX$40,7,FALSE)&lt;&gt;0,1,0),"-")</f>
        <v>1</v>
      </c>
      <c r="P246">
        <f>IFERROR(IF(VLOOKUP($H246,'BASE DATOS'!$BN$2:$BX$40,8,FALSE)&lt;&gt;0,1,0),"-")</f>
        <v>1</v>
      </c>
      <c r="Q246">
        <f>IFERROR(IF(VLOOKUP($H246,'BASE DATOS'!$BN$2:$BX$40,9,FALSE)&lt;&gt;0,1,0),"-")</f>
        <v>1</v>
      </c>
      <c r="R246">
        <f>IFERROR(IF(VLOOKUP($H246,'BASE DATOS'!$BN$2:$BX$40,10,FALSE)&lt;&gt;0,1,0),"-")</f>
        <v>1</v>
      </c>
      <c r="S246">
        <f>IFERROR(IF(VLOOKUP($H246,'BASE DATOS'!$BN$2:$BX$40,11,FALSE)&lt;&gt;0,1,0),"-")</f>
        <v>1</v>
      </c>
      <c r="T246" t="s">
        <v>341</v>
      </c>
    </row>
    <row r="247" spans="1:20" ht="15" customHeight="1">
      <c r="A247" s="786">
        <f t="shared" si="19"/>
        <v>45</v>
      </c>
      <c r="B247" s="786" t="str">
        <f t="shared" si="20"/>
        <v>TM</v>
      </c>
      <c r="C247" s="786">
        <f t="shared" si="21"/>
        <v>1</v>
      </c>
      <c r="D247" s="786" t="str">
        <f t="shared" si="22"/>
        <v>NO</v>
      </c>
      <c r="E247" s="38">
        <v>45966</v>
      </c>
      <c r="F247" s="614">
        <v>0.41666666666666669</v>
      </c>
      <c r="G247" s="614" t="str">
        <f>IFERROR(VLOOKUP(H247,'BASE DATOS'!$BN$2:$BO$40,2,FALSE),"FD")</f>
        <v>ENTRE PISO</v>
      </c>
      <c r="H247" t="s">
        <v>1238</v>
      </c>
      <c r="I247" t="s">
        <v>1201</v>
      </c>
      <c r="J247" t="s">
        <v>1457</v>
      </c>
      <c r="K247">
        <v>0</v>
      </c>
      <c r="L247">
        <f>IFERROR(IF(VLOOKUP($H247,'BASE DATOS'!$BN$2:$BX$40,4,FALSE)&lt;&gt;0,1,0),"-")</f>
        <v>0</v>
      </c>
      <c r="M247">
        <f>IFERROR(IF(VLOOKUP($H247,'BASE DATOS'!$BN$2:$BX$40,5,FALSE)&lt;&gt;0,1,0),"-")</f>
        <v>0</v>
      </c>
      <c r="N247">
        <f>IFERROR(IF(VLOOKUP($H247,'BASE DATOS'!$BN$2:$BX$40,6,FALSE)&lt;&gt;0,1,0),"-")</f>
        <v>1</v>
      </c>
      <c r="O247">
        <v>0</v>
      </c>
      <c r="P247">
        <f>IFERROR(IF(VLOOKUP($H247,'BASE DATOS'!$BN$2:$BX$40,8,FALSE)&lt;&gt;0,1,0),"-")</f>
        <v>0</v>
      </c>
      <c r="Q247">
        <f>IFERROR(IF(VLOOKUP($H247,'BASE DATOS'!$BN$2:$BX$40,9,FALSE)&lt;&gt;0,1,0),"-")</f>
        <v>0</v>
      </c>
      <c r="R247">
        <f>IFERROR(IF(VLOOKUP($H247,'BASE DATOS'!$BN$2:$BX$40,10,FALSE)&lt;&gt;0,1,0),"-")</f>
        <v>0</v>
      </c>
      <c r="S247">
        <f>IFERROR(IF(VLOOKUP($H247,'BASE DATOS'!$BN$2:$BX$40,11,FALSE)&lt;&gt;0,1,0),"-")</f>
        <v>0</v>
      </c>
      <c r="T247" t="s">
        <v>341</v>
      </c>
    </row>
    <row r="248" spans="1:20" ht="15" customHeight="1">
      <c r="A248" s="786">
        <f t="shared" si="19"/>
        <v>45</v>
      </c>
      <c r="B248" s="786" t="str">
        <f t="shared" si="20"/>
        <v>TM</v>
      </c>
      <c r="C248" s="786">
        <f t="shared" si="21"/>
        <v>0</v>
      </c>
      <c r="D248" s="786" t="str">
        <f t="shared" si="22"/>
        <v>NO</v>
      </c>
      <c r="E248" s="38">
        <v>45966</v>
      </c>
      <c r="F248" s="614">
        <v>0.41666666666666669</v>
      </c>
      <c r="G248" s="614" t="str">
        <f>IFERROR(VLOOKUP(H248,'BASE DATOS'!$BN$2:$BO$40,2,FALSE),"FD")</f>
        <v>ENTRE PISO</v>
      </c>
      <c r="H248" t="s">
        <v>1342</v>
      </c>
      <c r="I248" t="s">
        <v>1201</v>
      </c>
      <c r="J248" t="s">
        <v>1458</v>
      </c>
      <c r="K248">
        <f>IFERROR(IF(VLOOKUP($H248,'BASE DATOS'!$BN$2:$BX$40,3,FALSE)&lt;&gt;0,1,0),"-")</f>
        <v>0</v>
      </c>
      <c r="L248">
        <f>IFERROR(IF(VLOOKUP($H248,'BASE DATOS'!$BN$2:$BX$40,4,FALSE)&lt;&gt;0,1,0),"-")</f>
        <v>0</v>
      </c>
      <c r="M248">
        <f>IFERROR(IF(VLOOKUP($H248,'BASE DATOS'!$BN$2:$BX$40,5,FALSE)&lt;&gt;0,1,0),"-")</f>
        <v>0</v>
      </c>
      <c r="N248">
        <f>IFERROR(IF(VLOOKUP($H248,'BASE DATOS'!$BN$2:$BX$40,6,FALSE)&lt;&gt;0,1,0),"-")</f>
        <v>0</v>
      </c>
      <c r="O248">
        <f>IFERROR(IF(VLOOKUP($H248,'BASE DATOS'!$BN$2:$BX$40,7,FALSE)&lt;&gt;0,1,0),"-")</f>
        <v>0</v>
      </c>
      <c r="P248">
        <f>IFERROR(IF(VLOOKUP($H248,'BASE DATOS'!$BN$2:$BX$40,8,FALSE)&lt;&gt;0,1,0),"-")</f>
        <v>0</v>
      </c>
      <c r="Q248">
        <f>IFERROR(IF(VLOOKUP($H248,'BASE DATOS'!$BN$2:$BX$40,9,FALSE)&lt;&gt;0,1,0),"-")</f>
        <v>0</v>
      </c>
      <c r="R248">
        <f>IFERROR(IF(VLOOKUP($H248,'BASE DATOS'!$BN$2:$BX$40,10,FALSE)&lt;&gt;0,1,0),"-")</f>
        <v>0</v>
      </c>
      <c r="S248">
        <f>IFERROR(IF(VLOOKUP($H248,'BASE DATOS'!$BN$2:$BX$40,11,FALSE)&lt;&gt;0,1,0),"-")</f>
        <v>1</v>
      </c>
      <c r="T248" t="s">
        <v>341</v>
      </c>
    </row>
    <row r="249" spans="1:20" ht="15" customHeight="1">
      <c r="A249" s="786">
        <f t="shared" si="19"/>
        <v>45</v>
      </c>
      <c r="B249" s="786" t="str">
        <f t="shared" si="20"/>
        <v>TM</v>
      </c>
      <c r="C249" s="786">
        <f t="shared" si="21"/>
        <v>0</v>
      </c>
      <c r="D249" s="786" t="str">
        <f t="shared" si="22"/>
        <v>NO</v>
      </c>
      <c r="E249" s="38">
        <v>45966</v>
      </c>
      <c r="F249" s="614">
        <v>0.41666666666666669</v>
      </c>
      <c r="G249" s="614" t="str">
        <f>IFERROR(VLOOKUP(H249,'BASE DATOS'!$BN$2:$BO$40,2,FALSE),"FD")</f>
        <v>ENTRE PISO</v>
      </c>
      <c r="H249" t="s">
        <v>1310</v>
      </c>
      <c r="I249" t="s">
        <v>970</v>
      </c>
      <c r="J249" t="s">
        <v>1459</v>
      </c>
      <c r="K249">
        <v>0</v>
      </c>
      <c r="L249">
        <f>IFERROR(IF(VLOOKUP($H249,'BASE DATOS'!$BN$2:$BX$40,4,FALSE)&lt;&gt;0,1,0),"-")</f>
        <v>0</v>
      </c>
      <c r="M249">
        <f>IFERROR(IF(VLOOKUP($H249,'BASE DATOS'!$BN$2:$BX$40,5,FALSE)&lt;&gt;0,1,0),"-")</f>
        <v>0</v>
      </c>
      <c r="N249">
        <f>IFERROR(IF(VLOOKUP($H249,'BASE DATOS'!$BN$2:$BX$40,6,FALSE)&lt;&gt;0,1,0),"-")</f>
        <v>1</v>
      </c>
      <c r="O249">
        <v>0</v>
      </c>
      <c r="P249">
        <f>IFERROR(IF(VLOOKUP($H249,'BASE DATOS'!$BN$2:$BX$40,8,FALSE)&lt;&gt;0,1,0),"-")</f>
        <v>0</v>
      </c>
      <c r="Q249">
        <f>IFERROR(IF(VLOOKUP($H249,'BASE DATOS'!$BN$2:$BX$40,9,FALSE)&lt;&gt;0,1,0),"-")</f>
        <v>0</v>
      </c>
      <c r="R249">
        <f>IFERROR(IF(VLOOKUP($H249,'BASE DATOS'!$BN$2:$BX$40,10,FALSE)&lt;&gt;0,1,0),"-")</f>
        <v>0</v>
      </c>
      <c r="S249">
        <f>IFERROR(IF(VLOOKUP($H249,'BASE DATOS'!$BN$2:$BX$40,11,FALSE)&lt;&gt;0,1,0),"-")</f>
        <v>0</v>
      </c>
      <c r="T249" t="s">
        <v>341</v>
      </c>
    </row>
    <row r="250" spans="1:20" ht="15" customHeight="1">
      <c r="A250" s="786">
        <f t="shared" si="19"/>
        <v>45</v>
      </c>
      <c r="B250" s="786" t="str">
        <f t="shared" si="20"/>
        <v>TM</v>
      </c>
      <c r="C250" s="786">
        <f t="shared" si="21"/>
        <v>0</v>
      </c>
      <c r="D250" s="786" t="str">
        <f t="shared" si="22"/>
        <v>NO</v>
      </c>
      <c r="E250" s="38">
        <v>45966</v>
      </c>
      <c r="F250" s="614">
        <v>0.41666666666666669</v>
      </c>
      <c r="G250" s="614" t="s">
        <v>1346</v>
      </c>
      <c r="H250" t="s">
        <v>970</v>
      </c>
      <c r="I250" t="s">
        <v>1234</v>
      </c>
      <c r="J250" t="s">
        <v>1460</v>
      </c>
      <c r="K250">
        <v>0</v>
      </c>
      <c r="L250">
        <v>0</v>
      </c>
      <c r="M250">
        <v>0</v>
      </c>
      <c r="N250">
        <v>0</v>
      </c>
      <c r="O250">
        <v>0</v>
      </c>
      <c r="P250">
        <v>0</v>
      </c>
      <c r="Q250">
        <v>0</v>
      </c>
      <c r="R250">
        <v>0</v>
      </c>
      <c r="S250">
        <v>1</v>
      </c>
      <c r="T250" t="s">
        <v>341</v>
      </c>
    </row>
    <row r="251" spans="1:20" ht="15" customHeight="1">
      <c r="A251" s="786">
        <f t="shared" ref="A251:A263" si="23">IF(E251="","FD",_xlfn.ISOWEEKNUM(E251))</f>
        <v>45</v>
      </c>
      <c r="B251" s="786" t="str">
        <f t="shared" ref="B251:B263" si="24">IF(F251="","FD",IF(AND(F251&gt;0.25,F251&lt;0.75),"TM","TT"))</f>
        <v>TM</v>
      </c>
      <c r="C251" s="786">
        <f t="shared" ref="C251:C263" si="25">+IF(OR(F251&lt;&gt;F250,G251&lt;&gt;G250,E251&lt;&gt;E250),1,0)</f>
        <v>1</v>
      </c>
      <c r="D251" s="786" t="str">
        <f t="shared" ref="D251:D263" si="26">IF(OR(LEFT(H251,4)="VEST",LEFT(H251,4)="BAÑO",LEFT(H251,4)="COME"),"SI","NO")</f>
        <v>SI</v>
      </c>
      <c r="E251" s="38">
        <v>45967</v>
      </c>
      <c r="F251" s="614">
        <v>0.45833333333333331</v>
      </c>
      <c r="G251" s="614" t="str">
        <f>IFERROR(VLOOKUP(H251,'BASE DATOS'!$BN$2:$BO$40,2,FALSE),"FD")</f>
        <v>SEGUNDO PISO</v>
      </c>
      <c r="H251" t="s">
        <v>1233</v>
      </c>
      <c r="I251" t="s">
        <v>1207</v>
      </c>
      <c r="J251" t="s">
        <v>1461</v>
      </c>
      <c r="K251">
        <f>IFERROR(IF(VLOOKUP($H251,'BASE DATOS'!$BN$2:$BX$40,3,FALSE)&lt;&gt;0,1,0),"-")</f>
        <v>1</v>
      </c>
      <c r="L251">
        <f>IFERROR(IF(VLOOKUP($H251,'BASE DATOS'!$BN$2:$BX$40,4,FALSE)&lt;&gt;0,1,0),"-")</f>
        <v>1</v>
      </c>
      <c r="M251">
        <f>IFERROR(IF(VLOOKUP($H251,'BASE DATOS'!$BN$2:$BX$40,5,FALSE)&lt;&gt;0,1,0),"-")</f>
        <v>1</v>
      </c>
      <c r="N251">
        <f>IFERROR(IF(VLOOKUP($H251,'BASE DATOS'!$BN$2:$BX$40,6,FALSE)&lt;&gt;0,1,0),"-")</f>
        <v>1</v>
      </c>
      <c r="O251">
        <f>IFERROR(IF(VLOOKUP($H251,'BASE DATOS'!$BN$2:$BX$40,7,FALSE)&lt;&gt;0,1,0),"-")</f>
        <v>1</v>
      </c>
      <c r="P251">
        <f>IFERROR(IF(VLOOKUP($H251,'BASE DATOS'!$BN$2:$BX$40,8,FALSE)&lt;&gt;0,1,0),"-")</f>
        <v>1</v>
      </c>
      <c r="Q251">
        <f>IFERROR(IF(VLOOKUP($H251,'BASE DATOS'!$BN$2:$BX$40,9,FALSE)&lt;&gt;0,1,0),"-")</f>
        <v>1</v>
      </c>
      <c r="R251">
        <f>IFERROR(IF(VLOOKUP($H251,'BASE DATOS'!$BN$2:$BX$40,10,FALSE)&lt;&gt;0,1,0),"-")</f>
        <v>1</v>
      </c>
      <c r="S251">
        <f>IFERROR(IF(VLOOKUP($H251,'BASE DATOS'!$BN$2:$BX$40,11,FALSE)&lt;&gt;0,1,0),"-")</f>
        <v>1</v>
      </c>
      <c r="T251" t="s">
        <v>341</v>
      </c>
    </row>
    <row r="252" spans="1:20" ht="15" customHeight="1">
      <c r="A252" s="786">
        <f t="shared" si="23"/>
        <v>45</v>
      </c>
      <c r="B252" s="786" t="str">
        <f t="shared" si="24"/>
        <v>TM</v>
      </c>
      <c r="C252" s="786">
        <f t="shared" si="25"/>
        <v>1</v>
      </c>
      <c r="D252" s="786" t="str">
        <f t="shared" si="26"/>
        <v>NO</v>
      </c>
      <c r="E252" s="38">
        <v>45967</v>
      </c>
      <c r="F252" s="614">
        <v>0.45833333333333331</v>
      </c>
      <c r="G252" s="614" t="str">
        <f>IFERROR(VLOOKUP(H252,'BASE DATOS'!$BN$2:$BO$40,2,FALSE),"FD")</f>
        <v>ENTRE PISO</v>
      </c>
      <c r="H252" t="s">
        <v>1238</v>
      </c>
      <c r="I252" t="s">
        <v>1210</v>
      </c>
      <c r="J252" t="s">
        <v>1462</v>
      </c>
      <c r="K252">
        <v>0</v>
      </c>
      <c r="L252">
        <f>IFERROR(IF(VLOOKUP($H252,'BASE DATOS'!$BN$2:$BX$40,4,FALSE)&lt;&gt;0,1,0),"-")</f>
        <v>0</v>
      </c>
      <c r="M252">
        <f>IFERROR(IF(VLOOKUP($H252,'BASE DATOS'!$BN$2:$BX$40,5,FALSE)&lt;&gt;0,1,0),"-")</f>
        <v>0</v>
      </c>
      <c r="N252">
        <f>IFERROR(IF(VLOOKUP($H252,'BASE DATOS'!$BN$2:$BX$40,6,FALSE)&lt;&gt;0,1,0),"-")</f>
        <v>1</v>
      </c>
      <c r="O252">
        <v>0</v>
      </c>
      <c r="P252">
        <f>IFERROR(IF(VLOOKUP($H252,'BASE DATOS'!$BN$2:$BX$40,8,FALSE)&lt;&gt;0,1,0),"-")</f>
        <v>0</v>
      </c>
      <c r="Q252">
        <f>IFERROR(IF(VLOOKUP($H252,'BASE DATOS'!$BN$2:$BX$40,9,FALSE)&lt;&gt;0,1,0),"-")</f>
        <v>0</v>
      </c>
      <c r="R252">
        <f>IFERROR(IF(VLOOKUP($H252,'BASE DATOS'!$BN$2:$BX$40,10,FALSE)&lt;&gt;0,1,0),"-")</f>
        <v>0</v>
      </c>
      <c r="S252">
        <f>IFERROR(IF(VLOOKUP($H252,'BASE DATOS'!$BN$2:$BX$40,11,FALSE)&lt;&gt;0,1,0),"-")</f>
        <v>0</v>
      </c>
      <c r="T252" t="s">
        <v>341</v>
      </c>
    </row>
    <row r="253" spans="1:20" ht="15" customHeight="1">
      <c r="A253" s="786">
        <f t="shared" si="23"/>
        <v>45</v>
      </c>
      <c r="B253" s="786" t="str">
        <f t="shared" si="24"/>
        <v>TM</v>
      </c>
      <c r="C253" s="786">
        <f t="shared" si="25"/>
        <v>0</v>
      </c>
      <c r="D253" s="786" t="str">
        <f t="shared" si="26"/>
        <v>NO</v>
      </c>
      <c r="E253" s="38">
        <v>45967</v>
      </c>
      <c r="F253" s="614">
        <v>0.45833333333333331</v>
      </c>
      <c r="G253" s="614" t="str">
        <f>IFERROR(VLOOKUP(H253,'BASE DATOS'!$BN$2:$BO$40,2,FALSE),"FD")</f>
        <v>ENTRE PISO</v>
      </c>
      <c r="H253" t="s">
        <v>1342</v>
      </c>
      <c r="I253" t="s">
        <v>1338</v>
      </c>
      <c r="J253" t="s">
        <v>1345</v>
      </c>
      <c r="K253">
        <f>IFERROR(IF(VLOOKUP($H253,'BASE DATOS'!$BN$2:$BX$40,3,FALSE)&lt;&gt;0,1,0),"-")</f>
        <v>0</v>
      </c>
      <c r="L253">
        <f>IFERROR(IF(VLOOKUP($H253,'BASE DATOS'!$BN$2:$BX$40,4,FALSE)&lt;&gt;0,1,0),"-")</f>
        <v>0</v>
      </c>
      <c r="M253">
        <f>IFERROR(IF(VLOOKUP($H253,'BASE DATOS'!$BN$2:$BX$40,5,FALSE)&lt;&gt;0,1,0),"-")</f>
        <v>0</v>
      </c>
      <c r="N253">
        <f>IFERROR(IF(VLOOKUP($H253,'BASE DATOS'!$BN$2:$BX$40,6,FALSE)&lt;&gt;0,1,0),"-")</f>
        <v>0</v>
      </c>
      <c r="O253">
        <f>IFERROR(IF(VLOOKUP($H253,'BASE DATOS'!$BN$2:$BX$40,7,FALSE)&lt;&gt;0,1,0),"-")</f>
        <v>0</v>
      </c>
      <c r="P253">
        <f>IFERROR(IF(VLOOKUP($H253,'BASE DATOS'!$BN$2:$BX$40,8,FALSE)&lt;&gt;0,1,0),"-")</f>
        <v>0</v>
      </c>
      <c r="Q253">
        <f>IFERROR(IF(VLOOKUP($H253,'BASE DATOS'!$BN$2:$BX$40,9,FALSE)&lt;&gt;0,1,0),"-")</f>
        <v>0</v>
      </c>
      <c r="R253">
        <f>IFERROR(IF(VLOOKUP($H253,'BASE DATOS'!$BN$2:$BX$40,10,FALSE)&lt;&gt;0,1,0),"-")</f>
        <v>0</v>
      </c>
      <c r="S253">
        <f>IFERROR(IF(VLOOKUP($H253,'BASE DATOS'!$BN$2:$BX$40,11,FALSE)&lt;&gt;0,1,0),"-")</f>
        <v>1</v>
      </c>
      <c r="T253" t="s">
        <v>341</v>
      </c>
    </row>
    <row r="254" spans="1:20" ht="15" customHeight="1">
      <c r="A254" s="786">
        <f t="shared" si="23"/>
        <v>45</v>
      </c>
      <c r="B254" s="786" t="str">
        <f t="shared" si="24"/>
        <v>TM</v>
      </c>
      <c r="C254" s="786">
        <v>0</v>
      </c>
      <c r="D254" s="786" t="str">
        <f t="shared" si="26"/>
        <v>NO</v>
      </c>
      <c r="E254" s="38">
        <v>45967</v>
      </c>
      <c r="F254" s="614">
        <v>0.45833333333333331</v>
      </c>
      <c r="G254" s="614" t="str">
        <f>IFERROR(VLOOKUP(H254,'BASE DATOS'!$BN$2:$BO$40,2,FALSE),"FD")</f>
        <v>SEGUNDO PISO</v>
      </c>
      <c r="H254" t="s">
        <v>1401</v>
      </c>
      <c r="I254" t="s">
        <v>970</v>
      </c>
      <c r="J254" t="s">
        <v>1463</v>
      </c>
      <c r="K254">
        <f>IFERROR(IF(VLOOKUP($H254,'BASE DATOS'!$BN$2:$BX$40,3,FALSE)&lt;&gt;0,1,0),"-")</f>
        <v>0</v>
      </c>
      <c r="L254">
        <f>IFERROR(IF(VLOOKUP($H254,'BASE DATOS'!$BN$2:$BX$40,4,FALSE)&lt;&gt;0,1,0),"-")</f>
        <v>0</v>
      </c>
      <c r="M254">
        <f>IFERROR(IF(VLOOKUP($H254,'BASE DATOS'!$BN$2:$BX$40,5,FALSE)&lt;&gt;0,1,0),"-")</f>
        <v>0</v>
      </c>
      <c r="N254">
        <f>IFERROR(IF(VLOOKUP($H254,'BASE DATOS'!$BN$2:$BX$40,6,FALSE)&lt;&gt;0,1,0),"-")</f>
        <v>0</v>
      </c>
      <c r="O254">
        <f>IFERROR(IF(VLOOKUP($H254,'BASE DATOS'!$BN$2:$BX$40,7,FALSE)&lt;&gt;0,1,0),"-")</f>
        <v>0</v>
      </c>
      <c r="P254">
        <f>IFERROR(IF(VLOOKUP($H254,'BASE DATOS'!$BN$2:$BX$40,8,FALSE)&lt;&gt;0,1,0),"-")</f>
        <v>0</v>
      </c>
      <c r="Q254">
        <f>IFERROR(IF(VLOOKUP($H254,'BASE DATOS'!$BN$2:$BX$40,9,FALSE)&lt;&gt;0,1,0),"-")</f>
        <v>1</v>
      </c>
      <c r="R254">
        <f>IFERROR(IF(VLOOKUP($H254,'BASE DATOS'!$BN$2:$BX$40,10,FALSE)&lt;&gt;0,1,0),"-")</f>
        <v>0</v>
      </c>
      <c r="S254">
        <f>IFERROR(IF(VLOOKUP($H254,'BASE DATOS'!$BN$2:$BX$40,11,FALSE)&lt;&gt;0,1,0),"-")</f>
        <v>0</v>
      </c>
      <c r="T254" t="s">
        <v>341</v>
      </c>
    </row>
    <row r="255" spans="1:20" ht="15" customHeight="1">
      <c r="A255" s="786">
        <f t="shared" si="23"/>
        <v>45</v>
      </c>
      <c r="B255" s="786" t="str">
        <f t="shared" si="24"/>
        <v>TM</v>
      </c>
      <c r="C255" s="786">
        <v>0</v>
      </c>
      <c r="D255" s="786" t="str">
        <f t="shared" si="26"/>
        <v>NO</v>
      </c>
      <c r="E255" s="38">
        <v>45967</v>
      </c>
      <c r="F255" s="614">
        <v>0.45833333333333331</v>
      </c>
      <c r="G255" s="614" t="str">
        <f>IFERROR(VLOOKUP(H255,'BASE DATOS'!$BN$2:$BO$40,2,FALSE),"FD")</f>
        <v>ENTRE PISO</v>
      </c>
      <c r="H255" t="s">
        <v>1310</v>
      </c>
      <c r="I255" t="s">
        <v>970</v>
      </c>
      <c r="J255" t="s">
        <v>1464</v>
      </c>
      <c r="K255">
        <v>0</v>
      </c>
      <c r="L255">
        <f>IFERROR(IF(VLOOKUP($H255,'BASE DATOS'!$BN$2:$BX$40,4,FALSE)&lt;&gt;0,1,0),"-")</f>
        <v>0</v>
      </c>
      <c r="M255">
        <f>IFERROR(IF(VLOOKUP($H255,'BASE DATOS'!$BN$2:$BX$40,5,FALSE)&lt;&gt;0,1,0),"-")</f>
        <v>0</v>
      </c>
      <c r="N255">
        <f>IFERROR(IF(VLOOKUP($H255,'BASE DATOS'!$BN$2:$BX$40,6,FALSE)&lt;&gt;0,1,0),"-")</f>
        <v>1</v>
      </c>
      <c r="O255">
        <v>0</v>
      </c>
      <c r="P255">
        <f>IFERROR(IF(VLOOKUP($H255,'BASE DATOS'!$BN$2:$BX$40,8,FALSE)&lt;&gt;0,1,0),"-")</f>
        <v>0</v>
      </c>
      <c r="Q255">
        <f>IFERROR(IF(VLOOKUP($H255,'BASE DATOS'!$BN$2:$BX$40,9,FALSE)&lt;&gt;0,1,0),"-")</f>
        <v>0</v>
      </c>
      <c r="R255">
        <f>IFERROR(IF(VLOOKUP($H255,'BASE DATOS'!$BN$2:$BX$40,10,FALSE)&lt;&gt;0,1,0),"-")</f>
        <v>0</v>
      </c>
      <c r="S255">
        <f>IFERROR(IF(VLOOKUP($H255,'BASE DATOS'!$BN$2:$BX$40,11,FALSE)&lt;&gt;0,1,0),"-")</f>
        <v>0</v>
      </c>
      <c r="T255" t="s">
        <v>341</v>
      </c>
    </row>
    <row r="256" spans="1:20" ht="15" customHeight="1">
      <c r="A256" s="786">
        <f t="shared" si="23"/>
        <v>45</v>
      </c>
      <c r="B256" s="786" t="str">
        <f t="shared" si="24"/>
        <v>TM</v>
      </c>
      <c r="C256" s="786">
        <v>0</v>
      </c>
      <c r="D256" s="786" t="str">
        <f t="shared" si="26"/>
        <v>SI</v>
      </c>
      <c r="E256" s="38">
        <v>45967</v>
      </c>
      <c r="F256" s="614">
        <v>0.45833333333333331</v>
      </c>
      <c r="G256" s="614" t="str">
        <f>IFERROR(VLOOKUP(H256,'BASE DATOS'!$BN$2:$BO$40,2,FALSE),"FD")</f>
        <v>SEGUNDO PISO</v>
      </c>
      <c r="H256" t="s">
        <v>1233</v>
      </c>
      <c r="I256" t="s">
        <v>1216</v>
      </c>
      <c r="J256" t="s">
        <v>1465</v>
      </c>
      <c r="K256">
        <v>0</v>
      </c>
      <c r="L256">
        <v>0</v>
      </c>
      <c r="M256">
        <v>0</v>
      </c>
      <c r="N256">
        <v>0</v>
      </c>
      <c r="O256">
        <v>0</v>
      </c>
      <c r="P256">
        <v>0</v>
      </c>
      <c r="Q256">
        <v>0</v>
      </c>
      <c r="R256">
        <v>0</v>
      </c>
      <c r="S256">
        <v>0</v>
      </c>
      <c r="T256" t="s">
        <v>341</v>
      </c>
    </row>
    <row r="257" spans="1:20" ht="15" customHeight="1">
      <c r="A257" s="786">
        <f t="shared" si="23"/>
        <v>45</v>
      </c>
      <c r="B257" s="786" t="str">
        <f t="shared" si="24"/>
        <v>TM</v>
      </c>
      <c r="C257" s="786">
        <f t="shared" si="25"/>
        <v>0</v>
      </c>
      <c r="D257" s="786" t="str">
        <f t="shared" si="26"/>
        <v>SI</v>
      </c>
      <c r="E257" s="38">
        <v>45967</v>
      </c>
      <c r="F257" s="614">
        <v>0.45833333333333331</v>
      </c>
      <c r="G257" s="614" t="str">
        <f>IFERROR(VLOOKUP(H257,'BASE DATOS'!$BN$2:$BO$40,2,FALSE),"FD")</f>
        <v>SEGUNDO PISO</v>
      </c>
      <c r="H257" t="s">
        <v>1232</v>
      </c>
      <c r="I257" t="s">
        <v>1207</v>
      </c>
      <c r="J257" t="s">
        <v>1466</v>
      </c>
      <c r="K257">
        <f>IFERROR(IF(VLOOKUP($H257,'BASE DATOS'!$BN$2:$BX$40,3,FALSE)&lt;&gt;0,1,0),"-")</f>
        <v>1</v>
      </c>
      <c r="L257">
        <f>IFERROR(IF(VLOOKUP($H257,'BASE DATOS'!$BN$2:$BX$40,4,FALSE)&lt;&gt;0,1,0),"-")</f>
        <v>1</v>
      </c>
      <c r="M257">
        <f>IFERROR(IF(VLOOKUP($H257,'BASE DATOS'!$BN$2:$BX$40,5,FALSE)&lt;&gt;0,1,0),"-")</f>
        <v>1</v>
      </c>
      <c r="N257">
        <f>IFERROR(IF(VLOOKUP($H257,'BASE DATOS'!$BN$2:$BX$40,6,FALSE)&lt;&gt;0,1,0),"-")</f>
        <v>1</v>
      </c>
      <c r="O257">
        <f>IFERROR(IF(VLOOKUP($H257,'BASE DATOS'!$BN$2:$BX$40,7,FALSE)&lt;&gt;0,1,0),"-")</f>
        <v>1</v>
      </c>
      <c r="P257">
        <f>IFERROR(IF(VLOOKUP($H257,'BASE DATOS'!$BN$2:$BX$40,8,FALSE)&lt;&gt;0,1,0),"-")</f>
        <v>1</v>
      </c>
      <c r="Q257">
        <f>IFERROR(IF(VLOOKUP($H257,'BASE DATOS'!$BN$2:$BX$40,9,FALSE)&lt;&gt;0,1,0),"-")</f>
        <v>1</v>
      </c>
      <c r="R257">
        <f>IFERROR(IF(VLOOKUP($H257,'BASE DATOS'!$BN$2:$BX$40,10,FALSE)&lt;&gt;0,1,0),"-")</f>
        <v>1</v>
      </c>
      <c r="S257">
        <f>IFERROR(IF(VLOOKUP($H257,'BASE DATOS'!$BN$2:$BX$40,11,FALSE)&lt;&gt;0,1,0),"-")</f>
        <v>1</v>
      </c>
      <c r="T257" t="s">
        <v>341</v>
      </c>
    </row>
    <row r="258" spans="1:20" ht="15" customHeight="1">
      <c r="A258" s="786">
        <f t="shared" si="23"/>
        <v>45</v>
      </c>
      <c r="B258" s="786" t="str">
        <f t="shared" si="24"/>
        <v>TM</v>
      </c>
      <c r="C258" s="786">
        <f t="shared" si="25"/>
        <v>1</v>
      </c>
      <c r="D258" s="786" t="str">
        <f t="shared" si="26"/>
        <v>NO</v>
      </c>
      <c r="E258" s="38">
        <v>45967</v>
      </c>
      <c r="F258" s="614">
        <v>0.60486111111111107</v>
      </c>
      <c r="G258" s="614" t="str">
        <f>IFERROR(VLOOKUP(H258,'BASE DATOS'!$BN$2:$BO$40,2,FALSE),"FD")</f>
        <v>PLANTA BAJA</v>
      </c>
      <c r="H258" t="s">
        <v>1202</v>
      </c>
      <c r="I258" t="s">
        <v>1214</v>
      </c>
      <c r="J258" t="s">
        <v>1467</v>
      </c>
      <c r="K258">
        <f>IFERROR(IF(VLOOKUP($H258,'BASE DATOS'!$BN$2:$BX$40,3,FALSE)&lt;&gt;0,1,0),"-")</f>
        <v>0</v>
      </c>
      <c r="L258">
        <f>IFERROR(IF(VLOOKUP($H258,'BASE DATOS'!$BN$2:$BX$40,4,FALSE)&lt;&gt;0,1,0),"-")</f>
        <v>1</v>
      </c>
      <c r="M258">
        <f>IFERROR(IF(VLOOKUP($H258,'BASE DATOS'!$BN$2:$BX$40,5,FALSE)&lt;&gt;0,1,0),"-")</f>
        <v>1</v>
      </c>
      <c r="N258">
        <f>IFERROR(IF(VLOOKUP($H258,'BASE DATOS'!$BN$2:$BX$40,6,FALSE)&lt;&gt;0,1,0),"-")</f>
        <v>1</v>
      </c>
      <c r="O258">
        <f>IFERROR(IF(VLOOKUP($H258,'BASE DATOS'!$BN$2:$BX$40,7,FALSE)&lt;&gt;0,1,0),"-")</f>
        <v>1</v>
      </c>
      <c r="P258">
        <f>IFERROR(IF(VLOOKUP($H258,'BASE DATOS'!$BN$2:$BX$40,8,FALSE)&lt;&gt;0,1,0),"-")</f>
        <v>0</v>
      </c>
      <c r="Q258">
        <f>IFERROR(IF(VLOOKUP($H258,'BASE DATOS'!$BN$2:$BX$40,9,FALSE)&lt;&gt;0,1,0),"-")</f>
        <v>0</v>
      </c>
      <c r="R258">
        <f>IFERROR(IF(VLOOKUP($H258,'BASE DATOS'!$BN$2:$BX$40,10,FALSE)&lt;&gt;0,1,0),"-")</f>
        <v>0</v>
      </c>
      <c r="S258">
        <f>IFERROR(IF(VLOOKUP($H258,'BASE DATOS'!$BN$2:$BX$40,11,FALSE)&lt;&gt;0,1,0),"-")</f>
        <v>0</v>
      </c>
    </row>
    <row r="259" spans="1:20" ht="15" customHeight="1">
      <c r="A259" s="786">
        <f t="shared" si="23"/>
        <v>45</v>
      </c>
      <c r="B259" s="786" t="str">
        <f t="shared" si="24"/>
        <v>TM</v>
      </c>
      <c r="C259" s="786">
        <f t="shared" si="25"/>
        <v>0</v>
      </c>
      <c r="D259" s="786" t="str">
        <f t="shared" si="26"/>
        <v>NO</v>
      </c>
      <c r="E259" s="38">
        <v>45967</v>
      </c>
      <c r="F259" s="614">
        <v>0.60486111111111107</v>
      </c>
      <c r="G259" s="614" t="str">
        <f>IFERROR(VLOOKUP(H259,'BASE DATOS'!$BN$2:$BO$40,2,FALSE),"FD")</f>
        <v>PLANTA BAJA</v>
      </c>
      <c r="H259" t="s">
        <v>1202</v>
      </c>
      <c r="I259" t="s">
        <v>1201</v>
      </c>
      <c r="J259" t="s">
        <v>1468</v>
      </c>
      <c r="K259">
        <f>IFERROR(IF(VLOOKUP($H259,'BASE DATOS'!$BN$2:$BX$40,3,FALSE)&lt;&gt;0,1,0),"-")</f>
        <v>0</v>
      </c>
      <c r="L259">
        <f>IFERROR(IF(VLOOKUP($H259,'BASE DATOS'!$BN$2:$BX$40,4,FALSE)&lt;&gt;0,1,0),"-")</f>
        <v>1</v>
      </c>
      <c r="M259">
        <f>IFERROR(IF(VLOOKUP($H259,'BASE DATOS'!$BN$2:$BX$40,5,FALSE)&lt;&gt;0,1,0),"-")</f>
        <v>1</v>
      </c>
      <c r="N259">
        <f>IFERROR(IF(VLOOKUP($H259,'BASE DATOS'!$BN$2:$BX$40,6,FALSE)&lt;&gt;0,1,0),"-")</f>
        <v>1</v>
      </c>
      <c r="O259">
        <f>IFERROR(IF(VLOOKUP($H259,'BASE DATOS'!$BN$2:$BX$40,7,FALSE)&lt;&gt;0,1,0),"-")</f>
        <v>1</v>
      </c>
      <c r="P259">
        <f>IFERROR(IF(VLOOKUP($H259,'BASE DATOS'!$BN$2:$BX$40,8,FALSE)&lt;&gt;0,1,0),"-")</f>
        <v>0</v>
      </c>
      <c r="Q259">
        <f>IFERROR(IF(VLOOKUP($H259,'BASE DATOS'!$BN$2:$BX$40,9,FALSE)&lt;&gt;0,1,0),"-")</f>
        <v>0</v>
      </c>
      <c r="R259">
        <f>IFERROR(IF(VLOOKUP($H259,'BASE DATOS'!$BN$2:$BX$40,10,FALSE)&lt;&gt;0,1,0),"-")</f>
        <v>0</v>
      </c>
      <c r="S259">
        <f>IFERROR(IF(VLOOKUP($H259,'BASE DATOS'!$BN$2:$BX$40,11,FALSE)&lt;&gt;0,1,0),"-")</f>
        <v>0</v>
      </c>
    </row>
    <row r="260" spans="1:20" ht="15" customHeight="1">
      <c r="A260" s="786">
        <f t="shared" si="23"/>
        <v>45</v>
      </c>
      <c r="B260" s="786" t="str">
        <f t="shared" si="24"/>
        <v>TM</v>
      </c>
      <c r="C260" s="786">
        <f t="shared" si="25"/>
        <v>0</v>
      </c>
      <c r="D260" s="786" t="str">
        <f t="shared" si="26"/>
        <v>NO</v>
      </c>
      <c r="E260" s="38">
        <v>45967</v>
      </c>
      <c r="F260" s="614">
        <v>0.60486111111111107</v>
      </c>
      <c r="G260" s="614" t="str">
        <f>IFERROR(VLOOKUP(H260,'BASE DATOS'!$BN$2:$BO$40,2,FALSE),"FD")</f>
        <v>PLANTA BAJA</v>
      </c>
      <c r="H260" t="s">
        <v>1200</v>
      </c>
      <c r="I260" t="s">
        <v>1210</v>
      </c>
      <c r="J260" t="s">
        <v>1469</v>
      </c>
      <c r="K260">
        <f>IFERROR(IF(VLOOKUP($H260,'BASE DATOS'!$BN$2:$BX$40,3,FALSE)&lt;&gt;0,1,0),"-")</f>
        <v>0</v>
      </c>
      <c r="L260">
        <f>IFERROR(IF(VLOOKUP($H260,'BASE DATOS'!$BN$2:$BX$40,4,FALSE)&lt;&gt;0,1,0),"-")</f>
        <v>1</v>
      </c>
      <c r="M260">
        <f>IFERROR(IF(VLOOKUP($H260,'BASE DATOS'!$BN$2:$BX$40,5,FALSE)&lt;&gt;0,1,0),"-")</f>
        <v>1</v>
      </c>
      <c r="N260">
        <f>IFERROR(IF(VLOOKUP($H260,'BASE DATOS'!$BN$2:$BX$40,6,FALSE)&lt;&gt;0,1,0),"-")</f>
        <v>1</v>
      </c>
      <c r="O260">
        <f>IFERROR(IF(VLOOKUP($H260,'BASE DATOS'!$BN$2:$BX$40,7,FALSE)&lt;&gt;0,1,0),"-")</f>
        <v>1</v>
      </c>
      <c r="P260">
        <f>IFERROR(IF(VLOOKUP($H260,'BASE DATOS'!$BN$2:$BX$40,8,FALSE)&lt;&gt;0,1,0),"-")</f>
        <v>0</v>
      </c>
      <c r="Q260">
        <f>IFERROR(IF(VLOOKUP($H260,'BASE DATOS'!$BN$2:$BX$40,9,FALSE)&lt;&gt;0,1,0),"-")</f>
        <v>0</v>
      </c>
      <c r="R260">
        <f>IFERROR(IF(VLOOKUP($H260,'BASE DATOS'!$BN$2:$BX$40,10,FALSE)&lt;&gt;0,1,0),"-")</f>
        <v>0</v>
      </c>
      <c r="S260">
        <f>IFERROR(IF(VLOOKUP($H260,'BASE DATOS'!$BN$2:$BX$40,11,FALSE)&lt;&gt;0,1,0),"-")</f>
        <v>0</v>
      </c>
    </row>
    <row r="261" spans="1:20" ht="15" customHeight="1">
      <c r="A261" s="786">
        <f t="shared" si="23"/>
        <v>45</v>
      </c>
      <c r="B261" s="786" t="str">
        <f t="shared" si="24"/>
        <v>TM</v>
      </c>
      <c r="C261" s="786">
        <f t="shared" si="25"/>
        <v>0</v>
      </c>
      <c r="D261" s="786" t="str">
        <f t="shared" si="26"/>
        <v>NO</v>
      </c>
      <c r="E261" s="38">
        <v>45967</v>
      </c>
      <c r="F261" s="614">
        <v>0.60486111111111107</v>
      </c>
      <c r="G261" s="614" t="str">
        <f>IFERROR(VLOOKUP(H261,'BASE DATOS'!$BN$2:$BO$40,2,FALSE),"FD")</f>
        <v>PLANTA BAJA</v>
      </c>
      <c r="H261" t="s">
        <v>1203</v>
      </c>
      <c r="I261" t="s">
        <v>1216</v>
      </c>
      <c r="J261" t="s">
        <v>1470</v>
      </c>
      <c r="K261">
        <f>IFERROR(IF(VLOOKUP($H261,'BASE DATOS'!$BN$2:$BX$40,3,FALSE)&lt;&gt;0,1,0),"-")</f>
        <v>1</v>
      </c>
      <c r="L261">
        <f>IFERROR(IF(VLOOKUP($H261,'BASE DATOS'!$BN$2:$BX$40,4,FALSE)&lt;&gt;0,1,0),"-")</f>
        <v>1</v>
      </c>
      <c r="M261">
        <f>IFERROR(IF(VLOOKUP($H261,'BASE DATOS'!$BN$2:$BX$40,5,FALSE)&lt;&gt;0,1,0),"-")</f>
        <v>1</v>
      </c>
      <c r="N261">
        <f>IFERROR(IF(VLOOKUP($H261,'BASE DATOS'!$BN$2:$BX$40,6,FALSE)&lt;&gt;0,1,0),"-")</f>
        <v>0</v>
      </c>
      <c r="O261">
        <f>IFERROR(IF(VLOOKUP($H261,'BASE DATOS'!$BN$2:$BX$40,7,FALSE)&lt;&gt;0,1,0),"-")</f>
        <v>0</v>
      </c>
      <c r="P261">
        <f>IFERROR(IF(VLOOKUP($H261,'BASE DATOS'!$BN$2:$BX$40,8,FALSE)&lt;&gt;0,1,0),"-")</f>
        <v>0</v>
      </c>
      <c r="Q261">
        <f>IFERROR(IF(VLOOKUP($H261,'BASE DATOS'!$BN$2:$BX$40,9,FALSE)&lt;&gt;0,1,0),"-")</f>
        <v>0</v>
      </c>
      <c r="R261">
        <f>IFERROR(IF(VLOOKUP($H261,'BASE DATOS'!$BN$2:$BX$40,10,FALSE)&lt;&gt;0,1,0),"-")</f>
        <v>0</v>
      </c>
      <c r="S261">
        <f>IFERROR(IF(VLOOKUP($H261,'BASE DATOS'!$BN$2:$BX$40,11,FALSE)&lt;&gt;0,1,0),"-")</f>
        <v>0</v>
      </c>
    </row>
    <row r="262" spans="1:20" ht="15" customHeight="1">
      <c r="A262" s="786">
        <f t="shared" si="23"/>
        <v>45</v>
      </c>
      <c r="B262" s="786" t="str">
        <f t="shared" si="24"/>
        <v>TM</v>
      </c>
      <c r="C262" s="786">
        <f t="shared" si="25"/>
        <v>1</v>
      </c>
      <c r="D262" s="786" t="str">
        <f t="shared" si="26"/>
        <v>NO</v>
      </c>
      <c r="E262" s="38">
        <v>45967</v>
      </c>
      <c r="F262" s="614">
        <v>0.66666666666666663</v>
      </c>
      <c r="G262" s="614" t="str">
        <f>IFERROR(VLOOKUP(H262,'BASE DATOS'!$BN$2:$BO$40,2,FALSE),"FD")</f>
        <v>PRIMER PISO</v>
      </c>
      <c r="H262" t="s">
        <v>1193</v>
      </c>
      <c r="I262" t="s">
        <v>1210</v>
      </c>
      <c r="J262" t="s">
        <v>1471</v>
      </c>
      <c r="K262">
        <f>IFERROR(IF(VLOOKUP($H262,'BASE DATOS'!$BN$2:$BX$40,3,FALSE)&lt;&gt;0,1,0),"-")</f>
        <v>0</v>
      </c>
      <c r="L262">
        <f>IFERROR(IF(VLOOKUP($H262,'BASE DATOS'!$BN$2:$BX$40,4,FALSE)&lt;&gt;0,1,0),"-")</f>
        <v>0</v>
      </c>
      <c r="M262">
        <f>IFERROR(IF(VLOOKUP($H262,'BASE DATOS'!$BN$2:$BX$40,5,FALSE)&lt;&gt;0,1,0),"-")</f>
        <v>0</v>
      </c>
      <c r="N262">
        <f>IFERROR(IF(VLOOKUP($H262,'BASE DATOS'!$BN$2:$BX$40,6,FALSE)&lt;&gt;0,1,0),"-")</f>
        <v>1</v>
      </c>
      <c r="O262">
        <f>IFERROR(IF(VLOOKUP($H262,'BASE DATOS'!$BN$2:$BX$40,7,FALSE)&lt;&gt;0,1,0),"-")</f>
        <v>1</v>
      </c>
      <c r="P262">
        <f>IFERROR(IF(VLOOKUP($H262,'BASE DATOS'!$BN$2:$BX$40,8,FALSE)&lt;&gt;0,1,0),"-")</f>
        <v>0</v>
      </c>
      <c r="Q262">
        <f>IFERROR(IF(VLOOKUP($H262,'BASE DATOS'!$BN$2:$BX$40,9,FALSE)&lt;&gt;0,1,0),"-")</f>
        <v>0</v>
      </c>
      <c r="R262">
        <f>IFERROR(IF(VLOOKUP($H262,'BASE DATOS'!$BN$2:$BX$40,10,FALSE)&lt;&gt;0,1,0),"-")</f>
        <v>0</v>
      </c>
      <c r="S262">
        <f>IFERROR(IF(VLOOKUP($H262,'BASE DATOS'!$BN$2:$BX$40,11,FALSE)&lt;&gt;0,1,0),"-")</f>
        <v>0</v>
      </c>
    </row>
    <row r="263" spans="1:20" ht="15" customHeight="1">
      <c r="A263" s="786">
        <f t="shared" si="23"/>
        <v>45</v>
      </c>
      <c r="B263" s="786" t="str">
        <f t="shared" si="24"/>
        <v>TM</v>
      </c>
      <c r="C263" s="786">
        <f t="shared" si="25"/>
        <v>0</v>
      </c>
      <c r="D263" s="786" t="str">
        <f t="shared" si="26"/>
        <v>SI</v>
      </c>
      <c r="E263" s="38">
        <v>45967</v>
      </c>
      <c r="F263" s="614">
        <v>0.66666666666666663</v>
      </c>
      <c r="G263" s="614" t="str">
        <f>IFERROR(VLOOKUP(H263,'BASE DATOS'!$BN$2:$BO$40,2,FALSE),"FD")</f>
        <v>PRIMER PISO</v>
      </c>
      <c r="H263" t="s">
        <v>1206</v>
      </c>
      <c r="I263" t="s">
        <v>1207</v>
      </c>
      <c r="J263" t="s">
        <v>1472</v>
      </c>
      <c r="K263">
        <f>IFERROR(IF(VLOOKUP($H263,'BASE DATOS'!$BN$2:$BX$40,3,FALSE)&lt;&gt;0,1,0),"-")</f>
        <v>1</v>
      </c>
      <c r="L263">
        <f>IFERROR(IF(VLOOKUP($H263,'BASE DATOS'!$BN$2:$BX$40,4,FALSE)&lt;&gt;0,1,0),"-")</f>
        <v>1</v>
      </c>
      <c r="M263">
        <f>IFERROR(IF(VLOOKUP($H263,'BASE DATOS'!$BN$2:$BX$40,5,FALSE)&lt;&gt;0,1,0),"-")</f>
        <v>1</v>
      </c>
      <c r="N263">
        <f>IFERROR(IF(VLOOKUP($H263,'BASE DATOS'!$BN$2:$BX$40,6,FALSE)&lt;&gt;0,1,0),"-")</f>
        <v>1</v>
      </c>
      <c r="O263">
        <f>IFERROR(IF(VLOOKUP($H263,'BASE DATOS'!$BN$2:$BX$40,7,FALSE)&lt;&gt;0,1,0),"-")</f>
        <v>1</v>
      </c>
      <c r="P263">
        <f>IFERROR(IF(VLOOKUP($H263,'BASE DATOS'!$BN$2:$BX$40,8,FALSE)&lt;&gt;0,1,0),"-")</f>
        <v>1</v>
      </c>
      <c r="Q263">
        <f>IFERROR(IF(VLOOKUP($H263,'BASE DATOS'!$BN$2:$BX$40,9,FALSE)&lt;&gt;0,1,0),"-")</f>
        <v>1</v>
      </c>
      <c r="R263">
        <f>IFERROR(IF(VLOOKUP($H263,'BASE DATOS'!$BN$2:$BX$40,10,FALSE)&lt;&gt;0,1,0),"-")</f>
        <v>1</v>
      </c>
      <c r="S263">
        <f>IFERROR(IF(VLOOKUP($H263,'BASE DATOS'!$BN$2:$BX$40,11,FALSE)&lt;&gt;0,1,0),"-")</f>
        <v>1</v>
      </c>
    </row>
    <row r="264" spans="1:20" ht="15" customHeight="1">
      <c r="A264" s="786">
        <f t="shared" ref="A264:A327" si="27">IF(E264="","FD",_xlfn.ISOWEEKNUM(E264))</f>
        <v>45</v>
      </c>
      <c r="B264" s="786" t="str">
        <f t="shared" ref="B264:B327" si="28">IF(F264="","FD",IF(AND(F264&gt;0.25,F264&lt;0.75),"TM","TT"))</f>
        <v>TM</v>
      </c>
      <c r="C264" s="786">
        <f t="shared" ref="C264:C327" si="29">+IF(OR(F264&lt;&gt;F263,G264&lt;&gt;G263,E264&lt;&gt;E263),1,0)</f>
        <v>0</v>
      </c>
      <c r="D264" s="786" t="str">
        <f t="shared" ref="D264:D327" si="30">IF(OR(LEFT(H264,4)="VEST",LEFT(H264,4)="BAÑO",LEFT(H264,4)="COME"),"SI","NO")</f>
        <v>NO</v>
      </c>
      <c r="E264" s="38">
        <v>45967</v>
      </c>
      <c r="F264" s="614">
        <v>0.66666666666666663</v>
      </c>
      <c r="G264" s="614" t="str">
        <f>IFERROR(VLOOKUP(H264,'BASE DATOS'!$BN$2:$BO$40,2,FALSE),"FD")</f>
        <v>PRIMER PISO</v>
      </c>
      <c r="H264" t="s">
        <v>1271</v>
      </c>
      <c r="I264" t="s">
        <v>1194</v>
      </c>
      <c r="J264" t="s">
        <v>1473</v>
      </c>
      <c r="K264">
        <f>IFERROR(IF(VLOOKUP($H264,'BASE DATOS'!$BN$2:$BX$40,3,FALSE)&lt;&gt;0,1,0),"-")</f>
        <v>0</v>
      </c>
      <c r="L264">
        <f>IFERROR(IF(VLOOKUP($H264,'BASE DATOS'!$BN$2:$BX$40,4,FALSE)&lt;&gt;0,1,0),"-")</f>
        <v>0</v>
      </c>
      <c r="M264">
        <f>IFERROR(IF(VLOOKUP($H264,'BASE DATOS'!$BN$2:$BX$40,5,FALSE)&lt;&gt;0,1,0),"-")</f>
        <v>0</v>
      </c>
      <c r="N264">
        <f>IFERROR(IF(VLOOKUP($H264,'BASE DATOS'!$BN$2:$BX$40,6,FALSE)&lt;&gt;0,1,0),"-")</f>
        <v>1</v>
      </c>
      <c r="O264">
        <f>IFERROR(IF(VLOOKUP($H264,'BASE DATOS'!$BN$2:$BX$40,7,FALSE)&lt;&gt;0,1,0),"-")</f>
        <v>1</v>
      </c>
      <c r="P264">
        <f>IFERROR(IF(VLOOKUP($H264,'BASE DATOS'!$BN$2:$BX$40,8,FALSE)&lt;&gt;0,1,0),"-")</f>
        <v>0</v>
      </c>
      <c r="Q264">
        <f>IFERROR(IF(VLOOKUP($H264,'BASE DATOS'!$BN$2:$BX$40,9,FALSE)&lt;&gt;0,1,0),"-")</f>
        <v>0</v>
      </c>
      <c r="R264">
        <f>IFERROR(IF(VLOOKUP($H264,'BASE DATOS'!$BN$2:$BX$40,10,FALSE)&lt;&gt;0,1,0),"-")</f>
        <v>0</v>
      </c>
      <c r="S264">
        <f>IFERROR(IF(VLOOKUP($H264,'BASE DATOS'!$BN$2:$BX$40,11,FALSE)&lt;&gt;0,1,0),"-")</f>
        <v>0</v>
      </c>
    </row>
    <row r="265" spans="1:20" ht="15" customHeight="1">
      <c r="A265" s="786">
        <f t="shared" si="27"/>
        <v>45</v>
      </c>
      <c r="B265" s="786" t="str">
        <f t="shared" si="28"/>
        <v>TM</v>
      </c>
      <c r="C265" s="786">
        <f t="shared" si="29"/>
        <v>0</v>
      </c>
      <c r="D265" s="786" t="str">
        <f t="shared" si="30"/>
        <v>NO</v>
      </c>
      <c r="E265" s="38">
        <v>45967</v>
      </c>
      <c r="F265" s="614">
        <v>0.66666666666666663</v>
      </c>
      <c r="G265" s="614" t="str">
        <f>IFERROR(VLOOKUP(H265,'BASE DATOS'!$BN$2:$BO$40,2,FALSE),"FD")</f>
        <v>PRIMER PISO</v>
      </c>
      <c r="H265" t="s">
        <v>1223</v>
      </c>
      <c r="I265" t="s">
        <v>970</v>
      </c>
      <c r="J265" t="s">
        <v>1414</v>
      </c>
      <c r="K265">
        <f>IFERROR(IF(VLOOKUP($H265,'BASE DATOS'!$BN$2:$BX$40,3,FALSE)&lt;&gt;0,1,0),"-")</f>
        <v>0</v>
      </c>
      <c r="L265">
        <f>IFERROR(IF(VLOOKUP($H265,'BASE DATOS'!$BN$2:$BX$40,4,FALSE)&lt;&gt;0,1,0),"-")</f>
        <v>0</v>
      </c>
      <c r="M265">
        <f>IFERROR(IF(VLOOKUP($H265,'BASE DATOS'!$BN$2:$BX$40,5,FALSE)&lt;&gt;0,1,0),"-")</f>
        <v>0</v>
      </c>
      <c r="N265">
        <f>IFERROR(IF(VLOOKUP($H265,'BASE DATOS'!$BN$2:$BX$40,6,FALSE)&lt;&gt;0,1,0),"-")</f>
        <v>1</v>
      </c>
      <c r="O265">
        <f>IFERROR(IF(VLOOKUP($H265,'BASE DATOS'!$BN$2:$BX$40,7,FALSE)&lt;&gt;0,1,0),"-")</f>
        <v>1</v>
      </c>
      <c r="P265">
        <f>IFERROR(IF(VLOOKUP($H265,'BASE DATOS'!$BN$2:$BX$40,8,FALSE)&lt;&gt;0,1,0),"-")</f>
        <v>0</v>
      </c>
      <c r="Q265">
        <f>IFERROR(IF(VLOOKUP($H265,'BASE DATOS'!$BN$2:$BX$40,9,FALSE)&lt;&gt;0,1,0),"-")</f>
        <v>0</v>
      </c>
      <c r="R265">
        <f>IFERROR(IF(VLOOKUP($H265,'BASE DATOS'!$BN$2:$BX$40,10,FALSE)&lt;&gt;0,1,0),"-")</f>
        <v>0</v>
      </c>
      <c r="S265">
        <f>IFERROR(IF(VLOOKUP($H265,'BASE DATOS'!$BN$2:$BX$40,11,FALSE)&lt;&gt;0,1,0),"-")</f>
        <v>0</v>
      </c>
    </row>
    <row r="266" spans="1:20" ht="15" customHeight="1">
      <c r="A266" s="786">
        <f t="shared" si="27"/>
        <v>45</v>
      </c>
      <c r="B266" s="786" t="str">
        <f t="shared" si="28"/>
        <v>TM</v>
      </c>
      <c r="C266" s="786">
        <f t="shared" si="29"/>
        <v>0</v>
      </c>
      <c r="D266" s="786" t="str">
        <f t="shared" si="30"/>
        <v>NO</v>
      </c>
      <c r="E266" s="38">
        <v>45967</v>
      </c>
      <c r="F266" s="614">
        <v>0.66666666666666663</v>
      </c>
      <c r="G266" s="614" t="str">
        <f>IFERROR(VLOOKUP(H266,'BASE DATOS'!$BN$2:$BO$40,2,FALSE),"FD")</f>
        <v>PRIMER PISO</v>
      </c>
      <c r="H266" t="s">
        <v>1222</v>
      </c>
      <c r="I266" t="s">
        <v>970</v>
      </c>
      <c r="J266" t="s">
        <v>1474</v>
      </c>
      <c r="K266">
        <f>IFERROR(IF(VLOOKUP($H266,'BASE DATOS'!$BN$2:$BX$40,3,FALSE)&lt;&gt;0,1,0),"-")</f>
        <v>0</v>
      </c>
      <c r="L266">
        <f>IFERROR(IF(VLOOKUP($H266,'BASE DATOS'!$BN$2:$BX$40,4,FALSE)&lt;&gt;0,1,0),"-")</f>
        <v>0</v>
      </c>
      <c r="M266">
        <f>IFERROR(IF(VLOOKUP($H266,'BASE DATOS'!$BN$2:$BX$40,5,FALSE)&lt;&gt;0,1,0),"-")</f>
        <v>0</v>
      </c>
      <c r="N266">
        <f>IFERROR(IF(VLOOKUP($H266,'BASE DATOS'!$BN$2:$BX$40,6,FALSE)&lt;&gt;0,1,0),"-")</f>
        <v>1</v>
      </c>
      <c r="O266">
        <f>IFERROR(IF(VLOOKUP($H266,'BASE DATOS'!$BN$2:$BX$40,7,FALSE)&lt;&gt;0,1,0),"-")</f>
        <v>1</v>
      </c>
      <c r="P266">
        <f>IFERROR(IF(VLOOKUP($H266,'BASE DATOS'!$BN$2:$BX$40,8,FALSE)&lt;&gt;0,1,0),"-")</f>
        <v>0</v>
      </c>
      <c r="Q266">
        <f>IFERROR(IF(VLOOKUP($H266,'BASE DATOS'!$BN$2:$BX$40,9,FALSE)&lt;&gt;0,1,0),"-")</f>
        <v>0</v>
      </c>
      <c r="R266">
        <f>IFERROR(IF(VLOOKUP($H266,'BASE DATOS'!$BN$2:$BX$40,10,FALSE)&lt;&gt;0,1,0),"-")</f>
        <v>0</v>
      </c>
      <c r="S266">
        <f>IFERROR(IF(VLOOKUP($H266,'BASE DATOS'!$BN$2:$BX$40,11,FALSE)&lt;&gt;0,1,0),"-")</f>
        <v>0</v>
      </c>
    </row>
    <row r="267" spans="1:20" ht="15" customHeight="1">
      <c r="A267" s="786">
        <f t="shared" si="27"/>
        <v>45</v>
      </c>
      <c r="B267" s="786" t="str">
        <f t="shared" si="28"/>
        <v>TT</v>
      </c>
      <c r="C267" s="786">
        <f t="shared" si="29"/>
        <v>1</v>
      </c>
      <c r="D267" s="786" t="str">
        <f t="shared" si="30"/>
        <v>NO</v>
      </c>
      <c r="E267" s="38">
        <v>45967</v>
      </c>
      <c r="F267" s="614">
        <v>0.25</v>
      </c>
      <c r="G267" s="614" t="str">
        <f>IFERROR(VLOOKUP(H267,'BASE DATOS'!$BN$2:$BO$40,2,FALSE),"FD")</f>
        <v>PRIMER PISO</v>
      </c>
      <c r="H267" t="s">
        <v>1219</v>
      </c>
      <c r="I267" t="s">
        <v>1338</v>
      </c>
      <c r="J267" t="s">
        <v>1475</v>
      </c>
      <c r="K267">
        <f>IFERROR(IF(VLOOKUP($H267,'BASE DATOS'!$BN$2:$BX$40,3,FALSE)&lt;&gt;0,1,0),"-")</f>
        <v>0</v>
      </c>
      <c r="L267">
        <f>IFERROR(IF(VLOOKUP($H267,'BASE DATOS'!$BN$2:$BX$40,4,FALSE)&lt;&gt;0,1,0),"-")</f>
        <v>0</v>
      </c>
      <c r="M267">
        <f>IFERROR(IF(VLOOKUP($H267,'BASE DATOS'!$BN$2:$BX$40,5,FALSE)&lt;&gt;0,1,0),"-")</f>
        <v>0</v>
      </c>
      <c r="N267">
        <f>IFERROR(IF(VLOOKUP($H267,'BASE DATOS'!$BN$2:$BX$40,6,FALSE)&lt;&gt;0,1,0),"-")</f>
        <v>1</v>
      </c>
      <c r="O267">
        <f>IFERROR(IF(VLOOKUP($H267,'BASE DATOS'!$BN$2:$BX$40,7,FALSE)&lt;&gt;0,1,0),"-")</f>
        <v>1</v>
      </c>
      <c r="P267">
        <f>IFERROR(IF(VLOOKUP($H267,'BASE DATOS'!$BN$2:$BX$40,8,FALSE)&lt;&gt;0,1,0),"-")</f>
        <v>0</v>
      </c>
      <c r="Q267">
        <f>IFERROR(IF(VLOOKUP($H267,'BASE DATOS'!$BN$2:$BX$40,9,FALSE)&lt;&gt;0,1,0),"-")</f>
        <v>0</v>
      </c>
      <c r="R267">
        <f>IFERROR(IF(VLOOKUP($H267,'BASE DATOS'!$BN$2:$BX$40,10,FALSE)&lt;&gt;0,1,0),"-")</f>
        <v>0</v>
      </c>
      <c r="S267">
        <f>IFERROR(IF(VLOOKUP($H267,'BASE DATOS'!$BN$2:$BX$40,11,FALSE)&lt;&gt;0,1,0),"-")</f>
        <v>0</v>
      </c>
    </row>
    <row r="268" spans="1:20" ht="15" customHeight="1">
      <c r="A268" s="786">
        <f t="shared" si="27"/>
        <v>45</v>
      </c>
      <c r="B268" s="786" t="str">
        <f t="shared" si="28"/>
        <v>TT</v>
      </c>
      <c r="C268" s="786">
        <f t="shared" si="29"/>
        <v>0</v>
      </c>
      <c r="D268" s="786" t="str">
        <f t="shared" si="30"/>
        <v>NO</v>
      </c>
      <c r="E268" s="38">
        <v>45967</v>
      </c>
      <c r="F268" s="614">
        <v>0.25</v>
      </c>
      <c r="G268" s="614" t="str">
        <f>IFERROR(VLOOKUP(H268,'BASE DATOS'!$BN$2:$BO$40,2,FALSE),"FD")</f>
        <v>PRIMER PISO</v>
      </c>
      <c r="H268" t="s">
        <v>1195</v>
      </c>
      <c r="I268" t="s">
        <v>1216</v>
      </c>
      <c r="J268" t="s">
        <v>1476</v>
      </c>
      <c r="K268">
        <f>IFERROR(IF(VLOOKUP($H268,'BASE DATOS'!$BN$2:$BX$40,3,FALSE)&lt;&gt;0,1,0),"-")</f>
        <v>0</v>
      </c>
      <c r="L268">
        <f>IFERROR(IF(VLOOKUP($H268,'BASE DATOS'!$BN$2:$BX$40,4,FALSE)&lt;&gt;0,1,0),"-")</f>
        <v>0</v>
      </c>
      <c r="M268">
        <f>IFERROR(IF(VLOOKUP($H268,'BASE DATOS'!$BN$2:$BX$40,5,FALSE)&lt;&gt;0,1,0),"-")</f>
        <v>0</v>
      </c>
      <c r="N268">
        <f>IFERROR(IF(VLOOKUP($H268,'BASE DATOS'!$BN$2:$BX$40,6,FALSE)&lt;&gt;0,1,0),"-")</f>
        <v>1</v>
      </c>
      <c r="O268">
        <f>IFERROR(IF(VLOOKUP($H268,'BASE DATOS'!$BN$2:$BX$40,7,FALSE)&lt;&gt;0,1,0),"-")</f>
        <v>1</v>
      </c>
      <c r="P268">
        <f>IFERROR(IF(VLOOKUP($H268,'BASE DATOS'!$BN$2:$BX$40,8,FALSE)&lt;&gt;0,1,0),"-")</f>
        <v>0</v>
      </c>
      <c r="Q268">
        <f>IFERROR(IF(VLOOKUP($H268,'BASE DATOS'!$BN$2:$BX$40,9,FALSE)&lt;&gt;0,1,0),"-")</f>
        <v>0</v>
      </c>
      <c r="R268">
        <f>IFERROR(IF(VLOOKUP($H268,'BASE DATOS'!$BN$2:$BX$40,10,FALSE)&lt;&gt;0,1,0),"-")</f>
        <v>0</v>
      </c>
      <c r="S268">
        <f>IFERROR(IF(VLOOKUP($H268,'BASE DATOS'!$BN$2:$BX$40,11,FALSE)&lt;&gt;0,1,0),"-")</f>
        <v>0</v>
      </c>
    </row>
    <row r="269" spans="1:20" ht="15" customHeight="1">
      <c r="A269" s="786">
        <f t="shared" si="27"/>
        <v>45</v>
      </c>
      <c r="B269" s="786" t="str">
        <f t="shared" si="28"/>
        <v>TT</v>
      </c>
      <c r="C269" s="786">
        <f t="shared" si="29"/>
        <v>0</v>
      </c>
      <c r="D269" s="786" t="str">
        <f t="shared" si="30"/>
        <v>NO</v>
      </c>
      <c r="E269" s="38">
        <v>45967</v>
      </c>
      <c r="F269" s="614">
        <v>0.25</v>
      </c>
      <c r="G269" s="614" t="str">
        <f>IFERROR(VLOOKUP(H269,'BASE DATOS'!$BN$2:$BO$40,2,FALSE),"FD")</f>
        <v>PRIMER PISO</v>
      </c>
      <c r="H269" t="s">
        <v>1223</v>
      </c>
      <c r="I269" t="s">
        <v>970</v>
      </c>
      <c r="J269" t="s">
        <v>1477</v>
      </c>
      <c r="K269">
        <f>IFERROR(IF(VLOOKUP($H269,'BASE DATOS'!$BN$2:$BX$40,3,FALSE)&lt;&gt;0,1,0),"-")</f>
        <v>0</v>
      </c>
      <c r="L269">
        <f>IFERROR(IF(VLOOKUP($H269,'BASE DATOS'!$BN$2:$BX$40,4,FALSE)&lt;&gt;0,1,0),"-")</f>
        <v>0</v>
      </c>
      <c r="M269">
        <f>IFERROR(IF(VLOOKUP($H269,'BASE DATOS'!$BN$2:$BX$40,5,FALSE)&lt;&gt;0,1,0),"-")</f>
        <v>0</v>
      </c>
      <c r="N269">
        <f>IFERROR(IF(VLOOKUP($H269,'BASE DATOS'!$BN$2:$BX$40,6,FALSE)&lt;&gt;0,1,0),"-")</f>
        <v>1</v>
      </c>
      <c r="O269">
        <f>IFERROR(IF(VLOOKUP($H269,'BASE DATOS'!$BN$2:$BX$40,7,FALSE)&lt;&gt;0,1,0),"-")</f>
        <v>1</v>
      </c>
      <c r="P269">
        <f>IFERROR(IF(VLOOKUP($H269,'BASE DATOS'!$BN$2:$BX$40,8,FALSE)&lt;&gt;0,1,0),"-")</f>
        <v>0</v>
      </c>
      <c r="Q269">
        <f>IFERROR(IF(VLOOKUP($H269,'BASE DATOS'!$BN$2:$BX$40,9,FALSE)&lt;&gt;0,1,0),"-")</f>
        <v>0</v>
      </c>
      <c r="R269">
        <f>IFERROR(IF(VLOOKUP($H269,'BASE DATOS'!$BN$2:$BX$40,10,FALSE)&lt;&gt;0,1,0),"-")</f>
        <v>0</v>
      </c>
      <c r="S269">
        <f>IFERROR(IF(VLOOKUP($H269,'BASE DATOS'!$BN$2:$BX$40,11,FALSE)&lt;&gt;0,1,0),"-")</f>
        <v>0</v>
      </c>
    </row>
    <row r="270" spans="1:20" ht="15" customHeight="1">
      <c r="A270" s="786">
        <f t="shared" si="27"/>
        <v>45</v>
      </c>
      <c r="B270" s="786" t="str">
        <f t="shared" si="28"/>
        <v>TT</v>
      </c>
      <c r="C270" s="786">
        <f t="shared" si="29"/>
        <v>0</v>
      </c>
      <c r="D270" s="786" t="str">
        <f t="shared" si="30"/>
        <v>NO</v>
      </c>
      <c r="E270" s="38">
        <v>45967</v>
      </c>
      <c r="F270" s="614">
        <v>0.25</v>
      </c>
      <c r="G270" s="614" t="str">
        <f>IFERROR(VLOOKUP(H270,'BASE DATOS'!$BN$2:$BO$40,2,FALSE),"FD")</f>
        <v>PRIMER PISO</v>
      </c>
      <c r="H270" t="s">
        <v>1271</v>
      </c>
      <c r="I270" t="s">
        <v>970</v>
      </c>
      <c r="J270" t="s">
        <v>1478</v>
      </c>
      <c r="K270">
        <f>IFERROR(IF(VLOOKUP($H270,'BASE DATOS'!$BN$2:$BX$40,3,FALSE)&lt;&gt;0,1,0),"-")</f>
        <v>0</v>
      </c>
      <c r="L270">
        <f>IFERROR(IF(VLOOKUP($H270,'BASE DATOS'!$BN$2:$BX$40,4,FALSE)&lt;&gt;0,1,0),"-")</f>
        <v>0</v>
      </c>
      <c r="M270">
        <f>IFERROR(IF(VLOOKUP($H270,'BASE DATOS'!$BN$2:$BX$40,5,FALSE)&lt;&gt;0,1,0),"-")</f>
        <v>0</v>
      </c>
      <c r="N270">
        <f>IFERROR(IF(VLOOKUP($H270,'BASE DATOS'!$BN$2:$BX$40,6,FALSE)&lt;&gt;0,1,0),"-")</f>
        <v>1</v>
      </c>
      <c r="O270">
        <f>IFERROR(IF(VLOOKUP($H270,'BASE DATOS'!$BN$2:$BX$40,7,FALSE)&lt;&gt;0,1,0),"-")</f>
        <v>1</v>
      </c>
      <c r="P270">
        <f>IFERROR(IF(VLOOKUP($H270,'BASE DATOS'!$BN$2:$BX$40,8,FALSE)&lt;&gt;0,1,0),"-")</f>
        <v>0</v>
      </c>
      <c r="Q270">
        <f>IFERROR(IF(VLOOKUP($H270,'BASE DATOS'!$BN$2:$BX$40,9,FALSE)&lt;&gt;0,1,0),"-")</f>
        <v>0</v>
      </c>
      <c r="R270">
        <f>IFERROR(IF(VLOOKUP($H270,'BASE DATOS'!$BN$2:$BX$40,10,FALSE)&lt;&gt;0,1,0),"-")</f>
        <v>0</v>
      </c>
      <c r="S270">
        <f>IFERROR(IF(VLOOKUP($H270,'BASE DATOS'!$BN$2:$BX$40,11,FALSE)&lt;&gt;0,1,0),"-")</f>
        <v>0</v>
      </c>
    </row>
    <row r="271" spans="1:20" ht="15" customHeight="1">
      <c r="A271" s="786">
        <f t="shared" si="27"/>
        <v>45</v>
      </c>
      <c r="B271" s="786" t="str">
        <f t="shared" si="28"/>
        <v>TT</v>
      </c>
      <c r="C271" s="786">
        <f t="shared" si="29"/>
        <v>1</v>
      </c>
      <c r="D271" s="786" t="str">
        <f t="shared" si="30"/>
        <v>NO</v>
      </c>
      <c r="E271" s="38">
        <v>45967</v>
      </c>
      <c r="F271" s="614">
        <v>0.85416666666666663</v>
      </c>
      <c r="G271" s="614" t="str">
        <f>IFERROR(VLOOKUP(H271,'BASE DATOS'!$BN$2:$BO$40,2,FALSE),"FD")</f>
        <v>PLANTA BAJA</v>
      </c>
      <c r="H271" t="s">
        <v>1200</v>
      </c>
      <c r="I271" t="s">
        <v>1214</v>
      </c>
      <c r="J271" t="s">
        <v>1479</v>
      </c>
      <c r="K271">
        <f>IFERROR(IF(VLOOKUP($H271,'BASE DATOS'!$BN$2:$BX$40,3,FALSE)&lt;&gt;0,1,0),"-")</f>
        <v>0</v>
      </c>
      <c r="L271">
        <f>IFERROR(IF(VLOOKUP($H271,'BASE DATOS'!$BN$2:$BX$40,4,FALSE)&lt;&gt;0,1,0),"-")</f>
        <v>1</v>
      </c>
      <c r="M271">
        <f>IFERROR(IF(VLOOKUP($H271,'BASE DATOS'!$BN$2:$BX$40,5,FALSE)&lt;&gt;0,1,0),"-")</f>
        <v>1</v>
      </c>
      <c r="N271">
        <f>IFERROR(IF(VLOOKUP($H271,'BASE DATOS'!$BN$2:$BX$40,6,FALSE)&lt;&gt;0,1,0),"-")</f>
        <v>1</v>
      </c>
      <c r="O271">
        <f>IFERROR(IF(VLOOKUP($H271,'BASE DATOS'!$BN$2:$BX$40,7,FALSE)&lt;&gt;0,1,0),"-")</f>
        <v>1</v>
      </c>
      <c r="P271">
        <f>IFERROR(IF(VLOOKUP($H271,'BASE DATOS'!$BN$2:$BX$40,8,FALSE)&lt;&gt;0,1,0),"-")</f>
        <v>0</v>
      </c>
      <c r="Q271">
        <f>IFERROR(IF(VLOOKUP($H271,'BASE DATOS'!$BN$2:$BX$40,9,FALSE)&lt;&gt;0,1,0),"-")</f>
        <v>0</v>
      </c>
      <c r="R271">
        <f>IFERROR(IF(VLOOKUP($H271,'BASE DATOS'!$BN$2:$BX$40,10,FALSE)&lt;&gt;0,1,0),"-")</f>
        <v>0</v>
      </c>
      <c r="S271">
        <f>IFERROR(IF(VLOOKUP($H271,'BASE DATOS'!$BN$2:$BX$40,11,FALSE)&lt;&gt;0,1,0),"-")</f>
        <v>0</v>
      </c>
    </row>
    <row r="272" spans="1:20" ht="15" customHeight="1">
      <c r="A272" s="786">
        <f t="shared" si="27"/>
        <v>45</v>
      </c>
      <c r="B272" s="786" t="str">
        <f t="shared" si="28"/>
        <v>TT</v>
      </c>
      <c r="C272" s="786">
        <f t="shared" si="29"/>
        <v>0</v>
      </c>
      <c r="D272" s="786" t="str">
        <f t="shared" si="30"/>
        <v>NO</v>
      </c>
      <c r="E272" s="38">
        <v>45967</v>
      </c>
      <c r="F272" s="614">
        <v>0.85416666666666663</v>
      </c>
      <c r="G272" s="614" t="str">
        <f>IFERROR(VLOOKUP(H272,'BASE DATOS'!$BN$2:$BO$40,2,FALSE),"FD")</f>
        <v>PLANTA BAJA</v>
      </c>
      <c r="H272" t="s">
        <v>1200</v>
      </c>
      <c r="I272" t="s">
        <v>1210</v>
      </c>
      <c r="J272" t="s">
        <v>1387</v>
      </c>
      <c r="K272">
        <f>IFERROR(IF(VLOOKUP($H272,'BASE DATOS'!$BN$2:$BX$40,3,FALSE)&lt;&gt;0,1,0),"-")</f>
        <v>0</v>
      </c>
      <c r="L272">
        <f>IFERROR(IF(VLOOKUP($H272,'BASE DATOS'!$BN$2:$BX$40,4,FALSE)&lt;&gt;0,1,0),"-")</f>
        <v>1</v>
      </c>
      <c r="M272">
        <f>IFERROR(IF(VLOOKUP($H272,'BASE DATOS'!$BN$2:$BX$40,5,FALSE)&lt;&gt;0,1,0),"-")</f>
        <v>1</v>
      </c>
      <c r="N272">
        <f>IFERROR(IF(VLOOKUP($H272,'BASE DATOS'!$BN$2:$BX$40,6,FALSE)&lt;&gt;0,1,0),"-")</f>
        <v>1</v>
      </c>
      <c r="O272">
        <f>IFERROR(IF(VLOOKUP($H272,'BASE DATOS'!$BN$2:$BX$40,7,FALSE)&lt;&gt;0,1,0),"-")</f>
        <v>1</v>
      </c>
      <c r="P272">
        <f>IFERROR(IF(VLOOKUP($H272,'BASE DATOS'!$BN$2:$BX$40,8,FALSE)&lt;&gt;0,1,0),"-")</f>
        <v>0</v>
      </c>
      <c r="Q272">
        <f>IFERROR(IF(VLOOKUP($H272,'BASE DATOS'!$BN$2:$BX$40,9,FALSE)&lt;&gt;0,1,0),"-")</f>
        <v>0</v>
      </c>
      <c r="R272">
        <f>IFERROR(IF(VLOOKUP($H272,'BASE DATOS'!$BN$2:$BX$40,10,FALSE)&lt;&gt;0,1,0),"-")</f>
        <v>0</v>
      </c>
      <c r="S272">
        <f>IFERROR(IF(VLOOKUP($H272,'BASE DATOS'!$BN$2:$BX$40,11,FALSE)&lt;&gt;0,1,0),"-")</f>
        <v>0</v>
      </c>
    </row>
    <row r="273" spans="1:19" ht="15" customHeight="1">
      <c r="A273" s="786">
        <f t="shared" si="27"/>
        <v>45</v>
      </c>
      <c r="B273" s="786" t="str">
        <f t="shared" si="28"/>
        <v>TT</v>
      </c>
      <c r="C273" s="786">
        <f t="shared" si="29"/>
        <v>0</v>
      </c>
      <c r="D273" s="786" t="str">
        <f t="shared" si="30"/>
        <v>NO</v>
      </c>
      <c r="E273" s="38">
        <v>45967</v>
      </c>
      <c r="F273" s="614">
        <v>0.85416666666666663</v>
      </c>
      <c r="G273" s="614" t="str">
        <f>IFERROR(VLOOKUP(H273,'BASE DATOS'!$BN$2:$BO$40,2,FALSE),"FD")</f>
        <v>PLANTA BAJA</v>
      </c>
      <c r="H273" t="s">
        <v>1202</v>
      </c>
      <c r="I273" t="s">
        <v>1214</v>
      </c>
      <c r="J273" t="s">
        <v>1467</v>
      </c>
      <c r="K273">
        <f>IFERROR(IF(VLOOKUP($H273,'BASE DATOS'!$BN$2:$BX$40,3,FALSE)&lt;&gt;0,1,0),"-")</f>
        <v>0</v>
      </c>
      <c r="L273">
        <f>IFERROR(IF(VLOOKUP($H273,'BASE DATOS'!$BN$2:$BX$40,4,FALSE)&lt;&gt;0,1,0),"-")</f>
        <v>1</v>
      </c>
      <c r="M273">
        <f>IFERROR(IF(VLOOKUP($H273,'BASE DATOS'!$BN$2:$BX$40,5,FALSE)&lt;&gt;0,1,0),"-")</f>
        <v>1</v>
      </c>
      <c r="N273">
        <f>IFERROR(IF(VLOOKUP($H273,'BASE DATOS'!$BN$2:$BX$40,6,FALSE)&lt;&gt;0,1,0),"-")</f>
        <v>1</v>
      </c>
      <c r="O273">
        <f>IFERROR(IF(VLOOKUP($H273,'BASE DATOS'!$BN$2:$BX$40,7,FALSE)&lt;&gt;0,1,0),"-")</f>
        <v>1</v>
      </c>
      <c r="P273">
        <f>IFERROR(IF(VLOOKUP($H273,'BASE DATOS'!$BN$2:$BX$40,8,FALSE)&lt;&gt;0,1,0),"-")</f>
        <v>0</v>
      </c>
      <c r="Q273">
        <f>IFERROR(IF(VLOOKUP($H273,'BASE DATOS'!$BN$2:$BX$40,9,FALSE)&lt;&gt;0,1,0),"-")</f>
        <v>0</v>
      </c>
      <c r="R273">
        <f>IFERROR(IF(VLOOKUP($H273,'BASE DATOS'!$BN$2:$BX$40,10,FALSE)&lt;&gt;0,1,0),"-")</f>
        <v>0</v>
      </c>
      <c r="S273">
        <f>IFERROR(IF(VLOOKUP($H273,'BASE DATOS'!$BN$2:$BX$40,11,FALSE)&lt;&gt;0,1,0),"-")</f>
        <v>0</v>
      </c>
    </row>
    <row r="274" spans="1:19" ht="15" customHeight="1">
      <c r="A274" s="786">
        <f t="shared" si="27"/>
        <v>45</v>
      </c>
      <c r="B274" s="786" t="str">
        <f t="shared" si="28"/>
        <v>TT</v>
      </c>
      <c r="C274" s="786">
        <f t="shared" si="29"/>
        <v>0</v>
      </c>
      <c r="D274" s="786" t="str">
        <f t="shared" si="30"/>
        <v>SI</v>
      </c>
      <c r="E274" s="38">
        <v>45967</v>
      </c>
      <c r="F274" s="614">
        <v>0.85416666666666663</v>
      </c>
      <c r="G274" s="614" t="str">
        <f>IFERROR(VLOOKUP(H274,'BASE DATOS'!$BN$2:$BO$40,2,FALSE),"FD")</f>
        <v>PLANTA BAJA</v>
      </c>
      <c r="H274" t="s">
        <v>1228</v>
      </c>
      <c r="I274" t="s">
        <v>1207</v>
      </c>
      <c r="J274" t="s">
        <v>1480</v>
      </c>
      <c r="K274">
        <f>IFERROR(IF(VLOOKUP($H274,'BASE DATOS'!$BN$2:$BX$40,3,FALSE)&lt;&gt;0,1,0),"-")</f>
        <v>1</v>
      </c>
      <c r="L274">
        <f>IFERROR(IF(VLOOKUP($H274,'BASE DATOS'!$BN$2:$BX$40,4,FALSE)&lt;&gt;0,1,0),"-")</f>
        <v>1</v>
      </c>
      <c r="M274">
        <f>IFERROR(IF(VLOOKUP($H274,'BASE DATOS'!$BN$2:$BX$40,5,FALSE)&lt;&gt;0,1,0),"-")</f>
        <v>1</v>
      </c>
      <c r="N274">
        <f>IFERROR(IF(VLOOKUP($H274,'BASE DATOS'!$BN$2:$BX$40,6,FALSE)&lt;&gt;0,1,0),"-")</f>
        <v>1</v>
      </c>
      <c r="O274">
        <f>IFERROR(IF(VLOOKUP($H274,'BASE DATOS'!$BN$2:$BX$40,7,FALSE)&lt;&gt;0,1,0),"-")</f>
        <v>1</v>
      </c>
      <c r="P274">
        <f>IFERROR(IF(VLOOKUP($H274,'BASE DATOS'!$BN$2:$BX$40,8,FALSE)&lt;&gt;0,1,0),"-")</f>
        <v>1</v>
      </c>
      <c r="Q274">
        <f>IFERROR(IF(VLOOKUP($H274,'BASE DATOS'!$BN$2:$BX$40,9,FALSE)&lt;&gt;0,1,0),"-")</f>
        <v>1</v>
      </c>
      <c r="R274">
        <f>IFERROR(IF(VLOOKUP($H274,'BASE DATOS'!$BN$2:$BX$40,10,FALSE)&lt;&gt;0,1,0),"-")</f>
        <v>1</v>
      </c>
      <c r="S274">
        <f>IFERROR(IF(VLOOKUP($H274,'BASE DATOS'!$BN$2:$BX$40,11,FALSE)&lt;&gt;0,1,0),"-")</f>
        <v>1</v>
      </c>
    </row>
    <row r="275" spans="1:19" ht="15" customHeight="1">
      <c r="A275" s="786">
        <f t="shared" si="27"/>
        <v>45</v>
      </c>
      <c r="B275" s="786" t="str">
        <f t="shared" si="28"/>
        <v>TT</v>
      </c>
      <c r="C275" s="786">
        <f t="shared" si="29"/>
        <v>0</v>
      </c>
      <c r="D275" s="786" t="str">
        <f t="shared" si="30"/>
        <v>SI</v>
      </c>
      <c r="E275" s="38">
        <v>45967</v>
      </c>
      <c r="F275" s="614">
        <v>0.85416666666666663</v>
      </c>
      <c r="G275" s="614" t="str">
        <f>IFERROR(VLOOKUP(H275,'BASE DATOS'!$BN$2:$BO$40,2,FALSE),"FD")</f>
        <v>PLANTA BAJA</v>
      </c>
      <c r="H275" t="s">
        <v>1228</v>
      </c>
      <c r="I275" t="s">
        <v>1207</v>
      </c>
      <c r="J275" t="s">
        <v>1481</v>
      </c>
      <c r="K275">
        <f>IFERROR(IF(VLOOKUP($H275,'BASE DATOS'!$BN$2:$BX$40,3,FALSE)&lt;&gt;0,1,0),"-")</f>
        <v>1</v>
      </c>
      <c r="L275">
        <f>IFERROR(IF(VLOOKUP($H275,'BASE DATOS'!$BN$2:$BX$40,4,FALSE)&lt;&gt;0,1,0),"-")</f>
        <v>1</v>
      </c>
      <c r="M275">
        <f>IFERROR(IF(VLOOKUP($H275,'BASE DATOS'!$BN$2:$BX$40,5,FALSE)&lt;&gt;0,1,0),"-")</f>
        <v>1</v>
      </c>
      <c r="N275">
        <f>IFERROR(IF(VLOOKUP($H275,'BASE DATOS'!$BN$2:$BX$40,6,FALSE)&lt;&gt;0,1,0),"-")</f>
        <v>1</v>
      </c>
      <c r="O275">
        <f>IFERROR(IF(VLOOKUP($H275,'BASE DATOS'!$BN$2:$BX$40,7,FALSE)&lt;&gt;0,1,0),"-")</f>
        <v>1</v>
      </c>
      <c r="P275">
        <f>IFERROR(IF(VLOOKUP($H275,'BASE DATOS'!$BN$2:$BX$40,8,FALSE)&lt;&gt;0,1,0),"-")</f>
        <v>1</v>
      </c>
      <c r="Q275">
        <f>IFERROR(IF(VLOOKUP($H275,'BASE DATOS'!$BN$2:$BX$40,9,FALSE)&lt;&gt;0,1,0),"-")</f>
        <v>1</v>
      </c>
      <c r="R275">
        <f>IFERROR(IF(VLOOKUP($H275,'BASE DATOS'!$BN$2:$BX$40,10,FALSE)&lt;&gt;0,1,0),"-")</f>
        <v>1</v>
      </c>
      <c r="S275">
        <f>IFERROR(IF(VLOOKUP($H275,'BASE DATOS'!$BN$2:$BX$40,11,FALSE)&lt;&gt;0,1,0),"-")</f>
        <v>1</v>
      </c>
    </row>
    <row r="276" spans="1:19" ht="15" customHeight="1">
      <c r="A276" s="786">
        <f t="shared" si="27"/>
        <v>45</v>
      </c>
      <c r="B276" s="786" t="str">
        <f t="shared" si="28"/>
        <v>TT</v>
      </c>
      <c r="C276" s="786">
        <f t="shared" si="29"/>
        <v>1</v>
      </c>
      <c r="D276" s="786" t="str">
        <f t="shared" si="30"/>
        <v>NO</v>
      </c>
      <c r="E276" s="38">
        <v>45967</v>
      </c>
      <c r="F276" s="614">
        <v>0.85416666666666663</v>
      </c>
      <c r="G276" s="614" t="str">
        <f>IFERROR(VLOOKUP(H276,'BASE DATOS'!$BN$2:$BO$40,2,FALSE),"FD")</f>
        <v>FD</v>
      </c>
      <c r="H276" t="s">
        <v>970</v>
      </c>
      <c r="I276" t="s">
        <v>1216</v>
      </c>
      <c r="J276" t="s">
        <v>1482</v>
      </c>
      <c r="K276" t="str">
        <f>IFERROR(IF(VLOOKUP($H276,'BASE DATOS'!$BN$2:$BX$40,3,FALSE)&lt;&gt;0,1,0),"-")</f>
        <v>-</v>
      </c>
      <c r="L276" t="str">
        <f>IFERROR(IF(VLOOKUP($H276,'BASE DATOS'!$BN$2:$BX$40,4,FALSE)&lt;&gt;0,1,0),"-")</f>
        <v>-</v>
      </c>
      <c r="M276" t="str">
        <f>IFERROR(IF(VLOOKUP($H276,'BASE DATOS'!$BN$2:$BX$40,5,FALSE)&lt;&gt;0,1,0),"-")</f>
        <v>-</v>
      </c>
      <c r="N276" t="str">
        <f>IFERROR(IF(VLOOKUP($H276,'BASE DATOS'!$BN$2:$BX$40,6,FALSE)&lt;&gt;0,1,0),"-")</f>
        <v>-</v>
      </c>
      <c r="O276" t="str">
        <f>IFERROR(IF(VLOOKUP($H276,'BASE DATOS'!$BN$2:$BX$40,7,FALSE)&lt;&gt;0,1,0),"-")</f>
        <v>-</v>
      </c>
      <c r="P276" t="str">
        <f>IFERROR(IF(VLOOKUP($H276,'BASE DATOS'!$BN$2:$BX$40,8,FALSE)&lt;&gt;0,1,0),"-")</f>
        <v>-</v>
      </c>
      <c r="Q276" t="str">
        <f>IFERROR(IF(VLOOKUP($H276,'BASE DATOS'!$BN$2:$BX$40,9,FALSE)&lt;&gt;0,1,0),"-")</f>
        <v>-</v>
      </c>
      <c r="R276" t="str">
        <f>IFERROR(IF(VLOOKUP($H276,'BASE DATOS'!$BN$2:$BX$40,10,FALSE)&lt;&gt;0,1,0),"-")</f>
        <v>-</v>
      </c>
      <c r="S276" t="str">
        <f>IFERROR(IF(VLOOKUP($H276,'BASE DATOS'!$BN$2:$BX$40,11,FALSE)&lt;&gt;0,1,0),"-")</f>
        <v>-</v>
      </c>
    </row>
    <row r="277" spans="1:19" ht="15" customHeight="1">
      <c r="A277" s="786">
        <f t="shared" si="27"/>
        <v>45</v>
      </c>
      <c r="B277" s="786" t="str">
        <f t="shared" si="28"/>
        <v>TT</v>
      </c>
      <c r="C277" s="786">
        <f t="shared" si="29"/>
        <v>0</v>
      </c>
      <c r="D277" s="786" t="str">
        <f t="shared" si="30"/>
        <v>NO</v>
      </c>
      <c r="E277" s="38">
        <v>45967</v>
      </c>
      <c r="F277" s="614">
        <v>0.85416666666666663</v>
      </c>
      <c r="G277" s="614" t="str">
        <f>IFERROR(VLOOKUP(H277,'BASE DATOS'!$BN$2:$BO$40,2,FALSE),"FD")</f>
        <v>FD</v>
      </c>
      <c r="H277" t="s">
        <v>970</v>
      </c>
      <c r="I277" t="s">
        <v>1338</v>
      </c>
      <c r="J277" t="s">
        <v>1483</v>
      </c>
      <c r="K277" t="str">
        <f>IFERROR(IF(VLOOKUP($H277,'BASE DATOS'!$BN$2:$BX$40,3,FALSE)&lt;&gt;0,1,0),"-")</f>
        <v>-</v>
      </c>
      <c r="L277" t="str">
        <f>IFERROR(IF(VLOOKUP($H277,'BASE DATOS'!$BN$2:$BX$40,4,FALSE)&lt;&gt;0,1,0),"-")</f>
        <v>-</v>
      </c>
      <c r="M277" t="str">
        <f>IFERROR(IF(VLOOKUP($H277,'BASE DATOS'!$BN$2:$BX$40,5,FALSE)&lt;&gt;0,1,0),"-")</f>
        <v>-</v>
      </c>
      <c r="N277" t="str">
        <f>IFERROR(IF(VLOOKUP($H277,'BASE DATOS'!$BN$2:$BX$40,6,FALSE)&lt;&gt;0,1,0),"-")</f>
        <v>-</v>
      </c>
      <c r="O277" t="str">
        <f>IFERROR(IF(VLOOKUP($H277,'BASE DATOS'!$BN$2:$BX$40,7,FALSE)&lt;&gt;0,1,0),"-")</f>
        <v>-</v>
      </c>
      <c r="P277" t="str">
        <f>IFERROR(IF(VLOOKUP($H277,'BASE DATOS'!$BN$2:$BX$40,8,FALSE)&lt;&gt;0,1,0),"-")</f>
        <v>-</v>
      </c>
      <c r="Q277" t="str">
        <f>IFERROR(IF(VLOOKUP($H277,'BASE DATOS'!$BN$2:$BX$40,9,FALSE)&lt;&gt;0,1,0),"-")</f>
        <v>-</v>
      </c>
      <c r="R277" t="str">
        <f>IFERROR(IF(VLOOKUP($H277,'BASE DATOS'!$BN$2:$BX$40,10,FALSE)&lt;&gt;0,1,0),"-")</f>
        <v>-</v>
      </c>
      <c r="S277" t="str">
        <f>IFERROR(IF(VLOOKUP($H277,'BASE DATOS'!$BN$2:$BX$40,11,FALSE)&lt;&gt;0,1,0),"-")</f>
        <v>-</v>
      </c>
    </row>
    <row r="278" spans="1:19" ht="15" customHeight="1">
      <c r="A278" s="786">
        <f t="shared" si="27"/>
        <v>45</v>
      </c>
      <c r="B278" s="786" t="str">
        <f t="shared" si="28"/>
        <v>TT</v>
      </c>
      <c r="C278" s="786">
        <f t="shared" si="29"/>
        <v>1</v>
      </c>
      <c r="D278" s="786" t="str">
        <f t="shared" si="30"/>
        <v>SI</v>
      </c>
      <c r="E278" s="38">
        <v>45968</v>
      </c>
      <c r="F278" s="614">
        <v>0</v>
      </c>
      <c r="G278" s="614" t="str">
        <f>IFERROR(VLOOKUP(H278,'BASE DATOS'!$BN$2:$BO$40,2,FALSE),"FD")</f>
        <v>SEGUNDO PISO</v>
      </c>
      <c r="H278" t="s">
        <v>1233</v>
      </c>
      <c r="I278" t="s">
        <v>970</v>
      </c>
      <c r="J278" t="s">
        <v>1484</v>
      </c>
      <c r="K278">
        <f>IFERROR(IF(VLOOKUP($H278,'BASE DATOS'!$BN$2:$BX$40,3,FALSE)&lt;&gt;0,1,0),"-")</f>
        <v>1</v>
      </c>
      <c r="L278">
        <f>IFERROR(IF(VLOOKUP($H278,'BASE DATOS'!$BN$2:$BX$40,4,FALSE)&lt;&gt;0,1,0),"-")</f>
        <v>1</v>
      </c>
      <c r="M278">
        <f>IFERROR(IF(VLOOKUP($H278,'BASE DATOS'!$BN$2:$BX$40,5,FALSE)&lt;&gt;0,1,0),"-")</f>
        <v>1</v>
      </c>
      <c r="N278">
        <f>IFERROR(IF(VLOOKUP($H278,'BASE DATOS'!$BN$2:$BX$40,6,FALSE)&lt;&gt;0,1,0),"-")</f>
        <v>1</v>
      </c>
      <c r="O278">
        <f>IFERROR(IF(VLOOKUP($H278,'BASE DATOS'!$BN$2:$BX$40,7,FALSE)&lt;&gt;0,1,0),"-")</f>
        <v>1</v>
      </c>
      <c r="P278">
        <f>IFERROR(IF(VLOOKUP($H278,'BASE DATOS'!$BN$2:$BX$40,8,FALSE)&lt;&gt;0,1,0),"-")</f>
        <v>1</v>
      </c>
      <c r="Q278">
        <f>IFERROR(IF(VLOOKUP($H278,'BASE DATOS'!$BN$2:$BX$40,9,FALSE)&lt;&gt;0,1,0),"-")</f>
        <v>1</v>
      </c>
      <c r="R278">
        <f>IFERROR(IF(VLOOKUP($H278,'BASE DATOS'!$BN$2:$BX$40,10,FALSE)&lt;&gt;0,1,0),"-")</f>
        <v>1</v>
      </c>
      <c r="S278">
        <f>IFERROR(IF(VLOOKUP($H278,'BASE DATOS'!$BN$2:$BX$40,11,FALSE)&lt;&gt;0,1,0),"-")</f>
        <v>1</v>
      </c>
    </row>
    <row r="279" spans="1:19" ht="15" customHeight="1">
      <c r="A279" s="786">
        <f t="shared" si="27"/>
        <v>45</v>
      </c>
      <c r="B279" s="786" t="str">
        <f t="shared" si="28"/>
        <v>TT</v>
      </c>
      <c r="C279" s="786">
        <f t="shared" si="29"/>
        <v>0</v>
      </c>
      <c r="D279" s="786" t="str">
        <f t="shared" si="30"/>
        <v>SI</v>
      </c>
      <c r="E279" s="38">
        <v>45968</v>
      </c>
      <c r="F279" s="614">
        <v>0</v>
      </c>
      <c r="G279" s="614" t="str">
        <f>IFERROR(VLOOKUP(H279,'BASE DATOS'!$BN$2:$BO$40,2,FALSE),"FD")</f>
        <v>SEGUNDO PISO</v>
      </c>
      <c r="H279" t="s">
        <v>1233</v>
      </c>
      <c r="I279" t="s">
        <v>1216</v>
      </c>
      <c r="J279" t="s">
        <v>1485</v>
      </c>
      <c r="K279">
        <f>IFERROR(IF(VLOOKUP($H279,'BASE DATOS'!$BN$2:$BX$40,3,FALSE)&lt;&gt;0,1,0),"-")</f>
        <v>1</v>
      </c>
      <c r="L279">
        <f>IFERROR(IF(VLOOKUP($H279,'BASE DATOS'!$BN$2:$BX$40,4,FALSE)&lt;&gt;0,1,0),"-")</f>
        <v>1</v>
      </c>
      <c r="M279">
        <f>IFERROR(IF(VLOOKUP($H279,'BASE DATOS'!$BN$2:$BX$40,5,FALSE)&lt;&gt;0,1,0),"-")</f>
        <v>1</v>
      </c>
      <c r="N279">
        <f>IFERROR(IF(VLOOKUP($H279,'BASE DATOS'!$BN$2:$BX$40,6,FALSE)&lt;&gt;0,1,0),"-")</f>
        <v>1</v>
      </c>
      <c r="O279">
        <f>IFERROR(IF(VLOOKUP($H279,'BASE DATOS'!$BN$2:$BX$40,7,FALSE)&lt;&gt;0,1,0),"-")</f>
        <v>1</v>
      </c>
      <c r="P279">
        <f>IFERROR(IF(VLOOKUP($H279,'BASE DATOS'!$BN$2:$BX$40,8,FALSE)&lt;&gt;0,1,0),"-")</f>
        <v>1</v>
      </c>
      <c r="Q279">
        <f>IFERROR(IF(VLOOKUP($H279,'BASE DATOS'!$BN$2:$BX$40,9,FALSE)&lt;&gt;0,1,0),"-")</f>
        <v>1</v>
      </c>
      <c r="R279">
        <f>IFERROR(IF(VLOOKUP($H279,'BASE DATOS'!$BN$2:$BX$40,10,FALSE)&lt;&gt;0,1,0),"-")</f>
        <v>1</v>
      </c>
      <c r="S279">
        <f>IFERROR(IF(VLOOKUP($H279,'BASE DATOS'!$BN$2:$BX$40,11,FALSE)&lt;&gt;0,1,0),"-")</f>
        <v>1</v>
      </c>
    </row>
    <row r="280" spans="1:19" ht="15" customHeight="1">
      <c r="A280" s="786">
        <f t="shared" si="27"/>
        <v>45</v>
      </c>
      <c r="B280" s="786" t="str">
        <f t="shared" si="28"/>
        <v>TT</v>
      </c>
      <c r="C280" s="786">
        <f t="shared" si="29"/>
        <v>1</v>
      </c>
      <c r="D280" s="786" t="str">
        <f t="shared" si="30"/>
        <v>NO</v>
      </c>
      <c r="E280" s="38">
        <v>45968</v>
      </c>
      <c r="F280" s="614">
        <v>0</v>
      </c>
      <c r="G280" s="614" t="str">
        <f>IFERROR(VLOOKUP(H280,'BASE DATOS'!$BN$2:$BO$40,2,FALSE),"FD")</f>
        <v>FD</v>
      </c>
      <c r="H280" t="s">
        <v>970</v>
      </c>
      <c r="I280" t="s">
        <v>970</v>
      </c>
      <c r="J280" t="s">
        <v>1486</v>
      </c>
      <c r="K280" t="str">
        <f>IFERROR(IF(VLOOKUP($H280,'BASE DATOS'!$BN$2:$BX$40,3,FALSE)&lt;&gt;0,1,0),"-")</f>
        <v>-</v>
      </c>
      <c r="L280" t="str">
        <f>IFERROR(IF(VLOOKUP($H280,'BASE DATOS'!$BN$2:$BX$40,4,FALSE)&lt;&gt;0,1,0),"-")</f>
        <v>-</v>
      </c>
      <c r="M280" t="str">
        <f>IFERROR(IF(VLOOKUP($H280,'BASE DATOS'!$BN$2:$BX$40,5,FALSE)&lt;&gt;0,1,0),"-")</f>
        <v>-</v>
      </c>
      <c r="N280" t="str">
        <f>IFERROR(IF(VLOOKUP($H280,'BASE DATOS'!$BN$2:$BX$40,6,FALSE)&lt;&gt;0,1,0),"-")</f>
        <v>-</v>
      </c>
      <c r="O280" t="str">
        <f>IFERROR(IF(VLOOKUP($H280,'BASE DATOS'!$BN$2:$BX$40,7,FALSE)&lt;&gt;0,1,0),"-")</f>
        <v>-</v>
      </c>
      <c r="P280" t="str">
        <f>IFERROR(IF(VLOOKUP($H280,'BASE DATOS'!$BN$2:$BX$40,8,FALSE)&lt;&gt;0,1,0),"-")</f>
        <v>-</v>
      </c>
      <c r="Q280" t="str">
        <f>IFERROR(IF(VLOOKUP($H280,'BASE DATOS'!$BN$2:$BX$40,9,FALSE)&lt;&gt;0,1,0),"-")</f>
        <v>-</v>
      </c>
      <c r="R280" t="str">
        <f>IFERROR(IF(VLOOKUP($H280,'BASE DATOS'!$BN$2:$BX$40,10,FALSE)&lt;&gt;0,1,0),"-")</f>
        <v>-</v>
      </c>
      <c r="S280" t="str">
        <f>IFERROR(IF(VLOOKUP($H280,'BASE DATOS'!$BN$2:$BX$40,11,FALSE)&lt;&gt;0,1,0),"-")</f>
        <v>-</v>
      </c>
    </row>
    <row r="281" spans="1:19" ht="15" customHeight="1">
      <c r="A281" s="786">
        <f t="shared" si="27"/>
        <v>45</v>
      </c>
      <c r="B281" s="786" t="str">
        <f t="shared" si="28"/>
        <v>TT</v>
      </c>
      <c r="C281" s="786">
        <f t="shared" si="29"/>
        <v>0</v>
      </c>
      <c r="D281" s="786" t="str">
        <f t="shared" si="30"/>
        <v>NO</v>
      </c>
      <c r="E281" s="38">
        <v>45968</v>
      </c>
      <c r="F281" s="614">
        <v>0</v>
      </c>
      <c r="G281" s="614" t="str">
        <f>IFERROR(VLOOKUP(H281,'BASE DATOS'!$BN$2:$BO$40,2,FALSE),"FD")</f>
        <v>FD</v>
      </c>
      <c r="H281" t="s">
        <v>970</v>
      </c>
      <c r="I281" t="s">
        <v>1216</v>
      </c>
      <c r="J281" t="s">
        <v>1487</v>
      </c>
      <c r="K281" t="str">
        <f>IFERROR(IF(VLOOKUP($H281,'BASE DATOS'!$BN$2:$BX$40,3,FALSE)&lt;&gt;0,1,0),"-")</f>
        <v>-</v>
      </c>
      <c r="L281" t="str">
        <f>IFERROR(IF(VLOOKUP($H281,'BASE DATOS'!$BN$2:$BX$40,4,FALSE)&lt;&gt;0,1,0),"-")</f>
        <v>-</v>
      </c>
      <c r="M281" t="str">
        <f>IFERROR(IF(VLOOKUP($H281,'BASE DATOS'!$BN$2:$BX$40,5,FALSE)&lt;&gt;0,1,0),"-")</f>
        <v>-</v>
      </c>
      <c r="N281" t="str">
        <f>IFERROR(IF(VLOOKUP($H281,'BASE DATOS'!$BN$2:$BX$40,6,FALSE)&lt;&gt;0,1,0),"-")</f>
        <v>-</v>
      </c>
      <c r="O281" t="str">
        <f>IFERROR(IF(VLOOKUP($H281,'BASE DATOS'!$BN$2:$BX$40,7,FALSE)&lt;&gt;0,1,0),"-")</f>
        <v>-</v>
      </c>
      <c r="P281" t="str">
        <f>IFERROR(IF(VLOOKUP($H281,'BASE DATOS'!$BN$2:$BX$40,8,FALSE)&lt;&gt;0,1,0),"-")</f>
        <v>-</v>
      </c>
      <c r="Q281" t="str">
        <f>IFERROR(IF(VLOOKUP($H281,'BASE DATOS'!$BN$2:$BX$40,9,FALSE)&lt;&gt;0,1,0),"-")</f>
        <v>-</v>
      </c>
      <c r="R281" t="str">
        <f>IFERROR(IF(VLOOKUP($H281,'BASE DATOS'!$BN$2:$BX$40,10,FALSE)&lt;&gt;0,1,0),"-")</f>
        <v>-</v>
      </c>
      <c r="S281" t="str">
        <f>IFERROR(IF(VLOOKUP($H281,'BASE DATOS'!$BN$2:$BX$40,11,FALSE)&lt;&gt;0,1,0),"-")</f>
        <v>-</v>
      </c>
    </row>
    <row r="282" spans="1:19" ht="15" customHeight="1">
      <c r="A282" s="786">
        <f t="shared" si="27"/>
        <v>45</v>
      </c>
      <c r="B282" s="786" t="str">
        <f t="shared" si="28"/>
        <v>TT</v>
      </c>
      <c r="C282" s="786">
        <f t="shared" si="29"/>
        <v>0</v>
      </c>
      <c r="D282" s="786" t="str">
        <f t="shared" si="30"/>
        <v>NO</v>
      </c>
      <c r="E282" s="38">
        <v>45968</v>
      </c>
      <c r="F282" s="614">
        <v>0</v>
      </c>
      <c r="G282" s="614" t="str">
        <f>IFERROR(VLOOKUP(H282,'BASE DATOS'!$BN$2:$BO$40,2,FALSE),"FD")</f>
        <v>FD</v>
      </c>
      <c r="H282" t="s">
        <v>970</v>
      </c>
      <c r="I282" t="s">
        <v>1216</v>
      </c>
      <c r="J282" t="s">
        <v>1488</v>
      </c>
      <c r="K282" t="str">
        <f>IFERROR(IF(VLOOKUP($H282,'BASE DATOS'!$BN$2:$BX$40,3,FALSE)&lt;&gt;0,1,0),"-")</f>
        <v>-</v>
      </c>
      <c r="L282" t="str">
        <f>IFERROR(IF(VLOOKUP($H282,'BASE DATOS'!$BN$2:$BX$40,4,FALSE)&lt;&gt;0,1,0),"-")</f>
        <v>-</v>
      </c>
      <c r="M282" t="str">
        <f>IFERROR(IF(VLOOKUP($H282,'BASE DATOS'!$BN$2:$BX$40,5,FALSE)&lt;&gt;0,1,0),"-")</f>
        <v>-</v>
      </c>
      <c r="N282" t="str">
        <f>IFERROR(IF(VLOOKUP($H282,'BASE DATOS'!$BN$2:$BX$40,6,FALSE)&lt;&gt;0,1,0),"-")</f>
        <v>-</v>
      </c>
      <c r="O282" t="str">
        <f>IFERROR(IF(VLOOKUP($H282,'BASE DATOS'!$BN$2:$BX$40,7,FALSE)&lt;&gt;0,1,0),"-")</f>
        <v>-</v>
      </c>
      <c r="P282" t="str">
        <f>IFERROR(IF(VLOOKUP($H282,'BASE DATOS'!$BN$2:$BX$40,8,FALSE)&lt;&gt;0,1,0),"-")</f>
        <v>-</v>
      </c>
      <c r="Q282" t="str">
        <f>IFERROR(IF(VLOOKUP($H282,'BASE DATOS'!$BN$2:$BX$40,9,FALSE)&lt;&gt;0,1,0),"-")</f>
        <v>-</v>
      </c>
      <c r="R282" t="str">
        <f>IFERROR(IF(VLOOKUP($H282,'BASE DATOS'!$BN$2:$BX$40,10,FALSE)&lt;&gt;0,1,0),"-")</f>
        <v>-</v>
      </c>
      <c r="S282" t="str">
        <f>IFERROR(IF(VLOOKUP($H282,'BASE DATOS'!$BN$2:$BX$40,11,FALSE)&lt;&gt;0,1,0),"-")</f>
        <v>-</v>
      </c>
    </row>
    <row r="283" spans="1:19" ht="15" customHeight="1">
      <c r="A283" s="786">
        <f t="shared" si="27"/>
        <v>45</v>
      </c>
      <c r="B283" s="786" t="str">
        <f t="shared" si="28"/>
        <v>TT</v>
      </c>
      <c r="C283" s="786">
        <f t="shared" si="29"/>
        <v>1</v>
      </c>
      <c r="D283" s="786" t="str">
        <f t="shared" si="30"/>
        <v>SI</v>
      </c>
      <c r="E283" s="38">
        <v>45968</v>
      </c>
      <c r="F283" s="614">
        <v>0</v>
      </c>
      <c r="G283" s="614" t="str">
        <f>IFERROR(VLOOKUP(H283,'BASE DATOS'!$BN$2:$BO$40,2,FALSE),"FD")</f>
        <v>SEGUNDO PISO</v>
      </c>
      <c r="H283" t="s">
        <v>1404</v>
      </c>
      <c r="I283" t="s">
        <v>1216</v>
      </c>
      <c r="J283" t="s">
        <v>1489</v>
      </c>
      <c r="K283">
        <f>IFERROR(IF(VLOOKUP($H283,'BASE DATOS'!$BN$2:$BX$40,3,FALSE)&lt;&gt;0,1,0),"-")</f>
        <v>1</v>
      </c>
      <c r="L283">
        <f>IFERROR(IF(VLOOKUP($H283,'BASE DATOS'!$BN$2:$BX$40,4,FALSE)&lt;&gt;0,1,0),"-")</f>
        <v>1</v>
      </c>
      <c r="M283">
        <f>IFERROR(IF(VLOOKUP($H283,'BASE DATOS'!$BN$2:$BX$40,5,FALSE)&lt;&gt;0,1,0),"-")</f>
        <v>1</v>
      </c>
      <c r="N283">
        <f>IFERROR(IF(VLOOKUP($H283,'BASE DATOS'!$BN$2:$BX$40,6,FALSE)&lt;&gt;0,1,0),"-")</f>
        <v>1</v>
      </c>
      <c r="O283">
        <f>IFERROR(IF(VLOOKUP($H283,'BASE DATOS'!$BN$2:$BX$40,7,FALSE)&lt;&gt;0,1,0),"-")</f>
        <v>1</v>
      </c>
      <c r="P283">
        <f>IFERROR(IF(VLOOKUP($H283,'BASE DATOS'!$BN$2:$BX$40,8,FALSE)&lt;&gt;0,1,0),"-")</f>
        <v>1</v>
      </c>
      <c r="Q283">
        <f>IFERROR(IF(VLOOKUP($H283,'BASE DATOS'!$BN$2:$BX$40,9,FALSE)&lt;&gt;0,1,0),"-")</f>
        <v>1</v>
      </c>
      <c r="R283">
        <f>IFERROR(IF(VLOOKUP($H283,'BASE DATOS'!$BN$2:$BX$40,10,FALSE)&lt;&gt;0,1,0),"-")</f>
        <v>1</v>
      </c>
      <c r="S283">
        <f>IFERROR(IF(VLOOKUP($H283,'BASE DATOS'!$BN$2:$BX$40,11,FALSE)&lt;&gt;0,1,0),"-")</f>
        <v>1</v>
      </c>
    </row>
    <row r="284" spans="1:19" ht="15" customHeight="1">
      <c r="A284" s="786">
        <f t="shared" si="27"/>
        <v>45</v>
      </c>
      <c r="B284" s="786" t="str">
        <f t="shared" si="28"/>
        <v>TT</v>
      </c>
      <c r="C284" s="786">
        <f t="shared" si="29"/>
        <v>0</v>
      </c>
      <c r="D284" s="786" t="str">
        <f t="shared" si="30"/>
        <v>SI</v>
      </c>
      <c r="E284" s="38">
        <v>45968</v>
      </c>
      <c r="F284" s="614">
        <v>0</v>
      </c>
      <c r="G284" s="614" t="str">
        <f>IFERROR(VLOOKUP(H284,'BASE DATOS'!$BN$2:$BO$40,2,FALSE),"FD")</f>
        <v>SEGUNDO PISO</v>
      </c>
      <c r="H284" t="s">
        <v>1404</v>
      </c>
      <c r="I284" t="s">
        <v>1338</v>
      </c>
      <c r="J284" t="s">
        <v>1490</v>
      </c>
      <c r="K284">
        <f>IFERROR(IF(VLOOKUP($H284,'BASE DATOS'!$BN$2:$BX$40,3,FALSE)&lt;&gt;0,1,0),"-")</f>
        <v>1</v>
      </c>
      <c r="L284">
        <f>IFERROR(IF(VLOOKUP($H284,'BASE DATOS'!$BN$2:$BX$40,4,FALSE)&lt;&gt;0,1,0),"-")</f>
        <v>1</v>
      </c>
      <c r="M284">
        <f>IFERROR(IF(VLOOKUP($H284,'BASE DATOS'!$BN$2:$BX$40,5,FALSE)&lt;&gt;0,1,0),"-")</f>
        <v>1</v>
      </c>
      <c r="N284">
        <f>IFERROR(IF(VLOOKUP($H284,'BASE DATOS'!$BN$2:$BX$40,6,FALSE)&lt;&gt;0,1,0),"-")</f>
        <v>1</v>
      </c>
      <c r="O284">
        <f>IFERROR(IF(VLOOKUP($H284,'BASE DATOS'!$BN$2:$BX$40,7,FALSE)&lt;&gt;0,1,0),"-")</f>
        <v>1</v>
      </c>
      <c r="P284">
        <f>IFERROR(IF(VLOOKUP($H284,'BASE DATOS'!$BN$2:$BX$40,8,FALSE)&lt;&gt;0,1,0),"-")</f>
        <v>1</v>
      </c>
      <c r="Q284">
        <f>IFERROR(IF(VLOOKUP($H284,'BASE DATOS'!$BN$2:$BX$40,9,FALSE)&lt;&gt;0,1,0),"-")</f>
        <v>1</v>
      </c>
      <c r="R284">
        <f>IFERROR(IF(VLOOKUP($H284,'BASE DATOS'!$BN$2:$BX$40,10,FALSE)&lt;&gt;0,1,0),"-")</f>
        <v>1</v>
      </c>
      <c r="S284">
        <f>IFERROR(IF(VLOOKUP($H284,'BASE DATOS'!$BN$2:$BX$40,11,FALSE)&lt;&gt;0,1,0),"-")</f>
        <v>1</v>
      </c>
    </row>
    <row r="285" spans="1:19" ht="15" customHeight="1">
      <c r="A285" s="786">
        <f t="shared" si="27"/>
        <v>45</v>
      </c>
      <c r="B285" s="786" t="str">
        <f t="shared" si="28"/>
        <v>TT</v>
      </c>
      <c r="C285" s="786">
        <f t="shared" si="29"/>
        <v>0</v>
      </c>
      <c r="D285" s="786" t="str">
        <f t="shared" si="30"/>
        <v>NO</v>
      </c>
      <c r="E285" s="38">
        <v>45968</v>
      </c>
      <c r="F285" s="614">
        <v>0</v>
      </c>
      <c r="G285" s="614" t="str">
        <f>IFERROR(VLOOKUP(H285,'BASE DATOS'!$BN$2:$BO$40,2,FALSE),"FD")</f>
        <v>SEGUNDO PISO</v>
      </c>
      <c r="H285" t="s">
        <v>1401</v>
      </c>
      <c r="I285" t="s">
        <v>970</v>
      </c>
      <c r="J285" t="s">
        <v>1491</v>
      </c>
      <c r="K285">
        <f>IFERROR(IF(VLOOKUP($H285,'BASE DATOS'!$BN$2:$BX$40,3,FALSE)&lt;&gt;0,1,0),"-")</f>
        <v>0</v>
      </c>
      <c r="L285">
        <f>IFERROR(IF(VLOOKUP($H285,'BASE DATOS'!$BN$2:$BX$40,4,FALSE)&lt;&gt;0,1,0),"-")</f>
        <v>0</v>
      </c>
      <c r="M285">
        <f>IFERROR(IF(VLOOKUP($H285,'BASE DATOS'!$BN$2:$BX$40,5,FALSE)&lt;&gt;0,1,0),"-")</f>
        <v>0</v>
      </c>
      <c r="N285">
        <f>IFERROR(IF(VLOOKUP($H285,'BASE DATOS'!$BN$2:$BX$40,6,FALSE)&lt;&gt;0,1,0),"-")</f>
        <v>0</v>
      </c>
      <c r="O285">
        <f>IFERROR(IF(VLOOKUP($H285,'BASE DATOS'!$BN$2:$BX$40,7,FALSE)&lt;&gt;0,1,0),"-")</f>
        <v>0</v>
      </c>
      <c r="P285">
        <f>IFERROR(IF(VLOOKUP($H285,'BASE DATOS'!$BN$2:$BX$40,8,FALSE)&lt;&gt;0,1,0),"-")</f>
        <v>0</v>
      </c>
      <c r="Q285">
        <f>IFERROR(IF(VLOOKUP($H285,'BASE DATOS'!$BN$2:$BX$40,9,FALSE)&lt;&gt;0,1,0),"-")</f>
        <v>1</v>
      </c>
      <c r="R285">
        <f>IFERROR(IF(VLOOKUP($H285,'BASE DATOS'!$BN$2:$BX$40,10,FALSE)&lt;&gt;0,1,0),"-")</f>
        <v>0</v>
      </c>
      <c r="S285">
        <f>IFERROR(IF(VLOOKUP($H285,'BASE DATOS'!$BN$2:$BX$40,11,FALSE)&lt;&gt;0,1,0),"-")</f>
        <v>0</v>
      </c>
    </row>
    <row r="286" spans="1:19" ht="15" customHeight="1">
      <c r="A286" s="786">
        <f t="shared" si="27"/>
        <v>45</v>
      </c>
      <c r="B286" s="786" t="str">
        <f t="shared" si="28"/>
        <v>TT</v>
      </c>
      <c r="C286" s="786">
        <f t="shared" si="29"/>
        <v>1</v>
      </c>
      <c r="D286" s="786" t="str">
        <f t="shared" si="30"/>
        <v>NO</v>
      </c>
      <c r="E286" s="38">
        <v>45968</v>
      </c>
      <c r="F286" s="614">
        <v>0</v>
      </c>
      <c r="G286" s="614" t="str">
        <f>IFERROR(VLOOKUP(H286,'BASE DATOS'!$BN$2:$BO$40,2,FALSE),"FD")</f>
        <v>FD</v>
      </c>
      <c r="H286" t="s">
        <v>970</v>
      </c>
      <c r="I286" t="s">
        <v>970</v>
      </c>
      <c r="J286" t="s">
        <v>1492</v>
      </c>
      <c r="K286" t="str">
        <f>IFERROR(IF(VLOOKUP($H286,'BASE DATOS'!$BN$2:$BX$40,3,FALSE)&lt;&gt;0,1,0),"-")</f>
        <v>-</v>
      </c>
      <c r="L286" t="str">
        <f>IFERROR(IF(VLOOKUP($H286,'BASE DATOS'!$BN$2:$BX$40,4,FALSE)&lt;&gt;0,1,0),"-")</f>
        <v>-</v>
      </c>
      <c r="M286" t="str">
        <f>IFERROR(IF(VLOOKUP($H286,'BASE DATOS'!$BN$2:$BX$40,5,FALSE)&lt;&gt;0,1,0),"-")</f>
        <v>-</v>
      </c>
      <c r="N286" t="str">
        <f>IFERROR(IF(VLOOKUP($H286,'BASE DATOS'!$BN$2:$BX$40,6,FALSE)&lt;&gt;0,1,0),"-")</f>
        <v>-</v>
      </c>
      <c r="O286" t="str">
        <f>IFERROR(IF(VLOOKUP($H286,'BASE DATOS'!$BN$2:$BX$40,7,FALSE)&lt;&gt;0,1,0),"-")</f>
        <v>-</v>
      </c>
      <c r="P286" t="str">
        <f>IFERROR(IF(VLOOKUP($H286,'BASE DATOS'!$BN$2:$BX$40,8,FALSE)&lt;&gt;0,1,0),"-")</f>
        <v>-</v>
      </c>
      <c r="Q286" t="str">
        <f>IFERROR(IF(VLOOKUP($H286,'BASE DATOS'!$BN$2:$BX$40,9,FALSE)&lt;&gt;0,1,0),"-")</f>
        <v>-</v>
      </c>
      <c r="R286" t="str">
        <f>IFERROR(IF(VLOOKUP($H286,'BASE DATOS'!$BN$2:$BX$40,10,FALSE)&lt;&gt;0,1,0),"-")</f>
        <v>-</v>
      </c>
      <c r="S286" t="str">
        <f>IFERROR(IF(VLOOKUP($H286,'BASE DATOS'!$BN$2:$BX$40,11,FALSE)&lt;&gt;0,1,0),"-")</f>
        <v>-</v>
      </c>
    </row>
    <row r="287" spans="1:19" ht="15" customHeight="1">
      <c r="A287" s="786">
        <f t="shared" si="27"/>
        <v>45</v>
      </c>
      <c r="B287" s="786" t="str">
        <f t="shared" si="28"/>
        <v>TT</v>
      </c>
      <c r="C287" s="786">
        <f t="shared" si="29"/>
        <v>0</v>
      </c>
      <c r="D287" s="786" t="str">
        <f t="shared" si="30"/>
        <v>NO</v>
      </c>
      <c r="E287" s="38">
        <v>45968</v>
      </c>
      <c r="F287" s="614">
        <v>0</v>
      </c>
      <c r="G287" s="614" t="str">
        <f>IFERROR(VLOOKUP(H287,'BASE DATOS'!$BN$2:$BO$40,2,FALSE),"FD")</f>
        <v>FD</v>
      </c>
      <c r="H287" t="s">
        <v>970</v>
      </c>
      <c r="I287" t="s">
        <v>1338</v>
      </c>
      <c r="J287" t="s">
        <v>1493</v>
      </c>
      <c r="K287" t="str">
        <f>IFERROR(IF(VLOOKUP($H287,'BASE DATOS'!$BN$2:$BX$40,3,FALSE)&lt;&gt;0,1,0),"-")</f>
        <v>-</v>
      </c>
      <c r="L287" t="str">
        <f>IFERROR(IF(VLOOKUP($H287,'BASE DATOS'!$BN$2:$BX$40,4,FALSE)&lt;&gt;0,1,0),"-")</f>
        <v>-</v>
      </c>
      <c r="M287" t="str">
        <f>IFERROR(IF(VLOOKUP($H287,'BASE DATOS'!$BN$2:$BX$40,5,FALSE)&lt;&gt;0,1,0),"-")</f>
        <v>-</v>
      </c>
      <c r="N287" t="str">
        <f>IFERROR(IF(VLOOKUP($H287,'BASE DATOS'!$BN$2:$BX$40,6,FALSE)&lt;&gt;0,1,0),"-")</f>
        <v>-</v>
      </c>
      <c r="O287" t="str">
        <f>IFERROR(IF(VLOOKUP($H287,'BASE DATOS'!$BN$2:$BX$40,7,FALSE)&lt;&gt;0,1,0),"-")</f>
        <v>-</v>
      </c>
      <c r="P287" t="str">
        <f>IFERROR(IF(VLOOKUP($H287,'BASE DATOS'!$BN$2:$BX$40,8,FALSE)&lt;&gt;0,1,0),"-")</f>
        <v>-</v>
      </c>
      <c r="Q287" t="str">
        <f>IFERROR(IF(VLOOKUP($H287,'BASE DATOS'!$BN$2:$BX$40,9,FALSE)&lt;&gt;0,1,0),"-")</f>
        <v>-</v>
      </c>
      <c r="R287" t="str">
        <f>IFERROR(IF(VLOOKUP($H287,'BASE DATOS'!$BN$2:$BX$40,10,FALSE)&lt;&gt;0,1,0),"-")</f>
        <v>-</v>
      </c>
      <c r="S287" t="str">
        <f>IFERROR(IF(VLOOKUP($H287,'BASE DATOS'!$BN$2:$BX$40,11,FALSE)&lt;&gt;0,1,0),"-")</f>
        <v>-</v>
      </c>
    </row>
    <row r="288" spans="1:19" ht="15" customHeight="1">
      <c r="A288" s="786">
        <f t="shared" si="27"/>
        <v>45</v>
      </c>
      <c r="B288" s="786" t="str">
        <f t="shared" si="28"/>
        <v>TT</v>
      </c>
      <c r="C288" s="786">
        <f t="shared" si="29"/>
        <v>0</v>
      </c>
      <c r="D288" s="786" t="str">
        <f t="shared" si="30"/>
        <v>NO</v>
      </c>
      <c r="E288" s="38">
        <v>45968</v>
      </c>
      <c r="F288" s="614">
        <v>0</v>
      </c>
      <c r="G288" s="614" t="str">
        <f>IFERROR(VLOOKUP(H288,'BASE DATOS'!$BN$2:$BO$40,2,FALSE),"FD")</f>
        <v>FD</v>
      </c>
      <c r="H288" t="s">
        <v>970</v>
      </c>
      <c r="I288" t="s">
        <v>1216</v>
      </c>
      <c r="J288" t="s">
        <v>1494</v>
      </c>
      <c r="K288" t="str">
        <f>IFERROR(IF(VLOOKUP($H288,'BASE DATOS'!$BN$2:$BX$40,3,FALSE)&lt;&gt;0,1,0),"-")</f>
        <v>-</v>
      </c>
      <c r="L288" t="str">
        <f>IFERROR(IF(VLOOKUP($H288,'BASE DATOS'!$BN$2:$BX$40,4,FALSE)&lt;&gt;0,1,0),"-")</f>
        <v>-</v>
      </c>
      <c r="M288" t="str">
        <f>IFERROR(IF(VLOOKUP($H288,'BASE DATOS'!$BN$2:$BX$40,5,FALSE)&lt;&gt;0,1,0),"-")</f>
        <v>-</v>
      </c>
      <c r="N288" t="str">
        <f>IFERROR(IF(VLOOKUP($H288,'BASE DATOS'!$BN$2:$BX$40,6,FALSE)&lt;&gt;0,1,0),"-")</f>
        <v>-</v>
      </c>
      <c r="O288" t="str">
        <f>IFERROR(IF(VLOOKUP($H288,'BASE DATOS'!$BN$2:$BX$40,7,FALSE)&lt;&gt;0,1,0),"-")</f>
        <v>-</v>
      </c>
      <c r="P288" t="str">
        <f>IFERROR(IF(VLOOKUP($H288,'BASE DATOS'!$BN$2:$BX$40,8,FALSE)&lt;&gt;0,1,0),"-")</f>
        <v>-</v>
      </c>
      <c r="Q288" t="str">
        <f>IFERROR(IF(VLOOKUP($H288,'BASE DATOS'!$BN$2:$BX$40,9,FALSE)&lt;&gt;0,1,0),"-")</f>
        <v>-</v>
      </c>
      <c r="R288" t="str">
        <f>IFERROR(IF(VLOOKUP($H288,'BASE DATOS'!$BN$2:$BX$40,10,FALSE)&lt;&gt;0,1,0),"-")</f>
        <v>-</v>
      </c>
      <c r="S288" t="str">
        <f>IFERROR(IF(VLOOKUP($H288,'BASE DATOS'!$BN$2:$BX$40,11,FALSE)&lt;&gt;0,1,0),"-")</f>
        <v>-</v>
      </c>
    </row>
    <row r="289" spans="1:19" ht="15" customHeight="1">
      <c r="A289" s="786">
        <f t="shared" si="27"/>
        <v>46</v>
      </c>
      <c r="B289" s="786" t="str">
        <f t="shared" si="28"/>
        <v>TT</v>
      </c>
      <c r="C289" s="786">
        <f t="shared" si="29"/>
        <v>1</v>
      </c>
      <c r="D289" s="786" t="str">
        <f t="shared" si="30"/>
        <v>NO</v>
      </c>
      <c r="E289" s="38">
        <v>45972</v>
      </c>
      <c r="F289" s="614">
        <v>0.25</v>
      </c>
      <c r="G289" s="614" t="str">
        <f>IFERROR(VLOOKUP(H289,'BASE DATOS'!$BN$2:$BO$40,2,FALSE),"FD")</f>
        <v>PRIMER PISO</v>
      </c>
      <c r="H289" t="s">
        <v>1195</v>
      </c>
      <c r="I289" t="s">
        <v>1234</v>
      </c>
      <c r="J289" t="s">
        <v>1495</v>
      </c>
      <c r="K289">
        <f>IFERROR(IF(VLOOKUP($H289,'BASE DATOS'!$BN$2:$BX$40,3,FALSE)&lt;&gt;0,1,0),"-")</f>
        <v>0</v>
      </c>
      <c r="L289">
        <f>IFERROR(IF(VLOOKUP($H289,'BASE DATOS'!$BN$2:$BX$40,4,FALSE)&lt;&gt;0,1,0),"-")</f>
        <v>0</v>
      </c>
      <c r="M289">
        <f>IFERROR(IF(VLOOKUP($H289,'BASE DATOS'!$BN$2:$BX$40,5,FALSE)&lt;&gt;0,1,0),"-")</f>
        <v>0</v>
      </c>
      <c r="N289">
        <f>IFERROR(IF(VLOOKUP($H289,'BASE DATOS'!$BN$2:$BX$40,6,FALSE)&lt;&gt;0,1,0),"-")</f>
        <v>1</v>
      </c>
      <c r="O289">
        <f>IFERROR(IF(VLOOKUP($H289,'BASE DATOS'!$BN$2:$BX$40,7,FALSE)&lt;&gt;0,1,0),"-")</f>
        <v>1</v>
      </c>
      <c r="P289">
        <f>IFERROR(IF(VLOOKUP($H289,'BASE DATOS'!$BN$2:$BX$40,8,FALSE)&lt;&gt;0,1,0),"-")</f>
        <v>0</v>
      </c>
      <c r="Q289">
        <f>IFERROR(IF(VLOOKUP($H289,'BASE DATOS'!$BN$2:$BX$40,9,FALSE)&lt;&gt;0,1,0),"-")</f>
        <v>0</v>
      </c>
      <c r="R289">
        <f>IFERROR(IF(VLOOKUP($H289,'BASE DATOS'!$BN$2:$BX$40,10,FALSE)&lt;&gt;0,1,0),"-")</f>
        <v>0</v>
      </c>
      <c r="S289">
        <f>IFERROR(IF(VLOOKUP($H289,'BASE DATOS'!$BN$2:$BX$40,11,FALSE)&lt;&gt;0,1,0),"-")</f>
        <v>0</v>
      </c>
    </row>
    <row r="290" spans="1:19" ht="15" customHeight="1">
      <c r="A290" s="786">
        <f t="shared" si="27"/>
        <v>46</v>
      </c>
      <c r="B290" s="786" t="str">
        <f t="shared" si="28"/>
        <v>TT</v>
      </c>
      <c r="C290" s="786">
        <f t="shared" si="29"/>
        <v>0</v>
      </c>
      <c r="D290" s="786" t="str">
        <f t="shared" si="30"/>
        <v>NO</v>
      </c>
      <c r="E290" s="38">
        <v>45972</v>
      </c>
      <c r="F290" s="614">
        <v>0.25</v>
      </c>
      <c r="G290" s="614" t="str">
        <f>IFERROR(VLOOKUP(H290,'BASE DATOS'!$BN$2:$BO$40,2,FALSE),"FD")</f>
        <v>PRIMER PISO</v>
      </c>
      <c r="H290" t="s">
        <v>1195</v>
      </c>
      <c r="I290" t="s">
        <v>1216</v>
      </c>
      <c r="J290" t="s">
        <v>1496</v>
      </c>
      <c r="K290">
        <f>IFERROR(IF(VLOOKUP($H290,'BASE DATOS'!$BN$2:$BX$40,3,FALSE)&lt;&gt;0,1,0),"-")</f>
        <v>0</v>
      </c>
      <c r="L290">
        <f>IFERROR(IF(VLOOKUP($H290,'BASE DATOS'!$BN$2:$BX$40,4,FALSE)&lt;&gt;0,1,0),"-")</f>
        <v>0</v>
      </c>
      <c r="M290">
        <f>IFERROR(IF(VLOOKUP($H290,'BASE DATOS'!$BN$2:$BX$40,5,FALSE)&lt;&gt;0,1,0),"-")</f>
        <v>0</v>
      </c>
      <c r="N290">
        <f>IFERROR(IF(VLOOKUP($H290,'BASE DATOS'!$BN$2:$BX$40,6,FALSE)&lt;&gt;0,1,0),"-")</f>
        <v>1</v>
      </c>
      <c r="O290">
        <f>IFERROR(IF(VLOOKUP($H290,'BASE DATOS'!$BN$2:$BX$40,7,FALSE)&lt;&gt;0,1,0),"-")</f>
        <v>1</v>
      </c>
      <c r="P290">
        <f>IFERROR(IF(VLOOKUP($H290,'BASE DATOS'!$BN$2:$BX$40,8,FALSE)&lt;&gt;0,1,0),"-")</f>
        <v>0</v>
      </c>
      <c r="Q290">
        <f>IFERROR(IF(VLOOKUP($H290,'BASE DATOS'!$BN$2:$BX$40,9,FALSE)&lt;&gt;0,1,0),"-")</f>
        <v>0</v>
      </c>
      <c r="R290">
        <f>IFERROR(IF(VLOOKUP($H290,'BASE DATOS'!$BN$2:$BX$40,10,FALSE)&lt;&gt;0,1,0),"-")</f>
        <v>0</v>
      </c>
      <c r="S290">
        <f>IFERROR(IF(VLOOKUP($H290,'BASE DATOS'!$BN$2:$BX$40,11,FALSE)&lt;&gt;0,1,0),"-")</f>
        <v>0</v>
      </c>
    </row>
    <row r="291" spans="1:19" ht="15" customHeight="1">
      <c r="A291" s="786">
        <f t="shared" si="27"/>
        <v>46</v>
      </c>
      <c r="B291" s="786" t="str">
        <f t="shared" si="28"/>
        <v>TT</v>
      </c>
      <c r="C291" s="786">
        <f t="shared" si="29"/>
        <v>0</v>
      </c>
      <c r="D291" s="786" t="str">
        <f t="shared" si="30"/>
        <v>NO</v>
      </c>
      <c r="E291" s="38">
        <v>45972</v>
      </c>
      <c r="F291" s="614">
        <v>0.25</v>
      </c>
      <c r="G291" s="614" t="str">
        <f>IFERROR(VLOOKUP(H291,'BASE DATOS'!$BN$2:$BO$40,2,FALSE),"FD")</f>
        <v>PRIMER PISO</v>
      </c>
      <c r="H291" t="s">
        <v>1198</v>
      </c>
      <c r="I291" t="s">
        <v>1199</v>
      </c>
      <c r="K291">
        <f>IFERROR(IF(VLOOKUP($H291,'BASE DATOS'!$BN$2:$BX$40,3,FALSE)&lt;&gt;0,1,0),"-")</f>
        <v>0</v>
      </c>
      <c r="L291">
        <f>IFERROR(IF(VLOOKUP($H291,'BASE DATOS'!$BN$2:$BX$40,4,FALSE)&lt;&gt;0,1,0),"-")</f>
        <v>0</v>
      </c>
      <c r="M291">
        <f>IFERROR(IF(VLOOKUP($H291,'BASE DATOS'!$BN$2:$BX$40,5,FALSE)&lt;&gt;0,1,0),"-")</f>
        <v>0</v>
      </c>
      <c r="N291">
        <f>IFERROR(IF(VLOOKUP($H291,'BASE DATOS'!$BN$2:$BX$40,6,FALSE)&lt;&gt;0,1,0),"-")</f>
        <v>1</v>
      </c>
      <c r="O291">
        <f>IFERROR(IF(VLOOKUP($H291,'BASE DATOS'!$BN$2:$BX$40,7,FALSE)&lt;&gt;0,1,0),"-")</f>
        <v>1</v>
      </c>
      <c r="P291">
        <f>IFERROR(IF(VLOOKUP($H291,'BASE DATOS'!$BN$2:$BX$40,8,FALSE)&lt;&gt;0,1,0),"-")</f>
        <v>0</v>
      </c>
      <c r="Q291">
        <f>IFERROR(IF(VLOOKUP($H291,'BASE DATOS'!$BN$2:$BX$40,9,FALSE)&lt;&gt;0,1,0),"-")</f>
        <v>0</v>
      </c>
      <c r="R291">
        <f>IFERROR(IF(VLOOKUP($H291,'BASE DATOS'!$BN$2:$BX$40,10,FALSE)&lt;&gt;0,1,0),"-")</f>
        <v>0</v>
      </c>
      <c r="S291">
        <f>IFERROR(IF(VLOOKUP($H291,'BASE DATOS'!$BN$2:$BX$40,11,FALSE)&lt;&gt;0,1,0),"-")</f>
        <v>0</v>
      </c>
    </row>
    <row r="292" spans="1:19" ht="15" customHeight="1">
      <c r="A292" s="786">
        <f t="shared" si="27"/>
        <v>46</v>
      </c>
      <c r="B292" s="786" t="str">
        <f t="shared" si="28"/>
        <v>TT</v>
      </c>
      <c r="C292" s="786">
        <f t="shared" si="29"/>
        <v>0</v>
      </c>
      <c r="D292" s="786" t="str">
        <f t="shared" si="30"/>
        <v>NO</v>
      </c>
      <c r="E292" s="38">
        <v>45972</v>
      </c>
      <c r="F292" s="614">
        <v>0.25</v>
      </c>
      <c r="G292" s="614" t="str">
        <f>IFERROR(VLOOKUP(H292,'BASE DATOS'!$BN$2:$BO$40,2,FALSE),"FD")</f>
        <v>PRIMER PISO</v>
      </c>
      <c r="H292" t="s">
        <v>1271</v>
      </c>
      <c r="I292" t="s">
        <v>970</v>
      </c>
      <c r="J292" t="s">
        <v>1497</v>
      </c>
      <c r="K292">
        <f>IFERROR(IF(VLOOKUP($H292,'BASE DATOS'!$BN$2:$BX$40,3,FALSE)&lt;&gt;0,1,0),"-")</f>
        <v>0</v>
      </c>
      <c r="L292">
        <f>IFERROR(IF(VLOOKUP($H292,'BASE DATOS'!$BN$2:$BX$40,4,FALSE)&lt;&gt;0,1,0),"-")</f>
        <v>0</v>
      </c>
      <c r="M292">
        <f>IFERROR(IF(VLOOKUP($H292,'BASE DATOS'!$BN$2:$BX$40,5,FALSE)&lt;&gt;0,1,0),"-")</f>
        <v>0</v>
      </c>
      <c r="N292">
        <f>IFERROR(IF(VLOOKUP($H292,'BASE DATOS'!$BN$2:$BX$40,6,FALSE)&lt;&gt;0,1,0),"-")</f>
        <v>1</v>
      </c>
      <c r="O292">
        <f>IFERROR(IF(VLOOKUP($H292,'BASE DATOS'!$BN$2:$BX$40,7,FALSE)&lt;&gt;0,1,0),"-")</f>
        <v>1</v>
      </c>
      <c r="P292">
        <f>IFERROR(IF(VLOOKUP($H292,'BASE DATOS'!$BN$2:$BX$40,8,FALSE)&lt;&gt;0,1,0),"-")</f>
        <v>0</v>
      </c>
      <c r="Q292">
        <f>IFERROR(IF(VLOOKUP($H292,'BASE DATOS'!$BN$2:$BX$40,9,FALSE)&lt;&gt;0,1,0),"-")</f>
        <v>0</v>
      </c>
      <c r="R292">
        <f>IFERROR(IF(VLOOKUP($H292,'BASE DATOS'!$BN$2:$BX$40,10,FALSE)&lt;&gt;0,1,0),"-")</f>
        <v>0</v>
      </c>
      <c r="S292">
        <f>IFERROR(IF(VLOOKUP($H292,'BASE DATOS'!$BN$2:$BX$40,11,FALSE)&lt;&gt;0,1,0),"-")</f>
        <v>0</v>
      </c>
    </row>
    <row r="293" spans="1:19" ht="15" customHeight="1">
      <c r="A293" s="786">
        <f t="shared" si="27"/>
        <v>46</v>
      </c>
      <c r="B293" s="786" t="str">
        <f t="shared" si="28"/>
        <v>TT</v>
      </c>
      <c r="C293" s="786">
        <f t="shared" si="29"/>
        <v>1</v>
      </c>
      <c r="D293" s="786" t="str">
        <f t="shared" si="30"/>
        <v>SI</v>
      </c>
      <c r="E293" s="38">
        <v>45972</v>
      </c>
      <c r="F293" s="614">
        <v>0.25</v>
      </c>
      <c r="G293" s="614" t="str">
        <f>IFERROR(VLOOKUP(H293,'BASE DATOS'!$BN$2:$BO$40,2,FALSE),"FD")</f>
        <v>FD</v>
      </c>
      <c r="H293" t="s">
        <v>1498</v>
      </c>
      <c r="I293" t="s">
        <v>1207</v>
      </c>
      <c r="J293" t="s">
        <v>1499</v>
      </c>
      <c r="K293" t="str">
        <f>IFERROR(IF(VLOOKUP($H293,'BASE DATOS'!$BN$2:$BX$40,3,FALSE)&lt;&gt;0,1,0),"-")</f>
        <v>-</v>
      </c>
      <c r="L293" t="str">
        <f>IFERROR(IF(VLOOKUP($H293,'BASE DATOS'!$BN$2:$BX$40,4,FALSE)&lt;&gt;0,1,0),"-")</f>
        <v>-</v>
      </c>
      <c r="M293" t="str">
        <f>IFERROR(IF(VLOOKUP($H293,'BASE DATOS'!$BN$2:$BX$40,5,FALSE)&lt;&gt;0,1,0),"-")</f>
        <v>-</v>
      </c>
      <c r="N293" t="str">
        <f>IFERROR(IF(VLOOKUP($H293,'BASE DATOS'!$BN$2:$BX$40,6,FALSE)&lt;&gt;0,1,0),"-")</f>
        <v>-</v>
      </c>
      <c r="O293" t="str">
        <f>IFERROR(IF(VLOOKUP($H293,'BASE DATOS'!$BN$2:$BX$40,7,FALSE)&lt;&gt;0,1,0),"-")</f>
        <v>-</v>
      </c>
      <c r="P293" t="str">
        <f>IFERROR(IF(VLOOKUP($H293,'BASE DATOS'!$BN$2:$BX$40,8,FALSE)&lt;&gt;0,1,0),"-")</f>
        <v>-</v>
      </c>
      <c r="Q293" t="str">
        <f>IFERROR(IF(VLOOKUP($H293,'BASE DATOS'!$BN$2:$BX$40,9,FALSE)&lt;&gt;0,1,0),"-")</f>
        <v>-</v>
      </c>
      <c r="R293" t="str">
        <f>IFERROR(IF(VLOOKUP($H293,'BASE DATOS'!$BN$2:$BX$40,10,FALSE)&lt;&gt;0,1,0),"-")</f>
        <v>-</v>
      </c>
      <c r="S293" t="str">
        <f>IFERROR(IF(VLOOKUP($H293,'BASE DATOS'!$BN$2:$BX$40,11,FALSE)&lt;&gt;0,1,0),"-")</f>
        <v>-</v>
      </c>
    </row>
    <row r="294" spans="1:19" ht="15" customHeight="1">
      <c r="A294" s="786">
        <f t="shared" si="27"/>
        <v>46</v>
      </c>
      <c r="B294" s="786" t="str">
        <f t="shared" si="28"/>
        <v>TM</v>
      </c>
      <c r="C294" s="786">
        <f t="shared" si="29"/>
        <v>1</v>
      </c>
      <c r="D294" s="786" t="str">
        <f t="shared" si="30"/>
        <v>SI</v>
      </c>
      <c r="E294" s="38">
        <v>45972</v>
      </c>
      <c r="F294" s="614">
        <v>0.54166666666666663</v>
      </c>
      <c r="G294" s="614" t="str">
        <f>IFERROR(VLOOKUP(H294,'BASE DATOS'!$BN$2:$BO$40,2,FALSE),"FD")</f>
        <v>SEGUNDO PISO</v>
      </c>
      <c r="H294" t="s">
        <v>1232</v>
      </c>
      <c r="I294" t="s">
        <v>1207</v>
      </c>
      <c r="J294" t="s">
        <v>1500</v>
      </c>
      <c r="K294">
        <f>IFERROR(IF(VLOOKUP($H294,'BASE DATOS'!$BN$2:$BX$40,3,FALSE)&lt;&gt;0,1,0),"-")</f>
        <v>1</v>
      </c>
      <c r="L294">
        <f>IFERROR(IF(VLOOKUP($H294,'BASE DATOS'!$BN$2:$BX$40,4,FALSE)&lt;&gt;0,1,0),"-")</f>
        <v>1</v>
      </c>
      <c r="M294">
        <f>IFERROR(IF(VLOOKUP($H294,'BASE DATOS'!$BN$2:$BX$40,5,FALSE)&lt;&gt;0,1,0),"-")</f>
        <v>1</v>
      </c>
      <c r="N294">
        <f>IFERROR(IF(VLOOKUP($H294,'BASE DATOS'!$BN$2:$BX$40,6,FALSE)&lt;&gt;0,1,0),"-")</f>
        <v>1</v>
      </c>
      <c r="O294">
        <f>IFERROR(IF(VLOOKUP($H294,'BASE DATOS'!$BN$2:$BX$40,7,FALSE)&lt;&gt;0,1,0),"-")</f>
        <v>1</v>
      </c>
      <c r="P294">
        <f>IFERROR(IF(VLOOKUP($H294,'BASE DATOS'!$BN$2:$BX$40,8,FALSE)&lt;&gt;0,1,0),"-")</f>
        <v>1</v>
      </c>
      <c r="Q294">
        <f>IFERROR(IF(VLOOKUP($H294,'BASE DATOS'!$BN$2:$BX$40,9,FALSE)&lt;&gt;0,1,0),"-")</f>
        <v>1</v>
      </c>
      <c r="R294">
        <f>IFERROR(IF(VLOOKUP($H294,'BASE DATOS'!$BN$2:$BX$40,10,FALSE)&lt;&gt;0,1,0),"-")</f>
        <v>1</v>
      </c>
      <c r="S294">
        <f>IFERROR(IF(VLOOKUP($H294,'BASE DATOS'!$BN$2:$BX$40,11,FALSE)&lt;&gt;0,1,0),"-")</f>
        <v>1</v>
      </c>
    </row>
    <row r="295" spans="1:19" ht="15" customHeight="1">
      <c r="A295" s="786">
        <f t="shared" si="27"/>
        <v>46</v>
      </c>
      <c r="B295" s="786" t="str">
        <f t="shared" si="28"/>
        <v>TM</v>
      </c>
      <c r="C295" s="786">
        <f t="shared" si="29"/>
        <v>1</v>
      </c>
      <c r="D295" s="786" t="str">
        <f t="shared" si="30"/>
        <v>NO</v>
      </c>
      <c r="E295" s="38">
        <v>45972</v>
      </c>
      <c r="F295" s="614">
        <v>0.54166666666666663</v>
      </c>
      <c r="G295" s="614" t="str">
        <f>IFERROR(VLOOKUP(H295,'BASE DATOS'!$BN$2:$BO$40,2,FALSE),"FD")</f>
        <v>FD</v>
      </c>
      <c r="H295" t="s">
        <v>970</v>
      </c>
      <c r="I295" t="s">
        <v>1207</v>
      </c>
      <c r="J295" t="s">
        <v>1501</v>
      </c>
      <c r="K295" t="str">
        <f>IFERROR(IF(VLOOKUP($H295,'BASE DATOS'!$BN$2:$BX$40,3,FALSE)&lt;&gt;0,1,0),"-")</f>
        <v>-</v>
      </c>
      <c r="L295" t="str">
        <f>IFERROR(IF(VLOOKUP($H295,'BASE DATOS'!$BN$2:$BX$40,4,FALSE)&lt;&gt;0,1,0),"-")</f>
        <v>-</v>
      </c>
      <c r="M295" t="str">
        <f>IFERROR(IF(VLOOKUP($H295,'BASE DATOS'!$BN$2:$BX$40,5,FALSE)&lt;&gt;0,1,0),"-")</f>
        <v>-</v>
      </c>
      <c r="N295" t="str">
        <f>IFERROR(IF(VLOOKUP($H295,'BASE DATOS'!$BN$2:$BX$40,6,FALSE)&lt;&gt;0,1,0),"-")</f>
        <v>-</v>
      </c>
      <c r="O295" t="str">
        <f>IFERROR(IF(VLOOKUP($H295,'BASE DATOS'!$BN$2:$BX$40,7,FALSE)&lt;&gt;0,1,0),"-")</f>
        <v>-</v>
      </c>
      <c r="P295" t="str">
        <f>IFERROR(IF(VLOOKUP($H295,'BASE DATOS'!$BN$2:$BX$40,8,FALSE)&lt;&gt;0,1,0),"-")</f>
        <v>-</v>
      </c>
      <c r="Q295" t="str">
        <f>IFERROR(IF(VLOOKUP($H295,'BASE DATOS'!$BN$2:$BX$40,9,FALSE)&lt;&gt;0,1,0),"-")</f>
        <v>-</v>
      </c>
      <c r="R295" t="str">
        <f>IFERROR(IF(VLOOKUP($H295,'BASE DATOS'!$BN$2:$BX$40,10,FALSE)&lt;&gt;0,1,0),"-")</f>
        <v>-</v>
      </c>
      <c r="S295" t="str">
        <f>IFERROR(IF(VLOOKUP($H295,'BASE DATOS'!$BN$2:$BX$40,11,FALSE)&lt;&gt;0,1,0),"-")</f>
        <v>-</v>
      </c>
    </row>
    <row r="296" spans="1:19" ht="15" customHeight="1">
      <c r="A296" s="786">
        <f t="shared" si="27"/>
        <v>46</v>
      </c>
      <c r="B296" s="786" t="str">
        <f t="shared" si="28"/>
        <v>TM</v>
      </c>
      <c r="C296" s="786">
        <f t="shared" si="29"/>
        <v>1</v>
      </c>
      <c r="D296" s="786" t="str">
        <f t="shared" si="30"/>
        <v>SI</v>
      </c>
      <c r="E296" s="38">
        <v>45972</v>
      </c>
      <c r="F296" s="614">
        <v>0.54166666666666663</v>
      </c>
      <c r="G296" s="614" t="str">
        <f>IFERROR(VLOOKUP(H296,'BASE DATOS'!$BN$2:$BO$40,2,FALSE),"FD")</f>
        <v>SEGUNDO PISO</v>
      </c>
      <c r="H296" t="s">
        <v>1233</v>
      </c>
      <c r="I296" t="s">
        <v>1207</v>
      </c>
      <c r="J296" t="s">
        <v>1502</v>
      </c>
      <c r="K296">
        <f>IFERROR(IF(VLOOKUP($H296,'BASE DATOS'!$BN$2:$BX$40,3,FALSE)&lt;&gt;0,1,0),"-")</f>
        <v>1</v>
      </c>
      <c r="L296">
        <f>IFERROR(IF(VLOOKUP($H296,'BASE DATOS'!$BN$2:$BX$40,4,FALSE)&lt;&gt;0,1,0),"-")</f>
        <v>1</v>
      </c>
      <c r="M296">
        <f>IFERROR(IF(VLOOKUP($H296,'BASE DATOS'!$BN$2:$BX$40,5,FALSE)&lt;&gt;0,1,0),"-")</f>
        <v>1</v>
      </c>
      <c r="N296">
        <f>IFERROR(IF(VLOOKUP($H296,'BASE DATOS'!$BN$2:$BX$40,6,FALSE)&lt;&gt;0,1,0),"-")</f>
        <v>1</v>
      </c>
      <c r="O296">
        <f>IFERROR(IF(VLOOKUP($H296,'BASE DATOS'!$BN$2:$BX$40,7,FALSE)&lt;&gt;0,1,0),"-")</f>
        <v>1</v>
      </c>
      <c r="P296">
        <f>IFERROR(IF(VLOOKUP($H296,'BASE DATOS'!$BN$2:$BX$40,8,FALSE)&lt;&gt;0,1,0),"-")</f>
        <v>1</v>
      </c>
      <c r="Q296">
        <f>IFERROR(IF(VLOOKUP($H296,'BASE DATOS'!$BN$2:$BX$40,9,FALSE)&lt;&gt;0,1,0),"-")</f>
        <v>1</v>
      </c>
      <c r="R296">
        <f>IFERROR(IF(VLOOKUP($H296,'BASE DATOS'!$BN$2:$BX$40,10,FALSE)&lt;&gt;0,1,0),"-")</f>
        <v>1</v>
      </c>
      <c r="S296">
        <f>IFERROR(IF(VLOOKUP($H296,'BASE DATOS'!$BN$2:$BX$40,11,FALSE)&lt;&gt;0,1,0),"-")</f>
        <v>1</v>
      </c>
    </row>
    <row r="297" spans="1:19" ht="15" customHeight="1">
      <c r="A297" s="786">
        <f t="shared" si="27"/>
        <v>46</v>
      </c>
      <c r="B297" s="786" t="str">
        <f t="shared" si="28"/>
        <v>TM</v>
      </c>
      <c r="C297" s="786">
        <f t="shared" si="29"/>
        <v>1</v>
      </c>
      <c r="D297" s="786" t="str">
        <f t="shared" si="30"/>
        <v>NO</v>
      </c>
      <c r="E297" s="38">
        <v>45972</v>
      </c>
      <c r="F297" s="614">
        <v>0.625</v>
      </c>
      <c r="G297" s="614" t="str">
        <f>IFERROR(VLOOKUP(H297,'BASE DATOS'!$BN$2:$BO$40,2,FALSE),"FD")</f>
        <v>FD</v>
      </c>
      <c r="H297" t="s">
        <v>970</v>
      </c>
      <c r="I297" t="s">
        <v>1234</v>
      </c>
      <c r="J297" t="s">
        <v>1503</v>
      </c>
      <c r="K297" t="str">
        <f>IFERROR(IF(VLOOKUP($H297,'BASE DATOS'!$BN$2:$BX$40,3,FALSE)&lt;&gt;0,1,0),"-")</f>
        <v>-</v>
      </c>
      <c r="L297" t="str">
        <f>IFERROR(IF(VLOOKUP($H297,'BASE DATOS'!$BN$2:$BX$40,4,FALSE)&lt;&gt;0,1,0),"-")</f>
        <v>-</v>
      </c>
      <c r="M297" t="str">
        <f>IFERROR(IF(VLOOKUP($H297,'BASE DATOS'!$BN$2:$BX$40,5,FALSE)&lt;&gt;0,1,0),"-")</f>
        <v>-</v>
      </c>
      <c r="N297" t="str">
        <f>IFERROR(IF(VLOOKUP($H297,'BASE DATOS'!$BN$2:$BX$40,6,FALSE)&lt;&gt;0,1,0),"-")</f>
        <v>-</v>
      </c>
      <c r="O297" t="str">
        <f>IFERROR(IF(VLOOKUP($H297,'BASE DATOS'!$BN$2:$BX$40,7,FALSE)&lt;&gt;0,1,0),"-")</f>
        <v>-</v>
      </c>
      <c r="P297" t="str">
        <f>IFERROR(IF(VLOOKUP($H297,'BASE DATOS'!$BN$2:$BX$40,8,FALSE)&lt;&gt;0,1,0),"-")</f>
        <v>-</v>
      </c>
      <c r="Q297" t="str">
        <f>IFERROR(IF(VLOOKUP($H297,'BASE DATOS'!$BN$2:$BX$40,9,FALSE)&lt;&gt;0,1,0),"-")</f>
        <v>-</v>
      </c>
      <c r="R297" t="str">
        <f>IFERROR(IF(VLOOKUP($H297,'BASE DATOS'!$BN$2:$BX$40,10,FALSE)&lt;&gt;0,1,0),"-")</f>
        <v>-</v>
      </c>
      <c r="S297" t="str">
        <f>IFERROR(IF(VLOOKUP($H297,'BASE DATOS'!$BN$2:$BX$40,11,FALSE)&lt;&gt;0,1,0),"-")</f>
        <v>-</v>
      </c>
    </row>
    <row r="298" spans="1:19" ht="15" customHeight="1">
      <c r="A298" s="786">
        <f t="shared" si="27"/>
        <v>46</v>
      </c>
      <c r="B298" s="786" t="str">
        <f t="shared" si="28"/>
        <v>TM</v>
      </c>
      <c r="C298" s="786">
        <f t="shared" si="29"/>
        <v>0</v>
      </c>
      <c r="D298" s="786" t="str">
        <f t="shared" si="30"/>
        <v>NO</v>
      </c>
      <c r="E298" s="38">
        <v>45972</v>
      </c>
      <c r="F298" s="614">
        <v>0.625</v>
      </c>
      <c r="G298" s="614" t="str">
        <f>IFERROR(VLOOKUP(H298,'BASE DATOS'!$BN$2:$BO$40,2,FALSE),"FD")</f>
        <v>FD</v>
      </c>
      <c r="H298" t="s">
        <v>970</v>
      </c>
      <c r="I298" t="s">
        <v>1234</v>
      </c>
      <c r="J298" t="s">
        <v>1504</v>
      </c>
      <c r="K298" t="str">
        <f>IFERROR(IF(VLOOKUP($H298,'BASE DATOS'!$BN$2:$BX$40,3,FALSE)&lt;&gt;0,1,0),"-")</f>
        <v>-</v>
      </c>
      <c r="L298" t="str">
        <f>IFERROR(IF(VLOOKUP($H298,'BASE DATOS'!$BN$2:$BX$40,4,FALSE)&lt;&gt;0,1,0),"-")</f>
        <v>-</v>
      </c>
      <c r="M298" t="str">
        <f>IFERROR(IF(VLOOKUP($H298,'BASE DATOS'!$BN$2:$BX$40,5,FALSE)&lt;&gt;0,1,0),"-")</f>
        <v>-</v>
      </c>
      <c r="N298" t="str">
        <f>IFERROR(IF(VLOOKUP($H298,'BASE DATOS'!$BN$2:$BX$40,6,FALSE)&lt;&gt;0,1,0),"-")</f>
        <v>-</v>
      </c>
      <c r="O298" t="str">
        <f>IFERROR(IF(VLOOKUP($H298,'BASE DATOS'!$BN$2:$BX$40,7,FALSE)&lt;&gt;0,1,0),"-")</f>
        <v>-</v>
      </c>
      <c r="P298" t="str">
        <f>IFERROR(IF(VLOOKUP($H298,'BASE DATOS'!$BN$2:$BX$40,8,FALSE)&lt;&gt;0,1,0),"-")</f>
        <v>-</v>
      </c>
      <c r="Q298" t="str">
        <f>IFERROR(IF(VLOOKUP($H298,'BASE DATOS'!$BN$2:$BX$40,9,FALSE)&lt;&gt;0,1,0),"-")</f>
        <v>-</v>
      </c>
      <c r="R298" t="str">
        <f>IFERROR(IF(VLOOKUP($H298,'BASE DATOS'!$BN$2:$BX$40,10,FALSE)&lt;&gt;0,1,0),"-")</f>
        <v>-</v>
      </c>
      <c r="S298" t="str">
        <f>IFERROR(IF(VLOOKUP($H298,'BASE DATOS'!$BN$2:$BX$40,11,FALSE)&lt;&gt;0,1,0),"-")</f>
        <v>-</v>
      </c>
    </row>
    <row r="299" spans="1:19" ht="15" customHeight="1">
      <c r="A299" s="786">
        <f t="shared" si="27"/>
        <v>46</v>
      </c>
      <c r="B299" s="786" t="str">
        <f t="shared" si="28"/>
        <v>TM</v>
      </c>
      <c r="C299" s="786">
        <f t="shared" si="29"/>
        <v>1</v>
      </c>
      <c r="D299" s="786" t="str">
        <f t="shared" si="30"/>
        <v>NO</v>
      </c>
      <c r="E299" s="38">
        <v>45972</v>
      </c>
      <c r="F299" s="614">
        <v>0.625</v>
      </c>
      <c r="G299" s="614" t="str">
        <f>IFERROR(VLOOKUP(H299,'BASE DATOS'!$BN$2:$BO$40,2,FALSE),"FD")</f>
        <v>PLANTA BAJA</v>
      </c>
      <c r="H299" t="s">
        <v>1203</v>
      </c>
      <c r="I299" t="s">
        <v>970</v>
      </c>
      <c r="J299" t="s">
        <v>1505</v>
      </c>
      <c r="K299">
        <f>IFERROR(IF(VLOOKUP($H299,'BASE DATOS'!$BN$2:$BX$40,3,FALSE)&lt;&gt;0,1,0),"-")</f>
        <v>1</v>
      </c>
      <c r="L299">
        <f>IFERROR(IF(VLOOKUP($H299,'BASE DATOS'!$BN$2:$BX$40,4,FALSE)&lt;&gt;0,1,0),"-")</f>
        <v>1</v>
      </c>
      <c r="M299">
        <f>IFERROR(IF(VLOOKUP($H299,'BASE DATOS'!$BN$2:$BX$40,5,FALSE)&lt;&gt;0,1,0),"-")</f>
        <v>1</v>
      </c>
      <c r="N299">
        <f>IFERROR(IF(VLOOKUP($H299,'BASE DATOS'!$BN$2:$BX$40,6,FALSE)&lt;&gt;0,1,0),"-")</f>
        <v>0</v>
      </c>
      <c r="O299">
        <f>IFERROR(IF(VLOOKUP($H299,'BASE DATOS'!$BN$2:$BX$40,7,FALSE)&lt;&gt;0,1,0),"-")</f>
        <v>0</v>
      </c>
      <c r="P299">
        <f>IFERROR(IF(VLOOKUP($H299,'BASE DATOS'!$BN$2:$BX$40,8,FALSE)&lt;&gt;0,1,0),"-")</f>
        <v>0</v>
      </c>
      <c r="Q299">
        <f>IFERROR(IF(VLOOKUP($H299,'BASE DATOS'!$BN$2:$BX$40,9,FALSE)&lt;&gt;0,1,0),"-")</f>
        <v>0</v>
      </c>
      <c r="R299">
        <f>IFERROR(IF(VLOOKUP($H299,'BASE DATOS'!$BN$2:$BX$40,10,FALSE)&lt;&gt;0,1,0),"-")</f>
        <v>0</v>
      </c>
      <c r="S299">
        <f>IFERROR(IF(VLOOKUP($H299,'BASE DATOS'!$BN$2:$BX$40,11,FALSE)&lt;&gt;0,1,0),"-")</f>
        <v>0</v>
      </c>
    </row>
    <row r="300" spans="1:19" ht="15" customHeight="1">
      <c r="A300" s="786">
        <f t="shared" si="27"/>
        <v>46</v>
      </c>
      <c r="B300" s="786" t="str">
        <f t="shared" si="28"/>
        <v>TM</v>
      </c>
      <c r="C300" s="786">
        <f t="shared" si="29"/>
        <v>0</v>
      </c>
      <c r="D300" s="786" t="str">
        <f t="shared" si="30"/>
        <v>NO</v>
      </c>
      <c r="E300" s="38">
        <v>45972</v>
      </c>
      <c r="F300" s="614">
        <v>0.625</v>
      </c>
      <c r="G300" s="614" t="str">
        <f>IFERROR(VLOOKUP(H300,'BASE DATOS'!$BN$2:$BO$40,2,FALSE),"FD")</f>
        <v>PLANTA BAJA</v>
      </c>
      <c r="H300" t="s">
        <v>1245</v>
      </c>
      <c r="I300" t="s">
        <v>1201</v>
      </c>
      <c r="J300" t="s">
        <v>1506</v>
      </c>
      <c r="K300">
        <f>IFERROR(IF(VLOOKUP($H300,'BASE DATOS'!$BN$2:$BX$40,3,FALSE)&lt;&gt;0,1,0),"-")</f>
        <v>1</v>
      </c>
      <c r="L300">
        <f>IFERROR(IF(VLOOKUP($H300,'BASE DATOS'!$BN$2:$BX$40,4,FALSE)&lt;&gt;0,1,0),"-")</f>
        <v>1</v>
      </c>
      <c r="M300">
        <f>IFERROR(IF(VLOOKUP($H300,'BASE DATOS'!$BN$2:$BX$40,5,FALSE)&lt;&gt;0,1,0),"-")</f>
        <v>1</v>
      </c>
      <c r="N300">
        <f>IFERROR(IF(VLOOKUP($H300,'BASE DATOS'!$BN$2:$BX$40,6,FALSE)&lt;&gt;0,1,0),"-")</f>
        <v>0</v>
      </c>
      <c r="O300">
        <f>IFERROR(IF(VLOOKUP($H300,'BASE DATOS'!$BN$2:$BX$40,7,FALSE)&lt;&gt;0,1,0),"-")</f>
        <v>0</v>
      </c>
      <c r="P300">
        <f>IFERROR(IF(VLOOKUP($H300,'BASE DATOS'!$BN$2:$BX$40,8,FALSE)&lt;&gt;0,1,0),"-")</f>
        <v>0</v>
      </c>
      <c r="Q300">
        <f>IFERROR(IF(VLOOKUP($H300,'BASE DATOS'!$BN$2:$BX$40,9,FALSE)&lt;&gt;0,1,0),"-")</f>
        <v>0</v>
      </c>
      <c r="R300">
        <f>IFERROR(IF(VLOOKUP($H300,'BASE DATOS'!$BN$2:$BX$40,10,FALSE)&lt;&gt;0,1,0),"-")</f>
        <v>0</v>
      </c>
      <c r="S300">
        <f>IFERROR(IF(VLOOKUP($H300,'BASE DATOS'!$BN$2:$BX$40,11,FALSE)&lt;&gt;0,1,0),"-")</f>
        <v>0</v>
      </c>
    </row>
    <row r="301" spans="1:19" ht="15" customHeight="1">
      <c r="A301" s="786">
        <f t="shared" si="27"/>
        <v>46</v>
      </c>
      <c r="B301" s="786" t="str">
        <f t="shared" si="28"/>
        <v>TM</v>
      </c>
      <c r="C301" s="786">
        <f t="shared" si="29"/>
        <v>0</v>
      </c>
      <c r="D301" s="786" t="str">
        <f t="shared" si="30"/>
        <v>NO</v>
      </c>
      <c r="E301" s="38">
        <v>45972</v>
      </c>
      <c r="F301" s="614">
        <v>0.625</v>
      </c>
      <c r="G301" s="614" t="str">
        <f>IFERROR(VLOOKUP(H301,'BASE DATOS'!$BN$2:$BO$40,2,FALSE),"FD")</f>
        <v>PLANTA BAJA</v>
      </c>
      <c r="H301" t="s">
        <v>1202</v>
      </c>
      <c r="I301" t="s">
        <v>1194</v>
      </c>
      <c r="K301">
        <f>IFERROR(IF(VLOOKUP($H301,'BASE DATOS'!$BN$2:$BX$40,3,FALSE)&lt;&gt;0,1,0),"-")</f>
        <v>0</v>
      </c>
      <c r="L301">
        <f>IFERROR(IF(VLOOKUP($H301,'BASE DATOS'!$BN$2:$BX$40,4,FALSE)&lt;&gt;0,1,0),"-")</f>
        <v>1</v>
      </c>
      <c r="M301">
        <f>IFERROR(IF(VLOOKUP($H301,'BASE DATOS'!$BN$2:$BX$40,5,FALSE)&lt;&gt;0,1,0),"-")</f>
        <v>1</v>
      </c>
      <c r="N301">
        <f>IFERROR(IF(VLOOKUP($H301,'BASE DATOS'!$BN$2:$BX$40,6,FALSE)&lt;&gt;0,1,0),"-")</f>
        <v>1</v>
      </c>
      <c r="O301">
        <f>IFERROR(IF(VLOOKUP($H301,'BASE DATOS'!$BN$2:$BX$40,7,FALSE)&lt;&gt;0,1,0),"-")</f>
        <v>1</v>
      </c>
      <c r="P301">
        <f>IFERROR(IF(VLOOKUP($H301,'BASE DATOS'!$BN$2:$BX$40,8,FALSE)&lt;&gt;0,1,0),"-")</f>
        <v>0</v>
      </c>
      <c r="Q301">
        <f>IFERROR(IF(VLOOKUP($H301,'BASE DATOS'!$BN$2:$BX$40,9,FALSE)&lt;&gt;0,1,0),"-")</f>
        <v>0</v>
      </c>
      <c r="R301">
        <f>IFERROR(IF(VLOOKUP($H301,'BASE DATOS'!$BN$2:$BX$40,10,FALSE)&lt;&gt;0,1,0),"-")</f>
        <v>0</v>
      </c>
      <c r="S301">
        <f>IFERROR(IF(VLOOKUP($H301,'BASE DATOS'!$BN$2:$BX$40,11,FALSE)&lt;&gt;0,1,0),"-")</f>
        <v>0</v>
      </c>
    </row>
    <row r="302" spans="1:19" ht="15" customHeight="1">
      <c r="A302" s="786">
        <f t="shared" si="27"/>
        <v>46</v>
      </c>
      <c r="B302" s="786" t="str">
        <f t="shared" si="28"/>
        <v>TM</v>
      </c>
      <c r="C302" s="786">
        <f t="shared" si="29"/>
        <v>0</v>
      </c>
      <c r="D302" s="786" t="str">
        <f t="shared" si="30"/>
        <v>NO</v>
      </c>
      <c r="E302" s="38">
        <v>45972</v>
      </c>
      <c r="F302" s="614">
        <v>0.625</v>
      </c>
      <c r="G302" s="614" t="str">
        <f>IFERROR(VLOOKUP(H302,'BASE DATOS'!$BN$2:$BO$40,2,FALSE),"FD")</f>
        <v>PLANTA BAJA</v>
      </c>
      <c r="H302" t="s">
        <v>1202</v>
      </c>
      <c r="I302" t="s">
        <v>1214</v>
      </c>
      <c r="J302" t="s">
        <v>1507</v>
      </c>
      <c r="K302">
        <f>IFERROR(IF(VLOOKUP($H302,'BASE DATOS'!$BN$2:$BX$40,3,FALSE)&lt;&gt;0,1,0),"-")</f>
        <v>0</v>
      </c>
      <c r="L302">
        <f>IFERROR(IF(VLOOKUP($H302,'BASE DATOS'!$BN$2:$BX$40,4,FALSE)&lt;&gt;0,1,0),"-")</f>
        <v>1</v>
      </c>
      <c r="M302">
        <f>IFERROR(IF(VLOOKUP($H302,'BASE DATOS'!$BN$2:$BX$40,5,FALSE)&lt;&gt;0,1,0),"-")</f>
        <v>1</v>
      </c>
      <c r="N302">
        <f>IFERROR(IF(VLOOKUP($H302,'BASE DATOS'!$BN$2:$BX$40,6,FALSE)&lt;&gt;0,1,0),"-")</f>
        <v>1</v>
      </c>
      <c r="O302">
        <f>IFERROR(IF(VLOOKUP($H302,'BASE DATOS'!$BN$2:$BX$40,7,FALSE)&lt;&gt;0,1,0),"-")</f>
        <v>1</v>
      </c>
      <c r="P302">
        <f>IFERROR(IF(VLOOKUP($H302,'BASE DATOS'!$BN$2:$BX$40,8,FALSE)&lt;&gt;0,1,0),"-")</f>
        <v>0</v>
      </c>
      <c r="Q302">
        <f>IFERROR(IF(VLOOKUP($H302,'BASE DATOS'!$BN$2:$BX$40,9,FALSE)&lt;&gt;0,1,0),"-")</f>
        <v>0</v>
      </c>
      <c r="R302">
        <f>IFERROR(IF(VLOOKUP($H302,'BASE DATOS'!$BN$2:$BX$40,10,FALSE)&lt;&gt;0,1,0),"-")</f>
        <v>0</v>
      </c>
      <c r="S302">
        <f>IFERROR(IF(VLOOKUP($H302,'BASE DATOS'!$BN$2:$BX$40,11,FALSE)&lt;&gt;0,1,0),"-")</f>
        <v>0</v>
      </c>
    </row>
    <row r="303" spans="1:19" ht="15" customHeight="1">
      <c r="A303" s="786">
        <f t="shared" si="27"/>
        <v>46</v>
      </c>
      <c r="B303" s="786" t="str">
        <f t="shared" si="28"/>
        <v>TM</v>
      </c>
      <c r="C303" s="786">
        <f t="shared" si="29"/>
        <v>0</v>
      </c>
      <c r="D303" s="786" t="str">
        <f t="shared" si="30"/>
        <v>NO</v>
      </c>
      <c r="E303" s="38">
        <v>45972</v>
      </c>
      <c r="F303" s="614">
        <v>0.625</v>
      </c>
      <c r="G303" s="614" t="str">
        <f>IFERROR(VLOOKUP(H303,'BASE DATOS'!$BN$2:$BO$40,2,FALSE),"FD")</f>
        <v>PLANTA BAJA</v>
      </c>
      <c r="H303" t="s">
        <v>1200</v>
      </c>
      <c r="I303" t="s">
        <v>1210</v>
      </c>
      <c r="J303" t="s">
        <v>1508</v>
      </c>
      <c r="K303">
        <f>IFERROR(IF(VLOOKUP($H303,'BASE DATOS'!$BN$2:$BX$40,3,FALSE)&lt;&gt;0,1,0),"-")</f>
        <v>0</v>
      </c>
      <c r="L303">
        <f>IFERROR(IF(VLOOKUP($H303,'BASE DATOS'!$BN$2:$BX$40,4,FALSE)&lt;&gt;0,1,0),"-")</f>
        <v>1</v>
      </c>
      <c r="M303">
        <f>IFERROR(IF(VLOOKUP($H303,'BASE DATOS'!$BN$2:$BX$40,5,FALSE)&lt;&gt;0,1,0),"-")</f>
        <v>1</v>
      </c>
      <c r="N303">
        <f>IFERROR(IF(VLOOKUP($H303,'BASE DATOS'!$BN$2:$BX$40,6,FALSE)&lt;&gt;0,1,0),"-")</f>
        <v>1</v>
      </c>
      <c r="O303">
        <f>IFERROR(IF(VLOOKUP($H303,'BASE DATOS'!$BN$2:$BX$40,7,FALSE)&lt;&gt;0,1,0),"-")</f>
        <v>1</v>
      </c>
      <c r="P303">
        <f>IFERROR(IF(VLOOKUP($H303,'BASE DATOS'!$BN$2:$BX$40,8,FALSE)&lt;&gt;0,1,0),"-")</f>
        <v>0</v>
      </c>
      <c r="Q303">
        <f>IFERROR(IF(VLOOKUP($H303,'BASE DATOS'!$BN$2:$BX$40,9,FALSE)&lt;&gt;0,1,0),"-")</f>
        <v>0</v>
      </c>
      <c r="R303">
        <f>IFERROR(IF(VLOOKUP($H303,'BASE DATOS'!$BN$2:$BX$40,10,FALSE)&lt;&gt;0,1,0),"-")</f>
        <v>0</v>
      </c>
      <c r="S303">
        <f>IFERROR(IF(VLOOKUP($H303,'BASE DATOS'!$BN$2:$BX$40,11,FALSE)&lt;&gt;0,1,0),"-")</f>
        <v>0</v>
      </c>
    </row>
    <row r="304" spans="1:19" ht="15" customHeight="1">
      <c r="A304" s="786">
        <f t="shared" si="27"/>
        <v>46</v>
      </c>
      <c r="B304" s="786" t="str">
        <f t="shared" si="28"/>
        <v>TM</v>
      </c>
      <c r="C304" s="786">
        <f t="shared" si="29"/>
        <v>1</v>
      </c>
      <c r="D304" s="786" t="str">
        <f t="shared" si="30"/>
        <v>NO</v>
      </c>
      <c r="E304" s="38">
        <v>45972</v>
      </c>
      <c r="F304" s="614">
        <v>0.66666666666666663</v>
      </c>
      <c r="G304" s="614" t="str">
        <f>IFERROR(VLOOKUP(H304,'BASE DATOS'!$BN$2:$BO$40,2,FALSE),"FD")</f>
        <v>PRIMER PISO</v>
      </c>
      <c r="H304" t="s">
        <v>1222</v>
      </c>
      <c r="I304" t="s">
        <v>970</v>
      </c>
      <c r="J304" t="s">
        <v>1509</v>
      </c>
      <c r="K304">
        <f>IFERROR(IF(VLOOKUP($H304,'BASE DATOS'!$BN$2:$BX$40,3,FALSE)&lt;&gt;0,1,0),"-")</f>
        <v>0</v>
      </c>
      <c r="L304">
        <f>IFERROR(IF(VLOOKUP($H304,'BASE DATOS'!$BN$2:$BX$40,4,FALSE)&lt;&gt;0,1,0),"-")</f>
        <v>0</v>
      </c>
      <c r="M304">
        <f>IFERROR(IF(VLOOKUP($H304,'BASE DATOS'!$BN$2:$BX$40,5,FALSE)&lt;&gt;0,1,0),"-")</f>
        <v>0</v>
      </c>
      <c r="N304">
        <f>IFERROR(IF(VLOOKUP($H304,'BASE DATOS'!$BN$2:$BX$40,6,FALSE)&lt;&gt;0,1,0),"-")</f>
        <v>1</v>
      </c>
      <c r="O304">
        <f>IFERROR(IF(VLOOKUP($H304,'BASE DATOS'!$BN$2:$BX$40,7,FALSE)&lt;&gt;0,1,0),"-")</f>
        <v>1</v>
      </c>
      <c r="P304">
        <f>IFERROR(IF(VLOOKUP($H304,'BASE DATOS'!$BN$2:$BX$40,8,FALSE)&lt;&gt;0,1,0),"-")</f>
        <v>0</v>
      </c>
      <c r="Q304">
        <f>IFERROR(IF(VLOOKUP($H304,'BASE DATOS'!$BN$2:$BX$40,9,FALSE)&lt;&gt;0,1,0),"-")</f>
        <v>0</v>
      </c>
      <c r="R304">
        <f>IFERROR(IF(VLOOKUP($H304,'BASE DATOS'!$BN$2:$BX$40,10,FALSE)&lt;&gt;0,1,0),"-")</f>
        <v>0</v>
      </c>
      <c r="S304">
        <f>IFERROR(IF(VLOOKUP($H304,'BASE DATOS'!$BN$2:$BX$40,11,FALSE)&lt;&gt;0,1,0),"-")</f>
        <v>0</v>
      </c>
    </row>
    <row r="305" spans="1:19" ht="15" customHeight="1">
      <c r="A305" s="786">
        <f t="shared" si="27"/>
        <v>46</v>
      </c>
      <c r="B305" s="786" t="str">
        <f t="shared" si="28"/>
        <v>TM</v>
      </c>
      <c r="C305" s="786">
        <f t="shared" si="29"/>
        <v>0</v>
      </c>
      <c r="D305" s="786" t="str">
        <f t="shared" si="30"/>
        <v>NO</v>
      </c>
      <c r="E305" s="38">
        <v>45972</v>
      </c>
      <c r="F305" s="614">
        <v>0.66666666666666663</v>
      </c>
      <c r="G305" s="614" t="str">
        <f>IFERROR(VLOOKUP(H305,'BASE DATOS'!$BN$2:$BO$40,2,FALSE),"FD")</f>
        <v>PRIMER PISO</v>
      </c>
      <c r="H305" t="s">
        <v>1219</v>
      </c>
      <c r="I305" t="s">
        <v>1196</v>
      </c>
      <c r="J305" t="s">
        <v>1510</v>
      </c>
      <c r="K305">
        <f>IFERROR(IF(VLOOKUP($H305,'BASE DATOS'!$BN$2:$BX$40,3,FALSE)&lt;&gt;0,1,0),"-")</f>
        <v>0</v>
      </c>
      <c r="L305">
        <f>IFERROR(IF(VLOOKUP($H305,'BASE DATOS'!$BN$2:$BX$40,4,FALSE)&lt;&gt;0,1,0),"-")</f>
        <v>0</v>
      </c>
      <c r="M305">
        <f>IFERROR(IF(VLOOKUP($H305,'BASE DATOS'!$BN$2:$BX$40,5,FALSE)&lt;&gt;0,1,0),"-")</f>
        <v>0</v>
      </c>
      <c r="N305">
        <f>IFERROR(IF(VLOOKUP($H305,'BASE DATOS'!$BN$2:$BX$40,6,FALSE)&lt;&gt;0,1,0),"-")</f>
        <v>1</v>
      </c>
      <c r="O305">
        <f>IFERROR(IF(VLOOKUP($H305,'BASE DATOS'!$BN$2:$BX$40,7,FALSE)&lt;&gt;0,1,0),"-")</f>
        <v>1</v>
      </c>
      <c r="P305">
        <f>IFERROR(IF(VLOOKUP($H305,'BASE DATOS'!$BN$2:$BX$40,8,FALSE)&lt;&gt;0,1,0),"-")</f>
        <v>0</v>
      </c>
      <c r="Q305">
        <f>IFERROR(IF(VLOOKUP($H305,'BASE DATOS'!$BN$2:$BX$40,9,FALSE)&lt;&gt;0,1,0),"-")</f>
        <v>0</v>
      </c>
      <c r="R305">
        <f>IFERROR(IF(VLOOKUP($H305,'BASE DATOS'!$BN$2:$BX$40,10,FALSE)&lt;&gt;0,1,0),"-")</f>
        <v>0</v>
      </c>
      <c r="S305">
        <f>IFERROR(IF(VLOOKUP($H305,'BASE DATOS'!$BN$2:$BX$40,11,FALSE)&lt;&gt;0,1,0),"-")</f>
        <v>0</v>
      </c>
    </row>
    <row r="306" spans="1:19" ht="15" customHeight="1">
      <c r="A306" s="786">
        <f t="shared" si="27"/>
        <v>46</v>
      </c>
      <c r="B306" s="786" t="str">
        <f t="shared" si="28"/>
        <v>TM</v>
      </c>
      <c r="C306" s="786">
        <f t="shared" si="29"/>
        <v>0</v>
      </c>
      <c r="D306" s="786" t="str">
        <f t="shared" si="30"/>
        <v>NO</v>
      </c>
      <c r="E306" s="38">
        <v>45972</v>
      </c>
      <c r="F306" s="614">
        <v>0.66666666666666663</v>
      </c>
      <c r="G306" s="614" t="str">
        <f>IFERROR(VLOOKUP(H306,'BASE DATOS'!$BN$2:$BO$40,2,FALSE),"FD")</f>
        <v>PRIMER PISO</v>
      </c>
      <c r="H306" t="s">
        <v>1219</v>
      </c>
      <c r="I306" t="s">
        <v>970</v>
      </c>
      <c r="J306" t="s">
        <v>1511</v>
      </c>
      <c r="K306">
        <f>IFERROR(IF(VLOOKUP($H306,'BASE DATOS'!$BN$2:$BX$40,3,FALSE)&lt;&gt;0,1,0),"-")</f>
        <v>0</v>
      </c>
      <c r="L306">
        <f>IFERROR(IF(VLOOKUP($H306,'BASE DATOS'!$BN$2:$BX$40,4,FALSE)&lt;&gt;0,1,0),"-")</f>
        <v>0</v>
      </c>
      <c r="M306">
        <f>IFERROR(IF(VLOOKUP($H306,'BASE DATOS'!$BN$2:$BX$40,5,FALSE)&lt;&gt;0,1,0),"-")</f>
        <v>0</v>
      </c>
      <c r="N306">
        <f>IFERROR(IF(VLOOKUP($H306,'BASE DATOS'!$BN$2:$BX$40,6,FALSE)&lt;&gt;0,1,0),"-")</f>
        <v>1</v>
      </c>
      <c r="O306">
        <f>IFERROR(IF(VLOOKUP($H306,'BASE DATOS'!$BN$2:$BX$40,7,FALSE)&lt;&gt;0,1,0),"-")</f>
        <v>1</v>
      </c>
      <c r="P306">
        <f>IFERROR(IF(VLOOKUP($H306,'BASE DATOS'!$BN$2:$BX$40,8,FALSE)&lt;&gt;0,1,0),"-")</f>
        <v>0</v>
      </c>
      <c r="Q306">
        <f>IFERROR(IF(VLOOKUP($H306,'BASE DATOS'!$BN$2:$BX$40,9,FALSE)&lt;&gt;0,1,0),"-")</f>
        <v>0</v>
      </c>
      <c r="R306">
        <f>IFERROR(IF(VLOOKUP($H306,'BASE DATOS'!$BN$2:$BX$40,10,FALSE)&lt;&gt;0,1,0),"-")</f>
        <v>0</v>
      </c>
      <c r="S306">
        <f>IFERROR(IF(VLOOKUP($H306,'BASE DATOS'!$BN$2:$BX$40,11,FALSE)&lt;&gt;0,1,0),"-")</f>
        <v>0</v>
      </c>
    </row>
    <row r="307" spans="1:19" ht="15" customHeight="1">
      <c r="A307" s="786">
        <f t="shared" si="27"/>
        <v>46</v>
      </c>
      <c r="B307" s="786" t="str">
        <f t="shared" si="28"/>
        <v>TM</v>
      </c>
      <c r="C307" s="786">
        <f t="shared" si="29"/>
        <v>0</v>
      </c>
      <c r="D307" s="786" t="str">
        <f t="shared" si="30"/>
        <v>NO</v>
      </c>
      <c r="E307" s="38">
        <v>45972</v>
      </c>
      <c r="F307" s="614">
        <v>0.66666666666666663</v>
      </c>
      <c r="G307" s="614" t="str">
        <f>IFERROR(VLOOKUP(H307,'BASE DATOS'!$BN$2:$BO$40,2,FALSE),"FD")</f>
        <v>PRIMER PISO</v>
      </c>
      <c r="H307" t="s">
        <v>1219</v>
      </c>
      <c r="I307" t="s">
        <v>970</v>
      </c>
      <c r="J307" t="s">
        <v>1512</v>
      </c>
      <c r="K307">
        <f>IFERROR(IF(VLOOKUP($H307,'BASE DATOS'!$BN$2:$BX$40,3,FALSE)&lt;&gt;0,1,0),"-")</f>
        <v>0</v>
      </c>
      <c r="L307">
        <f>IFERROR(IF(VLOOKUP($H307,'BASE DATOS'!$BN$2:$BX$40,4,FALSE)&lt;&gt;0,1,0),"-")</f>
        <v>0</v>
      </c>
      <c r="M307">
        <f>IFERROR(IF(VLOOKUP($H307,'BASE DATOS'!$BN$2:$BX$40,5,FALSE)&lt;&gt;0,1,0),"-")</f>
        <v>0</v>
      </c>
      <c r="N307">
        <f>IFERROR(IF(VLOOKUP($H307,'BASE DATOS'!$BN$2:$BX$40,6,FALSE)&lt;&gt;0,1,0),"-")</f>
        <v>1</v>
      </c>
      <c r="O307">
        <f>IFERROR(IF(VLOOKUP($H307,'BASE DATOS'!$BN$2:$BX$40,7,FALSE)&lt;&gt;0,1,0),"-")</f>
        <v>1</v>
      </c>
      <c r="P307">
        <f>IFERROR(IF(VLOOKUP($H307,'BASE DATOS'!$BN$2:$BX$40,8,FALSE)&lt;&gt;0,1,0),"-")</f>
        <v>0</v>
      </c>
      <c r="Q307">
        <f>IFERROR(IF(VLOOKUP($H307,'BASE DATOS'!$BN$2:$BX$40,9,FALSE)&lt;&gt;0,1,0),"-")</f>
        <v>0</v>
      </c>
      <c r="R307">
        <f>IFERROR(IF(VLOOKUP($H307,'BASE DATOS'!$BN$2:$BX$40,10,FALSE)&lt;&gt;0,1,0),"-")</f>
        <v>0</v>
      </c>
      <c r="S307">
        <f>IFERROR(IF(VLOOKUP($H307,'BASE DATOS'!$BN$2:$BX$40,11,FALSE)&lt;&gt;0,1,0),"-")</f>
        <v>0</v>
      </c>
    </row>
    <row r="308" spans="1:19" ht="15" customHeight="1">
      <c r="A308" s="786">
        <f t="shared" si="27"/>
        <v>46</v>
      </c>
      <c r="B308" s="786" t="str">
        <f t="shared" si="28"/>
        <v>TM</v>
      </c>
      <c r="C308" s="786">
        <f t="shared" si="29"/>
        <v>0</v>
      </c>
      <c r="D308" s="786" t="str">
        <f t="shared" si="30"/>
        <v>NO</v>
      </c>
      <c r="E308" s="38">
        <v>45972</v>
      </c>
      <c r="F308" s="614">
        <v>0.66666666666666663</v>
      </c>
      <c r="G308" s="614" t="str">
        <f>IFERROR(VLOOKUP(H308,'BASE DATOS'!$BN$2:$BO$40,2,FALSE),"FD")</f>
        <v>PRIMER PISO</v>
      </c>
      <c r="H308" t="s">
        <v>1223</v>
      </c>
      <c r="I308" t="s">
        <v>970</v>
      </c>
      <c r="J308" t="s">
        <v>1513</v>
      </c>
      <c r="K308">
        <f>IFERROR(IF(VLOOKUP($H308,'BASE DATOS'!$BN$2:$BX$40,3,FALSE)&lt;&gt;0,1,0),"-")</f>
        <v>0</v>
      </c>
      <c r="L308">
        <f>IFERROR(IF(VLOOKUP($H308,'BASE DATOS'!$BN$2:$BX$40,4,FALSE)&lt;&gt;0,1,0),"-")</f>
        <v>0</v>
      </c>
      <c r="M308">
        <f>IFERROR(IF(VLOOKUP($H308,'BASE DATOS'!$BN$2:$BX$40,5,FALSE)&lt;&gt;0,1,0),"-")</f>
        <v>0</v>
      </c>
      <c r="N308">
        <f>IFERROR(IF(VLOOKUP($H308,'BASE DATOS'!$BN$2:$BX$40,6,FALSE)&lt;&gt;0,1,0),"-")</f>
        <v>1</v>
      </c>
      <c r="O308">
        <f>IFERROR(IF(VLOOKUP($H308,'BASE DATOS'!$BN$2:$BX$40,7,FALSE)&lt;&gt;0,1,0),"-")</f>
        <v>1</v>
      </c>
      <c r="P308">
        <f>IFERROR(IF(VLOOKUP($H308,'BASE DATOS'!$BN$2:$BX$40,8,FALSE)&lt;&gt;0,1,0),"-")</f>
        <v>0</v>
      </c>
      <c r="Q308">
        <f>IFERROR(IF(VLOOKUP($H308,'BASE DATOS'!$BN$2:$BX$40,9,FALSE)&lt;&gt;0,1,0),"-")</f>
        <v>0</v>
      </c>
      <c r="R308">
        <f>IFERROR(IF(VLOOKUP($H308,'BASE DATOS'!$BN$2:$BX$40,10,FALSE)&lt;&gt;0,1,0),"-")</f>
        <v>0</v>
      </c>
      <c r="S308">
        <f>IFERROR(IF(VLOOKUP($H308,'BASE DATOS'!$BN$2:$BX$40,11,FALSE)&lt;&gt;0,1,0),"-")</f>
        <v>0</v>
      </c>
    </row>
    <row r="309" spans="1:19" ht="15" customHeight="1">
      <c r="A309" s="786">
        <f t="shared" si="27"/>
        <v>46</v>
      </c>
      <c r="B309" s="786" t="str">
        <f t="shared" si="28"/>
        <v>TT</v>
      </c>
      <c r="C309" s="786">
        <f t="shared" si="29"/>
        <v>1</v>
      </c>
      <c r="D309" s="786" t="str">
        <f t="shared" si="30"/>
        <v>SI</v>
      </c>
      <c r="E309" s="38">
        <v>45972</v>
      </c>
      <c r="F309" s="614">
        <v>0.85416666666666663</v>
      </c>
      <c r="G309" s="614" t="str">
        <f>IFERROR(VLOOKUP(H309,'BASE DATOS'!$BN$2:$BO$40,2,FALSE),"FD")</f>
        <v>PLANTA BAJA</v>
      </c>
      <c r="H309" t="s">
        <v>1228</v>
      </c>
      <c r="I309" t="s">
        <v>1210</v>
      </c>
      <c r="J309" t="s">
        <v>1514</v>
      </c>
      <c r="K309">
        <f>IFERROR(IF(VLOOKUP($H309,'BASE DATOS'!$BN$2:$BX$40,3,FALSE)&lt;&gt;0,1,0),"-")</f>
        <v>1</v>
      </c>
      <c r="L309">
        <f>IFERROR(IF(VLOOKUP($H309,'BASE DATOS'!$BN$2:$BX$40,4,FALSE)&lt;&gt;0,1,0),"-")</f>
        <v>1</v>
      </c>
      <c r="M309">
        <f>IFERROR(IF(VLOOKUP($H309,'BASE DATOS'!$BN$2:$BX$40,5,FALSE)&lt;&gt;0,1,0),"-")</f>
        <v>1</v>
      </c>
      <c r="N309">
        <f>IFERROR(IF(VLOOKUP($H309,'BASE DATOS'!$BN$2:$BX$40,6,FALSE)&lt;&gt;0,1,0),"-")</f>
        <v>1</v>
      </c>
      <c r="O309">
        <f>IFERROR(IF(VLOOKUP($H309,'BASE DATOS'!$BN$2:$BX$40,7,FALSE)&lt;&gt;0,1,0),"-")</f>
        <v>1</v>
      </c>
      <c r="P309">
        <f>IFERROR(IF(VLOOKUP($H309,'BASE DATOS'!$BN$2:$BX$40,8,FALSE)&lt;&gt;0,1,0),"-")</f>
        <v>1</v>
      </c>
      <c r="Q309">
        <f>IFERROR(IF(VLOOKUP($H309,'BASE DATOS'!$BN$2:$BX$40,9,FALSE)&lt;&gt;0,1,0),"-")</f>
        <v>1</v>
      </c>
      <c r="R309">
        <f>IFERROR(IF(VLOOKUP($H309,'BASE DATOS'!$BN$2:$BX$40,10,FALSE)&lt;&gt;0,1,0),"-")</f>
        <v>1</v>
      </c>
      <c r="S309">
        <f>IFERROR(IF(VLOOKUP($H309,'BASE DATOS'!$BN$2:$BX$40,11,FALSE)&lt;&gt;0,1,0),"-")</f>
        <v>1</v>
      </c>
    </row>
    <row r="310" spans="1:19" ht="15" customHeight="1">
      <c r="A310" s="786">
        <f t="shared" si="27"/>
        <v>46</v>
      </c>
      <c r="B310" s="786" t="str">
        <f t="shared" si="28"/>
        <v>TT</v>
      </c>
      <c r="C310" s="786">
        <f t="shared" si="29"/>
        <v>0</v>
      </c>
      <c r="D310" s="786" t="str">
        <f t="shared" si="30"/>
        <v>SI</v>
      </c>
      <c r="E310" s="38">
        <v>45972</v>
      </c>
      <c r="F310" s="614">
        <v>0.85416666666666663</v>
      </c>
      <c r="G310" s="614" t="str">
        <f>IFERROR(VLOOKUP(H310,'BASE DATOS'!$BN$2:$BO$40,2,FALSE),"FD")</f>
        <v>PLANTA BAJA</v>
      </c>
      <c r="H310" t="s">
        <v>1228</v>
      </c>
      <c r="I310" t="s">
        <v>1207</v>
      </c>
      <c r="J310" t="s">
        <v>1515</v>
      </c>
      <c r="K310">
        <f>IFERROR(IF(VLOOKUP($H310,'BASE DATOS'!$BN$2:$BX$40,3,FALSE)&lt;&gt;0,1,0),"-")</f>
        <v>1</v>
      </c>
      <c r="L310">
        <f>IFERROR(IF(VLOOKUP($H310,'BASE DATOS'!$BN$2:$BX$40,4,FALSE)&lt;&gt;0,1,0),"-")</f>
        <v>1</v>
      </c>
      <c r="M310">
        <f>IFERROR(IF(VLOOKUP($H310,'BASE DATOS'!$BN$2:$BX$40,5,FALSE)&lt;&gt;0,1,0),"-")</f>
        <v>1</v>
      </c>
      <c r="N310">
        <f>IFERROR(IF(VLOOKUP($H310,'BASE DATOS'!$BN$2:$BX$40,6,FALSE)&lt;&gt;0,1,0),"-")</f>
        <v>1</v>
      </c>
      <c r="O310">
        <f>IFERROR(IF(VLOOKUP($H310,'BASE DATOS'!$BN$2:$BX$40,7,FALSE)&lt;&gt;0,1,0),"-")</f>
        <v>1</v>
      </c>
      <c r="P310">
        <f>IFERROR(IF(VLOOKUP($H310,'BASE DATOS'!$BN$2:$BX$40,8,FALSE)&lt;&gt;0,1,0),"-")</f>
        <v>1</v>
      </c>
      <c r="Q310">
        <f>IFERROR(IF(VLOOKUP($H310,'BASE DATOS'!$BN$2:$BX$40,9,FALSE)&lt;&gt;0,1,0),"-")</f>
        <v>1</v>
      </c>
      <c r="R310">
        <f>IFERROR(IF(VLOOKUP($H310,'BASE DATOS'!$BN$2:$BX$40,10,FALSE)&lt;&gt;0,1,0),"-")</f>
        <v>1</v>
      </c>
      <c r="S310">
        <f>IFERROR(IF(VLOOKUP($H310,'BASE DATOS'!$BN$2:$BX$40,11,FALSE)&lt;&gt;0,1,0),"-")</f>
        <v>1</v>
      </c>
    </row>
    <row r="311" spans="1:19" ht="15" customHeight="1">
      <c r="A311" s="786">
        <f t="shared" si="27"/>
        <v>46</v>
      </c>
      <c r="B311" s="786" t="str">
        <f t="shared" si="28"/>
        <v>TT</v>
      </c>
      <c r="C311" s="786">
        <f t="shared" si="29"/>
        <v>0</v>
      </c>
      <c r="D311" s="786" t="str">
        <f t="shared" si="30"/>
        <v>SI</v>
      </c>
      <c r="E311" s="38">
        <v>45972</v>
      </c>
      <c r="F311" s="614">
        <v>0.85416666666666663</v>
      </c>
      <c r="G311" s="614" t="str">
        <f>IFERROR(VLOOKUP(H311,'BASE DATOS'!$BN$2:$BO$40,2,FALSE),"FD")</f>
        <v>PLANTA BAJA</v>
      </c>
      <c r="H311" t="s">
        <v>1258</v>
      </c>
      <c r="I311" t="s">
        <v>1210</v>
      </c>
      <c r="J311" t="s">
        <v>1514</v>
      </c>
      <c r="K311">
        <f>IFERROR(IF(VLOOKUP($H311,'BASE DATOS'!$BN$2:$BX$40,3,FALSE)&lt;&gt;0,1,0),"-")</f>
        <v>1</v>
      </c>
      <c r="L311">
        <f>IFERROR(IF(VLOOKUP($H311,'BASE DATOS'!$BN$2:$BX$40,4,FALSE)&lt;&gt;0,1,0),"-")</f>
        <v>1</v>
      </c>
      <c r="M311">
        <f>IFERROR(IF(VLOOKUP($H311,'BASE DATOS'!$BN$2:$BX$40,5,FALSE)&lt;&gt;0,1,0),"-")</f>
        <v>1</v>
      </c>
      <c r="N311">
        <f>IFERROR(IF(VLOOKUP($H311,'BASE DATOS'!$BN$2:$BX$40,6,FALSE)&lt;&gt;0,1,0),"-")</f>
        <v>1</v>
      </c>
      <c r="O311">
        <f>IFERROR(IF(VLOOKUP($H311,'BASE DATOS'!$BN$2:$BX$40,7,FALSE)&lt;&gt;0,1,0),"-")</f>
        <v>1</v>
      </c>
      <c r="P311">
        <f>IFERROR(IF(VLOOKUP($H311,'BASE DATOS'!$BN$2:$BX$40,8,FALSE)&lt;&gt;0,1,0),"-")</f>
        <v>1</v>
      </c>
      <c r="Q311">
        <f>IFERROR(IF(VLOOKUP($H311,'BASE DATOS'!$BN$2:$BX$40,9,FALSE)&lt;&gt;0,1,0),"-")</f>
        <v>1</v>
      </c>
      <c r="R311">
        <f>IFERROR(IF(VLOOKUP($H311,'BASE DATOS'!$BN$2:$BX$40,10,FALSE)&lt;&gt;0,1,0),"-")</f>
        <v>1</v>
      </c>
      <c r="S311">
        <f>IFERROR(IF(VLOOKUP($H311,'BASE DATOS'!$BN$2:$BX$40,11,FALSE)&lt;&gt;0,1,0),"-")</f>
        <v>1</v>
      </c>
    </row>
    <row r="312" spans="1:19" ht="15" customHeight="1">
      <c r="A312" s="786">
        <f t="shared" si="27"/>
        <v>46</v>
      </c>
      <c r="B312" s="786" t="str">
        <f t="shared" si="28"/>
        <v>TT</v>
      </c>
      <c r="C312" s="786">
        <f t="shared" si="29"/>
        <v>0</v>
      </c>
      <c r="D312" s="786" t="str">
        <f t="shared" si="30"/>
        <v>SI</v>
      </c>
      <c r="E312" s="38">
        <v>45972</v>
      </c>
      <c r="F312" s="614">
        <v>0.85416666666666663</v>
      </c>
      <c r="G312" s="614" t="str">
        <f>IFERROR(VLOOKUP(H312,'BASE DATOS'!$BN$2:$BO$40,2,FALSE),"FD")</f>
        <v>PLANTA BAJA</v>
      </c>
      <c r="H312" t="s">
        <v>1228</v>
      </c>
      <c r="I312" t="s">
        <v>1338</v>
      </c>
      <c r="J312" t="s">
        <v>1516</v>
      </c>
      <c r="K312">
        <f>IFERROR(IF(VLOOKUP($H312,'BASE DATOS'!$BN$2:$BX$40,3,FALSE)&lt;&gt;0,1,0),"-")</f>
        <v>1</v>
      </c>
      <c r="L312">
        <f>IFERROR(IF(VLOOKUP($H312,'BASE DATOS'!$BN$2:$BX$40,4,FALSE)&lt;&gt;0,1,0),"-")</f>
        <v>1</v>
      </c>
      <c r="M312">
        <f>IFERROR(IF(VLOOKUP($H312,'BASE DATOS'!$BN$2:$BX$40,5,FALSE)&lt;&gt;0,1,0),"-")</f>
        <v>1</v>
      </c>
      <c r="N312">
        <f>IFERROR(IF(VLOOKUP($H312,'BASE DATOS'!$BN$2:$BX$40,6,FALSE)&lt;&gt;0,1,0),"-")</f>
        <v>1</v>
      </c>
      <c r="O312">
        <f>IFERROR(IF(VLOOKUP($H312,'BASE DATOS'!$BN$2:$BX$40,7,FALSE)&lt;&gt;0,1,0),"-")</f>
        <v>1</v>
      </c>
      <c r="P312">
        <f>IFERROR(IF(VLOOKUP($H312,'BASE DATOS'!$BN$2:$BX$40,8,FALSE)&lt;&gt;0,1,0),"-")</f>
        <v>1</v>
      </c>
      <c r="Q312">
        <f>IFERROR(IF(VLOOKUP($H312,'BASE DATOS'!$BN$2:$BX$40,9,FALSE)&lt;&gt;0,1,0),"-")</f>
        <v>1</v>
      </c>
      <c r="R312">
        <f>IFERROR(IF(VLOOKUP($H312,'BASE DATOS'!$BN$2:$BX$40,10,FALSE)&lt;&gt;0,1,0),"-")</f>
        <v>1</v>
      </c>
      <c r="S312">
        <f>IFERROR(IF(VLOOKUP($H312,'BASE DATOS'!$BN$2:$BX$40,11,FALSE)&lt;&gt;0,1,0),"-")</f>
        <v>1</v>
      </c>
    </row>
    <row r="313" spans="1:19" ht="15" customHeight="1">
      <c r="A313" s="786">
        <f t="shared" si="27"/>
        <v>46</v>
      </c>
      <c r="B313" s="786" t="str">
        <f t="shared" si="28"/>
        <v>TT</v>
      </c>
      <c r="C313" s="786">
        <f t="shared" si="29"/>
        <v>0</v>
      </c>
      <c r="D313" s="786" t="str">
        <f t="shared" si="30"/>
        <v>NO</v>
      </c>
      <c r="E313" s="38">
        <v>45972</v>
      </c>
      <c r="F313" s="614">
        <v>0.85416666666666663</v>
      </c>
      <c r="G313" s="614" t="str">
        <f>IFERROR(VLOOKUP(H313,'BASE DATOS'!$BN$2:$BO$40,2,FALSE),"FD")</f>
        <v>PLANTA BAJA</v>
      </c>
      <c r="H313" t="s">
        <v>1200</v>
      </c>
      <c r="I313" t="s">
        <v>1210</v>
      </c>
      <c r="J313" t="s">
        <v>1517</v>
      </c>
      <c r="K313">
        <f>IFERROR(IF(VLOOKUP($H313,'BASE DATOS'!$BN$2:$BX$40,3,FALSE)&lt;&gt;0,1,0),"-")</f>
        <v>0</v>
      </c>
      <c r="L313">
        <f>IFERROR(IF(VLOOKUP($H313,'BASE DATOS'!$BN$2:$BX$40,4,FALSE)&lt;&gt;0,1,0),"-")</f>
        <v>1</v>
      </c>
      <c r="M313">
        <f>IFERROR(IF(VLOOKUP($H313,'BASE DATOS'!$BN$2:$BX$40,5,FALSE)&lt;&gt;0,1,0),"-")</f>
        <v>1</v>
      </c>
      <c r="N313">
        <f>IFERROR(IF(VLOOKUP($H313,'BASE DATOS'!$BN$2:$BX$40,6,FALSE)&lt;&gt;0,1,0),"-")</f>
        <v>1</v>
      </c>
      <c r="O313">
        <f>IFERROR(IF(VLOOKUP($H313,'BASE DATOS'!$BN$2:$BX$40,7,FALSE)&lt;&gt;0,1,0),"-")</f>
        <v>1</v>
      </c>
      <c r="P313">
        <f>IFERROR(IF(VLOOKUP($H313,'BASE DATOS'!$BN$2:$BX$40,8,FALSE)&lt;&gt;0,1,0),"-")</f>
        <v>0</v>
      </c>
      <c r="Q313">
        <f>IFERROR(IF(VLOOKUP($H313,'BASE DATOS'!$BN$2:$BX$40,9,FALSE)&lt;&gt;0,1,0),"-")</f>
        <v>0</v>
      </c>
      <c r="R313">
        <f>IFERROR(IF(VLOOKUP($H313,'BASE DATOS'!$BN$2:$BX$40,10,FALSE)&lt;&gt;0,1,0),"-")</f>
        <v>0</v>
      </c>
      <c r="S313">
        <f>IFERROR(IF(VLOOKUP($H313,'BASE DATOS'!$BN$2:$BX$40,11,FALSE)&lt;&gt;0,1,0),"-")</f>
        <v>0</v>
      </c>
    </row>
    <row r="314" spans="1:19" ht="15" customHeight="1">
      <c r="A314" s="786">
        <f t="shared" si="27"/>
        <v>46</v>
      </c>
      <c r="B314" s="786" t="str">
        <f t="shared" si="28"/>
        <v>TT</v>
      </c>
      <c r="C314" s="786">
        <f t="shared" si="29"/>
        <v>0</v>
      </c>
      <c r="D314" s="786" t="str">
        <f t="shared" si="30"/>
        <v>NO</v>
      </c>
      <c r="E314" s="38">
        <v>45972</v>
      </c>
      <c r="F314" s="614">
        <v>0.85416666666666663</v>
      </c>
      <c r="G314" s="614" t="str">
        <f>IFERROR(VLOOKUP(H314,'BASE DATOS'!$BN$2:$BO$40,2,FALSE),"FD")</f>
        <v>PLANTA BAJA</v>
      </c>
      <c r="H314" t="s">
        <v>1200</v>
      </c>
      <c r="I314" t="s">
        <v>1214</v>
      </c>
      <c r="J314" t="s">
        <v>1518</v>
      </c>
      <c r="K314">
        <f>IFERROR(IF(VLOOKUP($H314,'BASE DATOS'!$BN$2:$BX$40,3,FALSE)&lt;&gt;0,1,0),"-")</f>
        <v>0</v>
      </c>
      <c r="L314">
        <f>IFERROR(IF(VLOOKUP($H314,'BASE DATOS'!$BN$2:$BX$40,4,FALSE)&lt;&gt;0,1,0),"-")</f>
        <v>1</v>
      </c>
      <c r="M314">
        <f>IFERROR(IF(VLOOKUP($H314,'BASE DATOS'!$BN$2:$BX$40,5,FALSE)&lt;&gt;0,1,0),"-")</f>
        <v>1</v>
      </c>
      <c r="N314">
        <f>IFERROR(IF(VLOOKUP($H314,'BASE DATOS'!$BN$2:$BX$40,6,FALSE)&lt;&gt;0,1,0),"-")</f>
        <v>1</v>
      </c>
      <c r="O314">
        <f>IFERROR(IF(VLOOKUP($H314,'BASE DATOS'!$BN$2:$BX$40,7,FALSE)&lt;&gt;0,1,0),"-")</f>
        <v>1</v>
      </c>
      <c r="P314">
        <f>IFERROR(IF(VLOOKUP($H314,'BASE DATOS'!$BN$2:$BX$40,8,FALSE)&lt;&gt;0,1,0),"-")</f>
        <v>0</v>
      </c>
      <c r="Q314">
        <f>IFERROR(IF(VLOOKUP($H314,'BASE DATOS'!$BN$2:$BX$40,9,FALSE)&lt;&gt;0,1,0),"-")</f>
        <v>0</v>
      </c>
      <c r="R314">
        <f>IFERROR(IF(VLOOKUP($H314,'BASE DATOS'!$BN$2:$BX$40,10,FALSE)&lt;&gt;0,1,0),"-")</f>
        <v>0</v>
      </c>
      <c r="S314">
        <f>IFERROR(IF(VLOOKUP($H314,'BASE DATOS'!$BN$2:$BX$40,11,FALSE)&lt;&gt;0,1,0),"-")</f>
        <v>0</v>
      </c>
    </row>
    <row r="315" spans="1:19" ht="15" customHeight="1">
      <c r="A315" s="786">
        <f t="shared" si="27"/>
        <v>46</v>
      </c>
      <c r="B315" s="786" t="str">
        <f t="shared" si="28"/>
        <v>TT</v>
      </c>
      <c r="C315" s="786">
        <f t="shared" si="29"/>
        <v>0</v>
      </c>
      <c r="D315" s="786" t="str">
        <f t="shared" si="30"/>
        <v>NO</v>
      </c>
      <c r="E315" s="38">
        <v>45972</v>
      </c>
      <c r="F315" s="614">
        <v>0.85416666666666663</v>
      </c>
      <c r="G315" s="614" t="str">
        <f>IFERROR(VLOOKUP(H315,'BASE DATOS'!$BN$2:$BO$40,2,FALSE),"FD")</f>
        <v>PLANTA BAJA</v>
      </c>
      <c r="H315" t="s">
        <v>1215</v>
      </c>
      <c r="I315" t="s">
        <v>1210</v>
      </c>
      <c r="J315" t="s">
        <v>1519</v>
      </c>
      <c r="K315">
        <f>IFERROR(IF(VLOOKUP($H315,'BASE DATOS'!$BN$2:$BX$40,3,FALSE)&lt;&gt;0,1,0),"-")</f>
        <v>1</v>
      </c>
      <c r="L315">
        <f>IFERROR(IF(VLOOKUP($H315,'BASE DATOS'!$BN$2:$BX$40,4,FALSE)&lt;&gt;0,1,0),"-")</f>
        <v>1</v>
      </c>
      <c r="M315">
        <f>IFERROR(IF(VLOOKUP($H315,'BASE DATOS'!$BN$2:$BX$40,5,FALSE)&lt;&gt;0,1,0),"-")</f>
        <v>1</v>
      </c>
      <c r="N315">
        <f>IFERROR(IF(VLOOKUP($H315,'BASE DATOS'!$BN$2:$BX$40,6,FALSE)&lt;&gt;0,1,0),"-")</f>
        <v>0</v>
      </c>
      <c r="O315">
        <f>IFERROR(IF(VLOOKUP($H315,'BASE DATOS'!$BN$2:$BX$40,7,FALSE)&lt;&gt;0,1,0),"-")</f>
        <v>0</v>
      </c>
      <c r="P315">
        <f>IFERROR(IF(VLOOKUP($H315,'BASE DATOS'!$BN$2:$BX$40,8,FALSE)&lt;&gt;0,1,0),"-")</f>
        <v>0</v>
      </c>
      <c r="Q315">
        <f>IFERROR(IF(VLOOKUP($H315,'BASE DATOS'!$BN$2:$BX$40,9,FALSE)&lt;&gt;0,1,0),"-")</f>
        <v>0</v>
      </c>
      <c r="R315">
        <f>IFERROR(IF(VLOOKUP($H315,'BASE DATOS'!$BN$2:$BX$40,10,FALSE)&lt;&gt;0,1,0),"-")</f>
        <v>0</v>
      </c>
      <c r="S315">
        <f>IFERROR(IF(VLOOKUP($H315,'BASE DATOS'!$BN$2:$BX$40,11,FALSE)&lt;&gt;0,1,0),"-")</f>
        <v>0</v>
      </c>
    </row>
    <row r="316" spans="1:19" ht="15" customHeight="1">
      <c r="A316" s="786">
        <f t="shared" si="27"/>
        <v>46</v>
      </c>
      <c r="B316" s="786" t="str">
        <f t="shared" si="28"/>
        <v>TT</v>
      </c>
      <c r="C316" s="786">
        <f t="shared" si="29"/>
        <v>0</v>
      </c>
      <c r="D316" s="786" t="str">
        <f t="shared" si="30"/>
        <v>NO</v>
      </c>
      <c r="E316" s="38">
        <v>45972</v>
      </c>
      <c r="F316" s="614">
        <v>0.85416666666666663</v>
      </c>
      <c r="G316" s="614" t="str">
        <f>IFERROR(VLOOKUP(H316,'BASE DATOS'!$BN$2:$BO$40,2,FALSE),"FD")</f>
        <v>PLANTA BAJA</v>
      </c>
      <c r="H316" t="s">
        <v>1202</v>
      </c>
      <c r="I316" t="s">
        <v>1214</v>
      </c>
      <c r="J316" t="s">
        <v>1520</v>
      </c>
      <c r="K316">
        <f>IFERROR(IF(VLOOKUP($H316,'BASE DATOS'!$BN$2:$BX$40,3,FALSE)&lt;&gt;0,1,0),"-")</f>
        <v>0</v>
      </c>
      <c r="L316">
        <f>IFERROR(IF(VLOOKUP($H316,'BASE DATOS'!$BN$2:$BX$40,4,FALSE)&lt;&gt;0,1,0),"-")</f>
        <v>1</v>
      </c>
      <c r="M316">
        <f>IFERROR(IF(VLOOKUP($H316,'BASE DATOS'!$BN$2:$BX$40,5,FALSE)&lt;&gt;0,1,0),"-")</f>
        <v>1</v>
      </c>
      <c r="N316">
        <f>IFERROR(IF(VLOOKUP($H316,'BASE DATOS'!$BN$2:$BX$40,6,FALSE)&lt;&gt;0,1,0),"-")</f>
        <v>1</v>
      </c>
      <c r="O316">
        <f>IFERROR(IF(VLOOKUP($H316,'BASE DATOS'!$BN$2:$BX$40,7,FALSE)&lt;&gt;0,1,0),"-")</f>
        <v>1</v>
      </c>
      <c r="P316">
        <f>IFERROR(IF(VLOOKUP($H316,'BASE DATOS'!$BN$2:$BX$40,8,FALSE)&lt;&gt;0,1,0),"-")</f>
        <v>0</v>
      </c>
      <c r="Q316">
        <f>IFERROR(IF(VLOOKUP($H316,'BASE DATOS'!$BN$2:$BX$40,9,FALSE)&lt;&gt;0,1,0),"-")</f>
        <v>0</v>
      </c>
      <c r="R316">
        <f>IFERROR(IF(VLOOKUP($H316,'BASE DATOS'!$BN$2:$BX$40,10,FALSE)&lt;&gt;0,1,0),"-")</f>
        <v>0</v>
      </c>
      <c r="S316">
        <f>IFERROR(IF(VLOOKUP($H316,'BASE DATOS'!$BN$2:$BX$40,11,FALSE)&lt;&gt;0,1,0),"-")</f>
        <v>0</v>
      </c>
    </row>
    <row r="317" spans="1:19" ht="15" customHeight="1">
      <c r="A317" s="786" t="str">
        <f t="shared" si="27"/>
        <v>FD</v>
      </c>
      <c r="B317" s="786" t="str">
        <f t="shared" si="28"/>
        <v>FD</v>
      </c>
      <c r="C317" s="786">
        <f t="shared" si="29"/>
        <v>1</v>
      </c>
      <c r="D317" s="786" t="str">
        <f t="shared" si="30"/>
        <v>NO</v>
      </c>
      <c r="G317" s="614" t="str">
        <f>IFERROR(VLOOKUP(H317,'BASE DATOS'!$BN$2:$BO$40,2,FALSE),"FD")</f>
        <v>FD</v>
      </c>
      <c r="K317" t="str">
        <f>IFERROR(IF(VLOOKUP($H317,'BASE DATOS'!$BN$2:$BX$40,3,FALSE)&lt;&gt;0,1,0),"-")</f>
        <v>-</v>
      </c>
      <c r="L317" t="str">
        <f>IFERROR(IF(VLOOKUP($H317,'BASE DATOS'!$BN$2:$BX$40,4,FALSE)&lt;&gt;0,1,0),"-")</f>
        <v>-</v>
      </c>
      <c r="M317" t="str">
        <f>IFERROR(IF(VLOOKUP($H317,'BASE DATOS'!$BN$2:$BX$40,5,FALSE)&lt;&gt;0,1,0),"-")</f>
        <v>-</v>
      </c>
      <c r="N317" t="str">
        <f>IFERROR(IF(VLOOKUP($H317,'BASE DATOS'!$BN$2:$BX$40,6,FALSE)&lt;&gt;0,1,0),"-")</f>
        <v>-</v>
      </c>
      <c r="O317" t="str">
        <f>IFERROR(IF(VLOOKUP($H317,'BASE DATOS'!$BN$2:$BX$40,7,FALSE)&lt;&gt;0,1,0),"-")</f>
        <v>-</v>
      </c>
      <c r="P317" t="str">
        <f>IFERROR(IF(VLOOKUP($H317,'BASE DATOS'!$BN$2:$BX$40,8,FALSE)&lt;&gt;0,1,0),"-")</f>
        <v>-</v>
      </c>
      <c r="Q317" t="str">
        <f>IFERROR(IF(VLOOKUP($H317,'BASE DATOS'!$BN$2:$BX$40,9,FALSE)&lt;&gt;0,1,0),"-")</f>
        <v>-</v>
      </c>
      <c r="R317" t="str">
        <f>IFERROR(IF(VLOOKUP($H317,'BASE DATOS'!$BN$2:$BX$40,10,FALSE)&lt;&gt;0,1,0),"-")</f>
        <v>-</v>
      </c>
      <c r="S317" t="str">
        <f>IFERROR(IF(VLOOKUP($H317,'BASE DATOS'!$BN$2:$BX$40,11,FALSE)&lt;&gt;0,1,0),"-")</f>
        <v>-</v>
      </c>
    </row>
    <row r="318" spans="1:19" ht="15" customHeight="1">
      <c r="A318" s="786" t="str">
        <f t="shared" si="27"/>
        <v>FD</v>
      </c>
      <c r="B318" s="786" t="str">
        <f t="shared" si="28"/>
        <v>FD</v>
      </c>
      <c r="C318" s="786">
        <f t="shared" si="29"/>
        <v>0</v>
      </c>
      <c r="D318" s="786" t="str">
        <f t="shared" si="30"/>
        <v>NO</v>
      </c>
      <c r="G318" s="614" t="str">
        <f>IFERROR(VLOOKUP(H318,'BASE DATOS'!$BN$2:$BO$40,2,FALSE),"FD")</f>
        <v>FD</v>
      </c>
      <c r="K318" t="str">
        <f>IFERROR(IF(VLOOKUP($H318,'BASE DATOS'!$BN$2:$BX$40,3,FALSE)&lt;&gt;0,1,0),"-")</f>
        <v>-</v>
      </c>
      <c r="L318" t="str">
        <f>IFERROR(IF(VLOOKUP($H318,'BASE DATOS'!$BN$2:$BX$40,4,FALSE)&lt;&gt;0,1,0),"-")</f>
        <v>-</v>
      </c>
      <c r="M318" t="str">
        <f>IFERROR(IF(VLOOKUP($H318,'BASE DATOS'!$BN$2:$BX$40,5,FALSE)&lt;&gt;0,1,0),"-")</f>
        <v>-</v>
      </c>
      <c r="N318" t="str">
        <f>IFERROR(IF(VLOOKUP($H318,'BASE DATOS'!$BN$2:$BX$40,6,FALSE)&lt;&gt;0,1,0),"-")</f>
        <v>-</v>
      </c>
      <c r="O318" t="str">
        <f>IFERROR(IF(VLOOKUP($H318,'BASE DATOS'!$BN$2:$BX$40,7,FALSE)&lt;&gt;0,1,0),"-")</f>
        <v>-</v>
      </c>
      <c r="P318" t="str">
        <f>IFERROR(IF(VLOOKUP($H318,'BASE DATOS'!$BN$2:$BX$40,8,FALSE)&lt;&gt;0,1,0),"-")</f>
        <v>-</v>
      </c>
      <c r="Q318" t="str">
        <f>IFERROR(IF(VLOOKUP($H318,'BASE DATOS'!$BN$2:$BX$40,9,FALSE)&lt;&gt;0,1,0),"-")</f>
        <v>-</v>
      </c>
      <c r="R318" t="str">
        <f>IFERROR(IF(VLOOKUP($H318,'BASE DATOS'!$BN$2:$BX$40,10,FALSE)&lt;&gt;0,1,0),"-")</f>
        <v>-</v>
      </c>
      <c r="S318" t="str">
        <f>IFERROR(IF(VLOOKUP($H318,'BASE DATOS'!$BN$2:$BX$40,11,FALSE)&lt;&gt;0,1,0),"-")</f>
        <v>-</v>
      </c>
    </row>
    <row r="319" spans="1:19" ht="15" customHeight="1">
      <c r="A319" s="786" t="str">
        <f t="shared" si="27"/>
        <v>FD</v>
      </c>
      <c r="B319" s="786" t="str">
        <f t="shared" si="28"/>
        <v>FD</v>
      </c>
      <c r="C319" s="786">
        <f t="shared" si="29"/>
        <v>0</v>
      </c>
      <c r="D319" s="786" t="str">
        <f t="shared" si="30"/>
        <v>NO</v>
      </c>
      <c r="G319" s="614" t="str">
        <f>IFERROR(VLOOKUP(H319,'BASE DATOS'!$BN$2:$BO$40,2,FALSE),"FD")</f>
        <v>FD</v>
      </c>
      <c r="K319" t="str">
        <f>IFERROR(IF(VLOOKUP($H319,'BASE DATOS'!$BN$2:$BX$40,3,FALSE)&lt;&gt;0,1,0),"-")</f>
        <v>-</v>
      </c>
      <c r="L319" t="str">
        <f>IFERROR(IF(VLOOKUP($H319,'BASE DATOS'!$BN$2:$BX$40,4,FALSE)&lt;&gt;0,1,0),"-")</f>
        <v>-</v>
      </c>
      <c r="M319" t="str">
        <f>IFERROR(IF(VLOOKUP($H319,'BASE DATOS'!$BN$2:$BX$40,5,FALSE)&lt;&gt;0,1,0),"-")</f>
        <v>-</v>
      </c>
      <c r="N319" t="str">
        <f>IFERROR(IF(VLOOKUP($H319,'BASE DATOS'!$BN$2:$BX$40,6,FALSE)&lt;&gt;0,1,0),"-")</f>
        <v>-</v>
      </c>
      <c r="O319" t="str">
        <f>IFERROR(IF(VLOOKUP($H319,'BASE DATOS'!$BN$2:$BX$40,7,FALSE)&lt;&gt;0,1,0),"-")</f>
        <v>-</v>
      </c>
      <c r="P319" t="str">
        <f>IFERROR(IF(VLOOKUP($H319,'BASE DATOS'!$BN$2:$BX$40,8,FALSE)&lt;&gt;0,1,0),"-")</f>
        <v>-</v>
      </c>
      <c r="Q319" t="str">
        <f>IFERROR(IF(VLOOKUP($H319,'BASE DATOS'!$BN$2:$BX$40,9,FALSE)&lt;&gt;0,1,0),"-")</f>
        <v>-</v>
      </c>
      <c r="R319" t="str">
        <f>IFERROR(IF(VLOOKUP($H319,'BASE DATOS'!$BN$2:$BX$40,10,FALSE)&lt;&gt;0,1,0),"-")</f>
        <v>-</v>
      </c>
      <c r="S319" t="str">
        <f>IFERROR(IF(VLOOKUP($H319,'BASE DATOS'!$BN$2:$BX$40,11,FALSE)&lt;&gt;0,1,0),"-")</f>
        <v>-</v>
      </c>
    </row>
    <row r="320" spans="1:19" ht="15" customHeight="1">
      <c r="A320" s="786" t="str">
        <f t="shared" si="27"/>
        <v>FD</v>
      </c>
      <c r="B320" s="786" t="str">
        <f t="shared" si="28"/>
        <v>FD</v>
      </c>
      <c r="C320" s="786">
        <f t="shared" si="29"/>
        <v>0</v>
      </c>
      <c r="D320" s="786" t="str">
        <f t="shared" si="30"/>
        <v>NO</v>
      </c>
      <c r="G320" s="614" t="str">
        <f>IFERROR(VLOOKUP(H320,'BASE DATOS'!$BN$2:$BO$40,2,FALSE),"FD")</f>
        <v>FD</v>
      </c>
      <c r="K320" t="str">
        <f>IFERROR(IF(VLOOKUP($H320,'BASE DATOS'!$BN$2:$BX$40,3,FALSE)&lt;&gt;0,1,0),"-")</f>
        <v>-</v>
      </c>
      <c r="L320" t="str">
        <f>IFERROR(IF(VLOOKUP($H320,'BASE DATOS'!$BN$2:$BX$40,4,FALSE)&lt;&gt;0,1,0),"-")</f>
        <v>-</v>
      </c>
      <c r="M320" t="str">
        <f>IFERROR(IF(VLOOKUP($H320,'BASE DATOS'!$BN$2:$BX$40,5,FALSE)&lt;&gt;0,1,0),"-")</f>
        <v>-</v>
      </c>
      <c r="N320" t="str">
        <f>IFERROR(IF(VLOOKUP($H320,'BASE DATOS'!$BN$2:$BX$40,6,FALSE)&lt;&gt;0,1,0),"-")</f>
        <v>-</v>
      </c>
      <c r="O320" t="str">
        <f>IFERROR(IF(VLOOKUP($H320,'BASE DATOS'!$BN$2:$BX$40,7,FALSE)&lt;&gt;0,1,0),"-")</f>
        <v>-</v>
      </c>
      <c r="P320" t="str">
        <f>IFERROR(IF(VLOOKUP($H320,'BASE DATOS'!$BN$2:$BX$40,8,FALSE)&lt;&gt;0,1,0),"-")</f>
        <v>-</v>
      </c>
      <c r="Q320" t="str">
        <f>IFERROR(IF(VLOOKUP($H320,'BASE DATOS'!$BN$2:$BX$40,9,FALSE)&lt;&gt;0,1,0),"-")</f>
        <v>-</v>
      </c>
      <c r="R320" t="str">
        <f>IFERROR(IF(VLOOKUP($H320,'BASE DATOS'!$BN$2:$BX$40,10,FALSE)&lt;&gt;0,1,0),"-")</f>
        <v>-</v>
      </c>
      <c r="S320" t="str">
        <f>IFERROR(IF(VLOOKUP($H320,'BASE DATOS'!$BN$2:$BX$40,11,FALSE)&lt;&gt;0,1,0),"-")</f>
        <v>-</v>
      </c>
    </row>
    <row r="321" spans="1:19" ht="15" customHeight="1">
      <c r="A321" s="786" t="str">
        <f t="shared" si="27"/>
        <v>FD</v>
      </c>
      <c r="B321" s="786" t="str">
        <f t="shared" si="28"/>
        <v>FD</v>
      </c>
      <c r="C321" s="786">
        <f t="shared" si="29"/>
        <v>0</v>
      </c>
      <c r="D321" s="786" t="str">
        <f t="shared" si="30"/>
        <v>NO</v>
      </c>
      <c r="G321" s="614" t="str">
        <f>IFERROR(VLOOKUP(H321,'BASE DATOS'!$BN$2:$BO$40,2,FALSE),"FD")</f>
        <v>FD</v>
      </c>
      <c r="K321" t="str">
        <f>IFERROR(IF(VLOOKUP($H321,'BASE DATOS'!$BN$2:$BX$40,3,FALSE)&lt;&gt;0,1,0),"-")</f>
        <v>-</v>
      </c>
      <c r="L321" t="str">
        <f>IFERROR(IF(VLOOKUP($H321,'BASE DATOS'!$BN$2:$BX$40,4,FALSE)&lt;&gt;0,1,0),"-")</f>
        <v>-</v>
      </c>
      <c r="M321" t="str">
        <f>IFERROR(IF(VLOOKUP($H321,'BASE DATOS'!$BN$2:$BX$40,5,FALSE)&lt;&gt;0,1,0),"-")</f>
        <v>-</v>
      </c>
      <c r="N321" t="str">
        <f>IFERROR(IF(VLOOKUP($H321,'BASE DATOS'!$BN$2:$BX$40,6,FALSE)&lt;&gt;0,1,0),"-")</f>
        <v>-</v>
      </c>
      <c r="O321" t="str">
        <f>IFERROR(IF(VLOOKUP($H321,'BASE DATOS'!$BN$2:$BX$40,7,FALSE)&lt;&gt;0,1,0),"-")</f>
        <v>-</v>
      </c>
      <c r="P321" t="str">
        <f>IFERROR(IF(VLOOKUP($H321,'BASE DATOS'!$BN$2:$BX$40,8,FALSE)&lt;&gt;0,1,0),"-")</f>
        <v>-</v>
      </c>
      <c r="Q321" t="str">
        <f>IFERROR(IF(VLOOKUP($H321,'BASE DATOS'!$BN$2:$BX$40,9,FALSE)&lt;&gt;0,1,0),"-")</f>
        <v>-</v>
      </c>
      <c r="R321" t="str">
        <f>IFERROR(IF(VLOOKUP($H321,'BASE DATOS'!$BN$2:$BX$40,10,FALSE)&lt;&gt;0,1,0),"-")</f>
        <v>-</v>
      </c>
      <c r="S321" t="str">
        <f>IFERROR(IF(VLOOKUP($H321,'BASE DATOS'!$BN$2:$BX$40,11,FALSE)&lt;&gt;0,1,0),"-")</f>
        <v>-</v>
      </c>
    </row>
    <row r="322" spans="1:19" ht="15" customHeight="1">
      <c r="A322" s="786" t="str">
        <f t="shared" si="27"/>
        <v>FD</v>
      </c>
      <c r="B322" s="786" t="str">
        <f t="shared" si="28"/>
        <v>FD</v>
      </c>
      <c r="C322" s="786">
        <f t="shared" si="29"/>
        <v>0</v>
      </c>
      <c r="D322" s="786" t="str">
        <f t="shared" si="30"/>
        <v>NO</v>
      </c>
      <c r="G322" s="614" t="str">
        <f>IFERROR(VLOOKUP(H322,'BASE DATOS'!$BN$2:$BO$40,2,FALSE),"FD")</f>
        <v>FD</v>
      </c>
      <c r="K322" t="str">
        <f>IFERROR(IF(VLOOKUP($H322,'BASE DATOS'!$BN$2:$BX$40,3,FALSE)&lt;&gt;0,1,0),"-")</f>
        <v>-</v>
      </c>
      <c r="L322" t="str">
        <f>IFERROR(IF(VLOOKUP($H322,'BASE DATOS'!$BN$2:$BX$40,4,FALSE)&lt;&gt;0,1,0),"-")</f>
        <v>-</v>
      </c>
      <c r="M322" t="str">
        <f>IFERROR(IF(VLOOKUP($H322,'BASE DATOS'!$BN$2:$BX$40,5,FALSE)&lt;&gt;0,1,0),"-")</f>
        <v>-</v>
      </c>
      <c r="N322" t="str">
        <f>IFERROR(IF(VLOOKUP($H322,'BASE DATOS'!$BN$2:$BX$40,6,FALSE)&lt;&gt;0,1,0),"-")</f>
        <v>-</v>
      </c>
      <c r="O322" t="str">
        <f>IFERROR(IF(VLOOKUP($H322,'BASE DATOS'!$BN$2:$BX$40,7,FALSE)&lt;&gt;0,1,0),"-")</f>
        <v>-</v>
      </c>
      <c r="P322" t="str">
        <f>IFERROR(IF(VLOOKUP($H322,'BASE DATOS'!$BN$2:$BX$40,8,FALSE)&lt;&gt;0,1,0),"-")</f>
        <v>-</v>
      </c>
      <c r="Q322" t="str">
        <f>IFERROR(IF(VLOOKUP($H322,'BASE DATOS'!$BN$2:$BX$40,9,FALSE)&lt;&gt;0,1,0),"-")</f>
        <v>-</v>
      </c>
      <c r="R322" t="str">
        <f>IFERROR(IF(VLOOKUP($H322,'BASE DATOS'!$BN$2:$BX$40,10,FALSE)&lt;&gt;0,1,0),"-")</f>
        <v>-</v>
      </c>
      <c r="S322" t="str">
        <f>IFERROR(IF(VLOOKUP($H322,'BASE DATOS'!$BN$2:$BX$40,11,FALSE)&lt;&gt;0,1,0),"-")</f>
        <v>-</v>
      </c>
    </row>
    <row r="323" spans="1:19" ht="15" customHeight="1">
      <c r="A323" s="786" t="str">
        <f t="shared" si="27"/>
        <v>FD</v>
      </c>
      <c r="B323" s="786" t="str">
        <f t="shared" si="28"/>
        <v>FD</v>
      </c>
      <c r="C323" s="786">
        <f t="shared" si="29"/>
        <v>0</v>
      </c>
      <c r="D323" s="786" t="str">
        <f t="shared" si="30"/>
        <v>NO</v>
      </c>
      <c r="G323" s="614" t="str">
        <f>IFERROR(VLOOKUP(H323,'BASE DATOS'!$BN$2:$BO$40,2,FALSE),"FD")</f>
        <v>FD</v>
      </c>
      <c r="K323" t="str">
        <f>IFERROR(IF(VLOOKUP($H323,'BASE DATOS'!$BN$2:$BX$40,3,FALSE)&lt;&gt;0,1,0),"-")</f>
        <v>-</v>
      </c>
      <c r="L323" t="str">
        <f>IFERROR(IF(VLOOKUP($H323,'BASE DATOS'!$BN$2:$BX$40,4,FALSE)&lt;&gt;0,1,0),"-")</f>
        <v>-</v>
      </c>
      <c r="M323" t="str">
        <f>IFERROR(IF(VLOOKUP($H323,'BASE DATOS'!$BN$2:$BX$40,5,FALSE)&lt;&gt;0,1,0),"-")</f>
        <v>-</v>
      </c>
      <c r="N323" t="str">
        <f>IFERROR(IF(VLOOKUP($H323,'BASE DATOS'!$BN$2:$BX$40,6,FALSE)&lt;&gt;0,1,0),"-")</f>
        <v>-</v>
      </c>
      <c r="O323" t="str">
        <f>IFERROR(IF(VLOOKUP($H323,'BASE DATOS'!$BN$2:$BX$40,7,FALSE)&lt;&gt;0,1,0),"-")</f>
        <v>-</v>
      </c>
      <c r="P323" t="str">
        <f>IFERROR(IF(VLOOKUP($H323,'BASE DATOS'!$BN$2:$BX$40,8,FALSE)&lt;&gt;0,1,0),"-")</f>
        <v>-</v>
      </c>
      <c r="Q323" t="str">
        <f>IFERROR(IF(VLOOKUP($H323,'BASE DATOS'!$BN$2:$BX$40,9,FALSE)&lt;&gt;0,1,0),"-")</f>
        <v>-</v>
      </c>
      <c r="R323" t="str">
        <f>IFERROR(IF(VLOOKUP($H323,'BASE DATOS'!$BN$2:$BX$40,10,FALSE)&lt;&gt;0,1,0),"-")</f>
        <v>-</v>
      </c>
      <c r="S323" t="str">
        <f>IFERROR(IF(VLOOKUP($H323,'BASE DATOS'!$BN$2:$BX$40,11,FALSE)&lt;&gt;0,1,0),"-")</f>
        <v>-</v>
      </c>
    </row>
    <row r="324" spans="1:19" ht="15" customHeight="1">
      <c r="A324" s="786" t="str">
        <f t="shared" si="27"/>
        <v>FD</v>
      </c>
      <c r="B324" s="786" t="str">
        <f t="shared" si="28"/>
        <v>FD</v>
      </c>
      <c r="C324" s="786">
        <f t="shared" si="29"/>
        <v>0</v>
      </c>
      <c r="D324" s="786" t="str">
        <f t="shared" si="30"/>
        <v>NO</v>
      </c>
      <c r="G324" s="614" t="str">
        <f>IFERROR(VLOOKUP(H324,'BASE DATOS'!$BN$2:$BO$40,2,FALSE),"FD")</f>
        <v>FD</v>
      </c>
      <c r="K324" t="str">
        <f>IFERROR(IF(VLOOKUP($H324,'BASE DATOS'!$BN$2:$BX$40,3,FALSE)&lt;&gt;0,1,0),"-")</f>
        <v>-</v>
      </c>
      <c r="L324" t="str">
        <f>IFERROR(IF(VLOOKUP($H324,'BASE DATOS'!$BN$2:$BX$40,4,FALSE)&lt;&gt;0,1,0),"-")</f>
        <v>-</v>
      </c>
      <c r="M324" t="str">
        <f>IFERROR(IF(VLOOKUP($H324,'BASE DATOS'!$BN$2:$BX$40,5,FALSE)&lt;&gt;0,1,0),"-")</f>
        <v>-</v>
      </c>
      <c r="N324" t="str">
        <f>IFERROR(IF(VLOOKUP($H324,'BASE DATOS'!$BN$2:$BX$40,6,FALSE)&lt;&gt;0,1,0),"-")</f>
        <v>-</v>
      </c>
      <c r="O324" t="str">
        <f>IFERROR(IF(VLOOKUP($H324,'BASE DATOS'!$BN$2:$BX$40,7,FALSE)&lt;&gt;0,1,0),"-")</f>
        <v>-</v>
      </c>
      <c r="P324" t="str">
        <f>IFERROR(IF(VLOOKUP($H324,'BASE DATOS'!$BN$2:$BX$40,8,FALSE)&lt;&gt;0,1,0),"-")</f>
        <v>-</v>
      </c>
      <c r="Q324" t="str">
        <f>IFERROR(IF(VLOOKUP($H324,'BASE DATOS'!$BN$2:$BX$40,9,FALSE)&lt;&gt;0,1,0),"-")</f>
        <v>-</v>
      </c>
      <c r="R324" t="str">
        <f>IFERROR(IF(VLOOKUP($H324,'BASE DATOS'!$BN$2:$BX$40,10,FALSE)&lt;&gt;0,1,0),"-")</f>
        <v>-</v>
      </c>
      <c r="S324" t="str">
        <f>IFERROR(IF(VLOOKUP($H324,'BASE DATOS'!$BN$2:$BX$40,11,FALSE)&lt;&gt;0,1,0),"-")</f>
        <v>-</v>
      </c>
    </row>
    <row r="325" spans="1:19" ht="15" customHeight="1">
      <c r="A325" s="786" t="str">
        <f t="shared" si="27"/>
        <v>FD</v>
      </c>
      <c r="B325" s="786" t="str">
        <f t="shared" si="28"/>
        <v>FD</v>
      </c>
      <c r="C325" s="786">
        <f t="shared" si="29"/>
        <v>0</v>
      </c>
      <c r="D325" s="786" t="str">
        <f t="shared" si="30"/>
        <v>NO</v>
      </c>
      <c r="G325" s="614" t="str">
        <f>IFERROR(VLOOKUP(H325,'BASE DATOS'!$BN$2:$BO$40,2,FALSE),"FD")</f>
        <v>FD</v>
      </c>
      <c r="K325" t="str">
        <f>IFERROR(IF(VLOOKUP($H325,'BASE DATOS'!$BN$2:$BX$40,3,FALSE)&lt;&gt;0,1,0),"-")</f>
        <v>-</v>
      </c>
      <c r="L325" t="str">
        <f>IFERROR(IF(VLOOKUP($H325,'BASE DATOS'!$BN$2:$BX$40,4,FALSE)&lt;&gt;0,1,0),"-")</f>
        <v>-</v>
      </c>
      <c r="M325" t="str">
        <f>IFERROR(IF(VLOOKUP($H325,'BASE DATOS'!$BN$2:$BX$40,5,FALSE)&lt;&gt;0,1,0),"-")</f>
        <v>-</v>
      </c>
      <c r="N325" t="str">
        <f>IFERROR(IF(VLOOKUP($H325,'BASE DATOS'!$BN$2:$BX$40,6,FALSE)&lt;&gt;0,1,0),"-")</f>
        <v>-</v>
      </c>
      <c r="O325" t="str">
        <f>IFERROR(IF(VLOOKUP($H325,'BASE DATOS'!$BN$2:$BX$40,7,FALSE)&lt;&gt;0,1,0),"-")</f>
        <v>-</v>
      </c>
      <c r="P325" t="str">
        <f>IFERROR(IF(VLOOKUP($H325,'BASE DATOS'!$BN$2:$BX$40,8,FALSE)&lt;&gt;0,1,0),"-")</f>
        <v>-</v>
      </c>
      <c r="Q325" t="str">
        <f>IFERROR(IF(VLOOKUP($H325,'BASE DATOS'!$BN$2:$BX$40,9,FALSE)&lt;&gt;0,1,0),"-")</f>
        <v>-</v>
      </c>
      <c r="R325" t="str">
        <f>IFERROR(IF(VLOOKUP($H325,'BASE DATOS'!$BN$2:$BX$40,10,FALSE)&lt;&gt;0,1,0),"-")</f>
        <v>-</v>
      </c>
      <c r="S325" t="str">
        <f>IFERROR(IF(VLOOKUP($H325,'BASE DATOS'!$BN$2:$BX$40,11,FALSE)&lt;&gt;0,1,0),"-")</f>
        <v>-</v>
      </c>
    </row>
    <row r="326" spans="1:19" ht="15" customHeight="1">
      <c r="A326" s="786" t="str">
        <f t="shared" si="27"/>
        <v>FD</v>
      </c>
      <c r="B326" s="786" t="str">
        <f t="shared" si="28"/>
        <v>FD</v>
      </c>
      <c r="C326" s="786">
        <f t="shared" si="29"/>
        <v>0</v>
      </c>
      <c r="D326" s="786" t="str">
        <f t="shared" si="30"/>
        <v>NO</v>
      </c>
      <c r="G326" s="614" t="str">
        <f>IFERROR(VLOOKUP(H326,'BASE DATOS'!$BN$2:$BO$40,2,FALSE),"FD")</f>
        <v>FD</v>
      </c>
      <c r="K326" t="str">
        <f>IFERROR(IF(VLOOKUP($H326,'BASE DATOS'!$BN$2:$BX$40,3,FALSE)&lt;&gt;0,1,0),"-")</f>
        <v>-</v>
      </c>
      <c r="L326" t="str">
        <f>IFERROR(IF(VLOOKUP($H326,'BASE DATOS'!$BN$2:$BX$40,4,FALSE)&lt;&gt;0,1,0),"-")</f>
        <v>-</v>
      </c>
      <c r="M326" t="str">
        <f>IFERROR(IF(VLOOKUP($H326,'BASE DATOS'!$BN$2:$BX$40,5,FALSE)&lt;&gt;0,1,0),"-")</f>
        <v>-</v>
      </c>
      <c r="N326" t="str">
        <f>IFERROR(IF(VLOOKUP($H326,'BASE DATOS'!$BN$2:$BX$40,6,FALSE)&lt;&gt;0,1,0),"-")</f>
        <v>-</v>
      </c>
      <c r="O326" t="str">
        <f>IFERROR(IF(VLOOKUP($H326,'BASE DATOS'!$BN$2:$BX$40,7,FALSE)&lt;&gt;0,1,0),"-")</f>
        <v>-</v>
      </c>
      <c r="P326" t="str">
        <f>IFERROR(IF(VLOOKUP($H326,'BASE DATOS'!$BN$2:$BX$40,8,FALSE)&lt;&gt;0,1,0),"-")</f>
        <v>-</v>
      </c>
      <c r="Q326" t="str">
        <f>IFERROR(IF(VLOOKUP($H326,'BASE DATOS'!$BN$2:$BX$40,9,FALSE)&lt;&gt;0,1,0),"-")</f>
        <v>-</v>
      </c>
      <c r="R326" t="str">
        <f>IFERROR(IF(VLOOKUP($H326,'BASE DATOS'!$BN$2:$BX$40,10,FALSE)&lt;&gt;0,1,0),"-")</f>
        <v>-</v>
      </c>
      <c r="S326" t="str">
        <f>IFERROR(IF(VLOOKUP($H326,'BASE DATOS'!$BN$2:$BX$40,11,FALSE)&lt;&gt;0,1,0),"-")</f>
        <v>-</v>
      </c>
    </row>
    <row r="327" spans="1:19" ht="15" customHeight="1">
      <c r="A327" s="786" t="str">
        <f t="shared" si="27"/>
        <v>FD</v>
      </c>
      <c r="B327" s="786" t="str">
        <f t="shared" si="28"/>
        <v>FD</v>
      </c>
      <c r="C327" s="786">
        <f t="shared" si="29"/>
        <v>0</v>
      </c>
      <c r="D327" s="786" t="str">
        <f t="shared" si="30"/>
        <v>NO</v>
      </c>
      <c r="G327" s="614" t="str">
        <f>IFERROR(VLOOKUP(H327,'BASE DATOS'!$BN$2:$BO$40,2,FALSE),"FD")</f>
        <v>FD</v>
      </c>
      <c r="K327" t="str">
        <f>IFERROR(IF(VLOOKUP($H327,'BASE DATOS'!$BN$2:$BX$40,3,FALSE)&lt;&gt;0,1,0),"-")</f>
        <v>-</v>
      </c>
      <c r="L327" t="str">
        <f>IFERROR(IF(VLOOKUP($H327,'BASE DATOS'!$BN$2:$BX$40,4,FALSE)&lt;&gt;0,1,0),"-")</f>
        <v>-</v>
      </c>
      <c r="M327" t="str">
        <f>IFERROR(IF(VLOOKUP($H327,'BASE DATOS'!$BN$2:$BX$40,5,FALSE)&lt;&gt;0,1,0),"-")</f>
        <v>-</v>
      </c>
      <c r="N327" t="str">
        <f>IFERROR(IF(VLOOKUP($H327,'BASE DATOS'!$BN$2:$BX$40,6,FALSE)&lt;&gt;0,1,0),"-")</f>
        <v>-</v>
      </c>
      <c r="O327" t="str">
        <f>IFERROR(IF(VLOOKUP($H327,'BASE DATOS'!$BN$2:$BX$40,7,FALSE)&lt;&gt;0,1,0),"-")</f>
        <v>-</v>
      </c>
      <c r="P327" t="str">
        <f>IFERROR(IF(VLOOKUP($H327,'BASE DATOS'!$BN$2:$BX$40,8,FALSE)&lt;&gt;0,1,0),"-")</f>
        <v>-</v>
      </c>
      <c r="Q327" t="str">
        <f>IFERROR(IF(VLOOKUP($H327,'BASE DATOS'!$BN$2:$BX$40,9,FALSE)&lt;&gt;0,1,0),"-")</f>
        <v>-</v>
      </c>
      <c r="R327" t="str">
        <f>IFERROR(IF(VLOOKUP($H327,'BASE DATOS'!$BN$2:$BX$40,10,FALSE)&lt;&gt;0,1,0),"-")</f>
        <v>-</v>
      </c>
      <c r="S327" t="str">
        <f>IFERROR(IF(VLOOKUP($H327,'BASE DATOS'!$BN$2:$BX$40,11,FALSE)&lt;&gt;0,1,0),"-")</f>
        <v>-</v>
      </c>
    </row>
    <row r="328" spans="1:19" ht="15" customHeight="1">
      <c r="A328" s="786" t="str">
        <f t="shared" ref="A328:A334" si="31">IF(E328="","FD",_xlfn.ISOWEEKNUM(E328))</f>
        <v>FD</v>
      </c>
      <c r="B328" s="786" t="str">
        <f t="shared" ref="B328:B334" si="32">IF(F328="","FD",IF(AND(F328&gt;0.25,F328&lt;0.75),"TM","TT"))</f>
        <v>FD</v>
      </c>
      <c r="C328" s="786">
        <f t="shared" ref="C328:C334" si="33">+IF(OR(F328&lt;&gt;F327,G328&lt;&gt;G327,E328&lt;&gt;E327),1,0)</f>
        <v>0</v>
      </c>
      <c r="D328" s="786" t="str">
        <f t="shared" ref="D328:D334" si="34">IF(OR(LEFT(H328,4)="VEST",LEFT(H328,4)="BAÑO",LEFT(H328,4)="COME"),"SI","NO")</f>
        <v>NO</v>
      </c>
      <c r="G328" s="614" t="str">
        <f>IFERROR(VLOOKUP(H328,'BASE DATOS'!$BN$2:$BO$40,2,FALSE),"FD")</f>
        <v>FD</v>
      </c>
      <c r="K328" t="str">
        <f>IFERROR(IF(VLOOKUP($H328,'BASE DATOS'!$BN$2:$BX$40,3,FALSE)&lt;&gt;0,1,0),"-")</f>
        <v>-</v>
      </c>
      <c r="L328" t="str">
        <f>IFERROR(IF(VLOOKUP($H328,'BASE DATOS'!$BN$2:$BX$40,4,FALSE)&lt;&gt;0,1,0),"-")</f>
        <v>-</v>
      </c>
      <c r="M328" t="str">
        <f>IFERROR(IF(VLOOKUP($H328,'BASE DATOS'!$BN$2:$BX$40,5,FALSE)&lt;&gt;0,1,0),"-")</f>
        <v>-</v>
      </c>
      <c r="N328" t="str">
        <f>IFERROR(IF(VLOOKUP($H328,'BASE DATOS'!$BN$2:$BX$40,6,FALSE)&lt;&gt;0,1,0),"-")</f>
        <v>-</v>
      </c>
      <c r="O328" t="str">
        <f>IFERROR(IF(VLOOKUP($H328,'BASE DATOS'!$BN$2:$BX$40,7,FALSE)&lt;&gt;0,1,0),"-")</f>
        <v>-</v>
      </c>
      <c r="P328" t="str">
        <f>IFERROR(IF(VLOOKUP($H328,'BASE DATOS'!$BN$2:$BX$40,8,FALSE)&lt;&gt;0,1,0),"-")</f>
        <v>-</v>
      </c>
      <c r="Q328" t="str">
        <f>IFERROR(IF(VLOOKUP($H328,'BASE DATOS'!$BN$2:$BX$40,9,FALSE)&lt;&gt;0,1,0),"-")</f>
        <v>-</v>
      </c>
      <c r="R328" t="str">
        <f>IFERROR(IF(VLOOKUP($H328,'BASE DATOS'!$BN$2:$BX$40,10,FALSE)&lt;&gt;0,1,0),"-")</f>
        <v>-</v>
      </c>
      <c r="S328" t="str">
        <f>IFERROR(IF(VLOOKUP($H328,'BASE DATOS'!$BN$2:$BX$40,11,FALSE)&lt;&gt;0,1,0),"-")</f>
        <v>-</v>
      </c>
    </row>
    <row r="329" spans="1:19" ht="15" customHeight="1">
      <c r="A329" s="786" t="str">
        <f t="shared" si="31"/>
        <v>FD</v>
      </c>
      <c r="B329" s="786" t="str">
        <f t="shared" si="32"/>
        <v>FD</v>
      </c>
      <c r="C329" s="786">
        <f t="shared" si="33"/>
        <v>0</v>
      </c>
      <c r="D329" s="786" t="str">
        <f t="shared" si="34"/>
        <v>NO</v>
      </c>
      <c r="G329" s="614" t="str">
        <f>IFERROR(VLOOKUP(H329,'BASE DATOS'!$BN$2:$BO$40,2,FALSE),"FD")</f>
        <v>FD</v>
      </c>
      <c r="K329" t="str">
        <f>IFERROR(IF(VLOOKUP($H329,'BASE DATOS'!$BN$2:$BX$40,3,FALSE)&lt;&gt;0,1,0),"-")</f>
        <v>-</v>
      </c>
      <c r="L329" t="str">
        <f>IFERROR(IF(VLOOKUP($H329,'BASE DATOS'!$BN$2:$BX$40,4,FALSE)&lt;&gt;0,1,0),"-")</f>
        <v>-</v>
      </c>
      <c r="M329" t="str">
        <f>IFERROR(IF(VLOOKUP($H329,'BASE DATOS'!$BN$2:$BX$40,5,FALSE)&lt;&gt;0,1,0),"-")</f>
        <v>-</v>
      </c>
      <c r="N329" t="str">
        <f>IFERROR(IF(VLOOKUP($H329,'BASE DATOS'!$BN$2:$BX$40,6,FALSE)&lt;&gt;0,1,0),"-")</f>
        <v>-</v>
      </c>
      <c r="O329" t="str">
        <f>IFERROR(IF(VLOOKUP($H329,'BASE DATOS'!$BN$2:$BX$40,7,FALSE)&lt;&gt;0,1,0),"-")</f>
        <v>-</v>
      </c>
      <c r="P329" t="str">
        <f>IFERROR(IF(VLOOKUP($H329,'BASE DATOS'!$BN$2:$BX$40,8,FALSE)&lt;&gt;0,1,0),"-")</f>
        <v>-</v>
      </c>
      <c r="Q329" t="str">
        <f>IFERROR(IF(VLOOKUP($H329,'BASE DATOS'!$BN$2:$BX$40,9,FALSE)&lt;&gt;0,1,0),"-")</f>
        <v>-</v>
      </c>
      <c r="R329" t="str">
        <f>IFERROR(IF(VLOOKUP($H329,'BASE DATOS'!$BN$2:$BX$40,10,FALSE)&lt;&gt;0,1,0),"-")</f>
        <v>-</v>
      </c>
      <c r="S329" t="str">
        <f>IFERROR(IF(VLOOKUP($H329,'BASE DATOS'!$BN$2:$BX$40,11,FALSE)&lt;&gt;0,1,0),"-")</f>
        <v>-</v>
      </c>
    </row>
    <row r="330" spans="1:19" ht="15" customHeight="1">
      <c r="A330" s="786" t="str">
        <f t="shared" si="31"/>
        <v>FD</v>
      </c>
      <c r="B330" s="786" t="str">
        <f t="shared" si="32"/>
        <v>FD</v>
      </c>
      <c r="C330" s="786">
        <f t="shared" si="33"/>
        <v>0</v>
      </c>
      <c r="D330" s="786" t="str">
        <f t="shared" si="34"/>
        <v>NO</v>
      </c>
      <c r="G330" s="614" t="str">
        <f>IFERROR(VLOOKUP(H330,'BASE DATOS'!$BN$2:$BO$40,2,FALSE),"FD")</f>
        <v>FD</v>
      </c>
      <c r="K330" t="str">
        <f>IFERROR(IF(VLOOKUP($H330,'BASE DATOS'!$BN$2:$BX$40,3,FALSE)&lt;&gt;0,1,0),"-")</f>
        <v>-</v>
      </c>
      <c r="L330" t="str">
        <f>IFERROR(IF(VLOOKUP($H330,'BASE DATOS'!$BN$2:$BX$40,4,FALSE)&lt;&gt;0,1,0),"-")</f>
        <v>-</v>
      </c>
      <c r="M330" t="str">
        <f>IFERROR(IF(VLOOKUP($H330,'BASE DATOS'!$BN$2:$BX$40,5,FALSE)&lt;&gt;0,1,0),"-")</f>
        <v>-</v>
      </c>
      <c r="N330" t="str">
        <f>IFERROR(IF(VLOOKUP($H330,'BASE DATOS'!$BN$2:$BX$40,6,FALSE)&lt;&gt;0,1,0),"-")</f>
        <v>-</v>
      </c>
      <c r="O330" t="str">
        <f>IFERROR(IF(VLOOKUP($H330,'BASE DATOS'!$BN$2:$BX$40,7,FALSE)&lt;&gt;0,1,0),"-")</f>
        <v>-</v>
      </c>
      <c r="P330" t="str">
        <f>IFERROR(IF(VLOOKUP($H330,'BASE DATOS'!$BN$2:$BX$40,8,FALSE)&lt;&gt;0,1,0),"-")</f>
        <v>-</v>
      </c>
      <c r="Q330" t="str">
        <f>IFERROR(IF(VLOOKUP($H330,'BASE DATOS'!$BN$2:$BX$40,9,FALSE)&lt;&gt;0,1,0),"-")</f>
        <v>-</v>
      </c>
      <c r="R330" t="str">
        <f>IFERROR(IF(VLOOKUP($H330,'BASE DATOS'!$BN$2:$BX$40,10,FALSE)&lt;&gt;0,1,0),"-")</f>
        <v>-</v>
      </c>
      <c r="S330" t="str">
        <f>IFERROR(IF(VLOOKUP($H330,'BASE DATOS'!$BN$2:$BX$40,11,FALSE)&lt;&gt;0,1,0),"-")</f>
        <v>-</v>
      </c>
    </row>
    <row r="331" spans="1:19" ht="15" customHeight="1">
      <c r="A331" s="786" t="str">
        <f t="shared" si="31"/>
        <v>FD</v>
      </c>
      <c r="B331" s="786" t="str">
        <f t="shared" si="32"/>
        <v>FD</v>
      </c>
      <c r="C331" s="786">
        <f t="shared" si="33"/>
        <v>0</v>
      </c>
      <c r="D331" s="786" t="str">
        <f t="shared" si="34"/>
        <v>NO</v>
      </c>
      <c r="G331" s="614" t="str">
        <f>IFERROR(VLOOKUP(H331,'BASE DATOS'!$BN$2:$BO$40,2,FALSE),"FD")</f>
        <v>FD</v>
      </c>
      <c r="K331" t="str">
        <f>IFERROR(IF(VLOOKUP($H331,'BASE DATOS'!$BN$2:$BX$40,3,FALSE)&lt;&gt;0,1,0),"-")</f>
        <v>-</v>
      </c>
      <c r="L331" t="str">
        <f>IFERROR(IF(VLOOKUP($H331,'BASE DATOS'!$BN$2:$BX$40,4,FALSE)&lt;&gt;0,1,0),"-")</f>
        <v>-</v>
      </c>
      <c r="M331" t="str">
        <f>IFERROR(IF(VLOOKUP($H331,'BASE DATOS'!$BN$2:$BX$40,5,FALSE)&lt;&gt;0,1,0),"-")</f>
        <v>-</v>
      </c>
      <c r="N331" t="str">
        <f>IFERROR(IF(VLOOKUP($H331,'BASE DATOS'!$BN$2:$BX$40,6,FALSE)&lt;&gt;0,1,0),"-")</f>
        <v>-</v>
      </c>
      <c r="O331" t="str">
        <f>IFERROR(IF(VLOOKUP($H331,'BASE DATOS'!$BN$2:$BX$40,7,FALSE)&lt;&gt;0,1,0),"-")</f>
        <v>-</v>
      </c>
      <c r="P331" t="str">
        <f>IFERROR(IF(VLOOKUP($H331,'BASE DATOS'!$BN$2:$BX$40,8,FALSE)&lt;&gt;0,1,0),"-")</f>
        <v>-</v>
      </c>
      <c r="Q331" t="str">
        <f>IFERROR(IF(VLOOKUP($H331,'BASE DATOS'!$BN$2:$BX$40,9,FALSE)&lt;&gt;0,1,0),"-")</f>
        <v>-</v>
      </c>
      <c r="R331" t="str">
        <f>IFERROR(IF(VLOOKUP($H331,'BASE DATOS'!$BN$2:$BX$40,10,FALSE)&lt;&gt;0,1,0),"-")</f>
        <v>-</v>
      </c>
      <c r="S331" t="str">
        <f>IFERROR(IF(VLOOKUP($H331,'BASE DATOS'!$BN$2:$BX$40,11,FALSE)&lt;&gt;0,1,0),"-")</f>
        <v>-</v>
      </c>
    </row>
    <row r="332" spans="1:19" ht="15" customHeight="1">
      <c r="A332" s="786" t="str">
        <f t="shared" si="31"/>
        <v>FD</v>
      </c>
      <c r="B332" s="786" t="str">
        <f t="shared" si="32"/>
        <v>FD</v>
      </c>
      <c r="C332" s="786">
        <f t="shared" si="33"/>
        <v>0</v>
      </c>
      <c r="D332" s="786" t="str">
        <f t="shared" si="34"/>
        <v>NO</v>
      </c>
      <c r="G332" s="614" t="str">
        <f>IFERROR(VLOOKUP(H332,'BASE DATOS'!$BN$2:$BO$40,2,FALSE),"FD")</f>
        <v>FD</v>
      </c>
      <c r="K332" t="str">
        <f>IFERROR(IF(VLOOKUP($H332,'BASE DATOS'!$BN$2:$BX$40,3,FALSE)&lt;&gt;0,1,0),"-")</f>
        <v>-</v>
      </c>
      <c r="L332" t="str">
        <f>IFERROR(IF(VLOOKUP($H332,'BASE DATOS'!$BN$2:$BX$40,4,FALSE)&lt;&gt;0,1,0),"-")</f>
        <v>-</v>
      </c>
      <c r="M332" t="str">
        <f>IFERROR(IF(VLOOKUP($H332,'BASE DATOS'!$BN$2:$BX$40,5,FALSE)&lt;&gt;0,1,0),"-")</f>
        <v>-</v>
      </c>
      <c r="N332" t="str">
        <f>IFERROR(IF(VLOOKUP($H332,'BASE DATOS'!$BN$2:$BX$40,6,FALSE)&lt;&gt;0,1,0),"-")</f>
        <v>-</v>
      </c>
      <c r="O332" t="str">
        <f>IFERROR(IF(VLOOKUP($H332,'BASE DATOS'!$BN$2:$BX$40,7,FALSE)&lt;&gt;0,1,0),"-")</f>
        <v>-</v>
      </c>
      <c r="P332" t="str">
        <f>IFERROR(IF(VLOOKUP($H332,'BASE DATOS'!$BN$2:$BX$40,8,FALSE)&lt;&gt;0,1,0),"-")</f>
        <v>-</v>
      </c>
      <c r="Q332" t="str">
        <f>IFERROR(IF(VLOOKUP($H332,'BASE DATOS'!$BN$2:$BX$40,9,FALSE)&lt;&gt;0,1,0),"-")</f>
        <v>-</v>
      </c>
      <c r="R332" t="str">
        <f>IFERROR(IF(VLOOKUP($H332,'BASE DATOS'!$BN$2:$BX$40,10,FALSE)&lt;&gt;0,1,0),"-")</f>
        <v>-</v>
      </c>
      <c r="S332" t="str">
        <f>IFERROR(IF(VLOOKUP($H332,'BASE DATOS'!$BN$2:$BX$40,11,FALSE)&lt;&gt;0,1,0),"-")</f>
        <v>-</v>
      </c>
    </row>
    <row r="333" spans="1:19" ht="15" customHeight="1">
      <c r="A333" s="786" t="str">
        <f t="shared" si="31"/>
        <v>FD</v>
      </c>
      <c r="B333" s="786" t="str">
        <f t="shared" si="32"/>
        <v>FD</v>
      </c>
      <c r="C333" s="786">
        <f t="shared" si="33"/>
        <v>0</v>
      </c>
      <c r="D333" s="786" t="str">
        <f t="shared" si="34"/>
        <v>NO</v>
      </c>
      <c r="G333" s="614" t="str">
        <f>IFERROR(VLOOKUP(H333,'BASE DATOS'!$BN$2:$BO$40,2,FALSE),"FD")</f>
        <v>FD</v>
      </c>
      <c r="K333" t="str">
        <f>IFERROR(IF(VLOOKUP($H333,'BASE DATOS'!$BN$2:$BX$40,3,FALSE)&lt;&gt;0,1,0),"-")</f>
        <v>-</v>
      </c>
      <c r="L333" t="str">
        <f>IFERROR(IF(VLOOKUP($H333,'BASE DATOS'!$BN$2:$BX$40,4,FALSE)&lt;&gt;0,1,0),"-")</f>
        <v>-</v>
      </c>
      <c r="M333" t="str">
        <f>IFERROR(IF(VLOOKUP($H333,'BASE DATOS'!$BN$2:$BX$40,5,FALSE)&lt;&gt;0,1,0),"-")</f>
        <v>-</v>
      </c>
      <c r="N333" t="str">
        <f>IFERROR(IF(VLOOKUP($H333,'BASE DATOS'!$BN$2:$BX$40,6,FALSE)&lt;&gt;0,1,0),"-")</f>
        <v>-</v>
      </c>
      <c r="O333" t="str">
        <f>IFERROR(IF(VLOOKUP($H333,'BASE DATOS'!$BN$2:$BX$40,7,FALSE)&lt;&gt;0,1,0),"-")</f>
        <v>-</v>
      </c>
      <c r="P333" t="str">
        <f>IFERROR(IF(VLOOKUP($H333,'BASE DATOS'!$BN$2:$BX$40,8,FALSE)&lt;&gt;0,1,0),"-")</f>
        <v>-</v>
      </c>
      <c r="Q333" t="str">
        <f>IFERROR(IF(VLOOKUP($H333,'BASE DATOS'!$BN$2:$BX$40,9,FALSE)&lt;&gt;0,1,0),"-")</f>
        <v>-</v>
      </c>
      <c r="R333" t="str">
        <f>IFERROR(IF(VLOOKUP($H333,'BASE DATOS'!$BN$2:$BX$40,10,FALSE)&lt;&gt;0,1,0),"-")</f>
        <v>-</v>
      </c>
      <c r="S333" t="str">
        <f>IFERROR(IF(VLOOKUP($H333,'BASE DATOS'!$BN$2:$BX$40,11,FALSE)&lt;&gt;0,1,0),"-")</f>
        <v>-</v>
      </c>
    </row>
    <row r="334" spans="1:19" ht="15" customHeight="1">
      <c r="A334" s="786" t="str">
        <f t="shared" si="31"/>
        <v>FD</v>
      </c>
      <c r="B334" s="786" t="str">
        <f t="shared" si="32"/>
        <v>FD</v>
      </c>
      <c r="C334" s="786">
        <f t="shared" si="33"/>
        <v>0</v>
      </c>
      <c r="D334" s="786" t="str">
        <f t="shared" si="34"/>
        <v>NO</v>
      </c>
      <c r="G334" s="614" t="str">
        <f>IFERROR(VLOOKUP(H334,'BASE DATOS'!$BN$2:$BO$40,2,FALSE),"FD")</f>
        <v>FD</v>
      </c>
      <c r="K334" t="str">
        <f>IFERROR(IF(VLOOKUP($H334,'BASE DATOS'!$BN$2:$BX$40,3,FALSE)&lt;&gt;0,1,0),"-")</f>
        <v>-</v>
      </c>
      <c r="L334" t="str">
        <f>IFERROR(IF(VLOOKUP($H334,'BASE DATOS'!$BN$2:$BX$40,4,FALSE)&lt;&gt;0,1,0),"-")</f>
        <v>-</v>
      </c>
      <c r="M334" t="str">
        <f>IFERROR(IF(VLOOKUP($H334,'BASE DATOS'!$BN$2:$BX$40,5,FALSE)&lt;&gt;0,1,0),"-")</f>
        <v>-</v>
      </c>
      <c r="N334" t="str">
        <f>IFERROR(IF(VLOOKUP($H334,'BASE DATOS'!$BN$2:$BX$40,6,FALSE)&lt;&gt;0,1,0),"-")</f>
        <v>-</v>
      </c>
      <c r="O334" t="str">
        <f>IFERROR(IF(VLOOKUP($H334,'BASE DATOS'!$BN$2:$BX$40,7,FALSE)&lt;&gt;0,1,0),"-")</f>
        <v>-</v>
      </c>
      <c r="P334" t="str">
        <f>IFERROR(IF(VLOOKUP($H334,'BASE DATOS'!$BN$2:$BX$40,8,FALSE)&lt;&gt;0,1,0),"-")</f>
        <v>-</v>
      </c>
      <c r="Q334" t="str">
        <f>IFERROR(IF(VLOOKUP($H334,'BASE DATOS'!$BN$2:$BX$40,9,FALSE)&lt;&gt;0,1,0),"-")</f>
        <v>-</v>
      </c>
      <c r="R334" t="str">
        <f>IFERROR(IF(VLOOKUP($H334,'BASE DATOS'!$BN$2:$BX$40,10,FALSE)&lt;&gt;0,1,0),"-")</f>
        <v>-</v>
      </c>
      <c r="S334" t="str">
        <f>IFERROR(IF(VLOOKUP($H334,'BASE DATOS'!$BN$2:$BX$40,11,FALSE)&lt;&gt;0,1,0),"-")</f>
        <v>-</v>
      </c>
    </row>
  </sheetData>
  <sheetProtection algorithmName="SHA-512" hashValue="daGaCArcu+iyxKy3djh+dggrxoYgXXLK8NAEpbTJSWnHAxXCCslB1ziDdecfTMYAeFFhD6THOIYjjJwA1T/hGA==" saltValue="g+DmyRjwh8nJ6n6IEzZ8UQ==" spinCount="100000" sheet="1" objects="1" scenarios="1" formatCells="0" formatColumns="0" formatRows="0" sort="0" autoFilter="0" pivotTables="0"/>
  <protectedRanges>
    <protectedRange sqref="E1:J1048576" name="Rango1"/>
    <protectedRange sqref="U1:AK1048576" name="Rango2"/>
  </protectedRanges>
  <autoFilter ref="A1:T263" xr:uid="{DCE6C90D-6B83-4593-A1D0-1EE92D035CF8}"/>
  <conditionalFormatting sqref="E2:J199 G194:G334">
    <cfRule type="expression" dxfId="16" priority="3">
      <formula>OR($F2&lt;&gt;$F1,$E2&lt;&gt;$E1)</formula>
    </cfRule>
  </conditionalFormatting>
  <conditionalFormatting sqref="K2:S334">
    <cfRule type="expression" dxfId="15" priority="1">
      <formula>AND(K2&lt;&gt;0,K2&lt;&gt;1,K2&lt;&gt;"",K2&lt;&gt;"-")</formula>
    </cfRule>
    <cfRule type="cellIs" dxfId="14" priority="2" operator="equal">
      <formula>1</formula>
    </cfRule>
  </conditionalFormatting>
  <dataValidations count="1">
    <dataValidation type="list" allowBlank="1" showInputMessage="1" showErrorMessage="1" sqref="I2:I334" xr:uid="{D2AC9213-2F51-4B04-A5CB-404B182BEE1B}">
      <formula1>INDIRECT($H2)</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1662313-E081-4270-A391-E5FABB3AC206}">
          <x14:formula1>
            <xm:f>'BASE DATOS'!$W$1:$BL$1</xm:f>
          </x14:formula1>
          <xm:sqref>H2:H334</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CC6B1-5743-43C8-B3BB-70A5CBDB36C9}">
  <sheetPr>
    <tabColor rgb="FFD97979"/>
  </sheetPr>
  <dimension ref="A2:AY155"/>
  <sheetViews>
    <sheetView showGridLines="0" workbookViewId="0">
      <selection activeCell="L17" sqref="L17"/>
    </sheetView>
  </sheetViews>
  <sheetFormatPr baseColWidth="10" defaultColWidth="9.1640625" defaultRowHeight="15" customHeight="1"/>
  <cols>
    <col min="2" max="2" width="4.5" bestFit="1" customWidth="1"/>
    <col min="3" max="4" width="5.6640625" bestFit="1" customWidth="1"/>
    <col min="5" max="5" width="9.6640625" bestFit="1" customWidth="1"/>
    <col min="6" max="6" width="8.83203125" bestFit="1" customWidth="1"/>
    <col min="7" max="7" width="8.5" bestFit="1" customWidth="1"/>
    <col min="8" max="9" width="8.33203125" bestFit="1" customWidth="1"/>
    <col min="10" max="10" width="4.5" bestFit="1" customWidth="1"/>
    <col min="12" max="12" width="15.83203125" customWidth="1"/>
    <col min="13" max="13" width="10.83203125" bestFit="1" customWidth="1"/>
    <col min="14" max="14" width="8.33203125" customWidth="1"/>
    <col min="15" max="22" width="3.33203125" bestFit="1" customWidth="1"/>
    <col min="24" max="24" width="11.5" bestFit="1" customWidth="1"/>
    <col min="25" max="26" width="11.5" customWidth="1"/>
    <col min="27" max="27" width="23.5" customWidth="1"/>
    <col min="28" max="28" width="35.5" customWidth="1"/>
    <col min="29" max="29" width="43.5" customWidth="1"/>
    <col min="32" max="32" width="19.6640625" bestFit="1" customWidth="1"/>
    <col min="33" max="33" width="16.5" bestFit="1" customWidth="1"/>
    <col min="35" max="35" width="51.5" bestFit="1" customWidth="1"/>
    <col min="36" max="36" width="18.5" bestFit="1" customWidth="1"/>
    <col min="37" max="37" width="14.6640625" bestFit="1" customWidth="1"/>
    <col min="38" max="38" width="12.83203125" bestFit="1" customWidth="1"/>
    <col min="39" max="39" width="10.83203125" bestFit="1" customWidth="1"/>
    <col min="40" max="40" width="12.33203125" bestFit="1" customWidth="1"/>
    <col min="41" max="46" width="3.33203125" bestFit="1" customWidth="1"/>
    <col min="47" max="47" width="11.1640625" bestFit="1" customWidth="1"/>
    <col min="48" max="48" width="3.5" bestFit="1" customWidth="1"/>
    <col min="49" max="49" width="12.83203125" bestFit="1" customWidth="1"/>
    <col min="50" max="63" width="11.6640625" bestFit="1" customWidth="1"/>
    <col min="64" max="64" width="12.83203125" bestFit="1" customWidth="1"/>
  </cols>
  <sheetData>
    <row r="2" spans="1:22" ht="15" customHeight="1">
      <c r="A2" s="645" t="s">
        <v>1521</v>
      </c>
      <c r="B2" s="806" t="s">
        <v>1522</v>
      </c>
      <c r="C2" s="806" t="s">
        <v>1523</v>
      </c>
      <c r="D2" s="806" t="s">
        <v>1524</v>
      </c>
      <c r="E2" s="806" t="s">
        <v>1525</v>
      </c>
      <c r="F2" s="806" t="s">
        <v>1526</v>
      </c>
      <c r="G2" s="806" t="s">
        <v>1527</v>
      </c>
      <c r="H2" s="806" t="s">
        <v>1528</v>
      </c>
      <c r="I2" s="806" t="s">
        <v>1529</v>
      </c>
      <c r="J2" s="807" t="s">
        <v>1530</v>
      </c>
      <c r="L2" s="73" t="s">
        <v>1531</v>
      </c>
      <c r="N2" s="73" t="s">
        <v>1521</v>
      </c>
    </row>
    <row r="3" spans="1:22" ht="15" customHeight="1">
      <c r="A3" s="797">
        <v>37</v>
      </c>
      <c r="B3" s="814" t="str">
        <f>IF(SUMIFS(RECORRIDAS!K:K,RECORRIDAS!$A:$A,'NO USAR - RECORRIDA'!$A3,RECORRIDAS!$D:$D,"NO")=0,"",SUMIFS(RECORRIDAS!K:K,RECORRIDAS!$A:$A,'NO USAR - RECORRIDA'!$A3,RECORRIDAS!$D:$D,"NO"))</f>
        <v/>
      </c>
      <c r="C3" s="815" t="str">
        <f>IF(SUMIFS(RECORRIDAS!L:L,RECORRIDAS!$A:$A,'NO USAR - RECORRIDA'!$A3,RECORRIDAS!$D:$D,"NO")=0,"",SUMIFS(RECORRIDAS!L:L,RECORRIDAS!$A:$A,'NO USAR - RECORRIDA'!$A3,RECORRIDAS!$D:$D,"NO"))</f>
        <v/>
      </c>
      <c r="D3" s="815">
        <f>IF(SUMIFS(RECORRIDAS!M:M,RECORRIDAS!$A:$A,'NO USAR - RECORRIDA'!$A3,RECORRIDAS!$D:$D,"NO")=0,"",SUMIFS(RECORRIDAS!M:M,RECORRIDAS!$A:$A,'NO USAR - RECORRIDA'!$A3,RECORRIDAS!$D:$D,"NO"))</f>
        <v>3</v>
      </c>
      <c r="E3" s="815">
        <f>IF(SUMIFS(RECORRIDAS!N:N,RECORRIDAS!$A:$A,'NO USAR - RECORRIDA'!$A3,RECORRIDAS!$D:$D,"NO")=0,"",SUMIFS(RECORRIDAS!N:N,RECORRIDAS!$A:$A,'NO USAR - RECORRIDA'!$A3,RECORRIDAS!$D:$D,"NO"))</f>
        <v>4</v>
      </c>
      <c r="F3" s="815">
        <f>IF(SUMIFS(RECORRIDAS!O:O,RECORRIDAS!$A:$A,'NO USAR - RECORRIDA'!$A3,RECORRIDAS!$D:$D,"NO")=0,"",SUMIFS(RECORRIDAS!O:O,RECORRIDAS!$A:$A,'NO USAR - RECORRIDA'!$A3,RECORRIDAS!$D:$D,"NO"))</f>
        <v>5</v>
      </c>
      <c r="G3" s="815" t="str">
        <f>IF(SUMIFS(RECORRIDAS!P:P,RECORRIDAS!$A:$A,'NO USAR - RECORRIDA'!$A3,RECORRIDAS!$D:$D,"NO")=0,"",SUMIFS(RECORRIDAS!P:P,RECORRIDAS!$A:$A,'NO USAR - RECORRIDA'!$A3,RECORRIDAS!$D:$D,"NO"))</f>
        <v/>
      </c>
      <c r="H3" s="815" t="str">
        <f>IF(SUMIFS(RECORRIDAS!Q:Q,RECORRIDAS!$A:$A,'NO USAR - RECORRIDA'!$A3,RECORRIDAS!$D:$D,"NO")=0,"",SUMIFS(RECORRIDAS!Q:Q,RECORRIDAS!$A:$A,'NO USAR - RECORRIDA'!$A3,RECORRIDAS!$D:$D,"NO"))</f>
        <v/>
      </c>
      <c r="I3" s="815" t="str">
        <f>IF(SUMIFS(RECORRIDAS!R:R,RECORRIDAS!$A:$A,'NO USAR - RECORRIDA'!$A3,RECORRIDAS!$D:$D,"NO")=0,"",SUMIFS(RECORRIDAS!R:R,RECORRIDAS!$A:$A,'NO USAR - RECORRIDA'!$A3,RECORRIDAS!$D:$D,"NO"))</f>
        <v/>
      </c>
      <c r="J3" s="816">
        <f>IF(SUMIFS(RECORRIDAS!S:S,RECORRIDAS!$A:$A,'NO USAR - RECORRIDA'!$A3,RECORRIDAS!$D:$D,"NO")=0,"",SUMIFS(RECORRIDAS!S:S,RECORRIDAS!$A:$A,'NO USAR - RECORRIDA'!$A3,RECORRIDAS!$D:$D,"NO"))</f>
        <v>1</v>
      </c>
      <c r="L3" s="73" t="s">
        <v>1180</v>
      </c>
      <c r="M3" s="73" t="s">
        <v>1176</v>
      </c>
      <c r="N3">
        <v>37</v>
      </c>
      <c r="O3">
        <v>38</v>
      </c>
      <c r="P3">
        <v>39</v>
      </c>
      <c r="Q3">
        <v>40</v>
      </c>
      <c r="R3">
        <v>41</v>
      </c>
      <c r="S3">
        <v>42</v>
      </c>
      <c r="T3">
        <v>43</v>
      </c>
      <c r="U3">
        <v>44</v>
      </c>
      <c r="V3">
        <v>45</v>
      </c>
    </row>
    <row r="4" spans="1:22" ht="15" customHeight="1">
      <c r="A4" s="803">
        <v>37</v>
      </c>
      <c r="B4" s="804">
        <f>IF(SUMIFS(RECORRIDAS!K:K,RECORRIDAS!$A:$A,'NO USAR - RECORRIDA'!$A4,RECORRIDAS!$D:$D,"SI")=0,"",SUMIFS(RECORRIDAS!K:K,RECORRIDAS!$A:$A,'NO USAR - RECORRIDA'!$A4,RECORRIDAS!$D:$D,"SI"))</f>
        <v>1</v>
      </c>
      <c r="C4" s="804">
        <f>IF(SUMIFS(RECORRIDAS!L:L,RECORRIDAS!$A:$A,'NO USAR - RECORRIDA'!$A4,RECORRIDAS!$D:$D,"SI")=0,"",SUMIFS(RECORRIDAS!L:L,RECORRIDAS!$A:$A,'NO USAR - RECORRIDA'!$A4,RECORRIDAS!$D:$D,"SI"))</f>
        <v>1</v>
      </c>
      <c r="D4" s="804">
        <f>IF(SUMIFS(RECORRIDAS!M:M,RECORRIDAS!$A:$A,'NO USAR - RECORRIDA'!$A4,RECORRIDAS!$D:$D,"SI")=0,"",SUMIFS(RECORRIDAS!M:M,RECORRIDAS!$A:$A,'NO USAR - RECORRIDA'!$A4,RECORRIDAS!$D:$D,"SI"))</f>
        <v>1</v>
      </c>
      <c r="E4" s="804">
        <f>IF(SUMIFS(RECORRIDAS!N:N,RECORRIDAS!$A:$A,'NO USAR - RECORRIDA'!$A4,RECORRIDAS!$D:$D,"SI")=0,"",SUMIFS(RECORRIDAS!N:N,RECORRIDAS!$A:$A,'NO USAR - RECORRIDA'!$A4,RECORRIDAS!$D:$D,"SI"))</f>
        <v>1</v>
      </c>
      <c r="F4" s="804">
        <f>IF(SUMIFS(RECORRIDAS!O:O,RECORRIDAS!$A:$A,'NO USAR - RECORRIDA'!$A4,RECORRIDAS!$D:$D,"SI")=0,"",SUMIFS(RECORRIDAS!O:O,RECORRIDAS!$A:$A,'NO USAR - RECORRIDA'!$A4,RECORRIDAS!$D:$D,"SI"))</f>
        <v>1</v>
      </c>
      <c r="G4" s="804">
        <f>IF(SUMIFS(RECORRIDAS!P:P,RECORRIDAS!$A:$A,'NO USAR - RECORRIDA'!$A4,RECORRIDAS!$D:$D,"SI")=0,"",SUMIFS(RECORRIDAS!P:P,RECORRIDAS!$A:$A,'NO USAR - RECORRIDA'!$A4,RECORRIDAS!$D:$D,"SI"))</f>
        <v>1</v>
      </c>
      <c r="H4" s="804">
        <f>IF(SUMIFS(RECORRIDAS!Q:Q,RECORRIDAS!$A:$A,'NO USAR - RECORRIDA'!$A4,RECORRIDAS!$D:$D,"SI")=0,"",SUMIFS(RECORRIDAS!Q:Q,RECORRIDAS!$A:$A,'NO USAR - RECORRIDA'!$A4,RECORRIDAS!$D:$D,"SI"))</f>
        <v>1</v>
      </c>
      <c r="I4" s="804">
        <f>IF(SUMIFS(RECORRIDAS!R:R,RECORRIDAS!$A:$A,'NO USAR - RECORRIDA'!$A4,RECORRIDAS!$D:$D,"SI")=0,"",SUMIFS(RECORRIDAS!R:R,RECORRIDAS!$A:$A,'NO USAR - RECORRIDA'!$A4,RECORRIDAS!$D:$D,"SI"))</f>
        <v>1</v>
      </c>
      <c r="J4" s="805">
        <f>IF(SUMIFS(RECORRIDAS!S:S,RECORRIDAS!$A:$A,'NO USAR - RECORRIDA'!$A4,RECORRIDAS!$D:$D,"SI")=0,"",SUMIFS(RECORRIDAS!S:S,RECORRIDAS!$A:$A,'NO USAR - RECORRIDA'!$A4,RECORRIDAS!$D:$D,"SI"))</f>
        <v>1</v>
      </c>
      <c r="L4" t="s">
        <v>1346</v>
      </c>
      <c r="M4" t="s">
        <v>339</v>
      </c>
      <c r="O4">
        <v>1</v>
      </c>
      <c r="P4">
        <v>1</v>
      </c>
      <c r="Q4">
        <v>1</v>
      </c>
      <c r="S4">
        <v>1</v>
      </c>
      <c r="T4">
        <v>1</v>
      </c>
      <c r="U4">
        <v>1</v>
      </c>
      <c r="V4">
        <v>2</v>
      </c>
    </row>
    <row r="5" spans="1:22" ht="15" customHeight="1">
      <c r="A5" s="801">
        <f t="shared" ref="A5:A18" si="0">+A3+1</f>
        <v>38</v>
      </c>
      <c r="B5" s="810">
        <f>IF(SUMIFS(RECORRIDAS!K:K,RECORRIDAS!$A:$A,'NO USAR - RECORRIDA'!$A5,RECORRIDAS!$D:$D,"NO")=0,"",SUMIFS(RECORRIDAS!K:K,RECORRIDAS!$A:$A,'NO USAR - RECORRIDA'!$A5,RECORRIDAS!$D:$D,"NO"))</f>
        <v>2</v>
      </c>
      <c r="C5" s="811" t="str">
        <f>IF(SUMIFS(RECORRIDAS!L:L,RECORRIDAS!$A:$A,'NO USAR - RECORRIDA'!$A5,RECORRIDAS!$D:$D,"NO")=0,"",SUMIFS(RECORRIDAS!L:L,RECORRIDAS!$A:$A,'NO USAR - RECORRIDA'!$A5,RECORRIDAS!$D:$D,"NO"))</f>
        <v/>
      </c>
      <c r="D5" s="811" t="str">
        <f>IF(SUMIFS(RECORRIDAS!M:M,RECORRIDAS!$A:$A,'NO USAR - RECORRIDA'!$A5,RECORRIDAS!$D:$D,"NO")=0,"",SUMIFS(RECORRIDAS!M:M,RECORRIDAS!$A:$A,'NO USAR - RECORRIDA'!$A5,RECORRIDAS!$D:$D,"NO"))</f>
        <v/>
      </c>
      <c r="E5" s="811">
        <f>IF(SUMIFS(RECORRIDAS!N:N,RECORRIDAS!$A:$A,'NO USAR - RECORRIDA'!$A5,RECORRIDAS!$D:$D,"NO")=0,"",SUMIFS(RECORRIDAS!N:N,RECORRIDAS!$A:$A,'NO USAR - RECORRIDA'!$A5,RECORRIDAS!$D:$D,"NO"))</f>
        <v>7</v>
      </c>
      <c r="F5" s="811">
        <f>IF(SUMIFS(RECORRIDAS!O:O,RECORRIDAS!$A:$A,'NO USAR - RECORRIDA'!$A5,RECORRIDAS!$D:$D,"NO")=0,"",SUMIFS(RECORRIDAS!O:O,RECORRIDAS!$A:$A,'NO USAR - RECORRIDA'!$A5,RECORRIDAS!$D:$D,"NO"))</f>
        <v>2</v>
      </c>
      <c r="G5" s="811">
        <f>IF(SUMIFS(RECORRIDAS!P:P,RECORRIDAS!$A:$A,'NO USAR - RECORRIDA'!$A5,RECORRIDAS!$D:$D,"NO")=0,"",SUMIFS(RECORRIDAS!P:P,RECORRIDAS!$A:$A,'NO USAR - RECORRIDA'!$A5,RECORRIDAS!$D:$D,"NO"))</f>
        <v>1</v>
      </c>
      <c r="H5" s="811" t="str">
        <f>IF(SUMIFS(RECORRIDAS!Q:Q,RECORRIDAS!$A:$A,'NO USAR - RECORRIDA'!$A5,RECORRIDAS!$D:$D,"NO")=0,"",SUMIFS(RECORRIDAS!Q:Q,RECORRIDAS!$A:$A,'NO USAR - RECORRIDA'!$A5,RECORRIDAS!$D:$D,"NO"))</f>
        <v/>
      </c>
      <c r="I5" s="811" t="str">
        <f>IF(SUMIFS(RECORRIDAS!R:R,RECORRIDAS!$A:$A,'NO USAR - RECORRIDA'!$A5,RECORRIDAS!$D:$D,"NO")=0,"",SUMIFS(RECORRIDAS!R:R,RECORRIDAS!$A:$A,'NO USAR - RECORRIDA'!$A5,RECORRIDAS!$D:$D,"NO"))</f>
        <v/>
      </c>
      <c r="J5" s="812">
        <f>IF(SUMIFS(RECORRIDAS!S:S,RECORRIDAS!$A:$A,'NO USAR - RECORRIDA'!$A5,RECORRIDAS!$D:$D,"NO")=0,"",SUMIFS(RECORRIDAS!S:S,RECORRIDAS!$A:$A,'NO USAR - RECORRIDA'!$A5,RECORRIDAS!$D:$D,"NO"))</f>
        <v>1</v>
      </c>
      <c r="M5" t="s">
        <v>378</v>
      </c>
      <c r="P5">
        <v>1</v>
      </c>
      <c r="U5">
        <v>2</v>
      </c>
      <c r="V5">
        <v>1</v>
      </c>
    </row>
    <row r="6" spans="1:22" ht="15" customHeight="1">
      <c r="A6" s="803">
        <f t="shared" si="0"/>
        <v>38</v>
      </c>
      <c r="B6" s="804">
        <f>IF(SUMIFS(RECORRIDAS!K:K,RECORRIDAS!$A:$A,'NO USAR - RECORRIDA'!$A6,RECORRIDAS!$D:$D,"SI")=0,"",SUMIFS(RECORRIDAS!K:K,RECORRIDAS!$A:$A,'NO USAR - RECORRIDA'!$A6,RECORRIDAS!$D:$D,"SI"))</f>
        <v>5</v>
      </c>
      <c r="C6" s="804">
        <f>IF(SUMIFS(RECORRIDAS!L:L,RECORRIDAS!$A:$A,'NO USAR - RECORRIDA'!$A6,RECORRIDAS!$D:$D,"SI")=0,"",SUMIFS(RECORRIDAS!L:L,RECORRIDAS!$A:$A,'NO USAR - RECORRIDA'!$A6,RECORRIDAS!$D:$D,"SI"))</f>
        <v>5</v>
      </c>
      <c r="D6" s="804">
        <f>IF(SUMIFS(RECORRIDAS!M:M,RECORRIDAS!$A:$A,'NO USAR - RECORRIDA'!$A6,RECORRIDAS!$D:$D,"SI")=0,"",SUMIFS(RECORRIDAS!M:M,RECORRIDAS!$A:$A,'NO USAR - RECORRIDA'!$A6,RECORRIDAS!$D:$D,"SI"))</f>
        <v>5</v>
      </c>
      <c r="E6" s="804">
        <f>IF(SUMIFS(RECORRIDAS!N:N,RECORRIDAS!$A:$A,'NO USAR - RECORRIDA'!$A6,RECORRIDAS!$D:$D,"SI")=0,"",SUMIFS(RECORRIDAS!N:N,RECORRIDAS!$A:$A,'NO USAR - RECORRIDA'!$A6,RECORRIDAS!$D:$D,"SI"))</f>
        <v>5</v>
      </c>
      <c r="F6" s="804">
        <f>IF(SUMIFS(RECORRIDAS!O:O,RECORRIDAS!$A:$A,'NO USAR - RECORRIDA'!$A6,RECORRIDAS!$D:$D,"SI")=0,"",SUMIFS(RECORRIDAS!O:O,RECORRIDAS!$A:$A,'NO USAR - RECORRIDA'!$A6,RECORRIDAS!$D:$D,"SI"))</f>
        <v>5</v>
      </c>
      <c r="G6" s="804">
        <f>IF(SUMIFS(RECORRIDAS!P:P,RECORRIDAS!$A:$A,'NO USAR - RECORRIDA'!$A6,RECORRIDAS!$D:$D,"SI")=0,"",SUMIFS(RECORRIDAS!P:P,RECORRIDAS!$A:$A,'NO USAR - RECORRIDA'!$A6,RECORRIDAS!$D:$D,"SI"))</f>
        <v>5</v>
      </c>
      <c r="H6" s="804">
        <f>IF(SUMIFS(RECORRIDAS!Q:Q,RECORRIDAS!$A:$A,'NO USAR - RECORRIDA'!$A6,RECORRIDAS!$D:$D,"SI")=0,"",SUMIFS(RECORRIDAS!Q:Q,RECORRIDAS!$A:$A,'NO USAR - RECORRIDA'!$A6,RECORRIDAS!$D:$D,"SI"))</f>
        <v>5</v>
      </c>
      <c r="I6" s="804">
        <f>IF(SUMIFS(RECORRIDAS!R:R,RECORRIDAS!$A:$A,'NO USAR - RECORRIDA'!$A6,RECORRIDAS!$D:$D,"SI")=0,"",SUMIFS(RECORRIDAS!R:R,RECORRIDAS!$A:$A,'NO USAR - RECORRIDA'!$A6,RECORRIDAS!$D:$D,"SI"))</f>
        <v>5</v>
      </c>
      <c r="J6" s="805">
        <f>IF(SUMIFS(RECORRIDAS!S:S,RECORRIDAS!$A:$A,'NO USAR - RECORRIDA'!$A6,RECORRIDAS!$D:$D,"SI")=0,"",SUMIFS(RECORRIDAS!S:S,RECORRIDAS!$A:$A,'NO USAR - RECORRIDA'!$A6,RECORRIDAS!$D:$D,"SI"))</f>
        <v>6</v>
      </c>
      <c r="L6" t="s">
        <v>1248</v>
      </c>
      <c r="M6" t="s">
        <v>339</v>
      </c>
      <c r="N6">
        <v>1</v>
      </c>
      <c r="O6">
        <v>1</v>
      </c>
      <c r="P6">
        <v>1</v>
      </c>
      <c r="Q6">
        <v>2</v>
      </c>
      <c r="R6">
        <v>2</v>
      </c>
      <c r="T6">
        <v>2</v>
      </c>
      <c r="U6">
        <v>2</v>
      </c>
      <c r="V6">
        <v>2</v>
      </c>
    </row>
    <row r="7" spans="1:22" ht="15" customHeight="1">
      <c r="A7" s="801">
        <f t="shared" si="0"/>
        <v>39</v>
      </c>
      <c r="B7" s="810">
        <f>IF(SUMIFS(RECORRIDAS!K:K,RECORRIDAS!$A:$A,'NO USAR - RECORRIDA'!$A7,RECORRIDAS!$D:$D,"NO")=0,"",SUMIFS(RECORRIDAS!K:K,RECORRIDAS!$A:$A,'NO USAR - RECORRIDA'!$A7,RECORRIDAS!$D:$D,"NO"))</f>
        <v>1</v>
      </c>
      <c r="C7" s="811" t="str">
        <f>IF(SUMIFS(RECORRIDAS!L:L,RECORRIDAS!$A:$A,'NO USAR - RECORRIDA'!$A7,RECORRIDAS!$D:$D,"NO")=0,"",SUMIFS(RECORRIDAS!L:L,RECORRIDAS!$A:$A,'NO USAR - RECORRIDA'!$A7,RECORRIDAS!$D:$D,"NO"))</f>
        <v/>
      </c>
      <c r="D7" s="811" t="str">
        <f>IF(SUMIFS(RECORRIDAS!M:M,RECORRIDAS!$A:$A,'NO USAR - RECORRIDA'!$A7,RECORRIDAS!$D:$D,"NO")=0,"",SUMIFS(RECORRIDAS!M:M,RECORRIDAS!$A:$A,'NO USAR - RECORRIDA'!$A7,RECORRIDAS!$D:$D,"NO"))</f>
        <v/>
      </c>
      <c r="E7" s="811">
        <f>IF(SUMIFS(RECORRIDAS!N:N,RECORRIDAS!$A:$A,'NO USAR - RECORRIDA'!$A7,RECORRIDAS!$D:$D,"NO")=0,"",SUMIFS(RECORRIDAS!N:N,RECORRIDAS!$A:$A,'NO USAR - RECORRIDA'!$A7,RECORRIDAS!$D:$D,"NO"))</f>
        <v>2</v>
      </c>
      <c r="F7" s="811">
        <f>IF(SUMIFS(RECORRIDAS!O:O,RECORRIDAS!$A:$A,'NO USAR - RECORRIDA'!$A7,RECORRIDAS!$D:$D,"NO")=0,"",SUMIFS(RECORRIDAS!O:O,RECORRIDAS!$A:$A,'NO USAR - RECORRIDA'!$A7,RECORRIDAS!$D:$D,"NO"))</f>
        <v>4</v>
      </c>
      <c r="G7" s="811" t="str">
        <f>IF(SUMIFS(RECORRIDAS!P:P,RECORRIDAS!$A:$A,'NO USAR - RECORRIDA'!$A7,RECORRIDAS!$D:$D,"NO")=0,"",SUMIFS(RECORRIDAS!P:P,RECORRIDAS!$A:$A,'NO USAR - RECORRIDA'!$A7,RECORRIDAS!$D:$D,"NO"))</f>
        <v/>
      </c>
      <c r="H7" s="811" t="str">
        <f>IF(SUMIFS(RECORRIDAS!Q:Q,RECORRIDAS!$A:$A,'NO USAR - RECORRIDA'!$A7,RECORRIDAS!$D:$D,"NO")=0,"",SUMIFS(RECORRIDAS!Q:Q,RECORRIDAS!$A:$A,'NO USAR - RECORRIDA'!$A7,RECORRIDAS!$D:$D,"NO"))</f>
        <v/>
      </c>
      <c r="I7" s="811" t="str">
        <f>IF(SUMIFS(RECORRIDAS!R:R,RECORRIDAS!$A:$A,'NO USAR - RECORRIDA'!$A7,RECORRIDAS!$D:$D,"NO")=0,"",SUMIFS(RECORRIDAS!R:R,RECORRIDAS!$A:$A,'NO USAR - RECORRIDA'!$A7,RECORRIDAS!$D:$D,"NO"))</f>
        <v/>
      </c>
      <c r="J7" s="812">
        <f>IF(SUMIFS(RECORRIDAS!S:S,RECORRIDAS!$A:$A,'NO USAR - RECORRIDA'!$A7,RECORRIDAS!$D:$D,"NO")=0,"",SUMIFS(RECORRIDAS!S:S,RECORRIDAS!$A:$A,'NO USAR - RECORRIDA'!$A7,RECORRIDAS!$D:$D,"NO"))</f>
        <v>3</v>
      </c>
      <c r="M7" t="s">
        <v>378</v>
      </c>
      <c r="N7">
        <v>1</v>
      </c>
      <c r="O7">
        <v>2</v>
      </c>
      <c r="P7">
        <v>1</v>
      </c>
      <c r="Q7">
        <v>3</v>
      </c>
      <c r="R7">
        <v>1</v>
      </c>
      <c r="S7">
        <v>1</v>
      </c>
      <c r="T7">
        <v>1</v>
      </c>
      <c r="U7">
        <v>2</v>
      </c>
      <c r="V7">
        <v>2</v>
      </c>
    </row>
    <row r="8" spans="1:22" ht="15" customHeight="1">
      <c r="A8" s="803">
        <f t="shared" si="0"/>
        <v>39</v>
      </c>
      <c r="B8" s="804">
        <f>IF(SUMIFS(RECORRIDAS!K:K,RECORRIDAS!$A:$A,'NO USAR - RECORRIDA'!$A8,RECORRIDAS!$D:$D,"SI")=0,"",SUMIFS(RECORRIDAS!K:K,RECORRIDAS!$A:$A,'NO USAR - RECORRIDA'!$A8,RECORRIDAS!$D:$D,"SI"))</f>
        <v>4</v>
      </c>
      <c r="C8" s="804">
        <f>IF(SUMIFS(RECORRIDAS!L:L,RECORRIDAS!$A:$A,'NO USAR - RECORRIDA'!$A8,RECORRIDAS!$D:$D,"SI")=0,"",SUMIFS(RECORRIDAS!L:L,RECORRIDAS!$A:$A,'NO USAR - RECORRIDA'!$A8,RECORRIDAS!$D:$D,"SI"))</f>
        <v>4</v>
      </c>
      <c r="D8" s="804">
        <f>IF(SUMIFS(RECORRIDAS!M:M,RECORRIDAS!$A:$A,'NO USAR - RECORRIDA'!$A8,RECORRIDAS!$D:$D,"SI")=0,"",SUMIFS(RECORRIDAS!M:M,RECORRIDAS!$A:$A,'NO USAR - RECORRIDA'!$A8,RECORRIDAS!$D:$D,"SI"))</f>
        <v>4</v>
      </c>
      <c r="E8" s="804">
        <f>IF(SUMIFS(RECORRIDAS!N:N,RECORRIDAS!$A:$A,'NO USAR - RECORRIDA'!$A8,RECORRIDAS!$D:$D,"SI")=0,"",SUMIFS(RECORRIDAS!N:N,RECORRIDAS!$A:$A,'NO USAR - RECORRIDA'!$A8,RECORRIDAS!$D:$D,"SI"))</f>
        <v>4</v>
      </c>
      <c r="F8" s="804">
        <f>IF(SUMIFS(RECORRIDAS!O:O,RECORRIDAS!$A:$A,'NO USAR - RECORRIDA'!$A8,RECORRIDAS!$D:$D,"SI")=0,"",SUMIFS(RECORRIDAS!O:O,RECORRIDAS!$A:$A,'NO USAR - RECORRIDA'!$A8,RECORRIDAS!$D:$D,"SI"))</f>
        <v>4</v>
      </c>
      <c r="G8" s="804">
        <f>IF(SUMIFS(RECORRIDAS!P:P,RECORRIDAS!$A:$A,'NO USAR - RECORRIDA'!$A8,RECORRIDAS!$D:$D,"SI")=0,"",SUMIFS(RECORRIDAS!P:P,RECORRIDAS!$A:$A,'NO USAR - RECORRIDA'!$A8,RECORRIDAS!$D:$D,"SI"))</f>
        <v>4</v>
      </c>
      <c r="H8" s="804">
        <f>IF(SUMIFS(RECORRIDAS!Q:Q,RECORRIDAS!$A:$A,'NO USAR - RECORRIDA'!$A8,RECORRIDAS!$D:$D,"SI")=0,"",SUMIFS(RECORRIDAS!Q:Q,RECORRIDAS!$A:$A,'NO USAR - RECORRIDA'!$A8,RECORRIDAS!$D:$D,"SI"))</f>
        <v>4</v>
      </c>
      <c r="I8" s="804">
        <f>IF(SUMIFS(RECORRIDAS!R:R,RECORRIDAS!$A:$A,'NO USAR - RECORRIDA'!$A8,RECORRIDAS!$D:$D,"SI")=0,"",SUMIFS(RECORRIDAS!R:R,RECORRIDAS!$A:$A,'NO USAR - RECORRIDA'!$A8,RECORRIDAS!$D:$D,"SI"))</f>
        <v>4</v>
      </c>
      <c r="J8" s="805">
        <f>IF(SUMIFS(RECORRIDAS!S:S,RECORRIDAS!$A:$A,'NO USAR - RECORRIDA'!$A8,RECORRIDAS!$D:$D,"SI")=0,"",SUMIFS(RECORRIDAS!S:S,RECORRIDAS!$A:$A,'NO USAR - RECORRIDA'!$A8,RECORRIDAS!$D:$D,"SI"))</f>
        <v>4</v>
      </c>
      <c r="L8" t="s">
        <v>1532</v>
      </c>
      <c r="M8" t="s">
        <v>339</v>
      </c>
      <c r="N8">
        <v>1</v>
      </c>
      <c r="O8">
        <v>2</v>
      </c>
      <c r="P8">
        <v>2</v>
      </c>
      <c r="Q8">
        <v>3</v>
      </c>
      <c r="R8">
        <v>1</v>
      </c>
      <c r="S8">
        <v>1</v>
      </c>
      <c r="T8">
        <v>2</v>
      </c>
      <c r="U8">
        <v>2</v>
      </c>
      <c r="V8">
        <v>2</v>
      </c>
    </row>
    <row r="9" spans="1:22" ht="15" customHeight="1">
      <c r="A9" s="801">
        <f t="shared" si="0"/>
        <v>40</v>
      </c>
      <c r="B9" s="813">
        <f>IF(SUMIFS(RECORRIDAS!K:K,RECORRIDAS!$A:$A,'NO USAR - RECORRIDA'!$A9,RECORRIDAS!$D:$D,"NO")=0,"",SUMIFS(RECORRIDAS!K:K,RECORRIDAS!$A:$A,'NO USAR - RECORRIDA'!$A9,RECORRIDAS!$D:$D,"NO"))</f>
        <v>2</v>
      </c>
      <c r="C9" t="str">
        <f>IF(SUMIFS(RECORRIDAS!L:L,RECORRIDAS!$A:$A,'NO USAR - RECORRIDA'!$A9,RECORRIDAS!$D:$D,"NO")=0,"",SUMIFS(RECORRIDAS!L:L,RECORRIDAS!$A:$A,'NO USAR - RECORRIDA'!$A9,RECORRIDAS!$D:$D,"NO"))</f>
        <v/>
      </c>
      <c r="D9">
        <f>IF(SUMIFS(RECORRIDAS!M:M,RECORRIDAS!$A:$A,'NO USAR - RECORRIDA'!$A9,RECORRIDAS!$D:$D,"NO")=0,"",SUMIFS(RECORRIDAS!M:M,RECORRIDAS!$A:$A,'NO USAR - RECORRIDA'!$A9,RECORRIDAS!$D:$D,"NO"))</f>
        <v>2</v>
      </c>
      <c r="E9">
        <f>IF(SUMIFS(RECORRIDAS!N:N,RECORRIDAS!$A:$A,'NO USAR - RECORRIDA'!$A9,RECORRIDAS!$D:$D,"NO")=0,"",SUMIFS(RECORRIDAS!N:N,RECORRIDAS!$A:$A,'NO USAR - RECORRIDA'!$A9,RECORRIDAS!$D:$D,"NO"))</f>
        <v>6</v>
      </c>
      <c r="F9">
        <f>IF(SUMIFS(RECORRIDAS!O:O,RECORRIDAS!$A:$A,'NO USAR - RECORRIDA'!$A9,RECORRIDAS!$D:$D,"NO")=0,"",SUMIFS(RECORRIDAS!O:O,RECORRIDAS!$A:$A,'NO USAR - RECORRIDA'!$A9,RECORRIDAS!$D:$D,"NO"))</f>
        <v>13</v>
      </c>
      <c r="G9" t="str">
        <f>IF(SUMIFS(RECORRIDAS!P:P,RECORRIDAS!$A:$A,'NO USAR - RECORRIDA'!$A9,RECORRIDAS!$D:$D,"NO")=0,"",SUMIFS(RECORRIDAS!P:P,RECORRIDAS!$A:$A,'NO USAR - RECORRIDA'!$A9,RECORRIDAS!$D:$D,"NO"))</f>
        <v/>
      </c>
      <c r="H9" t="str">
        <f>IF(SUMIFS(RECORRIDAS!Q:Q,RECORRIDAS!$A:$A,'NO USAR - RECORRIDA'!$A9,RECORRIDAS!$D:$D,"NO")=0,"",SUMIFS(RECORRIDAS!Q:Q,RECORRIDAS!$A:$A,'NO USAR - RECORRIDA'!$A9,RECORRIDAS!$D:$D,"NO"))</f>
        <v/>
      </c>
      <c r="I9" t="str">
        <f>IF(SUMIFS(RECORRIDAS!R:R,RECORRIDAS!$A:$A,'NO USAR - RECORRIDA'!$A9,RECORRIDAS!$D:$D,"NO")=0,"",SUMIFS(RECORRIDAS!R:R,RECORRIDAS!$A:$A,'NO USAR - RECORRIDA'!$A9,RECORRIDAS!$D:$D,"NO"))</f>
        <v/>
      </c>
      <c r="J9" s="802">
        <f>IF(SUMIFS(RECORRIDAS!S:S,RECORRIDAS!$A:$A,'NO USAR - RECORRIDA'!$A9,RECORRIDAS!$D:$D,"NO")=0,"",SUMIFS(RECORRIDAS!S:S,RECORRIDAS!$A:$A,'NO USAR - RECORRIDA'!$A9,RECORRIDAS!$D:$D,"NO"))</f>
        <v>2</v>
      </c>
      <c r="M9" t="s">
        <v>378</v>
      </c>
      <c r="N9">
        <v>1</v>
      </c>
      <c r="O9">
        <v>1</v>
      </c>
      <c r="P9">
        <v>2</v>
      </c>
      <c r="Q9">
        <v>3</v>
      </c>
      <c r="R9">
        <v>2</v>
      </c>
      <c r="S9">
        <v>2</v>
      </c>
      <c r="T9">
        <v>2</v>
      </c>
      <c r="U9">
        <v>2</v>
      </c>
      <c r="V9">
        <v>2</v>
      </c>
    </row>
    <row r="10" spans="1:22" ht="15" customHeight="1">
      <c r="A10" s="803">
        <f t="shared" si="0"/>
        <v>40</v>
      </c>
      <c r="B10" s="808">
        <f>IF(SUMIFS(RECORRIDAS!K:K,RECORRIDAS!$A:$A,'NO USAR - RECORRIDA'!$A10,RECORRIDAS!$D:$D,"SI")=0,"",SUMIFS(RECORRIDAS!K:K,RECORRIDAS!$A:$A,'NO USAR - RECORRIDA'!$A10,RECORRIDAS!$D:$D,"SI"))</f>
        <v>8</v>
      </c>
      <c r="C10" s="809">
        <f>IF(SUMIFS(RECORRIDAS!L:L,RECORRIDAS!$A:$A,'NO USAR - RECORRIDA'!$A10,RECORRIDAS!$D:$D,"SI")=0,"",SUMIFS(RECORRIDAS!L:L,RECORRIDAS!$A:$A,'NO USAR - RECORRIDA'!$A10,RECORRIDAS!$D:$D,"SI"))</f>
        <v>8</v>
      </c>
      <c r="D10" s="809">
        <f>IF(SUMIFS(RECORRIDAS!M:M,RECORRIDAS!$A:$A,'NO USAR - RECORRIDA'!$A10,RECORRIDAS!$D:$D,"SI")=0,"",SUMIFS(RECORRIDAS!M:M,RECORRIDAS!$A:$A,'NO USAR - RECORRIDA'!$A10,RECORRIDAS!$D:$D,"SI"))</f>
        <v>8</v>
      </c>
      <c r="E10" s="809">
        <f>IF(SUMIFS(RECORRIDAS!N:N,RECORRIDAS!$A:$A,'NO USAR - RECORRIDA'!$A10,RECORRIDAS!$D:$D,"SI")=0,"",SUMIFS(RECORRIDAS!N:N,RECORRIDAS!$A:$A,'NO USAR - RECORRIDA'!$A10,RECORRIDAS!$D:$D,"SI"))</f>
        <v>8</v>
      </c>
      <c r="F10" s="809">
        <f>IF(SUMIFS(RECORRIDAS!O:O,RECORRIDAS!$A:$A,'NO USAR - RECORRIDA'!$A10,RECORRIDAS!$D:$D,"SI")=0,"",SUMIFS(RECORRIDAS!O:O,RECORRIDAS!$A:$A,'NO USAR - RECORRIDA'!$A10,RECORRIDAS!$D:$D,"SI"))</f>
        <v>8</v>
      </c>
      <c r="G10" s="809">
        <f>IF(SUMIFS(RECORRIDAS!P:P,RECORRIDAS!$A:$A,'NO USAR - RECORRIDA'!$A10,RECORRIDAS!$D:$D,"SI")=0,"",SUMIFS(RECORRIDAS!P:P,RECORRIDAS!$A:$A,'NO USAR - RECORRIDA'!$A10,RECORRIDAS!$D:$D,"SI"))</f>
        <v>8</v>
      </c>
      <c r="H10" s="809">
        <f>IF(SUMIFS(RECORRIDAS!Q:Q,RECORRIDAS!$A:$A,'NO USAR - RECORRIDA'!$A10,RECORRIDAS!$D:$D,"SI")=0,"",SUMIFS(RECORRIDAS!Q:Q,RECORRIDAS!$A:$A,'NO USAR - RECORRIDA'!$A10,RECORRIDAS!$D:$D,"SI"))</f>
        <v>8</v>
      </c>
      <c r="I10" s="809">
        <f>IF(SUMIFS(RECORRIDAS!R:R,RECORRIDAS!$A:$A,'NO USAR - RECORRIDA'!$A10,RECORRIDAS!$D:$D,"SI")=0,"",SUMIFS(RECORRIDAS!R:R,RECORRIDAS!$A:$A,'NO USAR - RECORRIDA'!$A10,RECORRIDAS!$D:$D,"SI"))</f>
        <v>8</v>
      </c>
      <c r="J10" s="817">
        <f>IF(SUMIFS(RECORRIDAS!S:S,RECORRIDAS!$A:$A,'NO USAR - RECORRIDA'!$A10,RECORRIDAS!$D:$D,"SI")=0,"",SUMIFS(RECORRIDAS!S:S,RECORRIDAS!$A:$A,'NO USAR - RECORRIDA'!$A10,RECORRIDAS!$D:$D,"SI"))</f>
        <v>9</v>
      </c>
      <c r="L10" t="s">
        <v>1454</v>
      </c>
      <c r="M10" t="s">
        <v>339</v>
      </c>
      <c r="O10">
        <v>1</v>
      </c>
      <c r="Q10">
        <v>1</v>
      </c>
      <c r="T10">
        <v>1</v>
      </c>
      <c r="V10">
        <v>2</v>
      </c>
    </row>
    <row r="11" spans="1:22" ht="15" customHeight="1">
      <c r="A11" s="801">
        <f t="shared" si="0"/>
        <v>41</v>
      </c>
      <c r="B11" s="810">
        <f>IF(SUMIFS(RECORRIDAS!K:K,RECORRIDAS!$A:$A,'NO USAR - RECORRIDA'!$A11,RECORRIDAS!$D:$D,"NO")=0,"",SUMIFS(RECORRIDAS!K:K,RECORRIDAS!$A:$A,'NO USAR - RECORRIDA'!$A11,RECORRIDAS!$D:$D,"NO"))</f>
        <v>2</v>
      </c>
      <c r="C11" s="811" t="str">
        <f>IF(SUMIFS(RECORRIDAS!L:L,RECORRIDAS!$A:$A,'NO USAR - RECORRIDA'!$A11,RECORRIDAS!$D:$D,"NO")=0,"",SUMIFS(RECORRIDAS!L:L,RECORRIDAS!$A:$A,'NO USAR - RECORRIDA'!$A11,RECORRIDAS!$D:$D,"NO"))</f>
        <v/>
      </c>
      <c r="D11" s="811">
        <f>IF(SUMIFS(RECORRIDAS!M:M,RECORRIDAS!$A:$A,'NO USAR - RECORRIDA'!$A11,RECORRIDAS!$D:$D,"NO")=0,"",SUMIFS(RECORRIDAS!M:M,RECORRIDAS!$A:$A,'NO USAR - RECORRIDA'!$A11,RECORRIDAS!$D:$D,"NO"))</f>
        <v>1</v>
      </c>
      <c r="E11" s="811">
        <f>IF(SUMIFS(RECORRIDAS!N:N,RECORRIDAS!$A:$A,'NO USAR - RECORRIDA'!$A11,RECORRIDAS!$D:$D,"NO")=0,"",SUMIFS(RECORRIDAS!N:N,RECORRIDAS!$A:$A,'NO USAR - RECORRIDA'!$A11,RECORRIDAS!$D:$D,"NO"))</f>
        <v>1</v>
      </c>
      <c r="F11" s="811">
        <f>IF(SUMIFS(RECORRIDAS!O:O,RECORRIDAS!$A:$A,'NO USAR - RECORRIDA'!$A11,RECORRIDAS!$D:$D,"NO")=0,"",SUMIFS(RECORRIDAS!O:O,RECORRIDAS!$A:$A,'NO USAR - RECORRIDA'!$A11,RECORRIDAS!$D:$D,"NO"))</f>
        <v>4</v>
      </c>
      <c r="G11" s="811" t="str">
        <f>IF(SUMIFS(RECORRIDAS!P:P,RECORRIDAS!$A:$A,'NO USAR - RECORRIDA'!$A11,RECORRIDAS!$D:$D,"NO")=0,"",SUMIFS(RECORRIDAS!P:P,RECORRIDAS!$A:$A,'NO USAR - RECORRIDA'!$A11,RECORRIDAS!$D:$D,"NO"))</f>
        <v/>
      </c>
      <c r="H11" s="811" t="str">
        <f>IF(SUMIFS(RECORRIDAS!Q:Q,RECORRIDAS!$A:$A,'NO USAR - RECORRIDA'!$A11,RECORRIDAS!$D:$D,"NO")=0,"",SUMIFS(RECORRIDAS!Q:Q,RECORRIDAS!$A:$A,'NO USAR - RECORRIDA'!$A11,RECORRIDAS!$D:$D,"NO"))</f>
        <v/>
      </c>
      <c r="I11" s="811">
        <f>IF(SUMIFS(RECORRIDAS!R:R,RECORRIDAS!$A:$A,'NO USAR - RECORRIDA'!$A11,RECORRIDAS!$D:$D,"NO")=0,"",SUMIFS(RECORRIDAS!R:R,RECORRIDAS!$A:$A,'NO USAR - RECORRIDA'!$A11,RECORRIDAS!$D:$D,"NO"))</f>
        <v>1</v>
      </c>
      <c r="J11" s="812">
        <f>IF(SUMIFS(RECORRIDAS!S:S,RECORRIDAS!$A:$A,'NO USAR - RECORRIDA'!$A11,RECORRIDAS!$D:$D,"NO")=0,"",SUMIFS(RECORRIDAS!S:S,RECORRIDAS!$A:$A,'NO USAR - RECORRIDA'!$A11,RECORRIDAS!$D:$D,"NO"))</f>
        <v>1</v>
      </c>
      <c r="M11" t="s">
        <v>378</v>
      </c>
      <c r="U11">
        <v>2</v>
      </c>
      <c r="V11">
        <v>3</v>
      </c>
    </row>
    <row r="12" spans="1:22" ht="15" customHeight="1">
      <c r="A12" s="803">
        <f t="shared" si="0"/>
        <v>41</v>
      </c>
      <c r="B12" s="804">
        <f>IF(SUMIFS(RECORRIDAS!K:K,RECORRIDAS!$A:$A,'NO USAR - RECORRIDA'!$A12,RECORRIDAS!$D:$D,"SI")=0,"",SUMIFS(RECORRIDAS!K:K,RECORRIDAS!$A:$A,'NO USAR - RECORRIDA'!$A12,RECORRIDAS!$D:$D,"SI"))</f>
        <v>5</v>
      </c>
      <c r="C12" s="804">
        <f>IF(SUMIFS(RECORRIDAS!L:L,RECORRIDAS!$A:$A,'NO USAR - RECORRIDA'!$A12,RECORRIDAS!$D:$D,"SI")=0,"",SUMIFS(RECORRIDAS!L:L,RECORRIDAS!$A:$A,'NO USAR - RECORRIDA'!$A12,RECORRIDAS!$D:$D,"SI"))</f>
        <v>5</v>
      </c>
      <c r="D12" s="804">
        <f>IF(SUMIFS(RECORRIDAS!M:M,RECORRIDAS!$A:$A,'NO USAR - RECORRIDA'!$A12,RECORRIDAS!$D:$D,"SI")=0,"",SUMIFS(RECORRIDAS!M:M,RECORRIDAS!$A:$A,'NO USAR - RECORRIDA'!$A12,RECORRIDAS!$D:$D,"SI"))</f>
        <v>5</v>
      </c>
      <c r="E12" s="804">
        <f>IF(SUMIFS(RECORRIDAS!N:N,RECORRIDAS!$A:$A,'NO USAR - RECORRIDA'!$A12,RECORRIDAS!$D:$D,"SI")=0,"",SUMIFS(RECORRIDAS!N:N,RECORRIDAS!$A:$A,'NO USAR - RECORRIDA'!$A12,RECORRIDAS!$D:$D,"SI"))</f>
        <v>5</v>
      </c>
      <c r="F12" s="804">
        <f>IF(SUMIFS(RECORRIDAS!O:O,RECORRIDAS!$A:$A,'NO USAR - RECORRIDA'!$A12,RECORRIDAS!$D:$D,"SI")=0,"",SUMIFS(RECORRIDAS!O:O,RECORRIDAS!$A:$A,'NO USAR - RECORRIDA'!$A12,RECORRIDAS!$D:$D,"SI"))</f>
        <v>5</v>
      </c>
      <c r="G12" s="804">
        <f>IF(SUMIFS(RECORRIDAS!P:P,RECORRIDAS!$A:$A,'NO USAR - RECORRIDA'!$A12,RECORRIDAS!$D:$D,"SI")=0,"",SUMIFS(RECORRIDAS!P:P,RECORRIDAS!$A:$A,'NO USAR - RECORRIDA'!$A12,RECORRIDAS!$D:$D,"SI"))</f>
        <v>5</v>
      </c>
      <c r="H12" s="804">
        <f>IF(SUMIFS(RECORRIDAS!Q:Q,RECORRIDAS!$A:$A,'NO USAR - RECORRIDA'!$A12,RECORRIDAS!$D:$D,"SI")=0,"",SUMIFS(RECORRIDAS!Q:Q,RECORRIDAS!$A:$A,'NO USAR - RECORRIDA'!$A12,RECORRIDAS!$D:$D,"SI"))</f>
        <v>5</v>
      </c>
      <c r="I12" s="804">
        <f>IF(SUMIFS(RECORRIDAS!R:R,RECORRIDAS!$A:$A,'NO USAR - RECORRIDA'!$A12,RECORRIDAS!$D:$D,"SI")=0,"",SUMIFS(RECORRIDAS!R:R,RECORRIDAS!$A:$A,'NO USAR - RECORRIDA'!$A12,RECORRIDAS!$D:$D,"SI"))</f>
        <v>5</v>
      </c>
      <c r="J12" s="805">
        <f>IF(SUMIFS(RECORRIDAS!S:S,RECORRIDAS!$A:$A,'NO USAR - RECORRIDA'!$A12,RECORRIDAS!$D:$D,"SI")=0,"",SUMIFS(RECORRIDAS!S:S,RECORRIDAS!$A:$A,'NO USAR - RECORRIDA'!$A12,RECORRIDAS!$D:$D,"SI"))</f>
        <v>5</v>
      </c>
      <c r="L12" t="s">
        <v>656</v>
      </c>
      <c r="N12">
        <v>4</v>
      </c>
      <c r="O12">
        <v>8</v>
      </c>
      <c r="P12">
        <v>8</v>
      </c>
      <c r="Q12">
        <v>13</v>
      </c>
      <c r="R12">
        <v>6</v>
      </c>
      <c r="S12">
        <v>5</v>
      </c>
      <c r="T12">
        <v>9</v>
      </c>
      <c r="U12">
        <v>13</v>
      </c>
      <c r="V12">
        <v>16</v>
      </c>
    </row>
    <row r="13" spans="1:22" ht="15" customHeight="1">
      <c r="A13" s="801">
        <f t="shared" si="0"/>
        <v>42</v>
      </c>
      <c r="B13" s="810" t="str">
        <f>IF(SUMIFS(RECORRIDAS!K:K,RECORRIDAS!$A:$A,'NO USAR - RECORRIDA'!$A13,RECORRIDAS!$D:$D,"NO")=0,"",SUMIFS(RECORRIDAS!K:K,RECORRIDAS!$A:$A,'NO USAR - RECORRIDA'!$A13,RECORRIDAS!$D:$D,"NO"))</f>
        <v/>
      </c>
      <c r="C13" s="811" t="str">
        <f>IF(SUMIFS(RECORRIDAS!L:L,RECORRIDAS!$A:$A,'NO USAR - RECORRIDA'!$A13,RECORRIDAS!$D:$D,"NO")=0,"",SUMIFS(RECORRIDAS!L:L,RECORRIDAS!$A:$A,'NO USAR - RECORRIDA'!$A13,RECORRIDAS!$D:$D,"NO"))</f>
        <v/>
      </c>
      <c r="D13" s="811" t="str">
        <f>IF(SUMIFS(RECORRIDAS!M:M,RECORRIDAS!$A:$A,'NO USAR - RECORRIDA'!$A13,RECORRIDAS!$D:$D,"NO")=0,"",SUMIFS(RECORRIDAS!M:M,RECORRIDAS!$A:$A,'NO USAR - RECORRIDA'!$A13,RECORRIDAS!$D:$D,"NO"))</f>
        <v/>
      </c>
      <c r="E13" s="811">
        <f>IF(SUMIFS(RECORRIDAS!N:N,RECORRIDAS!$A:$A,'NO USAR - RECORRIDA'!$A13,RECORRIDAS!$D:$D,"NO")=0,"",SUMIFS(RECORRIDAS!N:N,RECORRIDAS!$A:$A,'NO USAR - RECORRIDA'!$A13,RECORRIDAS!$D:$D,"NO"))</f>
        <v>4</v>
      </c>
      <c r="F13" s="811">
        <f>IF(SUMIFS(RECORRIDAS!O:O,RECORRIDAS!$A:$A,'NO USAR - RECORRIDA'!$A13,RECORRIDAS!$D:$D,"NO")=0,"",SUMIFS(RECORRIDAS!O:O,RECORRIDAS!$A:$A,'NO USAR - RECORRIDA'!$A13,RECORRIDAS!$D:$D,"NO"))</f>
        <v>1</v>
      </c>
      <c r="G13" s="811" t="str">
        <f>IF(SUMIFS(RECORRIDAS!P:P,RECORRIDAS!$A:$A,'NO USAR - RECORRIDA'!$A13,RECORRIDAS!$D:$D,"NO")=0,"",SUMIFS(RECORRIDAS!P:P,RECORRIDAS!$A:$A,'NO USAR - RECORRIDA'!$A13,RECORRIDAS!$D:$D,"NO"))</f>
        <v/>
      </c>
      <c r="H13" s="811" t="str">
        <f>IF(SUMIFS(RECORRIDAS!Q:Q,RECORRIDAS!$A:$A,'NO USAR - RECORRIDA'!$A13,RECORRIDAS!$D:$D,"NO")=0,"",SUMIFS(RECORRIDAS!Q:Q,RECORRIDAS!$A:$A,'NO USAR - RECORRIDA'!$A13,RECORRIDAS!$D:$D,"NO"))</f>
        <v/>
      </c>
      <c r="I13" s="811" t="str">
        <f>IF(SUMIFS(RECORRIDAS!R:R,RECORRIDAS!$A:$A,'NO USAR - RECORRIDA'!$A13,RECORRIDAS!$D:$D,"NO")=0,"",SUMIFS(RECORRIDAS!R:R,RECORRIDAS!$A:$A,'NO USAR - RECORRIDA'!$A13,RECORRIDAS!$D:$D,"NO"))</f>
        <v/>
      </c>
      <c r="J13" s="812" t="str">
        <f>IF(SUMIFS(RECORRIDAS!S:S,RECORRIDAS!$A:$A,'NO USAR - RECORRIDA'!$A13,RECORRIDAS!$D:$D,"NO")=0,"",SUMIFS(RECORRIDAS!S:S,RECORRIDAS!$A:$A,'NO USAR - RECORRIDA'!$A13,RECORRIDAS!$D:$D,"NO"))</f>
        <v/>
      </c>
    </row>
    <row r="14" spans="1:22" ht="15" customHeight="1">
      <c r="A14" s="803">
        <f t="shared" si="0"/>
        <v>42</v>
      </c>
      <c r="B14" s="804">
        <f>IF(SUMIFS(RECORRIDAS!K:K,RECORRIDAS!$A:$A,'NO USAR - RECORRIDA'!$A14,RECORRIDAS!$D:$D,"SI")=0,"",SUMIFS(RECORRIDAS!K:K,RECORRIDAS!$A:$A,'NO USAR - RECORRIDA'!$A14,RECORRIDAS!$D:$D,"SI"))</f>
        <v>3</v>
      </c>
      <c r="C14" s="804">
        <f>IF(SUMIFS(RECORRIDAS!L:L,RECORRIDAS!$A:$A,'NO USAR - RECORRIDA'!$A14,RECORRIDAS!$D:$D,"SI")=0,"",SUMIFS(RECORRIDAS!L:L,RECORRIDAS!$A:$A,'NO USAR - RECORRIDA'!$A14,RECORRIDAS!$D:$D,"SI"))</f>
        <v>3</v>
      </c>
      <c r="D14" s="804">
        <f>IF(SUMIFS(RECORRIDAS!M:M,RECORRIDAS!$A:$A,'NO USAR - RECORRIDA'!$A14,RECORRIDAS!$D:$D,"SI")=0,"",SUMIFS(RECORRIDAS!M:M,RECORRIDAS!$A:$A,'NO USAR - RECORRIDA'!$A14,RECORRIDAS!$D:$D,"SI"))</f>
        <v>3</v>
      </c>
      <c r="E14" s="804">
        <f>IF(SUMIFS(RECORRIDAS!N:N,RECORRIDAS!$A:$A,'NO USAR - RECORRIDA'!$A14,RECORRIDAS!$D:$D,"SI")=0,"",SUMIFS(RECORRIDAS!N:N,RECORRIDAS!$A:$A,'NO USAR - RECORRIDA'!$A14,RECORRIDAS!$D:$D,"SI"))</f>
        <v>3</v>
      </c>
      <c r="F14" s="804">
        <f>IF(SUMIFS(RECORRIDAS!O:O,RECORRIDAS!$A:$A,'NO USAR - RECORRIDA'!$A14,RECORRIDAS!$D:$D,"SI")=0,"",SUMIFS(RECORRIDAS!O:O,RECORRIDAS!$A:$A,'NO USAR - RECORRIDA'!$A14,RECORRIDAS!$D:$D,"SI"))</f>
        <v>3</v>
      </c>
      <c r="G14" s="804">
        <f>IF(SUMIFS(RECORRIDAS!P:P,RECORRIDAS!$A:$A,'NO USAR - RECORRIDA'!$A14,RECORRIDAS!$D:$D,"SI")=0,"",SUMIFS(RECORRIDAS!P:P,RECORRIDAS!$A:$A,'NO USAR - RECORRIDA'!$A14,RECORRIDAS!$D:$D,"SI"))</f>
        <v>3</v>
      </c>
      <c r="H14" s="804">
        <f>IF(SUMIFS(RECORRIDAS!Q:Q,RECORRIDAS!$A:$A,'NO USAR - RECORRIDA'!$A14,RECORRIDAS!$D:$D,"SI")=0,"",SUMIFS(RECORRIDAS!Q:Q,RECORRIDAS!$A:$A,'NO USAR - RECORRIDA'!$A14,RECORRIDAS!$D:$D,"SI"))</f>
        <v>3</v>
      </c>
      <c r="I14" s="804">
        <f>IF(SUMIFS(RECORRIDAS!R:R,RECORRIDAS!$A:$A,'NO USAR - RECORRIDA'!$A14,RECORRIDAS!$D:$D,"SI")=0,"",SUMIFS(RECORRIDAS!R:R,RECORRIDAS!$A:$A,'NO USAR - RECORRIDA'!$A14,RECORRIDAS!$D:$D,"SI"))</f>
        <v>3</v>
      </c>
      <c r="J14" s="805">
        <f>IF(SUMIFS(RECORRIDAS!S:S,RECORRIDAS!$A:$A,'NO USAR - RECORRIDA'!$A14,RECORRIDAS!$D:$D,"SI")=0,"",SUMIFS(RECORRIDAS!S:S,RECORRIDAS!$A:$A,'NO USAR - RECORRIDA'!$A14,RECORRIDAS!$D:$D,"SI"))</f>
        <v>3</v>
      </c>
    </row>
    <row r="15" spans="1:22" ht="15" customHeight="1">
      <c r="A15" s="801">
        <f t="shared" si="0"/>
        <v>43</v>
      </c>
      <c r="B15" s="813">
        <f>IF(SUMIFS(RECORRIDAS!K:K,RECORRIDAS!$A:$A,'NO USAR - RECORRIDA'!$A15,RECORRIDAS!$D:$D,"NO")=0,"",SUMIFS(RECORRIDAS!K:K,RECORRIDAS!$A:$A,'NO USAR - RECORRIDA'!$A15,RECORRIDAS!$D:$D,"NO"))</f>
        <v>3</v>
      </c>
      <c r="C15" t="str">
        <f>IF(SUMIFS(RECORRIDAS!L:L,RECORRIDAS!$A:$A,'NO USAR - RECORRIDA'!$A15,RECORRIDAS!$D:$D,"NO")=0,"",SUMIFS(RECORRIDAS!L:L,RECORRIDAS!$A:$A,'NO USAR - RECORRIDA'!$A15,RECORRIDAS!$D:$D,"NO"))</f>
        <v/>
      </c>
      <c r="D15">
        <f>IF(SUMIFS(RECORRIDAS!M:M,RECORRIDAS!$A:$A,'NO USAR - RECORRIDA'!$A15,RECORRIDAS!$D:$D,"NO")=0,"",SUMIFS(RECORRIDAS!M:M,RECORRIDAS!$A:$A,'NO USAR - RECORRIDA'!$A15,RECORRIDAS!$D:$D,"NO"))</f>
        <v>3</v>
      </c>
      <c r="E15">
        <f>IF(SUMIFS(RECORRIDAS!N:N,RECORRIDAS!$A:$A,'NO USAR - RECORRIDA'!$A15,RECORRIDAS!$D:$D,"NO")=0,"",SUMIFS(RECORRIDAS!N:N,RECORRIDAS!$A:$A,'NO USAR - RECORRIDA'!$A15,RECORRIDAS!$D:$D,"NO"))</f>
        <v>12</v>
      </c>
      <c r="F15">
        <f>IF(SUMIFS(RECORRIDAS!O:O,RECORRIDAS!$A:$A,'NO USAR - RECORRIDA'!$A15,RECORRIDAS!$D:$D,"NO")=0,"",SUMIFS(RECORRIDAS!O:O,RECORRIDAS!$A:$A,'NO USAR - RECORRIDA'!$A15,RECORRIDAS!$D:$D,"NO"))</f>
        <v>9</v>
      </c>
      <c r="G15">
        <f>IF(SUMIFS(RECORRIDAS!P:P,RECORRIDAS!$A:$A,'NO USAR - RECORRIDA'!$A15,RECORRIDAS!$D:$D,"NO")=0,"",SUMIFS(RECORRIDAS!P:P,RECORRIDAS!$A:$A,'NO USAR - RECORRIDA'!$A15,RECORRIDAS!$D:$D,"NO"))</f>
        <v>2</v>
      </c>
      <c r="H15" t="str">
        <f>IF(SUMIFS(RECORRIDAS!Q:Q,RECORRIDAS!$A:$A,'NO USAR - RECORRIDA'!$A15,RECORRIDAS!$D:$D,"NO")=0,"",SUMIFS(RECORRIDAS!Q:Q,RECORRIDAS!$A:$A,'NO USAR - RECORRIDA'!$A15,RECORRIDAS!$D:$D,"NO"))</f>
        <v/>
      </c>
      <c r="I15" t="str">
        <f>IF(SUMIFS(RECORRIDAS!R:R,RECORRIDAS!$A:$A,'NO USAR - RECORRIDA'!$A15,RECORRIDAS!$D:$D,"NO")=0,"",SUMIFS(RECORRIDAS!R:R,RECORRIDAS!$A:$A,'NO USAR - RECORRIDA'!$A15,RECORRIDAS!$D:$D,"NO"))</f>
        <v/>
      </c>
      <c r="J15" s="802">
        <f>IF(SUMIFS(RECORRIDAS!S:S,RECORRIDAS!$A:$A,'NO USAR - RECORRIDA'!$A15,RECORRIDAS!$D:$D,"NO")=0,"",SUMIFS(RECORRIDAS!S:S,RECORRIDAS!$A:$A,'NO USAR - RECORRIDA'!$A15,RECORRIDAS!$D:$D,"NO"))</f>
        <v>4</v>
      </c>
    </row>
    <row r="16" spans="1:22" ht="15" customHeight="1">
      <c r="A16" s="803">
        <f t="shared" si="0"/>
        <v>43</v>
      </c>
      <c r="B16" s="808">
        <f>IF(SUMIFS(RECORRIDAS!K:K,RECORRIDAS!$A:$A,'NO USAR - RECORRIDA'!$A16,RECORRIDAS!$D:$D,"SI")=0,"",SUMIFS(RECORRIDAS!K:K,RECORRIDAS!$A:$A,'NO USAR - RECORRIDA'!$A16,RECORRIDAS!$D:$D,"SI"))</f>
        <v>12</v>
      </c>
      <c r="C16" s="809">
        <f>IF(SUMIFS(RECORRIDAS!L:L,RECORRIDAS!$A:$A,'NO USAR - RECORRIDA'!$A16,RECORRIDAS!$D:$D,"SI")=0,"",SUMIFS(RECORRIDAS!L:L,RECORRIDAS!$A:$A,'NO USAR - RECORRIDA'!$A16,RECORRIDAS!$D:$D,"SI"))</f>
        <v>12</v>
      </c>
      <c r="D16" s="809">
        <f>IF(SUMIFS(RECORRIDAS!M:M,RECORRIDAS!$A:$A,'NO USAR - RECORRIDA'!$A16,RECORRIDAS!$D:$D,"SI")=0,"",SUMIFS(RECORRIDAS!M:M,RECORRIDAS!$A:$A,'NO USAR - RECORRIDA'!$A16,RECORRIDAS!$D:$D,"SI"))</f>
        <v>12</v>
      </c>
      <c r="E16" s="809">
        <f>IF(SUMIFS(RECORRIDAS!N:N,RECORRIDAS!$A:$A,'NO USAR - RECORRIDA'!$A16,RECORRIDAS!$D:$D,"SI")=0,"",SUMIFS(RECORRIDAS!N:N,RECORRIDAS!$A:$A,'NO USAR - RECORRIDA'!$A16,RECORRIDAS!$D:$D,"SI"))</f>
        <v>12</v>
      </c>
      <c r="F16" s="809">
        <f>IF(SUMIFS(RECORRIDAS!O:O,RECORRIDAS!$A:$A,'NO USAR - RECORRIDA'!$A16,RECORRIDAS!$D:$D,"SI")=0,"",SUMIFS(RECORRIDAS!O:O,RECORRIDAS!$A:$A,'NO USAR - RECORRIDA'!$A16,RECORRIDAS!$D:$D,"SI"))</f>
        <v>12</v>
      </c>
      <c r="G16" s="809">
        <f>IF(SUMIFS(RECORRIDAS!P:P,RECORRIDAS!$A:$A,'NO USAR - RECORRIDA'!$A16,RECORRIDAS!$D:$D,"SI")=0,"",SUMIFS(RECORRIDAS!P:P,RECORRIDAS!$A:$A,'NO USAR - RECORRIDA'!$A16,RECORRIDAS!$D:$D,"SI"))</f>
        <v>12</v>
      </c>
      <c r="H16" s="809">
        <f>IF(SUMIFS(RECORRIDAS!Q:Q,RECORRIDAS!$A:$A,'NO USAR - RECORRIDA'!$A16,RECORRIDAS!$D:$D,"SI")=0,"",SUMIFS(RECORRIDAS!Q:Q,RECORRIDAS!$A:$A,'NO USAR - RECORRIDA'!$A16,RECORRIDAS!$D:$D,"SI"))</f>
        <v>12</v>
      </c>
      <c r="I16" s="809">
        <f>IF(SUMIFS(RECORRIDAS!R:R,RECORRIDAS!$A:$A,'NO USAR - RECORRIDA'!$A16,RECORRIDAS!$D:$D,"SI")=0,"",SUMIFS(RECORRIDAS!R:R,RECORRIDAS!$A:$A,'NO USAR - RECORRIDA'!$A16,RECORRIDAS!$D:$D,"SI"))</f>
        <v>12</v>
      </c>
      <c r="J16" s="817">
        <f>IF(SUMIFS(RECORRIDAS!S:S,RECORRIDAS!$A:$A,'NO USAR - RECORRIDA'!$A16,RECORRIDAS!$D:$D,"SI")=0,"",SUMIFS(RECORRIDAS!S:S,RECORRIDAS!$A:$A,'NO USAR - RECORRIDA'!$A16,RECORRIDAS!$D:$D,"SI"))</f>
        <v>12</v>
      </c>
    </row>
    <row r="17" spans="1:51" ht="15" customHeight="1">
      <c r="A17" s="801">
        <f t="shared" si="0"/>
        <v>44</v>
      </c>
      <c r="B17" s="810">
        <f>IF(SUMIFS(RECORRIDAS!K:K,RECORRIDAS!$A:$A,'NO USAR - RECORRIDA'!$A17,RECORRIDAS!$D:$D,"NO")=0,"",SUMIFS(RECORRIDAS!K:K,RECORRIDAS!$A:$A,'NO USAR - RECORRIDA'!$A17,RECORRIDAS!$D:$D,"NO"))</f>
        <v>6</v>
      </c>
      <c r="C17" s="811" t="str">
        <f>IF(SUMIFS(RECORRIDAS!L:L,RECORRIDAS!$A:$A,'NO USAR - RECORRIDA'!$A17,RECORRIDAS!$D:$D,"NO")=0,"",SUMIFS(RECORRIDAS!L:L,RECORRIDAS!$A:$A,'NO USAR - RECORRIDA'!$A17,RECORRIDAS!$D:$D,"NO"))</f>
        <v/>
      </c>
      <c r="D17" s="811">
        <f>IF(SUMIFS(RECORRIDAS!M:M,RECORRIDAS!$A:$A,'NO USAR - RECORRIDA'!$A17,RECORRIDAS!$D:$D,"NO")=0,"",SUMIFS(RECORRIDAS!M:M,RECORRIDAS!$A:$A,'NO USAR - RECORRIDA'!$A17,RECORRIDAS!$D:$D,"NO"))</f>
        <v>7</v>
      </c>
      <c r="E17" s="811">
        <f>IF(SUMIFS(RECORRIDAS!N:N,RECORRIDAS!$A:$A,'NO USAR - RECORRIDA'!$A17,RECORRIDAS!$D:$D,"NO")=0,"",SUMIFS(RECORRIDAS!N:N,RECORRIDAS!$A:$A,'NO USAR - RECORRIDA'!$A17,RECORRIDAS!$D:$D,"NO"))</f>
        <v>14</v>
      </c>
      <c r="F17" s="811">
        <f>IF(SUMIFS(RECORRIDAS!O:O,RECORRIDAS!$A:$A,'NO USAR - RECORRIDA'!$A17,RECORRIDAS!$D:$D,"NO")=0,"",SUMIFS(RECORRIDAS!O:O,RECORRIDAS!$A:$A,'NO USAR - RECORRIDA'!$A17,RECORRIDAS!$D:$D,"NO"))</f>
        <v>15</v>
      </c>
      <c r="G17" s="811" t="str">
        <f>IF(SUMIFS(RECORRIDAS!P:P,RECORRIDAS!$A:$A,'NO USAR - RECORRIDA'!$A17,RECORRIDAS!$D:$D,"NO")=0,"",SUMIFS(RECORRIDAS!P:P,RECORRIDAS!$A:$A,'NO USAR - RECORRIDA'!$A17,RECORRIDAS!$D:$D,"NO"))</f>
        <v/>
      </c>
      <c r="H17" s="811">
        <f>IF(SUMIFS(RECORRIDAS!Q:Q,RECORRIDAS!$A:$A,'NO USAR - RECORRIDA'!$A17,RECORRIDAS!$D:$D,"NO")=0,"",SUMIFS(RECORRIDAS!Q:Q,RECORRIDAS!$A:$A,'NO USAR - RECORRIDA'!$A17,RECORRIDAS!$D:$D,"NO"))</f>
        <v>2</v>
      </c>
      <c r="I17" s="811">
        <f>IF(SUMIFS(RECORRIDAS!R:R,RECORRIDAS!$A:$A,'NO USAR - RECORRIDA'!$A17,RECORRIDAS!$D:$D,"NO")=0,"",SUMIFS(RECORRIDAS!R:R,RECORRIDAS!$A:$A,'NO USAR - RECORRIDA'!$A17,RECORRIDAS!$D:$D,"NO"))</f>
        <v>1</v>
      </c>
      <c r="J17" s="812">
        <f>IF(SUMIFS(RECORRIDAS!S:S,RECORRIDAS!$A:$A,'NO USAR - RECORRIDA'!$A17,RECORRIDAS!$D:$D,"NO")=0,"",SUMIFS(RECORRIDAS!S:S,RECORRIDAS!$A:$A,'NO USAR - RECORRIDA'!$A17,RECORRIDAS!$D:$D,"NO"))</f>
        <v>8</v>
      </c>
    </row>
    <row r="18" spans="1:51" ht="15" customHeight="1">
      <c r="A18" s="803">
        <f t="shared" si="0"/>
        <v>44</v>
      </c>
      <c r="B18" s="804">
        <f>IF(SUMIFS(RECORRIDAS!K:K,RECORRIDAS!$A:$A,'NO USAR - RECORRIDA'!$A18,RECORRIDAS!$D:$D,"SI")=0,"",SUMIFS(RECORRIDAS!K:K,RECORRIDAS!$A:$A,'NO USAR - RECORRIDA'!$A18,RECORRIDAS!$D:$D,"SI"))</f>
        <v>11</v>
      </c>
      <c r="C18" s="804">
        <f>IF(SUMIFS(RECORRIDAS!L:L,RECORRIDAS!$A:$A,'NO USAR - RECORRIDA'!$A18,RECORRIDAS!$D:$D,"SI")=0,"",SUMIFS(RECORRIDAS!L:L,RECORRIDAS!$A:$A,'NO USAR - RECORRIDA'!$A18,RECORRIDAS!$D:$D,"SI"))</f>
        <v>11</v>
      </c>
      <c r="D18" s="804">
        <f>IF(SUMIFS(RECORRIDAS!M:M,RECORRIDAS!$A:$A,'NO USAR - RECORRIDA'!$A18,RECORRIDAS!$D:$D,"SI")=0,"",SUMIFS(RECORRIDAS!M:M,RECORRIDAS!$A:$A,'NO USAR - RECORRIDA'!$A18,RECORRIDAS!$D:$D,"SI"))</f>
        <v>11</v>
      </c>
      <c r="E18" s="804">
        <f>IF(SUMIFS(RECORRIDAS!N:N,RECORRIDAS!$A:$A,'NO USAR - RECORRIDA'!$A18,RECORRIDAS!$D:$D,"SI")=0,"",SUMIFS(RECORRIDAS!N:N,RECORRIDAS!$A:$A,'NO USAR - RECORRIDA'!$A18,RECORRIDAS!$D:$D,"SI"))</f>
        <v>11</v>
      </c>
      <c r="F18" s="804">
        <f>IF(SUMIFS(RECORRIDAS!O:O,RECORRIDAS!$A:$A,'NO USAR - RECORRIDA'!$A18,RECORRIDAS!$D:$D,"SI")=0,"",SUMIFS(RECORRIDAS!O:O,RECORRIDAS!$A:$A,'NO USAR - RECORRIDA'!$A18,RECORRIDAS!$D:$D,"SI"))</f>
        <v>11</v>
      </c>
      <c r="G18" s="804">
        <f>IF(SUMIFS(RECORRIDAS!P:P,RECORRIDAS!$A:$A,'NO USAR - RECORRIDA'!$A18,RECORRIDAS!$D:$D,"SI")=0,"",SUMIFS(RECORRIDAS!P:P,RECORRIDAS!$A:$A,'NO USAR - RECORRIDA'!$A18,RECORRIDAS!$D:$D,"SI"))</f>
        <v>11</v>
      </c>
      <c r="H18" s="804">
        <f>IF(SUMIFS(RECORRIDAS!Q:Q,RECORRIDAS!$A:$A,'NO USAR - RECORRIDA'!$A18,RECORRIDAS!$D:$D,"SI")=0,"",SUMIFS(RECORRIDAS!Q:Q,RECORRIDAS!$A:$A,'NO USAR - RECORRIDA'!$A18,RECORRIDAS!$D:$D,"SI"))</f>
        <v>11</v>
      </c>
      <c r="I18" s="804">
        <f>IF(SUMIFS(RECORRIDAS!R:R,RECORRIDAS!$A:$A,'NO USAR - RECORRIDA'!$A18,RECORRIDAS!$D:$D,"SI")=0,"",SUMIFS(RECORRIDAS!R:R,RECORRIDAS!$A:$A,'NO USAR - RECORRIDA'!$A18,RECORRIDAS!$D:$D,"SI"))</f>
        <v>11</v>
      </c>
      <c r="J18" s="805">
        <f>IF(SUMIFS(RECORRIDAS!S:S,RECORRIDAS!$A:$A,'NO USAR - RECORRIDA'!$A18,RECORRIDAS!$D:$D,"SI")=0,"",SUMIFS(RECORRIDAS!S:S,RECORRIDAS!$A:$A,'NO USAR - RECORRIDA'!$A18,RECORRIDAS!$D:$D,"SI"))</f>
        <v>11</v>
      </c>
    </row>
    <row r="19" spans="1:51" ht="15" customHeight="1">
      <c r="A19" s="801">
        <v>45</v>
      </c>
      <c r="B19" s="810">
        <f>IF(SUMIFS(RECORRIDAS!K:K,RECORRIDAS!$A:$A,'NO USAR - RECORRIDA'!$A19,RECORRIDAS!$D:$D,"NO")=0,"",SUMIFS(RECORRIDAS!K:K,RECORRIDAS!$A:$A,'NO USAR - RECORRIDA'!$A19,RECORRIDAS!$D:$D,"NO"))</f>
        <v>3</v>
      </c>
      <c r="C19" s="811">
        <f>IF(SUMIFS(RECORRIDAS!L:L,RECORRIDAS!$A:$A,'NO USAR - RECORRIDA'!$A19,RECORRIDAS!$D:$D,"NO")=0,"",SUMIFS(RECORRIDAS!L:L,RECORRIDAS!$A:$A,'NO USAR - RECORRIDA'!$A19,RECORRIDAS!$D:$D,"NO"))</f>
        <v>7</v>
      </c>
      <c r="D19" s="811">
        <f>IF(SUMIFS(RECORRIDAS!M:M,RECORRIDAS!$A:$A,'NO USAR - RECORRIDA'!$A19,RECORRIDAS!$D:$D,"NO")=0,"",SUMIFS(RECORRIDAS!M:M,RECORRIDAS!$A:$A,'NO USAR - RECORRIDA'!$A19,RECORRIDAS!$D:$D,"NO"))</f>
        <v>13</v>
      </c>
      <c r="E19" s="811">
        <f>IF(SUMIFS(RECORRIDAS!N:N,RECORRIDAS!$A:$A,'NO USAR - RECORRIDA'!$A19,RECORRIDAS!$D:$D,"NO")=0,"",SUMIFS(RECORRIDAS!N:N,RECORRIDAS!$A:$A,'NO USAR - RECORRIDA'!$A19,RECORRIDAS!$D:$D,"NO"))</f>
        <v>24</v>
      </c>
      <c r="F19" s="811">
        <f>IF(SUMIFS(RECORRIDAS!O:O,RECORRIDAS!$A:$A,'NO USAR - RECORRIDA'!$A19,RECORRIDAS!$D:$D,"NO")=0,"",SUMIFS(RECORRIDAS!O:O,RECORRIDAS!$A:$A,'NO USAR - RECORRIDA'!$A19,RECORRIDAS!$D:$D,"NO"))</f>
        <v>25</v>
      </c>
      <c r="G19" s="811" t="str">
        <f>IF(SUMIFS(RECORRIDAS!P:P,RECORRIDAS!$A:$A,'NO USAR - RECORRIDA'!$A19,RECORRIDAS!$D:$D,"NO")=0,"",SUMIFS(RECORRIDAS!P:P,RECORRIDAS!$A:$A,'NO USAR - RECORRIDA'!$A19,RECORRIDAS!$D:$D,"NO"))</f>
        <v/>
      </c>
      <c r="H19" s="811">
        <f>IF(SUMIFS(RECORRIDAS!Q:Q,RECORRIDAS!$A:$A,'NO USAR - RECORRIDA'!$A19,RECORRIDAS!$D:$D,"NO")=0,"",SUMIFS(RECORRIDAS!Q:Q,RECORRIDAS!$A:$A,'NO USAR - RECORRIDA'!$A19,RECORRIDAS!$D:$D,"NO"))</f>
        <v>3</v>
      </c>
      <c r="I19" s="811">
        <f>IF(SUMIFS(RECORRIDAS!R:R,RECORRIDAS!$A:$A,'NO USAR - RECORRIDA'!$A19,RECORRIDAS!$D:$D,"NO")=0,"",SUMIFS(RECORRIDAS!R:R,RECORRIDAS!$A:$A,'NO USAR - RECORRIDA'!$A19,RECORRIDAS!$D:$D,"NO"))</f>
        <v>1</v>
      </c>
      <c r="J19" s="812">
        <f>IF(SUMIFS(RECORRIDAS!S:S,RECORRIDAS!$A:$A,'NO USAR - RECORRIDA'!$A19,RECORRIDAS!$D:$D,"NO")=0,"",SUMIFS(RECORRIDAS!S:S,RECORRIDAS!$A:$A,'NO USAR - RECORRIDA'!$A19,RECORRIDAS!$D:$D,"NO"))</f>
        <v>7</v>
      </c>
    </row>
    <row r="20" spans="1:51" ht="15" customHeight="1">
      <c r="A20" s="803">
        <f t="shared" ref="A20:A36" si="1">+A18+1</f>
        <v>45</v>
      </c>
      <c r="B20" s="804">
        <f>IF(SUMIFS(RECORRIDAS!K:K,RECORRIDAS!$A:$A,'NO USAR - RECORRIDA'!$A20,RECORRIDAS!$D:$D,"SI")=0,"",SUMIFS(RECORRIDAS!K:K,RECORRIDAS!$A:$A,'NO USAR - RECORRIDA'!$A20,RECORRIDAS!$D:$D,"SI"))</f>
        <v>14</v>
      </c>
      <c r="C20" s="804">
        <f>IF(SUMIFS(RECORRIDAS!L:L,RECORRIDAS!$A:$A,'NO USAR - RECORRIDA'!$A20,RECORRIDAS!$D:$D,"SI")=0,"",SUMIFS(RECORRIDAS!L:L,RECORRIDAS!$A:$A,'NO USAR - RECORRIDA'!$A20,RECORRIDAS!$D:$D,"SI"))</f>
        <v>14</v>
      </c>
      <c r="D20" s="804">
        <f>IF(SUMIFS(RECORRIDAS!M:M,RECORRIDAS!$A:$A,'NO USAR - RECORRIDA'!$A20,RECORRIDAS!$D:$D,"SI")=0,"",SUMIFS(RECORRIDAS!M:M,RECORRIDAS!$A:$A,'NO USAR - RECORRIDA'!$A20,RECORRIDAS!$D:$D,"SI"))</f>
        <v>14</v>
      </c>
      <c r="E20" s="804">
        <f>IF(SUMIFS(RECORRIDAS!N:N,RECORRIDAS!$A:$A,'NO USAR - RECORRIDA'!$A20,RECORRIDAS!$D:$D,"SI")=0,"",SUMIFS(RECORRIDAS!N:N,RECORRIDAS!$A:$A,'NO USAR - RECORRIDA'!$A20,RECORRIDAS!$D:$D,"SI"))</f>
        <v>14</v>
      </c>
      <c r="F20" s="804">
        <f>IF(SUMIFS(RECORRIDAS!O:O,RECORRIDAS!$A:$A,'NO USAR - RECORRIDA'!$A20,RECORRIDAS!$D:$D,"SI")=0,"",SUMIFS(RECORRIDAS!O:O,RECORRIDAS!$A:$A,'NO USAR - RECORRIDA'!$A20,RECORRIDAS!$D:$D,"SI"))</f>
        <v>14</v>
      </c>
      <c r="G20" s="804">
        <f>IF(SUMIFS(RECORRIDAS!P:P,RECORRIDAS!$A:$A,'NO USAR - RECORRIDA'!$A20,RECORRIDAS!$D:$D,"SI")=0,"",SUMIFS(RECORRIDAS!P:P,RECORRIDAS!$A:$A,'NO USAR - RECORRIDA'!$A20,RECORRIDAS!$D:$D,"SI"))</f>
        <v>14</v>
      </c>
      <c r="H20" s="804">
        <f>IF(SUMIFS(RECORRIDAS!Q:Q,RECORRIDAS!$A:$A,'NO USAR - RECORRIDA'!$A20,RECORRIDAS!$D:$D,"SI")=0,"",SUMIFS(RECORRIDAS!Q:Q,RECORRIDAS!$A:$A,'NO USAR - RECORRIDA'!$A20,RECORRIDAS!$D:$D,"SI"))</f>
        <v>14</v>
      </c>
      <c r="I20" s="804">
        <f>IF(SUMIFS(RECORRIDAS!R:R,RECORRIDAS!$A:$A,'NO USAR - RECORRIDA'!$A20,RECORRIDAS!$D:$D,"SI")=0,"",SUMIFS(RECORRIDAS!R:R,RECORRIDAS!$A:$A,'NO USAR - RECORRIDA'!$A20,RECORRIDAS!$D:$D,"SI"))</f>
        <v>14</v>
      </c>
      <c r="J20" s="805">
        <f>IF(SUMIFS(RECORRIDAS!S:S,RECORRIDAS!$A:$A,'NO USAR - RECORRIDA'!$A20,RECORRIDAS!$D:$D,"SI")=0,"",SUMIFS(RECORRIDAS!S:S,RECORRIDAS!$A:$A,'NO USAR - RECORRIDA'!$A20,RECORRIDAS!$D:$D,"SI"))</f>
        <v>14</v>
      </c>
      <c r="AK20" s="1476" t="s">
        <v>1533</v>
      </c>
      <c r="AL20" s="1477"/>
      <c r="AM20" s="1477"/>
      <c r="AN20" s="1477"/>
      <c r="AO20" s="1477"/>
      <c r="AP20" s="1477"/>
      <c r="AQ20" s="1477"/>
      <c r="AR20" s="1477"/>
      <c r="AS20" s="1477"/>
      <c r="AT20" s="1477"/>
      <c r="AU20" s="1477"/>
      <c r="AV20" s="1477"/>
      <c r="AW20" s="1477"/>
      <c r="AX20" s="1477"/>
      <c r="AY20" s="1478"/>
    </row>
    <row r="21" spans="1:51">
      <c r="A21" s="801">
        <f t="shared" si="1"/>
        <v>46</v>
      </c>
      <c r="B21" s="810">
        <f>IF(SUMIFS(RECORRIDAS!K:K,RECORRIDAS!$A:$A,'NO USAR - RECORRIDA'!$A21,RECORRIDAS!$D:$D,"NO")=0,"",SUMIFS(RECORRIDAS!K:K,RECORRIDAS!$A:$A,'NO USAR - RECORRIDA'!$A21,RECORRIDAS!$D:$D,"NO"))</f>
        <v>3</v>
      </c>
      <c r="C21" s="811">
        <f>IF(SUMIFS(RECORRIDAS!L:L,RECORRIDAS!$A:$A,'NO USAR - RECORRIDA'!$A21,RECORRIDAS!$D:$D,"NO")=0,"",SUMIFS(RECORRIDAS!L:L,RECORRIDAS!$A:$A,'NO USAR - RECORRIDA'!$A21,RECORRIDAS!$D:$D,"NO"))</f>
        <v>9</v>
      </c>
      <c r="D21" s="811">
        <f>IF(SUMIFS(RECORRIDAS!M:M,RECORRIDAS!$A:$A,'NO USAR - RECORRIDA'!$A21,RECORRIDAS!$D:$D,"NO")=0,"",SUMIFS(RECORRIDAS!M:M,RECORRIDAS!$A:$A,'NO USAR - RECORRIDA'!$A21,RECORRIDAS!$D:$D,"NO"))</f>
        <v>9</v>
      </c>
      <c r="E21" s="811">
        <f>IF(SUMIFS(RECORRIDAS!N:N,RECORRIDAS!$A:$A,'NO USAR - RECORRIDA'!$A21,RECORRIDAS!$D:$D,"NO")=0,"",SUMIFS(RECORRIDAS!N:N,RECORRIDAS!$A:$A,'NO USAR - RECORRIDA'!$A21,RECORRIDAS!$D:$D,"NO"))</f>
        <v>15</v>
      </c>
      <c r="F21" s="811">
        <f>IF(SUMIFS(RECORRIDAS!O:O,RECORRIDAS!$A:$A,'NO USAR - RECORRIDA'!$A21,RECORRIDAS!$D:$D,"NO")=0,"",SUMIFS(RECORRIDAS!O:O,RECORRIDAS!$A:$A,'NO USAR - RECORRIDA'!$A21,RECORRIDAS!$D:$D,"NO"))</f>
        <v>15</v>
      </c>
      <c r="G21" s="811" t="str">
        <f>IF(SUMIFS(RECORRIDAS!P:P,RECORRIDAS!$A:$A,'NO USAR - RECORRIDA'!$A21,RECORRIDAS!$D:$D,"NO")=0,"",SUMIFS(RECORRIDAS!P:P,RECORRIDAS!$A:$A,'NO USAR - RECORRIDA'!$A21,RECORRIDAS!$D:$D,"NO"))</f>
        <v/>
      </c>
      <c r="H21" s="811" t="str">
        <f>IF(SUMIFS(RECORRIDAS!Q:Q,RECORRIDAS!$A:$A,'NO USAR - RECORRIDA'!$A21,RECORRIDAS!$D:$D,"NO")=0,"",SUMIFS(RECORRIDAS!Q:Q,RECORRIDAS!$A:$A,'NO USAR - RECORRIDA'!$A21,RECORRIDAS!$D:$D,"NO"))</f>
        <v/>
      </c>
      <c r="I21" s="811" t="str">
        <f>IF(SUMIFS(RECORRIDAS!R:R,RECORRIDAS!$A:$A,'NO USAR - RECORRIDA'!$A21,RECORRIDAS!$D:$D,"NO")=0,"",SUMIFS(RECORRIDAS!R:R,RECORRIDAS!$A:$A,'NO USAR - RECORRIDA'!$A21,RECORRIDAS!$D:$D,"NO"))</f>
        <v/>
      </c>
      <c r="J21" s="812" t="str">
        <f>IF(SUMIFS(RECORRIDAS!S:S,RECORRIDAS!$A:$A,'NO USAR - RECORRIDA'!$A21,RECORRIDAS!$D:$D,"NO")=0,"",SUMIFS(RECORRIDAS!S:S,RECORRIDAS!$A:$A,'NO USAR - RECORRIDA'!$A21,RECORRIDAS!$D:$D,"NO"))</f>
        <v/>
      </c>
      <c r="X21" t="s">
        <v>380</v>
      </c>
      <c r="Y21" t="s">
        <v>1179</v>
      </c>
      <c r="Z21" t="s">
        <v>1180</v>
      </c>
      <c r="AA21" t="s">
        <v>1181</v>
      </c>
      <c r="AB21" t="s">
        <v>1182</v>
      </c>
      <c r="AC21" t="s">
        <v>1183</v>
      </c>
      <c r="AJ21" t="s">
        <v>1534</v>
      </c>
      <c r="AK21" s="645"/>
      <c r="AL21" s="1472" t="s">
        <v>591</v>
      </c>
      <c r="AM21" s="1472"/>
      <c r="AN21" s="1472"/>
      <c r="AO21" s="1472"/>
      <c r="AP21" s="1473" t="s">
        <v>600</v>
      </c>
      <c r="AQ21" s="1473"/>
      <c r="AR21" s="1473"/>
      <c r="AS21" s="1473"/>
      <c r="AT21" s="1473"/>
      <c r="AU21" s="1474" t="s">
        <v>613</v>
      </c>
      <c r="AV21" s="1474"/>
      <c r="AW21" s="1474"/>
      <c r="AX21" s="1474"/>
      <c r="AY21" s="1475"/>
    </row>
    <row r="22" spans="1:51" ht="18" customHeight="1">
      <c r="A22" s="803">
        <f t="shared" si="1"/>
        <v>46</v>
      </c>
      <c r="B22" s="804">
        <f>IF(SUMIFS(RECORRIDAS!K:K,RECORRIDAS!$A:$A,'NO USAR - RECORRIDA'!$A22,RECORRIDAS!$D:$D,"SI")=0,"",SUMIFS(RECORRIDAS!K:K,RECORRIDAS!$A:$A,'NO USAR - RECORRIDA'!$A22,RECORRIDAS!$D:$D,"SI"))</f>
        <v>6</v>
      </c>
      <c r="C22" s="804">
        <f>IF(SUMIFS(RECORRIDAS!L:L,RECORRIDAS!$A:$A,'NO USAR - RECORRIDA'!$A22,RECORRIDAS!$D:$D,"SI")=0,"",SUMIFS(RECORRIDAS!L:L,RECORRIDAS!$A:$A,'NO USAR - RECORRIDA'!$A22,RECORRIDAS!$D:$D,"SI"))</f>
        <v>6</v>
      </c>
      <c r="D22" s="804">
        <f>IF(SUMIFS(RECORRIDAS!M:M,RECORRIDAS!$A:$A,'NO USAR - RECORRIDA'!$A22,RECORRIDAS!$D:$D,"SI")=0,"",SUMIFS(RECORRIDAS!M:M,RECORRIDAS!$A:$A,'NO USAR - RECORRIDA'!$A22,RECORRIDAS!$D:$D,"SI"))</f>
        <v>6</v>
      </c>
      <c r="E22" s="804">
        <f>IF(SUMIFS(RECORRIDAS!N:N,RECORRIDAS!$A:$A,'NO USAR - RECORRIDA'!$A22,RECORRIDAS!$D:$D,"SI")=0,"",SUMIFS(RECORRIDAS!N:N,RECORRIDAS!$A:$A,'NO USAR - RECORRIDA'!$A22,RECORRIDAS!$D:$D,"SI"))</f>
        <v>6</v>
      </c>
      <c r="F22" s="804">
        <f>IF(SUMIFS(RECORRIDAS!O:O,RECORRIDAS!$A:$A,'NO USAR - RECORRIDA'!$A22,RECORRIDAS!$D:$D,"SI")=0,"",SUMIFS(RECORRIDAS!O:O,RECORRIDAS!$A:$A,'NO USAR - RECORRIDA'!$A22,RECORRIDAS!$D:$D,"SI"))</f>
        <v>6</v>
      </c>
      <c r="G22" s="804">
        <f>IF(SUMIFS(RECORRIDAS!P:P,RECORRIDAS!$A:$A,'NO USAR - RECORRIDA'!$A22,RECORRIDAS!$D:$D,"SI")=0,"",SUMIFS(RECORRIDAS!P:P,RECORRIDAS!$A:$A,'NO USAR - RECORRIDA'!$A22,RECORRIDAS!$D:$D,"SI"))</f>
        <v>6</v>
      </c>
      <c r="H22" s="804">
        <f>IF(SUMIFS(RECORRIDAS!Q:Q,RECORRIDAS!$A:$A,'NO USAR - RECORRIDA'!$A22,RECORRIDAS!$D:$D,"SI")=0,"",SUMIFS(RECORRIDAS!Q:Q,RECORRIDAS!$A:$A,'NO USAR - RECORRIDA'!$A22,RECORRIDAS!$D:$D,"SI"))</f>
        <v>6</v>
      </c>
      <c r="I22" s="804">
        <f>IF(SUMIFS(RECORRIDAS!R:R,RECORRIDAS!$A:$A,'NO USAR - RECORRIDA'!$A22,RECORRIDAS!$D:$D,"SI")=0,"",SUMIFS(RECORRIDAS!R:R,RECORRIDAS!$A:$A,'NO USAR - RECORRIDA'!$A22,RECORRIDAS!$D:$D,"SI"))</f>
        <v>6</v>
      </c>
      <c r="J22" s="805">
        <f>IF(SUMIFS(RECORRIDAS!S:S,RECORRIDAS!$A:$A,'NO USAR - RECORRIDA'!$A22,RECORRIDAS!$D:$D,"SI")=0,"",SUMIFS(RECORRIDAS!S:S,RECORRIDAS!$A:$A,'NO USAR - RECORRIDA'!$A22,RECORRIDAS!$D:$D,"SI"))</f>
        <v>6</v>
      </c>
      <c r="X22" s="38">
        <v>45908</v>
      </c>
      <c r="Y22" s="614">
        <v>0.66666666666666663</v>
      </c>
      <c r="Z22" s="614" t="s">
        <v>1535</v>
      </c>
      <c r="AA22" t="s">
        <v>1536</v>
      </c>
      <c r="AB22" t="s">
        <v>1194</v>
      </c>
      <c r="AK22" s="646"/>
      <c r="AL22" s="647" t="s">
        <v>1537</v>
      </c>
      <c r="AM22" s="647" t="s">
        <v>1538</v>
      </c>
      <c r="AN22" s="647" t="s">
        <v>1539</v>
      </c>
      <c r="AO22" s="647" t="s">
        <v>1540</v>
      </c>
      <c r="AP22" s="647" t="s">
        <v>1541</v>
      </c>
      <c r="AQ22" s="647" t="s">
        <v>1542</v>
      </c>
      <c r="AR22" s="647" t="s">
        <v>1543</v>
      </c>
      <c r="AS22" s="647" t="s">
        <v>1544</v>
      </c>
      <c r="AT22" s="647" t="s">
        <v>1545</v>
      </c>
      <c r="AU22" s="647" t="s">
        <v>1546</v>
      </c>
      <c r="AV22" s="647" t="s">
        <v>1547</v>
      </c>
      <c r="AW22" s="647" t="s">
        <v>1548</v>
      </c>
      <c r="AX22" s="647" t="s">
        <v>1549</v>
      </c>
      <c r="AY22" s="648" t="s">
        <v>1550</v>
      </c>
    </row>
    <row r="23" spans="1:51">
      <c r="A23" s="801">
        <f t="shared" si="1"/>
        <v>47</v>
      </c>
      <c r="B23" s="810" t="str">
        <f>IF(SUMIFS(RECORRIDAS!K:K,RECORRIDAS!$A:$A,'NO USAR - RECORRIDA'!$A23,RECORRIDAS!$D:$D,"NO")=0,"",SUMIFS(RECORRIDAS!K:K,RECORRIDAS!$A:$A,'NO USAR - RECORRIDA'!$A23,RECORRIDAS!$D:$D,"NO"))</f>
        <v/>
      </c>
      <c r="C23" s="811" t="str">
        <f>IF(SUMIFS(RECORRIDAS!L:L,RECORRIDAS!$A:$A,'NO USAR - RECORRIDA'!$A23,RECORRIDAS!$D:$D,"NO")=0,"",SUMIFS(RECORRIDAS!L:L,RECORRIDAS!$A:$A,'NO USAR - RECORRIDA'!$A23,RECORRIDAS!$D:$D,"NO"))</f>
        <v/>
      </c>
      <c r="D23" s="811" t="str">
        <f>IF(SUMIFS(RECORRIDAS!M:M,RECORRIDAS!$A:$A,'NO USAR - RECORRIDA'!$A23,RECORRIDAS!$D:$D,"NO")=0,"",SUMIFS(RECORRIDAS!M:M,RECORRIDAS!$A:$A,'NO USAR - RECORRIDA'!$A23,RECORRIDAS!$D:$D,"NO"))</f>
        <v/>
      </c>
      <c r="E23" s="811" t="str">
        <f>IF(SUMIFS(RECORRIDAS!N:N,RECORRIDAS!$A:$A,'NO USAR - RECORRIDA'!$A23,RECORRIDAS!$D:$D,"NO")=0,"",SUMIFS(RECORRIDAS!N:N,RECORRIDAS!$A:$A,'NO USAR - RECORRIDA'!$A23,RECORRIDAS!$D:$D,"NO"))</f>
        <v/>
      </c>
      <c r="F23" s="811" t="str">
        <f>IF(SUMIFS(RECORRIDAS!O:O,RECORRIDAS!$A:$A,'NO USAR - RECORRIDA'!$A23,RECORRIDAS!$D:$D,"NO")=0,"",SUMIFS(RECORRIDAS!O:O,RECORRIDAS!$A:$A,'NO USAR - RECORRIDA'!$A23,RECORRIDAS!$D:$D,"NO"))</f>
        <v/>
      </c>
      <c r="G23" s="811" t="str">
        <f>IF(SUMIFS(RECORRIDAS!P:P,RECORRIDAS!$A:$A,'NO USAR - RECORRIDA'!$A23,RECORRIDAS!$D:$D,"NO")=0,"",SUMIFS(RECORRIDAS!P:P,RECORRIDAS!$A:$A,'NO USAR - RECORRIDA'!$A23,RECORRIDAS!$D:$D,"NO"))</f>
        <v/>
      </c>
      <c r="H23" s="811" t="str">
        <f>IF(SUMIFS(RECORRIDAS!Q:Q,RECORRIDAS!$A:$A,'NO USAR - RECORRIDA'!$A23,RECORRIDAS!$D:$D,"NO")=0,"",SUMIFS(RECORRIDAS!Q:Q,RECORRIDAS!$A:$A,'NO USAR - RECORRIDA'!$A23,RECORRIDAS!$D:$D,"NO"))</f>
        <v/>
      </c>
      <c r="I23" s="811" t="str">
        <f>IF(SUMIFS(RECORRIDAS!R:R,RECORRIDAS!$A:$A,'NO USAR - RECORRIDA'!$A23,RECORRIDAS!$D:$D,"NO")=0,"",SUMIFS(RECORRIDAS!R:R,RECORRIDAS!$A:$A,'NO USAR - RECORRIDA'!$A23,RECORRIDAS!$D:$D,"NO"))</f>
        <v/>
      </c>
      <c r="J23" s="812" t="str">
        <f>IF(SUMIFS(RECORRIDAS!S:S,RECORRIDAS!$A:$A,'NO USAR - RECORRIDA'!$A23,RECORRIDAS!$D:$D,"NO")=0,"",SUMIFS(RECORRIDAS!S:S,RECORRIDAS!$A:$A,'NO USAR - RECORRIDA'!$A23,RECORRIDAS!$D:$D,"NO"))</f>
        <v/>
      </c>
      <c r="X23" s="38">
        <v>45908</v>
      </c>
      <c r="Y23" s="614">
        <v>0.66666666666666663</v>
      </c>
      <c r="Z23" s="614" t="s">
        <v>1535</v>
      </c>
      <c r="AA23" t="s">
        <v>1551</v>
      </c>
      <c r="AB23" t="s">
        <v>1196</v>
      </c>
      <c r="AC23" t="s">
        <v>1552</v>
      </c>
      <c r="AK23" s="640" t="s">
        <v>1248</v>
      </c>
      <c r="AL23" s="639"/>
      <c r="AM23" s="639"/>
      <c r="AN23" s="639"/>
      <c r="AO23" s="639">
        <v>2</v>
      </c>
      <c r="AP23" s="639"/>
      <c r="AQ23" s="639"/>
      <c r="AR23" s="639"/>
      <c r="AS23" s="639"/>
      <c r="AT23" s="639"/>
      <c r="AU23" s="639"/>
      <c r="AV23" s="639"/>
      <c r="AW23" s="639"/>
      <c r="AX23" s="639"/>
      <c r="AY23" s="641"/>
    </row>
    <row r="24" spans="1:51">
      <c r="A24" s="803">
        <f t="shared" si="1"/>
        <v>47</v>
      </c>
      <c r="B24" s="804" t="str">
        <f>IF(SUMIFS(RECORRIDAS!K:K,RECORRIDAS!$A:$A,'NO USAR - RECORRIDA'!$A24,RECORRIDAS!$D:$D,"SI")=0,"",SUMIFS(RECORRIDAS!K:K,RECORRIDAS!$A:$A,'NO USAR - RECORRIDA'!$A24,RECORRIDAS!$D:$D,"SI"))</f>
        <v/>
      </c>
      <c r="C24" s="804" t="str">
        <f>IF(SUMIFS(RECORRIDAS!L:L,RECORRIDAS!$A:$A,'NO USAR - RECORRIDA'!$A24,RECORRIDAS!$D:$D,"SI")=0,"",SUMIFS(RECORRIDAS!L:L,RECORRIDAS!$A:$A,'NO USAR - RECORRIDA'!$A24,RECORRIDAS!$D:$D,"SI"))</f>
        <v/>
      </c>
      <c r="D24" s="804" t="str">
        <f>IF(SUMIFS(RECORRIDAS!M:M,RECORRIDAS!$A:$A,'NO USAR - RECORRIDA'!$A24,RECORRIDAS!$D:$D,"SI")=0,"",SUMIFS(RECORRIDAS!M:M,RECORRIDAS!$A:$A,'NO USAR - RECORRIDA'!$A24,RECORRIDAS!$D:$D,"SI"))</f>
        <v/>
      </c>
      <c r="E24" s="804" t="str">
        <f>IF(SUMIFS(RECORRIDAS!N:N,RECORRIDAS!$A:$A,'NO USAR - RECORRIDA'!$A24,RECORRIDAS!$D:$D,"SI")=0,"",SUMIFS(RECORRIDAS!N:N,RECORRIDAS!$A:$A,'NO USAR - RECORRIDA'!$A24,RECORRIDAS!$D:$D,"SI"))</f>
        <v/>
      </c>
      <c r="F24" s="804" t="str">
        <f>IF(SUMIFS(RECORRIDAS!O:O,RECORRIDAS!$A:$A,'NO USAR - RECORRIDA'!$A24,RECORRIDAS!$D:$D,"SI")=0,"",SUMIFS(RECORRIDAS!O:O,RECORRIDAS!$A:$A,'NO USAR - RECORRIDA'!$A24,RECORRIDAS!$D:$D,"SI"))</f>
        <v/>
      </c>
      <c r="G24" s="804" t="str">
        <f>IF(SUMIFS(RECORRIDAS!P:P,RECORRIDAS!$A:$A,'NO USAR - RECORRIDA'!$A24,RECORRIDAS!$D:$D,"SI")=0,"",SUMIFS(RECORRIDAS!P:P,RECORRIDAS!$A:$A,'NO USAR - RECORRIDA'!$A24,RECORRIDAS!$D:$D,"SI"))</f>
        <v/>
      </c>
      <c r="H24" s="804" t="str">
        <f>IF(SUMIFS(RECORRIDAS!Q:Q,RECORRIDAS!$A:$A,'NO USAR - RECORRIDA'!$A24,RECORRIDAS!$D:$D,"SI")=0,"",SUMIFS(RECORRIDAS!Q:Q,RECORRIDAS!$A:$A,'NO USAR - RECORRIDA'!$A24,RECORRIDAS!$D:$D,"SI"))</f>
        <v/>
      </c>
      <c r="I24" s="804" t="str">
        <f>IF(SUMIFS(RECORRIDAS!R:R,RECORRIDAS!$A:$A,'NO USAR - RECORRIDA'!$A24,RECORRIDAS!$D:$D,"SI")=0,"",SUMIFS(RECORRIDAS!R:R,RECORRIDAS!$A:$A,'NO USAR - RECORRIDA'!$A24,RECORRIDAS!$D:$D,"SI"))</f>
        <v/>
      </c>
      <c r="J24" s="805" t="str">
        <f>IF(SUMIFS(RECORRIDAS!S:S,RECORRIDAS!$A:$A,'NO USAR - RECORRIDA'!$A24,RECORRIDAS!$D:$D,"SI")=0,"",SUMIFS(RECORRIDAS!S:S,RECORRIDAS!$A:$A,'NO USAR - RECORRIDA'!$A24,RECORRIDAS!$D:$D,"SI"))</f>
        <v/>
      </c>
      <c r="X24" s="38">
        <v>45908</v>
      </c>
      <c r="Y24" s="614">
        <v>0.66666666666666663</v>
      </c>
      <c r="Z24" s="614" t="s">
        <v>1535</v>
      </c>
      <c r="AA24" t="s">
        <v>1553</v>
      </c>
      <c r="AB24" t="s">
        <v>1199</v>
      </c>
      <c r="AK24" s="640" t="s">
        <v>1532</v>
      </c>
      <c r="AL24" s="639"/>
      <c r="AM24" s="639"/>
      <c r="AN24" s="639"/>
      <c r="AO24" s="639">
        <v>3</v>
      </c>
      <c r="AP24" s="639"/>
      <c r="AQ24" s="639"/>
      <c r="AR24" s="639"/>
      <c r="AS24" s="639"/>
      <c r="AT24" s="639"/>
      <c r="AU24" s="639"/>
      <c r="AV24" s="639"/>
      <c r="AW24" s="639"/>
      <c r="AX24" s="639"/>
      <c r="AY24" s="641"/>
    </row>
    <row r="25" spans="1:51">
      <c r="A25" s="818">
        <f t="shared" si="1"/>
        <v>48</v>
      </c>
      <c r="B25" s="810" t="str">
        <f>IF(SUMIFS(RECORRIDAS!K:K,RECORRIDAS!$A:$A,'NO USAR - RECORRIDA'!$A25,RECORRIDAS!$D:$D,"NO")=0,"",SUMIFS(RECORRIDAS!K:K,RECORRIDAS!$A:$A,'NO USAR - RECORRIDA'!$A25,RECORRIDAS!$D:$D,"NO"))</f>
        <v/>
      </c>
      <c r="C25" s="811" t="str">
        <f>IF(SUMIFS(RECORRIDAS!L:L,RECORRIDAS!$A:$A,'NO USAR - RECORRIDA'!$A25,RECORRIDAS!$D:$D,"NO")=0,"",SUMIFS(RECORRIDAS!L:L,RECORRIDAS!$A:$A,'NO USAR - RECORRIDA'!$A25,RECORRIDAS!$D:$D,"NO"))</f>
        <v/>
      </c>
      <c r="D25" s="811" t="str">
        <f>IF(SUMIFS(RECORRIDAS!M:M,RECORRIDAS!$A:$A,'NO USAR - RECORRIDA'!$A25,RECORRIDAS!$D:$D,"NO")=0,"",SUMIFS(RECORRIDAS!M:M,RECORRIDAS!$A:$A,'NO USAR - RECORRIDA'!$A25,RECORRIDAS!$D:$D,"NO"))</f>
        <v/>
      </c>
      <c r="E25" s="811" t="str">
        <f>IF(SUMIFS(RECORRIDAS!N:N,RECORRIDAS!$A:$A,'NO USAR - RECORRIDA'!$A25,RECORRIDAS!$D:$D,"NO")=0,"",SUMIFS(RECORRIDAS!N:N,RECORRIDAS!$A:$A,'NO USAR - RECORRIDA'!$A25,RECORRIDAS!$D:$D,"NO"))</f>
        <v/>
      </c>
      <c r="F25" s="811" t="str">
        <f>IF(SUMIFS(RECORRIDAS!O:O,RECORRIDAS!$A:$A,'NO USAR - RECORRIDA'!$A25,RECORRIDAS!$D:$D,"NO")=0,"",SUMIFS(RECORRIDAS!O:O,RECORRIDAS!$A:$A,'NO USAR - RECORRIDA'!$A25,RECORRIDAS!$D:$D,"NO"))</f>
        <v/>
      </c>
      <c r="G25" s="811" t="str">
        <f>IF(SUMIFS(RECORRIDAS!P:P,RECORRIDAS!$A:$A,'NO USAR - RECORRIDA'!$A25,RECORRIDAS!$D:$D,"NO")=0,"",SUMIFS(RECORRIDAS!P:P,RECORRIDAS!$A:$A,'NO USAR - RECORRIDA'!$A25,RECORRIDAS!$D:$D,"NO"))</f>
        <v/>
      </c>
      <c r="H25" s="811" t="str">
        <f>IF(SUMIFS(RECORRIDAS!Q:Q,RECORRIDAS!$A:$A,'NO USAR - RECORRIDA'!$A25,RECORRIDAS!$D:$D,"NO")=0,"",SUMIFS(RECORRIDAS!Q:Q,RECORRIDAS!$A:$A,'NO USAR - RECORRIDA'!$A25,RECORRIDAS!$D:$D,"NO"))</f>
        <v/>
      </c>
      <c r="I25" s="811" t="str">
        <f>IF(SUMIFS(RECORRIDAS!R:R,RECORRIDAS!$A:$A,'NO USAR - RECORRIDA'!$A25,RECORRIDAS!$D:$D,"NO")=0,"",SUMIFS(RECORRIDAS!R:R,RECORRIDAS!$A:$A,'NO USAR - RECORRIDA'!$A25,RECORRIDAS!$D:$D,"NO"))</f>
        <v/>
      </c>
      <c r="J25" s="812" t="str">
        <f>IF(SUMIFS(RECORRIDAS!S:S,RECORRIDAS!$A:$A,'NO USAR - RECORRIDA'!$A25,RECORRIDAS!$D:$D,"NO")=0,"",SUMIFS(RECORRIDAS!S:S,RECORRIDAS!$A:$A,'NO USAR - RECORRIDA'!$A25,RECORRIDAS!$D:$D,"NO"))</f>
        <v/>
      </c>
      <c r="X25" s="38">
        <v>45910</v>
      </c>
      <c r="Y25" s="614">
        <v>0</v>
      </c>
      <c r="Z25" s="614" t="s">
        <v>1535</v>
      </c>
      <c r="AA25" t="s">
        <v>1554</v>
      </c>
      <c r="AB25" t="s">
        <v>1201</v>
      </c>
      <c r="AK25" s="640" t="s">
        <v>1346</v>
      </c>
      <c r="AN25" s="639"/>
      <c r="AO25" s="639">
        <v>2</v>
      </c>
      <c r="AP25" s="639"/>
      <c r="AQ25" s="639"/>
      <c r="AR25" s="639"/>
      <c r="AS25" s="639"/>
      <c r="AT25" s="639"/>
      <c r="AU25" s="639"/>
      <c r="AV25" s="639"/>
      <c r="AW25" s="639"/>
      <c r="AX25" s="639"/>
      <c r="AY25" s="641"/>
    </row>
    <row r="26" spans="1:51">
      <c r="A26" s="803">
        <f t="shared" si="1"/>
        <v>48</v>
      </c>
      <c r="B26" s="804" t="str">
        <f>IF(SUMIFS(RECORRIDAS!K:K,RECORRIDAS!$A:$A,'NO USAR - RECORRIDA'!$A26,RECORRIDAS!$D:$D,"SI")=0,"",SUMIFS(RECORRIDAS!K:K,RECORRIDAS!$A:$A,'NO USAR - RECORRIDA'!$A26,RECORRIDAS!$D:$D,"SI"))</f>
        <v/>
      </c>
      <c r="C26" s="804" t="str">
        <f>IF(SUMIFS(RECORRIDAS!L:L,RECORRIDAS!$A:$A,'NO USAR - RECORRIDA'!$A26,RECORRIDAS!$D:$D,"SI")=0,"",SUMIFS(RECORRIDAS!L:L,RECORRIDAS!$A:$A,'NO USAR - RECORRIDA'!$A26,RECORRIDAS!$D:$D,"SI"))</f>
        <v/>
      </c>
      <c r="D26" s="804" t="str">
        <f>IF(SUMIFS(RECORRIDAS!M:M,RECORRIDAS!$A:$A,'NO USAR - RECORRIDA'!$A26,RECORRIDAS!$D:$D,"SI")=0,"",SUMIFS(RECORRIDAS!M:M,RECORRIDAS!$A:$A,'NO USAR - RECORRIDA'!$A26,RECORRIDAS!$D:$D,"SI"))</f>
        <v/>
      </c>
      <c r="E26" s="804" t="str">
        <f>IF(SUMIFS(RECORRIDAS!N:N,RECORRIDAS!$A:$A,'NO USAR - RECORRIDA'!$A26,RECORRIDAS!$D:$D,"SI")=0,"",SUMIFS(RECORRIDAS!N:N,RECORRIDAS!$A:$A,'NO USAR - RECORRIDA'!$A26,RECORRIDAS!$D:$D,"SI"))</f>
        <v/>
      </c>
      <c r="F26" s="804" t="str">
        <f>IF(SUMIFS(RECORRIDAS!O:O,RECORRIDAS!$A:$A,'NO USAR - RECORRIDA'!$A26,RECORRIDAS!$D:$D,"SI")=0,"",SUMIFS(RECORRIDAS!O:O,RECORRIDAS!$A:$A,'NO USAR - RECORRIDA'!$A26,RECORRIDAS!$D:$D,"SI"))</f>
        <v/>
      </c>
      <c r="G26" s="804" t="str">
        <f>IF(SUMIFS(RECORRIDAS!P:P,RECORRIDAS!$A:$A,'NO USAR - RECORRIDA'!$A26,RECORRIDAS!$D:$D,"SI")=0,"",SUMIFS(RECORRIDAS!P:P,RECORRIDAS!$A:$A,'NO USAR - RECORRIDA'!$A26,RECORRIDAS!$D:$D,"SI"))</f>
        <v/>
      </c>
      <c r="H26" s="804" t="str">
        <f>IF(SUMIFS(RECORRIDAS!Q:Q,RECORRIDAS!$A:$A,'NO USAR - RECORRIDA'!$A26,RECORRIDAS!$D:$D,"SI")=0,"",SUMIFS(RECORRIDAS!Q:Q,RECORRIDAS!$A:$A,'NO USAR - RECORRIDA'!$A26,RECORRIDAS!$D:$D,"SI"))</f>
        <v/>
      </c>
      <c r="I26" s="804" t="str">
        <f>IF(SUMIFS(RECORRIDAS!R:R,RECORRIDAS!$A:$A,'NO USAR - RECORRIDA'!$A26,RECORRIDAS!$D:$D,"SI")=0,"",SUMIFS(RECORRIDAS!R:R,RECORRIDAS!$A:$A,'NO USAR - RECORRIDA'!$A26,RECORRIDAS!$D:$D,"SI"))</f>
        <v/>
      </c>
      <c r="J26" s="805" t="str">
        <f>IF(SUMIFS(RECORRIDAS!S:S,RECORRIDAS!$A:$A,'NO USAR - RECORRIDA'!$A26,RECORRIDAS!$D:$D,"SI")=0,"",SUMIFS(RECORRIDAS!S:S,RECORRIDAS!$A:$A,'NO USAR - RECORRIDA'!$A26,RECORRIDAS!$D:$D,"SI"))</f>
        <v/>
      </c>
      <c r="X26" s="38">
        <v>45910</v>
      </c>
      <c r="Y26" s="614">
        <v>0</v>
      </c>
      <c r="Z26" s="614" t="s">
        <v>1535</v>
      </c>
      <c r="AA26" t="s">
        <v>1555</v>
      </c>
      <c r="AB26" t="s">
        <v>1194</v>
      </c>
      <c r="AK26" s="642" t="s">
        <v>1454</v>
      </c>
      <c r="AL26" s="643"/>
      <c r="AM26" s="643"/>
      <c r="AN26" s="643"/>
      <c r="AO26" s="643">
        <v>2</v>
      </c>
      <c r="AP26" s="643"/>
      <c r="AQ26" s="643"/>
      <c r="AR26" s="643"/>
      <c r="AS26" s="643"/>
      <c r="AT26" s="643"/>
      <c r="AU26" s="643"/>
      <c r="AV26" s="643"/>
      <c r="AW26" s="643"/>
      <c r="AX26" s="643"/>
      <c r="AY26" s="644"/>
    </row>
    <row r="27" spans="1:51">
      <c r="A27" s="801">
        <f t="shared" si="1"/>
        <v>49</v>
      </c>
      <c r="B27" s="810" t="str">
        <f>IF(SUMIFS(RECORRIDAS!K:K,RECORRIDAS!$A:$A,'NO USAR - RECORRIDA'!$A27,RECORRIDAS!$D:$D,"NO")=0,"",SUMIFS(RECORRIDAS!K:K,RECORRIDAS!$A:$A,'NO USAR - RECORRIDA'!$A27,RECORRIDAS!$D:$D,"NO"))</f>
        <v/>
      </c>
      <c r="C27" s="811" t="str">
        <f>IF(SUMIFS(RECORRIDAS!L:L,RECORRIDAS!$A:$A,'NO USAR - RECORRIDA'!$A27,RECORRIDAS!$D:$D,"NO")=0,"",SUMIFS(RECORRIDAS!L:L,RECORRIDAS!$A:$A,'NO USAR - RECORRIDA'!$A27,RECORRIDAS!$D:$D,"NO"))</f>
        <v/>
      </c>
      <c r="D27" s="811" t="str">
        <f>IF(SUMIFS(RECORRIDAS!M:M,RECORRIDAS!$A:$A,'NO USAR - RECORRIDA'!$A27,RECORRIDAS!$D:$D,"NO")=0,"",SUMIFS(RECORRIDAS!M:M,RECORRIDAS!$A:$A,'NO USAR - RECORRIDA'!$A27,RECORRIDAS!$D:$D,"NO"))</f>
        <v/>
      </c>
      <c r="E27" s="811" t="str">
        <f>IF(SUMIFS(RECORRIDAS!N:N,RECORRIDAS!$A:$A,'NO USAR - RECORRIDA'!$A27,RECORRIDAS!$D:$D,"NO")=0,"",SUMIFS(RECORRIDAS!N:N,RECORRIDAS!$A:$A,'NO USAR - RECORRIDA'!$A27,RECORRIDAS!$D:$D,"NO"))</f>
        <v/>
      </c>
      <c r="F27" s="811" t="str">
        <f>IF(SUMIFS(RECORRIDAS!O:O,RECORRIDAS!$A:$A,'NO USAR - RECORRIDA'!$A27,RECORRIDAS!$D:$D,"NO")=0,"",SUMIFS(RECORRIDAS!O:O,RECORRIDAS!$A:$A,'NO USAR - RECORRIDA'!$A27,RECORRIDAS!$D:$D,"NO"))</f>
        <v/>
      </c>
      <c r="G27" s="811" t="str">
        <f>IF(SUMIFS(RECORRIDAS!P:P,RECORRIDAS!$A:$A,'NO USAR - RECORRIDA'!$A27,RECORRIDAS!$D:$D,"NO")=0,"",SUMIFS(RECORRIDAS!P:P,RECORRIDAS!$A:$A,'NO USAR - RECORRIDA'!$A27,RECORRIDAS!$D:$D,"NO"))</f>
        <v/>
      </c>
      <c r="H27" s="811" t="str">
        <f>IF(SUMIFS(RECORRIDAS!Q:Q,RECORRIDAS!$A:$A,'NO USAR - RECORRIDA'!$A27,RECORRIDAS!$D:$D,"NO")=0,"",SUMIFS(RECORRIDAS!Q:Q,RECORRIDAS!$A:$A,'NO USAR - RECORRIDA'!$A27,RECORRIDAS!$D:$D,"NO"))</f>
        <v/>
      </c>
      <c r="I27" s="811" t="str">
        <f>IF(SUMIFS(RECORRIDAS!R:R,RECORRIDAS!$A:$A,'NO USAR - RECORRIDA'!$A27,RECORRIDAS!$D:$D,"NO")=0,"",SUMIFS(RECORRIDAS!R:R,RECORRIDAS!$A:$A,'NO USAR - RECORRIDA'!$A27,RECORRIDAS!$D:$D,"NO"))</f>
        <v/>
      </c>
      <c r="J27" s="812" t="str">
        <f>IF(SUMIFS(RECORRIDAS!S:S,RECORRIDAS!$A:$A,'NO USAR - RECORRIDA'!$A27,RECORRIDAS!$D:$D,"NO")=0,"",SUMIFS(RECORRIDAS!S:S,RECORRIDAS!$A:$A,'NO USAR - RECORRIDA'!$A27,RECORRIDAS!$D:$D,"NO"))</f>
        <v/>
      </c>
      <c r="X27" s="38">
        <v>45910</v>
      </c>
      <c r="Y27" s="614">
        <v>0</v>
      </c>
      <c r="Z27" s="614" t="s">
        <v>1535</v>
      </c>
      <c r="AA27" t="s">
        <v>1556</v>
      </c>
      <c r="AB27" t="s">
        <v>1204</v>
      </c>
      <c r="AC27" t="s">
        <v>1205</v>
      </c>
    </row>
    <row r="28" spans="1:51">
      <c r="A28" s="803">
        <f t="shared" si="1"/>
        <v>49</v>
      </c>
      <c r="B28" s="804" t="str">
        <f>IF(SUMIFS(RECORRIDAS!K:K,RECORRIDAS!$A:$A,'NO USAR - RECORRIDA'!$A28,RECORRIDAS!$D:$D,"SI")=0,"",SUMIFS(RECORRIDAS!K:K,RECORRIDAS!$A:$A,'NO USAR - RECORRIDA'!$A28,RECORRIDAS!$D:$D,"SI"))</f>
        <v/>
      </c>
      <c r="C28" s="804" t="str">
        <f>IF(SUMIFS(RECORRIDAS!L:L,RECORRIDAS!$A:$A,'NO USAR - RECORRIDA'!$A28,RECORRIDAS!$D:$D,"SI")=0,"",SUMIFS(RECORRIDAS!L:L,RECORRIDAS!$A:$A,'NO USAR - RECORRIDA'!$A28,RECORRIDAS!$D:$D,"SI"))</f>
        <v/>
      </c>
      <c r="D28" s="804" t="str">
        <f>IF(SUMIFS(RECORRIDAS!M:M,RECORRIDAS!$A:$A,'NO USAR - RECORRIDA'!$A28,RECORRIDAS!$D:$D,"SI")=0,"",SUMIFS(RECORRIDAS!M:M,RECORRIDAS!$A:$A,'NO USAR - RECORRIDA'!$A28,RECORRIDAS!$D:$D,"SI"))</f>
        <v/>
      </c>
      <c r="E28" s="804" t="str">
        <f>IF(SUMIFS(RECORRIDAS!N:N,RECORRIDAS!$A:$A,'NO USAR - RECORRIDA'!$A28,RECORRIDAS!$D:$D,"SI")=0,"",SUMIFS(RECORRIDAS!N:N,RECORRIDAS!$A:$A,'NO USAR - RECORRIDA'!$A28,RECORRIDAS!$D:$D,"SI"))</f>
        <v/>
      </c>
      <c r="F28" s="804" t="str">
        <f>IF(SUMIFS(RECORRIDAS!O:O,RECORRIDAS!$A:$A,'NO USAR - RECORRIDA'!$A28,RECORRIDAS!$D:$D,"SI")=0,"",SUMIFS(RECORRIDAS!O:O,RECORRIDAS!$A:$A,'NO USAR - RECORRIDA'!$A28,RECORRIDAS!$D:$D,"SI"))</f>
        <v/>
      </c>
      <c r="G28" s="804" t="str">
        <f>IF(SUMIFS(RECORRIDAS!P:P,RECORRIDAS!$A:$A,'NO USAR - RECORRIDA'!$A28,RECORRIDAS!$D:$D,"SI")=0,"",SUMIFS(RECORRIDAS!P:P,RECORRIDAS!$A:$A,'NO USAR - RECORRIDA'!$A28,RECORRIDAS!$D:$D,"SI"))</f>
        <v/>
      </c>
      <c r="H28" s="804" t="str">
        <f>IF(SUMIFS(RECORRIDAS!Q:Q,RECORRIDAS!$A:$A,'NO USAR - RECORRIDA'!$A28,RECORRIDAS!$D:$D,"SI")=0,"",SUMIFS(RECORRIDAS!Q:Q,RECORRIDAS!$A:$A,'NO USAR - RECORRIDA'!$A28,RECORRIDAS!$D:$D,"SI"))</f>
        <v/>
      </c>
      <c r="I28" s="804" t="str">
        <f>IF(SUMIFS(RECORRIDAS!R:R,RECORRIDAS!$A:$A,'NO USAR - RECORRIDA'!$A28,RECORRIDAS!$D:$D,"SI")=0,"",SUMIFS(RECORRIDAS!R:R,RECORRIDAS!$A:$A,'NO USAR - RECORRIDA'!$A28,RECORRIDAS!$D:$D,"SI"))</f>
        <v/>
      </c>
      <c r="J28" s="805" t="str">
        <f>IF(SUMIFS(RECORRIDAS!S:S,RECORRIDAS!$A:$A,'NO USAR - RECORRIDA'!$A28,RECORRIDAS!$D:$D,"SI")=0,"",SUMIFS(RECORRIDAS!S:S,RECORRIDAS!$A:$A,'NO USAR - RECORRIDA'!$A28,RECORRIDAS!$D:$D,"SI"))</f>
        <v/>
      </c>
      <c r="X28" s="38">
        <v>45910</v>
      </c>
      <c r="Y28" s="614">
        <v>0.25</v>
      </c>
      <c r="Z28" s="614" t="s">
        <v>1535</v>
      </c>
      <c r="AA28" t="s">
        <v>1557</v>
      </c>
      <c r="AB28" t="s">
        <v>1207</v>
      </c>
      <c r="AC28" t="s">
        <v>1208</v>
      </c>
      <c r="AF28" s="73" t="s">
        <v>1181</v>
      </c>
      <c r="AG28" t="s">
        <v>1558</v>
      </c>
      <c r="AI28" s="73" t="s">
        <v>1182</v>
      </c>
      <c r="AJ28" t="s">
        <v>1559</v>
      </c>
    </row>
    <row r="29" spans="1:51">
      <c r="A29" s="818">
        <f t="shared" si="1"/>
        <v>50</v>
      </c>
      <c r="B29" s="810" t="str">
        <f>IF(SUMIFS(RECORRIDAS!K:K,RECORRIDAS!$A:$A,'NO USAR - RECORRIDA'!$A29,RECORRIDAS!$D:$D,"NO")=0,"",SUMIFS(RECORRIDAS!K:K,RECORRIDAS!$A:$A,'NO USAR - RECORRIDA'!$A29,RECORRIDAS!$D:$D,"NO"))</f>
        <v/>
      </c>
      <c r="C29" s="811" t="str">
        <f>IF(SUMIFS(RECORRIDAS!L:L,RECORRIDAS!$A:$A,'NO USAR - RECORRIDA'!$A29,RECORRIDAS!$D:$D,"NO")=0,"",SUMIFS(RECORRIDAS!L:L,RECORRIDAS!$A:$A,'NO USAR - RECORRIDA'!$A29,RECORRIDAS!$D:$D,"NO"))</f>
        <v/>
      </c>
      <c r="D29" s="811" t="str">
        <f>IF(SUMIFS(RECORRIDAS!M:M,RECORRIDAS!$A:$A,'NO USAR - RECORRIDA'!$A29,RECORRIDAS!$D:$D,"NO")=0,"",SUMIFS(RECORRIDAS!M:M,RECORRIDAS!$A:$A,'NO USAR - RECORRIDA'!$A29,RECORRIDAS!$D:$D,"NO"))</f>
        <v/>
      </c>
      <c r="E29" s="811" t="str">
        <f>IF(SUMIFS(RECORRIDAS!N:N,RECORRIDAS!$A:$A,'NO USAR - RECORRIDA'!$A29,RECORRIDAS!$D:$D,"NO")=0,"",SUMIFS(RECORRIDAS!N:N,RECORRIDAS!$A:$A,'NO USAR - RECORRIDA'!$A29,RECORRIDAS!$D:$D,"NO"))</f>
        <v/>
      </c>
      <c r="F29" s="811" t="str">
        <f>IF(SUMIFS(RECORRIDAS!O:O,RECORRIDAS!$A:$A,'NO USAR - RECORRIDA'!$A29,RECORRIDAS!$D:$D,"NO")=0,"",SUMIFS(RECORRIDAS!O:O,RECORRIDAS!$A:$A,'NO USAR - RECORRIDA'!$A29,RECORRIDAS!$D:$D,"NO"))</f>
        <v/>
      </c>
      <c r="G29" s="811" t="str">
        <f>IF(SUMIFS(RECORRIDAS!P:P,RECORRIDAS!$A:$A,'NO USAR - RECORRIDA'!$A29,RECORRIDAS!$D:$D,"NO")=0,"",SUMIFS(RECORRIDAS!P:P,RECORRIDAS!$A:$A,'NO USAR - RECORRIDA'!$A29,RECORRIDAS!$D:$D,"NO"))</f>
        <v/>
      </c>
      <c r="H29" s="811" t="str">
        <f>IF(SUMIFS(RECORRIDAS!Q:Q,RECORRIDAS!$A:$A,'NO USAR - RECORRIDA'!$A29,RECORRIDAS!$D:$D,"NO")=0,"",SUMIFS(RECORRIDAS!Q:Q,RECORRIDAS!$A:$A,'NO USAR - RECORRIDA'!$A29,RECORRIDAS!$D:$D,"NO"))</f>
        <v/>
      </c>
      <c r="I29" s="811" t="str">
        <f>IF(SUMIFS(RECORRIDAS!R:R,RECORRIDAS!$A:$A,'NO USAR - RECORRIDA'!$A29,RECORRIDAS!$D:$D,"NO")=0,"",SUMIFS(RECORRIDAS!R:R,RECORRIDAS!$A:$A,'NO USAR - RECORRIDA'!$A29,RECORRIDAS!$D:$D,"NO"))</f>
        <v/>
      </c>
      <c r="J29" s="812" t="str">
        <f>IF(SUMIFS(RECORRIDAS!S:S,RECORRIDAS!$A:$A,'NO USAR - RECORRIDA'!$A29,RECORRIDAS!$D:$D,"NO")=0,"",SUMIFS(RECORRIDAS!S:S,RECORRIDAS!$A:$A,'NO USAR - RECORRIDA'!$A29,RECORRIDAS!$D:$D,"NO"))</f>
        <v/>
      </c>
      <c r="M29" s="38"/>
      <c r="X29" s="38">
        <v>45910</v>
      </c>
      <c r="Y29" s="614">
        <v>0.25</v>
      </c>
      <c r="Z29" s="614" t="s">
        <v>1535</v>
      </c>
      <c r="AA29" t="s">
        <v>1560</v>
      </c>
      <c r="AB29" t="s">
        <v>1210</v>
      </c>
      <c r="AC29" t="s">
        <v>1211</v>
      </c>
      <c r="AF29" t="s">
        <v>1553</v>
      </c>
      <c r="AG29" s="622">
        <v>0.16666666666666666</v>
      </c>
      <c r="AI29" t="s">
        <v>1199</v>
      </c>
      <c r="AJ29">
        <v>1</v>
      </c>
    </row>
    <row r="30" spans="1:51">
      <c r="A30" s="803">
        <f t="shared" si="1"/>
        <v>50</v>
      </c>
      <c r="B30" s="804" t="str">
        <f>IF(SUMIFS(RECORRIDAS!K:K,RECORRIDAS!$A:$A,'NO USAR - RECORRIDA'!$A30,RECORRIDAS!$D:$D,"SI")=0,"",SUMIFS(RECORRIDAS!K:K,RECORRIDAS!$A:$A,'NO USAR - RECORRIDA'!$A30,RECORRIDAS!$D:$D,"SI"))</f>
        <v/>
      </c>
      <c r="C30" s="804" t="str">
        <f>IF(SUMIFS(RECORRIDAS!L:L,RECORRIDAS!$A:$A,'NO USAR - RECORRIDA'!$A30,RECORRIDAS!$D:$D,"SI")=0,"",SUMIFS(RECORRIDAS!L:L,RECORRIDAS!$A:$A,'NO USAR - RECORRIDA'!$A30,RECORRIDAS!$D:$D,"SI"))</f>
        <v/>
      </c>
      <c r="D30" s="804" t="str">
        <f>IF(SUMIFS(RECORRIDAS!M:M,RECORRIDAS!$A:$A,'NO USAR - RECORRIDA'!$A30,RECORRIDAS!$D:$D,"SI")=0,"",SUMIFS(RECORRIDAS!M:M,RECORRIDAS!$A:$A,'NO USAR - RECORRIDA'!$A30,RECORRIDAS!$D:$D,"SI"))</f>
        <v/>
      </c>
      <c r="E30" s="804" t="str">
        <f>IF(SUMIFS(RECORRIDAS!N:N,RECORRIDAS!$A:$A,'NO USAR - RECORRIDA'!$A30,RECORRIDAS!$D:$D,"SI")=0,"",SUMIFS(RECORRIDAS!N:N,RECORRIDAS!$A:$A,'NO USAR - RECORRIDA'!$A30,RECORRIDAS!$D:$D,"SI"))</f>
        <v/>
      </c>
      <c r="F30" s="804" t="str">
        <f>IF(SUMIFS(RECORRIDAS!O:O,RECORRIDAS!$A:$A,'NO USAR - RECORRIDA'!$A30,RECORRIDAS!$D:$D,"SI")=0,"",SUMIFS(RECORRIDAS!O:O,RECORRIDAS!$A:$A,'NO USAR - RECORRIDA'!$A30,RECORRIDAS!$D:$D,"SI"))</f>
        <v/>
      </c>
      <c r="G30" s="804" t="str">
        <f>IF(SUMIFS(RECORRIDAS!P:P,RECORRIDAS!$A:$A,'NO USAR - RECORRIDA'!$A30,RECORRIDAS!$D:$D,"SI")=0,"",SUMIFS(RECORRIDAS!P:P,RECORRIDAS!$A:$A,'NO USAR - RECORRIDA'!$A30,RECORRIDAS!$D:$D,"SI"))</f>
        <v/>
      </c>
      <c r="H30" s="804" t="str">
        <f>IF(SUMIFS(RECORRIDAS!Q:Q,RECORRIDAS!$A:$A,'NO USAR - RECORRIDA'!$A30,RECORRIDAS!$D:$D,"SI")=0,"",SUMIFS(RECORRIDAS!Q:Q,RECORRIDAS!$A:$A,'NO USAR - RECORRIDA'!$A30,RECORRIDAS!$D:$D,"SI"))</f>
        <v/>
      </c>
      <c r="I30" s="804" t="str">
        <f>IF(SUMIFS(RECORRIDAS!R:R,RECORRIDAS!$A:$A,'NO USAR - RECORRIDA'!$A30,RECORRIDAS!$D:$D,"SI")=0,"",SUMIFS(RECORRIDAS!R:R,RECORRIDAS!$A:$A,'NO USAR - RECORRIDA'!$A30,RECORRIDAS!$D:$D,"SI"))</f>
        <v/>
      </c>
      <c r="J30" s="805" t="str">
        <f>IF(SUMIFS(RECORRIDAS!S:S,RECORRIDAS!$A:$A,'NO USAR - RECORRIDA'!$A30,RECORRIDAS!$D:$D,"SI")=0,"",SUMIFS(RECORRIDAS!S:S,RECORRIDAS!$A:$A,'NO USAR - RECORRIDA'!$A30,RECORRIDAS!$D:$D,"SI"))</f>
        <v/>
      </c>
      <c r="X30" s="38">
        <v>45910</v>
      </c>
      <c r="Y30" s="614">
        <v>0.25</v>
      </c>
      <c r="Z30" s="614" t="s">
        <v>1535</v>
      </c>
      <c r="AA30" s="618" t="s">
        <v>1561</v>
      </c>
      <c r="AB30" t="s">
        <v>1194</v>
      </c>
      <c r="AF30" t="s">
        <v>1557</v>
      </c>
      <c r="AG30" s="622">
        <v>0.16666666666666666</v>
      </c>
      <c r="AI30" t="s">
        <v>1207</v>
      </c>
      <c r="AJ30">
        <v>1</v>
      </c>
    </row>
    <row r="31" spans="1:51">
      <c r="A31" s="801">
        <f t="shared" si="1"/>
        <v>51</v>
      </c>
      <c r="B31" s="810" t="str">
        <f>IF(SUMIFS(RECORRIDAS!K:K,RECORRIDAS!$A:$A,'NO USAR - RECORRIDA'!$A31,RECORRIDAS!$D:$D,"NO")=0,"",SUMIFS(RECORRIDAS!K:K,RECORRIDAS!$A:$A,'NO USAR - RECORRIDA'!$A31,RECORRIDAS!$D:$D,"NO"))</f>
        <v/>
      </c>
      <c r="C31" s="811" t="str">
        <f>IF(SUMIFS(RECORRIDAS!L:L,RECORRIDAS!$A:$A,'NO USAR - RECORRIDA'!$A31,RECORRIDAS!$D:$D,"NO")=0,"",SUMIFS(RECORRIDAS!L:L,RECORRIDAS!$A:$A,'NO USAR - RECORRIDA'!$A31,RECORRIDAS!$D:$D,"NO"))</f>
        <v/>
      </c>
      <c r="D31" s="811" t="str">
        <f>IF(SUMIFS(RECORRIDAS!M:M,RECORRIDAS!$A:$A,'NO USAR - RECORRIDA'!$A31,RECORRIDAS!$D:$D,"NO")=0,"",SUMIFS(RECORRIDAS!M:M,RECORRIDAS!$A:$A,'NO USAR - RECORRIDA'!$A31,RECORRIDAS!$D:$D,"NO"))</f>
        <v/>
      </c>
      <c r="E31" s="811" t="str">
        <f>IF(SUMIFS(RECORRIDAS!N:N,RECORRIDAS!$A:$A,'NO USAR - RECORRIDA'!$A31,RECORRIDAS!$D:$D,"NO")=0,"",SUMIFS(RECORRIDAS!N:N,RECORRIDAS!$A:$A,'NO USAR - RECORRIDA'!$A31,RECORRIDAS!$D:$D,"NO"))</f>
        <v/>
      </c>
      <c r="F31" s="811" t="str">
        <f>IF(SUMIFS(RECORRIDAS!O:O,RECORRIDAS!$A:$A,'NO USAR - RECORRIDA'!$A31,RECORRIDAS!$D:$D,"NO")=0,"",SUMIFS(RECORRIDAS!O:O,RECORRIDAS!$A:$A,'NO USAR - RECORRIDA'!$A31,RECORRIDAS!$D:$D,"NO"))</f>
        <v/>
      </c>
      <c r="G31" s="811" t="str">
        <f>IF(SUMIFS(RECORRIDAS!P:P,RECORRIDAS!$A:$A,'NO USAR - RECORRIDA'!$A31,RECORRIDAS!$D:$D,"NO")=0,"",SUMIFS(RECORRIDAS!P:P,RECORRIDAS!$A:$A,'NO USAR - RECORRIDA'!$A31,RECORRIDAS!$D:$D,"NO"))</f>
        <v/>
      </c>
      <c r="H31" s="811" t="str">
        <f>IF(SUMIFS(RECORRIDAS!Q:Q,RECORRIDAS!$A:$A,'NO USAR - RECORRIDA'!$A31,RECORRIDAS!$D:$D,"NO")=0,"",SUMIFS(RECORRIDAS!Q:Q,RECORRIDAS!$A:$A,'NO USAR - RECORRIDA'!$A31,RECORRIDAS!$D:$D,"NO"))</f>
        <v/>
      </c>
      <c r="I31" s="811" t="str">
        <f>IF(SUMIFS(RECORRIDAS!R:R,RECORRIDAS!$A:$A,'NO USAR - RECORRIDA'!$A31,RECORRIDAS!$D:$D,"NO")=0,"",SUMIFS(RECORRIDAS!R:R,RECORRIDAS!$A:$A,'NO USAR - RECORRIDA'!$A31,RECORRIDAS!$D:$D,"NO"))</f>
        <v/>
      </c>
      <c r="J31" s="812" t="str">
        <f>IF(SUMIFS(RECORRIDAS!S:S,RECORRIDAS!$A:$A,'NO USAR - RECORRIDA'!$A31,RECORRIDAS!$D:$D,"NO")=0,"",SUMIFS(RECORRIDAS!S:S,RECORRIDAS!$A:$A,'NO USAR - RECORRIDA'!$A31,RECORRIDAS!$D:$D,"NO"))</f>
        <v/>
      </c>
      <c r="X31" s="38">
        <v>45911</v>
      </c>
      <c r="Y31" s="614">
        <v>0.5</v>
      </c>
      <c r="Z31" s="614" t="s">
        <v>1535</v>
      </c>
      <c r="AA31" t="s">
        <v>1554</v>
      </c>
      <c r="AB31" t="s">
        <v>1210</v>
      </c>
      <c r="AC31" t="s">
        <v>1213</v>
      </c>
      <c r="AF31" t="s">
        <v>1562</v>
      </c>
      <c r="AG31" s="622">
        <v>0.33333333333333331</v>
      </c>
      <c r="AI31" t="s">
        <v>1201</v>
      </c>
      <c r="AJ31">
        <v>1</v>
      </c>
    </row>
    <row r="32" spans="1:51">
      <c r="A32" s="803">
        <f t="shared" si="1"/>
        <v>51</v>
      </c>
      <c r="B32" s="804" t="str">
        <f>IF(SUMIFS(RECORRIDAS!K:K,RECORRIDAS!$A:$A,'NO USAR - RECORRIDA'!$A32,RECORRIDAS!$D:$D,"SI")=0,"",SUMIFS(RECORRIDAS!K:K,RECORRIDAS!$A:$A,'NO USAR - RECORRIDA'!$A32,RECORRIDAS!$D:$D,"SI"))</f>
        <v/>
      </c>
      <c r="C32" s="804" t="str">
        <f>IF(SUMIFS(RECORRIDAS!L:L,RECORRIDAS!$A:$A,'NO USAR - RECORRIDA'!$A32,RECORRIDAS!$D:$D,"SI")=0,"",SUMIFS(RECORRIDAS!L:L,RECORRIDAS!$A:$A,'NO USAR - RECORRIDA'!$A32,RECORRIDAS!$D:$D,"SI"))</f>
        <v/>
      </c>
      <c r="D32" s="804" t="str">
        <f>IF(SUMIFS(RECORRIDAS!M:M,RECORRIDAS!$A:$A,'NO USAR - RECORRIDA'!$A32,RECORRIDAS!$D:$D,"SI")=0,"",SUMIFS(RECORRIDAS!M:M,RECORRIDAS!$A:$A,'NO USAR - RECORRIDA'!$A32,RECORRIDAS!$D:$D,"SI"))</f>
        <v/>
      </c>
      <c r="E32" s="804" t="str">
        <f>IF(SUMIFS(RECORRIDAS!N:N,RECORRIDAS!$A:$A,'NO USAR - RECORRIDA'!$A32,RECORRIDAS!$D:$D,"SI")=0,"",SUMIFS(RECORRIDAS!N:N,RECORRIDAS!$A:$A,'NO USAR - RECORRIDA'!$A32,RECORRIDAS!$D:$D,"SI"))</f>
        <v/>
      </c>
      <c r="F32" s="804" t="str">
        <f>IF(SUMIFS(RECORRIDAS!O:O,RECORRIDAS!$A:$A,'NO USAR - RECORRIDA'!$A32,RECORRIDAS!$D:$D,"SI")=0,"",SUMIFS(RECORRIDAS!O:O,RECORRIDAS!$A:$A,'NO USAR - RECORRIDA'!$A32,RECORRIDAS!$D:$D,"SI"))</f>
        <v/>
      </c>
      <c r="G32" s="804" t="str">
        <f>IF(SUMIFS(RECORRIDAS!P:P,RECORRIDAS!$A:$A,'NO USAR - RECORRIDA'!$A32,RECORRIDAS!$D:$D,"SI")=0,"",SUMIFS(RECORRIDAS!P:P,RECORRIDAS!$A:$A,'NO USAR - RECORRIDA'!$A32,RECORRIDAS!$D:$D,"SI"))</f>
        <v/>
      </c>
      <c r="H32" s="804" t="str">
        <f>IF(SUMIFS(RECORRIDAS!Q:Q,RECORRIDAS!$A:$A,'NO USAR - RECORRIDA'!$A32,RECORRIDAS!$D:$D,"SI")=0,"",SUMIFS(RECORRIDAS!Q:Q,RECORRIDAS!$A:$A,'NO USAR - RECORRIDA'!$A32,RECORRIDAS!$D:$D,"SI"))</f>
        <v/>
      </c>
      <c r="I32" s="804" t="str">
        <f>IF(SUMIFS(RECORRIDAS!R:R,RECORRIDAS!$A:$A,'NO USAR - RECORRIDA'!$A32,RECORRIDAS!$D:$D,"SI")=0,"",SUMIFS(RECORRIDAS!R:R,RECORRIDAS!$A:$A,'NO USAR - RECORRIDA'!$A32,RECORRIDAS!$D:$D,"SI"))</f>
        <v/>
      </c>
      <c r="J32" s="805" t="str">
        <f>IF(SUMIFS(RECORRIDAS!S:S,RECORRIDAS!$A:$A,'NO USAR - RECORRIDA'!$A32,RECORRIDAS!$D:$D,"SI")=0,"",SUMIFS(RECORRIDAS!S:S,RECORRIDAS!$A:$A,'NO USAR - RECORRIDA'!$A32,RECORRIDAS!$D:$D,"SI"))</f>
        <v/>
      </c>
      <c r="X32" s="38">
        <v>45911</v>
      </c>
      <c r="Y32" s="614">
        <v>0.5</v>
      </c>
      <c r="Z32" s="614" t="s">
        <v>1535</v>
      </c>
      <c r="AA32" t="s">
        <v>1555</v>
      </c>
      <c r="AB32" t="s">
        <v>1214</v>
      </c>
      <c r="AF32" t="s">
        <v>1536</v>
      </c>
      <c r="AG32" s="622">
        <v>0.16666666666666666</v>
      </c>
      <c r="AI32" t="s">
        <v>1196</v>
      </c>
      <c r="AJ32">
        <v>1</v>
      </c>
    </row>
    <row r="33" spans="1:36">
      <c r="A33" s="818">
        <f t="shared" si="1"/>
        <v>52</v>
      </c>
      <c r="B33" s="810" t="str">
        <f>IF(SUMIFS(RECORRIDAS!K:K,RECORRIDAS!$A:$A,'NO USAR - RECORRIDA'!$A33,RECORRIDAS!$D:$D,"NO")=0,"",SUMIFS(RECORRIDAS!K:K,RECORRIDAS!$A:$A,'NO USAR - RECORRIDA'!$A33,RECORRIDAS!$D:$D,"NO"))</f>
        <v/>
      </c>
      <c r="C33" s="811" t="str">
        <f>IF(SUMIFS(RECORRIDAS!L:L,RECORRIDAS!$A:$A,'NO USAR - RECORRIDA'!$A33,RECORRIDAS!$D:$D,"NO")=0,"",SUMIFS(RECORRIDAS!L:L,RECORRIDAS!$A:$A,'NO USAR - RECORRIDA'!$A33,RECORRIDAS!$D:$D,"NO"))</f>
        <v/>
      </c>
      <c r="D33" s="811" t="str">
        <f>IF(SUMIFS(RECORRIDAS!M:M,RECORRIDAS!$A:$A,'NO USAR - RECORRIDA'!$A33,RECORRIDAS!$D:$D,"NO")=0,"",SUMIFS(RECORRIDAS!M:M,RECORRIDAS!$A:$A,'NO USAR - RECORRIDA'!$A33,RECORRIDAS!$D:$D,"NO"))</f>
        <v/>
      </c>
      <c r="E33" s="811" t="str">
        <f>IF(SUMIFS(RECORRIDAS!N:N,RECORRIDAS!$A:$A,'NO USAR - RECORRIDA'!$A33,RECORRIDAS!$D:$D,"NO")=0,"",SUMIFS(RECORRIDAS!N:N,RECORRIDAS!$A:$A,'NO USAR - RECORRIDA'!$A33,RECORRIDAS!$D:$D,"NO"))</f>
        <v/>
      </c>
      <c r="F33" s="811" t="str">
        <f>IF(SUMIFS(RECORRIDAS!O:O,RECORRIDAS!$A:$A,'NO USAR - RECORRIDA'!$A33,RECORRIDAS!$D:$D,"NO")=0,"",SUMIFS(RECORRIDAS!O:O,RECORRIDAS!$A:$A,'NO USAR - RECORRIDA'!$A33,RECORRIDAS!$D:$D,"NO"))</f>
        <v/>
      </c>
      <c r="G33" s="811" t="str">
        <f>IF(SUMIFS(RECORRIDAS!P:P,RECORRIDAS!$A:$A,'NO USAR - RECORRIDA'!$A33,RECORRIDAS!$D:$D,"NO")=0,"",SUMIFS(RECORRIDAS!P:P,RECORRIDAS!$A:$A,'NO USAR - RECORRIDA'!$A33,RECORRIDAS!$D:$D,"NO"))</f>
        <v/>
      </c>
      <c r="H33" s="811" t="str">
        <f>IF(SUMIFS(RECORRIDAS!Q:Q,RECORRIDAS!$A:$A,'NO USAR - RECORRIDA'!$A33,RECORRIDAS!$D:$D,"NO")=0,"",SUMIFS(RECORRIDAS!Q:Q,RECORRIDAS!$A:$A,'NO USAR - RECORRIDA'!$A33,RECORRIDAS!$D:$D,"NO"))</f>
        <v/>
      </c>
      <c r="I33" s="811" t="str">
        <f>IF(SUMIFS(RECORRIDAS!R:R,RECORRIDAS!$A:$A,'NO USAR - RECORRIDA'!$A33,RECORRIDAS!$D:$D,"NO")=0,"",SUMIFS(RECORRIDAS!R:R,RECORRIDAS!$A:$A,'NO USAR - RECORRIDA'!$A33,RECORRIDAS!$D:$D,"NO"))</f>
        <v/>
      </c>
      <c r="J33" s="812" t="str">
        <f>IF(SUMIFS(RECORRIDAS!S:S,RECORRIDAS!$A:$A,'NO USAR - RECORRIDA'!$A33,RECORRIDAS!$D:$D,"NO")=0,"",SUMIFS(RECORRIDAS!S:S,RECORRIDAS!$A:$A,'NO USAR - RECORRIDA'!$A33,RECORRIDAS!$D:$D,"NO"))</f>
        <v/>
      </c>
      <c r="X33" s="38">
        <v>45911</v>
      </c>
      <c r="Y33" s="614">
        <v>0.5</v>
      </c>
      <c r="Z33" s="614" t="s">
        <v>1535</v>
      </c>
      <c r="AA33" s="618" t="s">
        <v>1563</v>
      </c>
      <c r="AB33" t="s">
        <v>1216</v>
      </c>
      <c r="AC33" t="s">
        <v>1217</v>
      </c>
      <c r="AF33" t="s">
        <v>1564</v>
      </c>
      <c r="AG33" s="622">
        <v>0.16666666666666666</v>
      </c>
      <c r="AI33" t="s">
        <v>1565</v>
      </c>
      <c r="AJ33">
        <v>1</v>
      </c>
    </row>
    <row r="34" spans="1:36">
      <c r="A34" s="803">
        <f t="shared" si="1"/>
        <v>52</v>
      </c>
      <c r="B34" s="804" t="str">
        <f>IF(SUMIFS(RECORRIDAS!K:K,RECORRIDAS!$A:$A,'NO USAR - RECORRIDA'!$A34,RECORRIDAS!$D:$D,"SI")=0,"",SUMIFS(RECORRIDAS!K:K,RECORRIDAS!$A:$A,'NO USAR - RECORRIDA'!$A34,RECORRIDAS!$D:$D,"SI"))</f>
        <v/>
      </c>
      <c r="C34" s="804" t="str">
        <f>IF(SUMIFS(RECORRIDAS!L:L,RECORRIDAS!$A:$A,'NO USAR - RECORRIDA'!$A34,RECORRIDAS!$D:$D,"SI")=0,"",SUMIFS(RECORRIDAS!L:L,RECORRIDAS!$A:$A,'NO USAR - RECORRIDA'!$A34,RECORRIDAS!$D:$D,"SI"))</f>
        <v/>
      </c>
      <c r="D34" s="804" t="str">
        <f>IF(SUMIFS(RECORRIDAS!M:M,RECORRIDAS!$A:$A,'NO USAR - RECORRIDA'!$A34,RECORRIDAS!$D:$D,"SI")=0,"",SUMIFS(RECORRIDAS!M:M,RECORRIDAS!$A:$A,'NO USAR - RECORRIDA'!$A34,RECORRIDAS!$D:$D,"SI"))</f>
        <v/>
      </c>
      <c r="E34" s="804" t="str">
        <f>IF(SUMIFS(RECORRIDAS!N:N,RECORRIDAS!$A:$A,'NO USAR - RECORRIDA'!$A34,RECORRIDAS!$D:$D,"SI")=0,"",SUMIFS(RECORRIDAS!N:N,RECORRIDAS!$A:$A,'NO USAR - RECORRIDA'!$A34,RECORRIDAS!$D:$D,"SI"))</f>
        <v/>
      </c>
      <c r="F34" s="804" t="str">
        <f>IF(SUMIFS(RECORRIDAS!O:O,RECORRIDAS!$A:$A,'NO USAR - RECORRIDA'!$A34,RECORRIDAS!$D:$D,"SI")=0,"",SUMIFS(RECORRIDAS!O:O,RECORRIDAS!$A:$A,'NO USAR - RECORRIDA'!$A34,RECORRIDAS!$D:$D,"SI"))</f>
        <v/>
      </c>
      <c r="G34" s="804" t="str">
        <f>IF(SUMIFS(RECORRIDAS!P:P,RECORRIDAS!$A:$A,'NO USAR - RECORRIDA'!$A34,RECORRIDAS!$D:$D,"SI")=0,"",SUMIFS(RECORRIDAS!P:P,RECORRIDAS!$A:$A,'NO USAR - RECORRIDA'!$A34,RECORRIDAS!$D:$D,"SI"))</f>
        <v/>
      </c>
      <c r="H34" s="804" t="str">
        <f>IF(SUMIFS(RECORRIDAS!Q:Q,RECORRIDAS!$A:$A,'NO USAR - RECORRIDA'!$A34,RECORRIDAS!$D:$D,"SI")=0,"",SUMIFS(RECORRIDAS!Q:Q,RECORRIDAS!$A:$A,'NO USAR - RECORRIDA'!$A34,RECORRIDAS!$D:$D,"SI"))</f>
        <v/>
      </c>
      <c r="I34" s="804" t="str">
        <f>IF(SUMIFS(RECORRIDAS!R:R,RECORRIDAS!$A:$A,'NO USAR - RECORRIDA'!$A34,RECORRIDAS!$D:$D,"SI")=0,"",SUMIFS(RECORRIDAS!R:R,RECORRIDAS!$A:$A,'NO USAR - RECORRIDA'!$A34,RECORRIDAS!$D:$D,"SI"))</f>
        <v/>
      </c>
      <c r="J34" s="805" t="str">
        <f>IF(SUMIFS(RECORRIDAS!S:S,RECORRIDAS!$A:$A,'NO USAR - RECORRIDA'!$A34,RECORRIDAS!$D:$D,"SI")=0,"",SUMIFS(RECORRIDAS!S:S,RECORRIDAS!$A:$A,'NO USAR - RECORRIDA'!$A34,RECORRIDAS!$D:$D,"SI"))</f>
        <v/>
      </c>
      <c r="X34" s="38">
        <v>45911</v>
      </c>
      <c r="Y34" s="614">
        <v>0.5</v>
      </c>
      <c r="Z34" s="614" t="s">
        <v>1535</v>
      </c>
      <c r="AA34" t="s">
        <v>1566</v>
      </c>
      <c r="AB34" t="s">
        <v>1216</v>
      </c>
      <c r="AC34" t="s">
        <v>1217</v>
      </c>
      <c r="AF34" t="s">
        <v>656</v>
      </c>
      <c r="AG34" s="622">
        <v>1</v>
      </c>
      <c r="AI34" t="s">
        <v>1567</v>
      </c>
      <c r="AJ34">
        <v>1</v>
      </c>
    </row>
    <row r="35" spans="1:36">
      <c r="A35" s="801">
        <f t="shared" si="1"/>
        <v>53</v>
      </c>
      <c r="B35" s="810" t="str">
        <f>IF(SUMIFS(RECORRIDAS!K:K,RECORRIDAS!$A:$A,'NO USAR - RECORRIDA'!$A35,RECORRIDAS!$D:$D,"NO")=0,"",SUMIFS(RECORRIDAS!K:K,RECORRIDAS!$A:$A,'NO USAR - RECORRIDA'!$A35,RECORRIDAS!$D:$D,"NO"))</f>
        <v/>
      </c>
      <c r="C35" s="811" t="str">
        <f>IF(SUMIFS(RECORRIDAS!L:L,RECORRIDAS!$A:$A,'NO USAR - RECORRIDA'!$A35,RECORRIDAS!$D:$D,"NO")=0,"",SUMIFS(RECORRIDAS!L:L,RECORRIDAS!$A:$A,'NO USAR - RECORRIDA'!$A35,RECORRIDAS!$D:$D,"NO"))</f>
        <v/>
      </c>
      <c r="D35" s="811" t="str">
        <f>IF(SUMIFS(RECORRIDAS!M:M,RECORRIDAS!$A:$A,'NO USAR - RECORRIDA'!$A35,RECORRIDAS!$D:$D,"NO")=0,"",SUMIFS(RECORRIDAS!M:M,RECORRIDAS!$A:$A,'NO USAR - RECORRIDA'!$A35,RECORRIDAS!$D:$D,"NO"))</f>
        <v/>
      </c>
      <c r="E35" s="811" t="str">
        <f>IF(SUMIFS(RECORRIDAS!N:N,RECORRIDAS!$A:$A,'NO USAR - RECORRIDA'!$A35,RECORRIDAS!$D:$D,"NO")=0,"",SUMIFS(RECORRIDAS!N:N,RECORRIDAS!$A:$A,'NO USAR - RECORRIDA'!$A35,RECORRIDAS!$D:$D,"NO"))</f>
        <v/>
      </c>
      <c r="F35" s="811" t="str">
        <f>IF(SUMIFS(RECORRIDAS!O:O,RECORRIDAS!$A:$A,'NO USAR - RECORRIDA'!$A35,RECORRIDAS!$D:$D,"NO")=0,"",SUMIFS(RECORRIDAS!O:O,RECORRIDAS!$A:$A,'NO USAR - RECORRIDA'!$A35,RECORRIDAS!$D:$D,"NO"))</f>
        <v/>
      </c>
      <c r="G35" s="811" t="str">
        <f>IF(SUMIFS(RECORRIDAS!P:P,RECORRIDAS!$A:$A,'NO USAR - RECORRIDA'!$A35,RECORRIDAS!$D:$D,"NO")=0,"",SUMIFS(RECORRIDAS!P:P,RECORRIDAS!$A:$A,'NO USAR - RECORRIDA'!$A35,RECORRIDAS!$D:$D,"NO"))</f>
        <v/>
      </c>
      <c r="H35" s="811" t="str">
        <f>IF(SUMIFS(RECORRIDAS!Q:Q,RECORRIDAS!$A:$A,'NO USAR - RECORRIDA'!$A35,RECORRIDAS!$D:$D,"NO")=0,"",SUMIFS(RECORRIDAS!Q:Q,RECORRIDAS!$A:$A,'NO USAR - RECORRIDA'!$A35,RECORRIDAS!$D:$D,"NO"))</f>
        <v/>
      </c>
      <c r="I35" s="811" t="str">
        <f>IF(SUMIFS(RECORRIDAS!R:R,RECORRIDAS!$A:$A,'NO USAR - RECORRIDA'!$A35,RECORRIDAS!$D:$D,"NO")=0,"",SUMIFS(RECORRIDAS!R:R,RECORRIDAS!$A:$A,'NO USAR - RECORRIDA'!$A35,RECORRIDAS!$D:$D,"NO"))</f>
        <v/>
      </c>
      <c r="J35" s="812" t="str">
        <f>IF(SUMIFS(RECORRIDAS!S:S,RECORRIDAS!$A:$A,'NO USAR - RECORRIDA'!$A35,RECORRIDAS!$D:$D,"NO")=0,"",SUMIFS(RECORRIDAS!S:S,RECORRIDAS!$A:$A,'NO USAR - RECORRIDA'!$A35,RECORRIDAS!$D:$D,"NO"))</f>
        <v/>
      </c>
      <c r="X35" s="38">
        <v>45916</v>
      </c>
      <c r="Y35" s="614">
        <v>0.66666666666666663</v>
      </c>
      <c r="Z35" s="614" t="s">
        <v>1535</v>
      </c>
      <c r="AA35" t="s">
        <v>1219</v>
      </c>
      <c r="AB35" t="s">
        <v>1220</v>
      </c>
      <c r="AC35" t="s">
        <v>1221</v>
      </c>
      <c r="AI35" t="s">
        <v>656</v>
      </c>
      <c r="AJ35">
        <v>6</v>
      </c>
    </row>
    <row r="36" spans="1:36">
      <c r="A36" s="798">
        <f t="shared" si="1"/>
        <v>53</v>
      </c>
      <c r="B36" s="799" t="str">
        <f>IF(SUMIFS(RECORRIDAS!K:K,RECORRIDAS!$A:$A,'NO USAR - RECORRIDA'!$A36,RECORRIDAS!$D:$D,"SI")=0,"",SUMIFS(RECORRIDAS!K:K,RECORRIDAS!$A:$A,'NO USAR - RECORRIDA'!$A36,RECORRIDAS!$D:$D,"SI"))</f>
        <v/>
      </c>
      <c r="C36" s="799" t="str">
        <f>IF(SUMIFS(RECORRIDAS!L:L,RECORRIDAS!$A:$A,'NO USAR - RECORRIDA'!$A36,RECORRIDAS!$D:$D,"SI")=0,"",SUMIFS(RECORRIDAS!L:L,RECORRIDAS!$A:$A,'NO USAR - RECORRIDA'!$A36,RECORRIDAS!$D:$D,"SI"))</f>
        <v/>
      </c>
      <c r="D36" s="799" t="str">
        <f>IF(SUMIFS(RECORRIDAS!M:M,RECORRIDAS!$A:$A,'NO USAR - RECORRIDA'!$A36,RECORRIDAS!$D:$D,"SI")=0,"",SUMIFS(RECORRIDAS!M:M,RECORRIDAS!$A:$A,'NO USAR - RECORRIDA'!$A36,RECORRIDAS!$D:$D,"SI"))</f>
        <v/>
      </c>
      <c r="E36" s="799" t="str">
        <f>IF(SUMIFS(RECORRIDAS!N:N,RECORRIDAS!$A:$A,'NO USAR - RECORRIDA'!$A36,RECORRIDAS!$D:$D,"SI")=0,"",SUMIFS(RECORRIDAS!N:N,RECORRIDAS!$A:$A,'NO USAR - RECORRIDA'!$A36,RECORRIDAS!$D:$D,"SI"))</f>
        <v/>
      </c>
      <c r="F36" s="799" t="str">
        <f>IF(SUMIFS(RECORRIDAS!O:O,RECORRIDAS!$A:$A,'NO USAR - RECORRIDA'!$A36,RECORRIDAS!$D:$D,"SI")=0,"",SUMIFS(RECORRIDAS!O:O,RECORRIDAS!$A:$A,'NO USAR - RECORRIDA'!$A36,RECORRIDAS!$D:$D,"SI"))</f>
        <v/>
      </c>
      <c r="G36" s="799" t="str">
        <f>IF(SUMIFS(RECORRIDAS!P:P,RECORRIDAS!$A:$A,'NO USAR - RECORRIDA'!$A36,RECORRIDAS!$D:$D,"SI")=0,"",SUMIFS(RECORRIDAS!P:P,RECORRIDAS!$A:$A,'NO USAR - RECORRIDA'!$A36,RECORRIDAS!$D:$D,"SI"))</f>
        <v/>
      </c>
      <c r="H36" s="799" t="str">
        <f>IF(SUMIFS(RECORRIDAS!Q:Q,RECORRIDAS!$A:$A,'NO USAR - RECORRIDA'!$A36,RECORRIDAS!$D:$D,"SI")=0,"",SUMIFS(RECORRIDAS!Q:Q,RECORRIDAS!$A:$A,'NO USAR - RECORRIDA'!$A36,RECORRIDAS!$D:$D,"SI"))</f>
        <v/>
      </c>
      <c r="I36" s="799" t="str">
        <f>IF(SUMIFS(RECORRIDAS!R:R,RECORRIDAS!$A:$A,'NO USAR - RECORRIDA'!$A36,RECORRIDAS!$D:$D,"SI")=0,"",SUMIFS(RECORRIDAS!R:R,RECORRIDAS!$A:$A,'NO USAR - RECORRIDA'!$A36,RECORRIDAS!$D:$D,"SI"))</f>
        <v/>
      </c>
      <c r="J36" s="800" t="str">
        <f>IF(SUMIFS(RECORRIDAS!S:S,RECORRIDAS!$A:$A,'NO USAR - RECORRIDA'!$A36,RECORRIDAS!$D:$D,"SI")=0,"",SUMIFS(RECORRIDAS!S:S,RECORRIDAS!$A:$A,'NO USAR - RECORRIDA'!$A36,RECORRIDAS!$D:$D,"SI"))</f>
        <v/>
      </c>
      <c r="X36" s="38">
        <v>45916</v>
      </c>
      <c r="Y36" s="614">
        <v>0.66666666666666663</v>
      </c>
      <c r="Z36" s="614" t="s">
        <v>1535</v>
      </c>
      <c r="AA36" t="s">
        <v>1568</v>
      </c>
      <c r="AB36" t="s">
        <v>1220</v>
      </c>
      <c r="AC36" t="s">
        <v>1221</v>
      </c>
    </row>
    <row r="37" spans="1:36" ht="16">
      <c r="X37" s="38">
        <v>45916</v>
      </c>
      <c r="Y37" s="614">
        <v>0.66666666666666663</v>
      </c>
      <c r="Z37" s="614" t="s">
        <v>1535</v>
      </c>
      <c r="AA37" t="s">
        <v>1223</v>
      </c>
      <c r="AB37" s="46" t="s">
        <v>1224</v>
      </c>
      <c r="AC37" t="s">
        <v>1225</v>
      </c>
    </row>
    <row r="38" spans="1:36">
      <c r="X38" s="38">
        <v>45916</v>
      </c>
      <c r="Y38" s="614">
        <v>0.66666666666666663</v>
      </c>
      <c r="Z38" s="614" t="s">
        <v>1535</v>
      </c>
      <c r="AA38" t="s">
        <v>1560</v>
      </c>
      <c r="AB38" s="618" t="s">
        <v>1226</v>
      </c>
    </row>
    <row r="39" spans="1:36">
      <c r="X39" s="38">
        <v>45916</v>
      </c>
      <c r="Y39" s="614">
        <v>0.66666666666666663</v>
      </c>
      <c r="Z39" s="614" t="s">
        <v>1535</v>
      </c>
      <c r="AA39" t="s">
        <v>1561</v>
      </c>
      <c r="AB39" s="618" t="s">
        <v>1226</v>
      </c>
    </row>
    <row r="40" spans="1:36">
      <c r="X40" s="38">
        <v>45916</v>
      </c>
      <c r="Y40" s="614">
        <v>0.66666666666666663</v>
      </c>
      <c r="Z40" s="614" t="s">
        <v>1535</v>
      </c>
      <c r="AA40" t="s">
        <v>1557</v>
      </c>
      <c r="AB40" t="s">
        <v>1207</v>
      </c>
      <c r="AC40" t="s">
        <v>1227</v>
      </c>
    </row>
    <row r="41" spans="1:36">
      <c r="X41" s="38">
        <v>45916</v>
      </c>
      <c r="Y41" s="614">
        <v>0.79166666666666663</v>
      </c>
      <c r="Z41" s="614" t="s">
        <v>1535</v>
      </c>
      <c r="AA41" t="s">
        <v>1569</v>
      </c>
      <c r="AB41" t="s">
        <v>1229</v>
      </c>
      <c r="AC41" t="s">
        <v>1230</v>
      </c>
    </row>
    <row r="42" spans="1:36">
      <c r="X42" s="38">
        <v>45917</v>
      </c>
      <c r="Y42" s="614">
        <v>0.125</v>
      </c>
      <c r="Z42" s="614" t="s">
        <v>1535</v>
      </c>
      <c r="AA42" t="s">
        <v>1569</v>
      </c>
      <c r="AB42" t="s">
        <v>1204</v>
      </c>
      <c r="AC42" t="s">
        <v>1231</v>
      </c>
    </row>
    <row r="43" spans="1:36">
      <c r="X43" s="38">
        <v>45917</v>
      </c>
      <c r="Y43" s="614">
        <v>0.625</v>
      </c>
      <c r="Z43" s="614" t="s">
        <v>1535</v>
      </c>
      <c r="AA43" t="s">
        <v>1570</v>
      </c>
      <c r="AB43" t="s">
        <v>1204</v>
      </c>
      <c r="AC43" t="s">
        <v>1231</v>
      </c>
    </row>
    <row r="44" spans="1:36">
      <c r="X44" s="38">
        <v>45917</v>
      </c>
      <c r="Y44" s="614">
        <v>0.625</v>
      </c>
      <c r="Z44" s="614" t="s">
        <v>1535</v>
      </c>
      <c r="AA44" t="s">
        <v>1233</v>
      </c>
      <c r="AB44" t="s">
        <v>1234</v>
      </c>
      <c r="AC44" t="s">
        <v>1235</v>
      </c>
    </row>
    <row r="45" spans="1:36">
      <c r="X45" s="38">
        <v>45917</v>
      </c>
      <c r="Y45" s="614">
        <v>0.625</v>
      </c>
      <c r="Z45" s="614" t="s">
        <v>1535</v>
      </c>
      <c r="AA45" t="s">
        <v>1571</v>
      </c>
      <c r="AB45" t="s">
        <v>1572</v>
      </c>
      <c r="AC45" t="s">
        <v>1237</v>
      </c>
    </row>
    <row r="46" spans="1:36">
      <c r="X46" s="38">
        <v>45917</v>
      </c>
      <c r="Y46" s="614">
        <v>0.625</v>
      </c>
      <c r="Z46" s="614" t="s">
        <v>1535</v>
      </c>
      <c r="AA46" t="s">
        <v>1573</v>
      </c>
      <c r="AB46" t="s">
        <v>1214</v>
      </c>
      <c r="AC46" t="s">
        <v>1239</v>
      </c>
    </row>
    <row r="47" spans="1:36">
      <c r="X47" s="38">
        <v>45917</v>
      </c>
      <c r="Y47" s="614">
        <v>0.66666666666666663</v>
      </c>
      <c r="Z47" s="614" t="s">
        <v>1535</v>
      </c>
      <c r="AA47" t="s">
        <v>1557</v>
      </c>
      <c r="AB47" t="s">
        <v>1204</v>
      </c>
      <c r="AC47" t="s">
        <v>1240</v>
      </c>
    </row>
    <row r="48" spans="1:36">
      <c r="X48" s="38">
        <v>45918</v>
      </c>
      <c r="Y48" s="614">
        <v>0.25</v>
      </c>
      <c r="Z48" s="614" t="s">
        <v>1535</v>
      </c>
      <c r="AA48" t="s">
        <v>1219</v>
      </c>
      <c r="AB48" t="s">
        <v>1210</v>
      </c>
      <c r="AC48" t="s">
        <v>1241</v>
      </c>
    </row>
    <row r="49" spans="24:29" ht="16">
      <c r="X49" s="38">
        <v>45918</v>
      </c>
      <c r="Y49" s="614">
        <v>0.25</v>
      </c>
      <c r="Z49" s="614" t="s">
        <v>1535</v>
      </c>
      <c r="AA49" t="s">
        <v>1551</v>
      </c>
      <c r="AB49" s="46" t="s">
        <v>1224</v>
      </c>
      <c r="AC49" t="s">
        <v>1242</v>
      </c>
    </row>
    <row r="50" spans="24:29">
      <c r="X50" s="38">
        <v>45918</v>
      </c>
      <c r="Y50" s="614">
        <v>0.625</v>
      </c>
      <c r="Z50" s="614" t="s">
        <v>1535</v>
      </c>
      <c r="AA50" t="s">
        <v>1574</v>
      </c>
      <c r="AB50" t="s">
        <v>1194</v>
      </c>
      <c r="AC50" t="s">
        <v>1244</v>
      </c>
    </row>
    <row r="51" spans="24:29" ht="16">
      <c r="X51" s="38">
        <v>45918</v>
      </c>
      <c r="Y51" s="614">
        <v>0.625</v>
      </c>
      <c r="Z51" s="614" t="s">
        <v>1535</v>
      </c>
      <c r="AA51" s="649" t="s">
        <v>1575</v>
      </c>
      <c r="AB51" t="s">
        <v>1576</v>
      </c>
      <c r="AC51" t="s">
        <v>1246</v>
      </c>
    </row>
    <row r="52" spans="24:29">
      <c r="X52" s="38">
        <v>45918</v>
      </c>
      <c r="Y52" s="614">
        <v>0.625</v>
      </c>
      <c r="Z52" s="614" t="s">
        <v>1535</v>
      </c>
      <c r="AA52" t="s">
        <v>1554</v>
      </c>
      <c r="AB52" t="s">
        <v>1216</v>
      </c>
      <c r="AC52" t="s">
        <v>1247</v>
      </c>
    </row>
    <row r="53" spans="24:29">
      <c r="X53" s="38">
        <v>45918</v>
      </c>
      <c r="Y53" s="614">
        <v>0.625</v>
      </c>
      <c r="Z53" s="614" t="s">
        <v>1535</v>
      </c>
      <c r="AA53" t="s">
        <v>1577</v>
      </c>
      <c r="AB53" t="s">
        <v>1216</v>
      </c>
      <c r="AC53" t="s">
        <v>1249</v>
      </c>
    </row>
    <row r="54" spans="24:29">
      <c r="X54" s="38">
        <v>45922</v>
      </c>
      <c r="Y54" s="614">
        <v>0.85416666666666663</v>
      </c>
      <c r="Z54" s="614" t="s">
        <v>1535</v>
      </c>
      <c r="AA54" t="s">
        <v>1569</v>
      </c>
      <c r="AB54" t="s">
        <v>1207</v>
      </c>
      <c r="AC54" t="s">
        <v>1250</v>
      </c>
    </row>
    <row r="55" spans="24:29">
      <c r="X55" s="38">
        <v>45922</v>
      </c>
      <c r="Y55" s="614">
        <v>0.875</v>
      </c>
      <c r="Z55" s="614" t="s">
        <v>1535</v>
      </c>
      <c r="AA55" t="s">
        <v>1573</v>
      </c>
      <c r="AB55" t="s">
        <v>1214</v>
      </c>
      <c r="AC55" t="s">
        <v>1251</v>
      </c>
    </row>
    <row r="56" spans="24:29">
      <c r="X56" s="38">
        <v>45924</v>
      </c>
      <c r="Y56" s="614">
        <v>0.66666666666666663</v>
      </c>
      <c r="Z56" s="614" t="s">
        <v>1535</v>
      </c>
      <c r="AA56" t="s">
        <v>1578</v>
      </c>
      <c r="AB56" s="618" t="s">
        <v>1253</v>
      </c>
    </row>
    <row r="57" spans="24:29">
      <c r="X57" s="38">
        <v>45925</v>
      </c>
      <c r="Y57" s="614">
        <v>0.20833333333333334</v>
      </c>
      <c r="Z57" s="614" t="s">
        <v>1535</v>
      </c>
      <c r="AA57" t="s">
        <v>1557</v>
      </c>
      <c r="AB57" t="s">
        <v>1207</v>
      </c>
      <c r="AC57" t="s">
        <v>1254</v>
      </c>
    </row>
    <row r="58" spans="24:29">
      <c r="X58" s="38">
        <v>45925</v>
      </c>
      <c r="Y58" s="614">
        <v>0.63888888888888884</v>
      </c>
      <c r="Z58" s="614" t="s">
        <v>1535</v>
      </c>
      <c r="AA58" t="s">
        <v>1219</v>
      </c>
      <c r="AB58" t="s">
        <v>1234</v>
      </c>
      <c r="AC58" t="s">
        <v>1255</v>
      </c>
    </row>
    <row r="59" spans="24:29">
      <c r="X59" s="38">
        <v>45925</v>
      </c>
      <c r="Y59" s="614">
        <v>0.63888888888888884</v>
      </c>
      <c r="Z59" s="614" t="s">
        <v>1535</v>
      </c>
      <c r="AA59" t="s">
        <v>1219</v>
      </c>
      <c r="AB59" t="s">
        <v>1210</v>
      </c>
    </row>
    <row r="60" spans="24:29">
      <c r="X60" s="38">
        <v>45925</v>
      </c>
      <c r="Y60" s="614">
        <v>0.63888888888888884</v>
      </c>
      <c r="Z60" s="614" t="s">
        <v>1535</v>
      </c>
      <c r="AA60" t="s">
        <v>1579</v>
      </c>
      <c r="AB60" s="618" t="s">
        <v>1253</v>
      </c>
    </row>
    <row r="61" spans="24:29">
      <c r="X61" s="38">
        <v>45925</v>
      </c>
      <c r="Y61" s="614">
        <v>0.64583333333333337</v>
      </c>
      <c r="Z61" s="614" t="s">
        <v>1535</v>
      </c>
      <c r="AA61" t="s">
        <v>1577</v>
      </c>
      <c r="AB61" t="s">
        <v>1210</v>
      </c>
      <c r="AC61" t="s">
        <v>1257</v>
      </c>
    </row>
    <row r="62" spans="24:29">
      <c r="X62" s="38">
        <v>45925</v>
      </c>
      <c r="Y62" s="614">
        <v>0.64583333333333337</v>
      </c>
      <c r="Z62" s="614" t="s">
        <v>1535</v>
      </c>
      <c r="AA62" t="s">
        <v>1580</v>
      </c>
      <c r="AB62" t="s">
        <v>1210</v>
      </c>
      <c r="AC62" t="s">
        <v>1259</v>
      </c>
    </row>
    <row r="63" spans="24:29" ht="15" customHeight="1">
      <c r="X63" s="38">
        <v>45926</v>
      </c>
      <c r="Y63" s="614">
        <v>0.16666666666666666</v>
      </c>
      <c r="Z63" s="614" t="s">
        <v>1535</v>
      </c>
      <c r="AA63" t="s">
        <v>1223</v>
      </c>
      <c r="AB63" s="618" t="s">
        <v>1581</v>
      </c>
      <c r="AC63" t="s">
        <v>1260</v>
      </c>
    </row>
    <row r="64" spans="24:29" ht="15" customHeight="1">
      <c r="X64" s="38">
        <v>45926</v>
      </c>
      <c r="Y64" s="614">
        <v>0.16666666666666666</v>
      </c>
      <c r="Z64" s="614" t="s">
        <v>1535</v>
      </c>
      <c r="AA64" t="s">
        <v>1536</v>
      </c>
      <c r="AB64" t="s">
        <v>1194</v>
      </c>
    </row>
    <row r="65" spans="24:29" ht="15" customHeight="1">
      <c r="X65" s="38">
        <v>45926</v>
      </c>
      <c r="Y65" s="614">
        <v>0.16666666666666666</v>
      </c>
      <c r="Z65" s="614" t="s">
        <v>1535</v>
      </c>
      <c r="AA65" t="s">
        <v>1560</v>
      </c>
      <c r="AB65" t="s">
        <v>1194</v>
      </c>
    </row>
    <row r="66" spans="24:29" ht="15" customHeight="1">
      <c r="X66" s="38">
        <v>45926</v>
      </c>
      <c r="Y66" s="614">
        <v>0.16666666666666666</v>
      </c>
      <c r="Z66" s="614" t="s">
        <v>1535</v>
      </c>
      <c r="AA66" t="s">
        <v>1582</v>
      </c>
      <c r="AB66" t="s">
        <v>1262</v>
      </c>
      <c r="AC66" t="s">
        <v>1263</v>
      </c>
    </row>
    <row r="67" spans="24:29" ht="15" customHeight="1">
      <c r="X67" s="38">
        <v>45929</v>
      </c>
      <c r="Y67" s="614">
        <v>0.66666666666666663</v>
      </c>
      <c r="Z67" s="614" t="s">
        <v>1535</v>
      </c>
      <c r="AA67" t="s">
        <v>1223</v>
      </c>
      <c r="AB67" t="s">
        <v>1572</v>
      </c>
      <c r="AC67" t="s">
        <v>1264</v>
      </c>
    </row>
    <row r="68" spans="24:29" ht="15" customHeight="1">
      <c r="X68" s="38">
        <v>45929</v>
      </c>
      <c r="Y68" s="614">
        <v>0.66666666666666663</v>
      </c>
      <c r="Z68" s="614" t="s">
        <v>1535</v>
      </c>
      <c r="AA68" t="s">
        <v>1562</v>
      </c>
      <c r="AB68" t="s">
        <v>1210</v>
      </c>
      <c r="AC68" t="s">
        <v>1266</v>
      </c>
    </row>
    <row r="69" spans="24:29" ht="15" customHeight="1">
      <c r="X69" s="38">
        <v>45929</v>
      </c>
      <c r="Y69" s="614">
        <v>0.66666666666666663</v>
      </c>
      <c r="Z69" s="614" t="s">
        <v>1535</v>
      </c>
      <c r="AA69" t="s">
        <v>1560</v>
      </c>
      <c r="AB69" t="s">
        <v>1201</v>
      </c>
      <c r="AC69" t="s">
        <v>1267</v>
      </c>
    </row>
    <row r="70" spans="24:29" ht="15" customHeight="1">
      <c r="X70" s="38">
        <v>45929</v>
      </c>
      <c r="Y70" s="614">
        <v>0.66666666666666663</v>
      </c>
      <c r="Z70" s="614" t="s">
        <v>1535</v>
      </c>
      <c r="AA70" t="s">
        <v>1569</v>
      </c>
      <c r="AB70" t="s">
        <v>1207</v>
      </c>
      <c r="AC70" t="s">
        <v>1254</v>
      </c>
    </row>
    <row r="71" spans="24:29" ht="15" customHeight="1">
      <c r="X71" s="38">
        <v>45930</v>
      </c>
      <c r="Y71" s="614">
        <v>0.16666666666666666</v>
      </c>
      <c r="Z71" s="614" t="s">
        <v>1535</v>
      </c>
      <c r="AA71" t="s">
        <v>1223</v>
      </c>
      <c r="AB71" s="618" t="s">
        <v>1581</v>
      </c>
      <c r="AC71" t="s">
        <v>1268</v>
      </c>
    </row>
    <row r="72" spans="24:29" ht="15" customHeight="1">
      <c r="X72" s="38">
        <v>45930</v>
      </c>
      <c r="Y72" s="614">
        <v>0.16666666666666666</v>
      </c>
      <c r="Z72" s="614" t="s">
        <v>1535</v>
      </c>
      <c r="AA72" t="s">
        <v>1223</v>
      </c>
      <c r="AB72" t="s">
        <v>1224</v>
      </c>
      <c r="AC72" t="s">
        <v>1269</v>
      </c>
    </row>
    <row r="73" spans="24:29" ht="15" customHeight="1">
      <c r="X73" s="38">
        <v>45930</v>
      </c>
      <c r="Y73" s="614">
        <v>0.16666666666666666</v>
      </c>
      <c r="Z73" s="614" t="s">
        <v>1535</v>
      </c>
      <c r="AA73" t="s">
        <v>1223</v>
      </c>
      <c r="AB73" t="s">
        <v>1572</v>
      </c>
      <c r="AC73" t="s">
        <v>1270</v>
      </c>
    </row>
    <row r="74" spans="24:29" ht="15" customHeight="1">
      <c r="X74" s="38">
        <v>45930</v>
      </c>
      <c r="Y74" s="614">
        <v>0.16666666666666666</v>
      </c>
      <c r="Z74" s="614" t="s">
        <v>1535</v>
      </c>
      <c r="AA74" t="s">
        <v>1583</v>
      </c>
      <c r="AB74" t="s">
        <v>1572</v>
      </c>
      <c r="AC74" t="s">
        <v>1272</v>
      </c>
    </row>
    <row r="75" spans="24:29" ht="15" customHeight="1">
      <c r="X75" s="38">
        <v>45930</v>
      </c>
      <c r="Y75" s="614">
        <v>0.16666666666666666</v>
      </c>
      <c r="Z75" s="614" t="s">
        <v>1535</v>
      </c>
      <c r="AA75" t="s">
        <v>1536</v>
      </c>
      <c r="AB75" t="s">
        <v>1210</v>
      </c>
      <c r="AC75" t="s">
        <v>1273</v>
      </c>
    </row>
    <row r="76" spans="24:29" ht="15" customHeight="1">
      <c r="X76" s="38">
        <v>45930</v>
      </c>
      <c r="Y76" s="614">
        <v>0.16666666666666666</v>
      </c>
      <c r="Z76" s="614" t="s">
        <v>1535</v>
      </c>
      <c r="AA76" t="s">
        <v>1536</v>
      </c>
      <c r="AB76" t="s">
        <v>1201</v>
      </c>
      <c r="AC76" t="s">
        <v>1274</v>
      </c>
    </row>
    <row r="77" spans="24:29" ht="15" customHeight="1">
      <c r="X77" s="38">
        <v>45930</v>
      </c>
      <c r="Y77" s="614">
        <v>0.16666666666666666</v>
      </c>
      <c r="Z77" s="614" t="s">
        <v>1535</v>
      </c>
      <c r="AA77" t="s">
        <v>1584</v>
      </c>
      <c r="AB77" t="s">
        <v>1210</v>
      </c>
      <c r="AC77" t="s">
        <v>1276</v>
      </c>
    </row>
    <row r="78" spans="24:29" ht="15" customHeight="1">
      <c r="X78" s="38">
        <v>45930</v>
      </c>
      <c r="Y78" s="614">
        <v>0.25</v>
      </c>
      <c r="Z78" s="614" t="s">
        <v>1535</v>
      </c>
      <c r="AA78" t="s">
        <v>1223</v>
      </c>
      <c r="AB78" t="s">
        <v>1572</v>
      </c>
      <c r="AC78" t="s">
        <v>1277</v>
      </c>
    </row>
    <row r="79" spans="24:29" ht="15" customHeight="1">
      <c r="X79" s="38">
        <v>45930</v>
      </c>
      <c r="Y79" s="614">
        <v>0.89583333333333337</v>
      </c>
      <c r="Z79" s="614" t="s">
        <v>1535</v>
      </c>
      <c r="AA79" t="s">
        <v>1569</v>
      </c>
      <c r="AB79" t="s">
        <v>1207</v>
      </c>
      <c r="AC79" t="s">
        <v>1585</v>
      </c>
    </row>
    <row r="80" spans="24:29" ht="15" customHeight="1">
      <c r="X80" s="38">
        <v>45931</v>
      </c>
      <c r="Y80" s="614">
        <v>0.1875</v>
      </c>
      <c r="Z80" s="614" t="s">
        <v>1535</v>
      </c>
      <c r="AA80" t="s">
        <v>1584</v>
      </c>
      <c r="AB80" t="s">
        <v>1210</v>
      </c>
      <c r="AC80" t="s">
        <v>1279</v>
      </c>
    </row>
    <row r="81" spans="24:29" ht="15" customHeight="1">
      <c r="X81" s="38">
        <v>45931</v>
      </c>
      <c r="Y81" s="614">
        <v>0.1875</v>
      </c>
      <c r="Z81" s="614" t="s">
        <v>1535</v>
      </c>
      <c r="AA81" t="s">
        <v>1551</v>
      </c>
      <c r="AB81" s="650" t="s">
        <v>1572</v>
      </c>
      <c r="AC81" t="s">
        <v>1280</v>
      </c>
    </row>
    <row r="82" spans="24:29" ht="15" customHeight="1">
      <c r="X82" s="38">
        <v>45931</v>
      </c>
      <c r="Y82" s="614">
        <v>0.1875</v>
      </c>
      <c r="Z82" s="614" t="s">
        <v>1535</v>
      </c>
      <c r="AA82" t="s">
        <v>1223</v>
      </c>
      <c r="AB82" t="s">
        <v>1572</v>
      </c>
      <c r="AC82" t="s">
        <v>1281</v>
      </c>
    </row>
    <row r="83" spans="24:29" ht="15" customHeight="1">
      <c r="X83" s="38">
        <v>45931</v>
      </c>
      <c r="Y83" s="614">
        <v>0.1875</v>
      </c>
      <c r="Z83" s="614" t="s">
        <v>1535</v>
      </c>
      <c r="AA83" t="s">
        <v>1562</v>
      </c>
      <c r="AB83" t="s">
        <v>1572</v>
      </c>
      <c r="AC83" t="s">
        <v>1280</v>
      </c>
    </row>
    <row r="84" spans="24:29" ht="15" customHeight="1">
      <c r="X84" s="38">
        <v>45931</v>
      </c>
      <c r="Y84" s="614">
        <v>0.41666666666666669</v>
      </c>
      <c r="Z84" s="614" t="s">
        <v>1535</v>
      </c>
      <c r="AA84" t="s">
        <v>1573</v>
      </c>
      <c r="AB84" t="s">
        <v>1201</v>
      </c>
      <c r="AC84" t="s">
        <v>1282</v>
      </c>
    </row>
    <row r="85" spans="24:29" ht="15" customHeight="1">
      <c r="X85" s="38">
        <v>45931</v>
      </c>
      <c r="Y85" s="614">
        <v>0.41666666666666669</v>
      </c>
      <c r="Z85" s="614" t="s">
        <v>1535</v>
      </c>
      <c r="AA85" t="s">
        <v>1573</v>
      </c>
      <c r="AB85" t="s">
        <v>1214</v>
      </c>
      <c r="AC85" t="s">
        <v>1283</v>
      </c>
    </row>
    <row r="86" spans="24:29" ht="15" customHeight="1">
      <c r="X86" s="38">
        <v>45931</v>
      </c>
      <c r="Y86" s="614">
        <v>0.41666666666666669</v>
      </c>
      <c r="Z86" s="614" t="s">
        <v>1535</v>
      </c>
      <c r="AA86" t="s">
        <v>1233</v>
      </c>
      <c r="AB86" t="s">
        <v>1229</v>
      </c>
      <c r="AC86" t="s">
        <v>1284</v>
      </c>
    </row>
    <row r="87" spans="24:29" ht="15" customHeight="1">
      <c r="X87" s="38">
        <v>45931</v>
      </c>
      <c r="Y87" s="614">
        <v>0.41666666666666669</v>
      </c>
      <c r="Z87" s="614" t="s">
        <v>1535</v>
      </c>
      <c r="AA87" t="s">
        <v>1233</v>
      </c>
      <c r="AB87" t="s">
        <v>1234</v>
      </c>
      <c r="AC87" t="s">
        <v>1235</v>
      </c>
    </row>
    <row r="88" spans="24:29" ht="15" customHeight="1">
      <c r="X88" s="38">
        <v>45931</v>
      </c>
      <c r="Y88" s="614">
        <v>0.41666666666666669</v>
      </c>
      <c r="Z88" s="614" t="s">
        <v>1535</v>
      </c>
      <c r="AA88" t="s">
        <v>1233</v>
      </c>
      <c r="AB88" t="s">
        <v>1210</v>
      </c>
      <c r="AC88" t="s">
        <v>1285</v>
      </c>
    </row>
    <row r="89" spans="24:29" ht="15" customHeight="1">
      <c r="X89" s="38">
        <v>45931</v>
      </c>
      <c r="Y89" s="614">
        <v>0.66666666666666663</v>
      </c>
      <c r="Z89" s="614" t="s">
        <v>1535</v>
      </c>
      <c r="AA89" t="s">
        <v>1557</v>
      </c>
      <c r="AB89" t="s">
        <v>1207</v>
      </c>
      <c r="AC89" t="s">
        <v>1586</v>
      </c>
    </row>
    <row r="90" spans="24:29" ht="15" customHeight="1">
      <c r="X90" s="38">
        <v>45931</v>
      </c>
      <c r="Y90" s="614">
        <v>0.66666666666666663</v>
      </c>
      <c r="Z90" s="614" t="s">
        <v>1535</v>
      </c>
      <c r="AA90" t="s">
        <v>1577</v>
      </c>
      <c r="AB90" t="s">
        <v>1234</v>
      </c>
      <c r="AC90" t="s">
        <v>1587</v>
      </c>
    </row>
    <row r="91" spans="24:29" ht="15" customHeight="1">
      <c r="X91" s="38">
        <v>45931</v>
      </c>
      <c r="Y91" s="614">
        <v>0.66666666666666663</v>
      </c>
      <c r="Z91" s="614" t="s">
        <v>1535</v>
      </c>
      <c r="AA91" t="s">
        <v>1577</v>
      </c>
      <c r="AB91" t="s">
        <v>1194</v>
      </c>
      <c r="AC91" t="s">
        <v>1588</v>
      </c>
    </row>
    <row r="92" spans="24:29" ht="15" customHeight="1">
      <c r="X92" s="38">
        <v>45932</v>
      </c>
      <c r="Y92" s="614">
        <v>0.91666666666666663</v>
      </c>
      <c r="Z92" s="614" t="s">
        <v>1535</v>
      </c>
      <c r="AA92" t="s">
        <v>1223</v>
      </c>
      <c r="AB92" t="s">
        <v>1572</v>
      </c>
      <c r="AC92" t="s">
        <v>1289</v>
      </c>
    </row>
    <row r="93" spans="24:29" ht="15" customHeight="1">
      <c r="X93" s="38">
        <v>45933</v>
      </c>
      <c r="Y93" s="614">
        <v>0.25</v>
      </c>
      <c r="Z93" s="614" t="s">
        <v>1535</v>
      </c>
      <c r="AA93" t="s">
        <v>1562</v>
      </c>
      <c r="AB93" t="s">
        <v>1572</v>
      </c>
      <c r="AC93" t="s">
        <v>1290</v>
      </c>
    </row>
    <row r="94" spans="24:29" ht="15" customHeight="1">
      <c r="X94" s="38">
        <v>45932</v>
      </c>
      <c r="Y94" s="614">
        <v>0.95833333333333337</v>
      </c>
      <c r="Z94" s="614" t="s">
        <v>1535</v>
      </c>
      <c r="AA94" t="s">
        <v>1569</v>
      </c>
      <c r="AB94" t="s">
        <v>1207</v>
      </c>
      <c r="AC94" t="s">
        <v>1254</v>
      </c>
    </row>
    <row r="95" spans="24:29" ht="15" customHeight="1">
      <c r="X95" s="38">
        <v>45933</v>
      </c>
      <c r="Y95" s="614">
        <v>0.66666666666666663</v>
      </c>
      <c r="Z95" s="614" t="s">
        <v>1535</v>
      </c>
      <c r="AA95" t="s">
        <v>1536</v>
      </c>
      <c r="AB95" t="s">
        <v>1210</v>
      </c>
      <c r="AC95" t="s">
        <v>1291</v>
      </c>
    </row>
    <row r="96" spans="24:29" ht="15" customHeight="1">
      <c r="X96" s="38">
        <v>45933</v>
      </c>
      <c r="Y96" s="614">
        <v>0.875</v>
      </c>
      <c r="Z96" s="614" t="s">
        <v>1535</v>
      </c>
      <c r="AA96" t="s">
        <v>1569</v>
      </c>
      <c r="AB96" t="s">
        <v>1207</v>
      </c>
      <c r="AC96" t="s">
        <v>1254</v>
      </c>
    </row>
    <row r="97" spans="24:29" ht="15" customHeight="1">
      <c r="X97" s="38">
        <v>45933</v>
      </c>
      <c r="Y97" s="614">
        <v>0.875</v>
      </c>
      <c r="Z97" s="614" t="s">
        <v>1535</v>
      </c>
      <c r="AA97" t="s">
        <v>1569</v>
      </c>
      <c r="AB97" t="s">
        <v>1229</v>
      </c>
      <c r="AC97" t="s">
        <v>1292</v>
      </c>
    </row>
    <row r="98" spans="24:29" ht="15" customHeight="1">
      <c r="X98" s="38">
        <v>45933</v>
      </c>
      <c r="Y98" s="614">
        <v>0.875</v>
      </c>
      <c r="Z98" s="614" t="s">
        <v>1535</v>
      </c>
      <c r="AA98" s="649" t="s">
        <v>1575</v>
      </c>
      <c r="AB98" t="s">
        <v>1234</v>
      </c>
      <c r="AC98" t="s">
        <v>1293</v>
      </c>
    </row>
    <row r="99" spans="24:29" ht="15" customHeight="1">
      <c r="X99" s="38">
        <v>45936</v>
      </c>
      <c r="Y99" s="614">
        <v>0.66666666666666663</v>
      </c>
      <c r="Z99" s="614" t="s">
        <v>1535</v>
      </c>
      <c r="AA99" t="s">
        <v>1569</v>
      </c>
      <c r="AB99" t="s">
        <v>1207</v>
      </c>
      <c r="AC99" t="s">
        <v>1254</v>
      </c>
    </row>
    <row r="100" spans="24:29" ht="15" customHeight="1">
      <c r="X100" s="38">
        <v>45937</v>
      </c>
      <c r="Y100" s="614">
        <v>0.1875</v>
      </c>
      <c r="Z100" s="614" t="s">
        <v>1535</v>
      </c>
      <c r="AA100" t="s">
        <v>1583</v>
      </c>
      <c r="AB100" t="s">
        <v>1509</v>
      </c>
      <c r="AC100" t="s">
        <v>1589</v>
      </c>
    </row>
    <row r="101" spans="24:29" ht="15" customHeight="1">
      <c r="X101" s="38">
        <v>45937</v>
      </c>
      <c r="Y101" s="614">
        <v>0.1875</v>
      </c>
      <c r="Z101" s="614" t="s">
        <v>1535</v>
      </c>
      <c r="AA101" t="s">
        <v>1590</v>
      </c>
      <c r="AB101" t="s">
        <v>1591</v>
      </c>
    </row>
    <row r="102" spans="24:29" ht="15" customHeight="1">
      <c r="X102" s="38">
        <v>45937</v>
      </c>
      <c r="Y102" s="614">
        <v>0.1875</v>
      </c>
      <c r="Z102" s="614" t="s">
        <v>1535</v>
      </c>
      <c r="AA102" t="s">
        <v>1223</v>
      </c>
      <c r="AB102" t="s">
        <v>1296</v>
      </c>
    </row>
    <row r="103" spans="24:29" ht="15" customHeight="1">
      <c r="X103" s="38">
        <v>45937</v>
      </c>
      <c r="Y103" s="614">
        <v>0.66666666666666663</v>
      </c>
      <c r="Z103" s="614" t="s">
        <v>1535</v>
      </c>
      <c r="AA103" t="s">
        <v>1557</v>
      </c>
      <c r="AB103" t="s">
        <v>1515</v>
      </c>
      <c r="AC103" t="s">
        <v>1592</v>
      </c>
    </row>
    <row r="104" spans="24:29" ht="15" customHeight="1">
      <c r="X104" s="38">
        <v>45937</v>
      </c>
      <c r="Y104" s="614">
        <v>0.66666666666666663</v>
      </c>
      <c r="Z104" s="614" t="s">
        <v>1535</v>
      </c>
      <c r="AA104" t="s">
        <v>1582</v>
      </c>
      <c r="AB104" t="s">
        <v>1298</v>
      </c>
    </row>
    <row r="105" spans="24:29" ht="15" customHeight="1">
      <c r="X105" s="38">
        <v>45937</v>
      </c>
      <c r="Y105" s="614">
        <v>0.89583333333333337</v>
      </c>
      <c r="Z105" s="614" t="s">
        <v>1535</v>
      </c>
      <c r="AA105" t="s">
        <v>1569</v>
      </c>
      <c r="AB105" t="s">
        <v>1515</v>
      </c>
      <c r="AC105" t="s">
        <v>1593</v>
      </c>
    </row>
    <row r="106" spans="24:29" ht="15" customHeight="1">
      <c r="X106" s="38">
        <v>45937</v>
      </c>
      <c r="Y106" s="614">
        <v>0.89583333333333337</v>
      </c>
      <c r="Z106" s="614" t="s">
        <v>1535</v>
      </c>
      <c r="AA106" t="s">
        <v>1594</v>
      </c>
      <c r="AB106" t="s">
        <v>1595</v>
      </c>
      <c r="AC106" t="s">
        <v>1596</v>
      </c>
    </row>
    <row r="107" spans="24:29" ht="15" customHeight="1">
      <c r="X107" s="38">
        <v>45938</v>
      </c>
      <c r="Y107" s="614">
        <v>0.41666666666666669</v>
      </c>
      <c r="Z107" s="614" t="s">
        <v>1535</v>
      </c>
      <c r="AA107" t="s">
        <v>1597</v>
      </c>
      <c r="AB107" t="s">
        <v>1301</v>
      </c>
    </row>
    <row r="108" spans="24:29" ht="15" customHeight="1">
      <c r="X108" s="38">
        <v>45938</v>
      </c>
      <c r="Y108" s="614">
        <v>0.41666666666666669</v>
      </c>
      <c r="Z108" s="614" t="s">
        <v>1535</v>
      </c>
      <c r="AA108" t="s">
        <v>1594</v>
      </c>
      <c r="AB108" t="s">
        <v>1598</v>
      </c>
      <c r="AC108" t="s">
        <v>1302</v>
      </c>
    </row>
    <row r="109" spans="24:29" ht="15" customHeight="1">
      <c r="X109" s="38">
        <v>45938</v>
      </c>
      <c r="Y109" s="614">
        <v>0.41666666666666669</v>
      </c>
      <c r="Z109" s="614" t="s">
        <v>1535</v>
      </c>
      <c r="AA109" t="s">
        <v>1599</v>
      </c>
      <c r="AB109" t="s">
        <v>1304</v>
      </c>
    </row>
    <row r="110" spans="24:29" ht="15" customHeight="1">
      <c r="X110" s="38">
        <v>45938</v>
      </c>
      <c r="Y110" s="614">
        <v>0.1875</v>
      </c>
      <c r="Z110" s="614" t="s">
        <v>1535</v>
      </c>
      <c r="AA110" t="s">
        <v>1536</v>
      </c>
      <c r="AB110" t="s">
        <v>1305</v>
      </c>
    </row>
    <row r="111" spans="24:29" ht="15" customHeight="1">
      <c r="X111" s="38">
        <v>45938</v>
      </c>
      <c r="Y111" s="614">
        <v>0.1875</v>
      </c>
      <c r="Z111" s="614" t="s">
        <v>1535</v>
      </c>
      <c r="AA111" t="s">
        <v>1557</v>
      </c>
      <c r="AB111" t="s">
        <v>1515</v>
      </c>
      <c r="AC111" t="s">
        <v>1306</v>
      </c>
    </row>
    <row r="112" spans="24:29" ht="15" customHeight="1">
      <c r="X112" s="38">
        <v>45944</v>
      </c>
      <c r="Y112" s="614">
        <v>0.20833333333333334</v>
      </c>
      <c r="Z112" s="614" t="s">
        <v>1535</v>
      </c>
      <c r="AA112" t="s">
        <v>1553</v>
      </c>
      <c r="AB112" t="s">
        <v>1199</v>
      </c>
    </row>
    <row r="113" spans="24:29" ht="15" customHeight="1">
      <c r="X113" s="38">
        <v>45944</v>
      </c>
      <c r="Y113" s="614">
        <v>0.66666666666666663</v>
      </c>
      <c r="Z113" s="614" t="s">
        <v>1535</v>
      </c>
      <c r="AA113" t="s">
        <v>1600</v>
      </c>
      <c r="AB113" t="s">
        <v>1304</v>
      </c>
    </row>
    <row r="114" spans="24:29" ht="15" customHeight="1">
      <c r="X114" s="38">
        <v>45944</v>
      </c>
      <c r="Y114" s="614">
        <v>0.66666666666666663</v>
      </c>
      <c r="Z114" s="614" t="s">
        <v>1535</v>
      </c>
      <c r="AA114" t="s">
        <v>1601</v>
      </c>
      <c r="AB114" t="s">
        <v>1602</v>
      </c>
    </row>
    <row r="115" spans="24:29" ht="15" customHeight="1">
      <c r="X115" s="38">
        <v>45944</v>
      </c>
      <c r="Y115" s="614">
        <v>0.66666666666666663</v>
      </c>
      <c r="Z115" s="614" t="s">
        <v>1535</v>
      </c>
      <c r="AA115" t="s">
        <v>1603</v>
      </c>
      <c r="AB115" t="s">
        <v>1604</v>
      </c>
      <c r="AC115" t="s">
        <v>1307</v>
      </c>
    </row>
    <row r="116" spans="24:29" ht="15" customHeight="1">
      <c r="X116" s="38">
        <v>45944</v>
      </c>
      <c r="Y116" s="614">
        <v>0.66666666666666663</v>
      </c>
      <c r="Z116" s="614" t="s">
        <v>1535</v>
      </c>
      <c r="AA116" t="s">
        <v>1557</v>
      </c>
      <c r="AB116" t="s">
        <v>1605</v>
      </c>
      <c r="AC116" t="s">
        <v>1308</v>
      </c>
    </row>
    <row r="117" spans="24:29" ht="15" customHeight="1">
      <c r="X117" s="38">
        <v>45944</v>
      </c>
      <c r="Y117" s="614">
        <v>0.85416666666666663</v>
      </c>
      <c r="Z117" s="614" t="s">
        <v>1535</v>
      </c>
      <c r="AA117" t="s">
        <v>1569</v>
      </c>
      <c r="AB117" t="s">
        <v>1515</v>
      </c>
      <c r="AC117" t="s">
        <v>1606</v>
      </c>
    </row>
    <row r="118" spans="24:29" ht="15" customHeight="1">
      <c r="X118" s="38">
        <v>45944</v>
      </c>
      <c r="Y118" s="614">
        <v>0.85416666666666663</v>
      </c>
      <c r="Z118" s="614" t="s">
        <v>1535</v>
      </c>
      <c r="AA118" t="s">
        <v>1582</v>
      </c>
      <c r="AB118" t="s">
        <v>1309</v>
      </c>
    </row>
    <row r="119" spans="24:29" ht="15" customHeight="1">
      <c r="X119" s="38">
        <v>45945</v>
      </c>
      <c r="Y119" s="614">
        <v>0.43055555555555558</v>
      </c>
      <c r="Z119" s="614" t="s">
        <v>1535</v>
      </c>
      <c r="AA119" t="s">
        <v>1346</v>
      </c>
      <c r="AB119" t="s">
        <v>1607</v>
      </c>
    </row>
    <row r="120" spans="24:29" ht="15" customHeight="1">
      <c r="X120" s="38">
        <v>45950</v>
      </c>
      <c r="Y120" s="614">
        <v>0.625</v>
      </c>
      <c r="Z120" s="614" t="s">
        <v>1608</v>
      </c>
      <c r="AA120" t="s">
        <v>1564</v>
      </c>
      <c r="AB120" t="s">
        <v>1565</v>
      </c>
    </row>
    <row r="121" spans="24:29" ht="15" customHeight="1">
      <c r="X121" s="38">
        <v>45950</v>
      </c>
      <c r="Y121" s="614">
        <v>0.66666666666666663</v>
      </c>
      <c r="Z121" s="614" t="s">
        <v>1535</v>
      </c>
      <c r="AA121" s="87" t="s">
        <v>1553</v>
      </c>
      <c r="AB121" t="s">
        <v>1199</v>
      </c>
      <c r="AC121" t="s">
        <v>1313</v>
      </c>
    </row>
    <row r="122" spans="24:29" ht="15" customHeight="1">
      <c r="X122" s="38">
        <v>45950</v>
      </c>
      <c r="Y122" s="614">
        <v>0.66666666666666663</v>
      </c>
      <c r="Z122" s="614" t="s">
        <v>1535</v>
      </c>
      <c r="AA122" t="s">
        <v>1562</v>
      </c>
      <c r="AB122" t="s">
        <v>1207</v>
      </c>
      <c r="AC122" t="s">
        <v>1609</v>
      </c>
    </row>
    <row r="123" spans="24:29" ht="15" customHeight="1">
      <c r="X123" s="38">
        <v>45950</v>
      </c>
      <c r="Y123" s="614">
        <v>0.66666666666666663</v>
      </c>
      <c r="Z123" s="614" t="s">
        <v>1535</v>
      </c>
      <c r="AA123" t="s">
        <v>1562</v>
      </c>
      <c r="AB123" t="s">
        <v>1196</v>
      </c>
      <c r="AC123" t="s">
        <v>1315</v>
      </c>
    </row>
    <row r="124" spans="24:29" ht="15" customHeight="1">
      <c r="X124" s="38">
        <v>45950</v>
      </c>
      <c r="Y124" s="614">
        <v>0.66666666666666663</v>
      </c>
      <c r="Z124" s="614" t="s">
        <v>1535</v>
      </c>
      <c r="AA124" t="s">
        <v>1536</v>
      </c>
      <c r="AB124" t="s">
        <v>1201</v>
      </c>
      <c r="AC124" t="s">
        <v>1316</v>
      </c>
    </row>
    <row r="125" spans="24:29" ht="15" customHeight="1">
      <c r="X125" s="38">
        <v>45950</v>
      </c>
      <c r="Y125" s="614">
        <v>0.66666666666666663</v>
      </c>
      <c r="Z125" s="614" t="s">
        <v>1535</v>
      </c>
      <c r="AA125" t="s">
        <v>1557</v>
      </c>
      <c r="AB125" t="s">
        <v>1567</v>
      </c>
      <c r="AC125" t="s">
        <v>1592</v>
      </c>
    </row>
    <row r="126" spans="24:29" ht="15" customHeight="1">
      <c r="X126" s="38">
        <v>45951</v>
      </c>
      <c r="Y126" s="614">
        <v>0.25</v>
      </c>
      <c r="Z126" s="614" t="s">
        <v>1535</v>
      </c>
      <c r="AA126" t="s">
        <v>1562</v>
      </c>
      <c r="AB126" t="s">
        <v>1207</v>
      </c>
      <c r="AC126" t="s">
        <v>1317</v>
      </c>
    </row>
    <row r="127" spans="24:29" ht="15" customHeight="1">
      <c r="X127" s="38">
        <v>45951</v>
      </c>
      <c r="Y127" s="614">
        <v>0.66666666666666663</v>
      </c>
      <c r="Z127" s="614" t="s">
        <v>1535</v>
      </c>
      <c r="AA127" t="s">
        <v>1219</v>
      </c>
      <c r="AB127" t="s">
        <v>1207</v>
      </c>
      <c r="AC127" t="s">
        <v>1610</v>
      </c>
    </row>
    <row r="128" spans="24:29" ht="15" customHeight="1">
      <c r="X128" s="38">
        <v>45951</v>
      </c>
      <c r="Y128" s="614">
        <v>0.66666666666666663</v>
      </c>
      <c r="Z128" s="614" t="s">
        <v>1535</v>
      </c>
      <c r="AA128" t="s">
        <v>1611</v>
      </c>
      <c r="AB128" t="s">
        <v>1207</v>
      </c>
      <c r="AC128" t="s">
        <v>1612</v>
      </c>
    </row>
    <row r="129" spans="24:29" ht="15" customHeight="1">
      <c r="X129" s="38">
        <v>45951</v>
      </c>
      <c r="Y129" s="614">
        <v>0.66666666666666663</v>
      </c>
      <c r="Z129" s="614" t="s">
        <v>1535</v>
      </c>
      <c r="AA129" t="s">
        <v>1219</v>
      </c>
      <c r="AB129" t="s">
        <v>1207</v>
      </c>
      <c r="AC129" t="s">
        <v>1319</v>
      </c>
    </row>
    <row r="130" spans="24:29" ht="15" customHeight="1">
      <c r="X130" s="38">
        <v>45951</v>
      </c>
      <c r="Y130" s="614">
        <v>0.66666666666666663</v>
      </c>
      <c r="Z130" s="614" t="s">
        <v>1535</v>
      </c>
      <c r="AA130" t="s">
        <v>1219</v>
      </c>
      <c r="AB130" t="s">
        <v>1207</v>
      </c>
      <c r="AC130" t="s">
        <v>1613</v>
      </c>
    </row>
    <row r="131" spans="24:29" ht="15" customHeight="1">
      <c r="X131" s="38">
        <v>45952</v>
      </c>
      <c r="Y131" s="614">
        <v>0</v>
      </c>
      <c r="Z131" s="614" t="s">
        <v>1608</v>
      </c>
      <c r="AA131" t="s">
        <v>1569</v>
      </c>
      <c r="AB131" t="s">
        <v>1567</v>
      </c>
      <c r="AC131" t="s">
        <v>1614</v>
      </c>
    </row>
    <row r="132" spans="24:29" ht="15" customHeight="1">
      <c r="X132" s="38">
        <v>45952</v>
      </c>
      <c r="Y132" s="614">
        <v>0</v>
      </c>
      <c r="Z132" s="614" t="s">
        <v>1608</v>
      </c>
      <c r="AA132" t="s">
        <v>1615</v>
      </c>
      <c r="AB132" t="s">
        <v>1429</v>
      </c>
      <c r="AC132" t="s">
        <v>1616</v>
      </c>
    </row>
    <row r="133" spans="24:29" ht="15" customHeight="1">
      <c r="X133" s="38">
        <v>45952</v>
      </c>
      <c r="Y133" s="614">
        <v>0.25</v>
      </c>
      <c r="Z133" s="614" t="s">
        <v>1535</v>
      </c>
      <c r="AA133" t="s">
        <v>1557</v>
      </c>
      <c r="AB133" t="s">
        <v>1567</v>
      </c>
      <c r="AC133" t="s">
        <v>1617</v>
      </c>
    </row>
    <row r="134" spans="24:29" ht="15" customHeight="1">
      <c r="X134" s="38">
        <v>45952</v>
      </c>
      <c r="Y134" s="614">
        <v>0.25</v>
      </c>
      <c r="Z134" s="614" t="s">
        <v>1535</v>
      </c>
      <c r="AA134" t="s">
        <v>1618</v>
      </c>
      <c r="AB134" t="s">
        <v>1619</v>
      </c>
      <c r="AC134" t="s">
        <v>1323</v>
      </c>
    </row>
    <row r="135" spans="24:29" ht="15" customHeight="1">
      <c r="X135" s="38">
        <v>45952</v>
      </c>
      <c r="Y135" s="614">
        <v>0.25</v>
      </c>
      <c r="Z135" s="614" t="s">
        <v>1535</v>
      </c>
      <c r="AA135" t="s">
        <v>1620</v>
      </c>
      <c r="AB135" t="s">
        <v>1581</v>
      </c>
      <c r="AC135" t="s">
        <v>1621</v>
      </c>
    </row>
    <row r="136" spans="24:29" ht="15" customHeight="1">
      <c r="X136" s="38">
        <v>45952</v>
      </c>
      <c r="Y136" s="614">
        <v>0.25</v>
      </c>
      <c r="Z136" s="614" t="s">
        <v>1535</v>
      </c>
      <c r="AA136" t="s">
        <v>1622</v>
      </c>
      <c r="AB136" t="s">
        <v>1623</v>
      </c>
      <c r="AC136" t="s">
        <v>1325</v>
      </c>
    </row>
    <row r="137" spans="24:29" ht="15" customHeight="1">
      <c r="X137" s="38">
        <v>45952</v>
      </c>
      <c r="Y137" s="614">
        <v>0.25</v>
      </c>
      <c r="Z137" s="614" t="s">
        <v>1535</v>
      </c>
      <c r="AA137" t="s">
        <v>1611</v>
      </c>
      <c r="AB137" t="s">
        <v>1207</v>
      </c>
      <c r="AC137" t="s">
        <v>1326</v>
      </c>
    </row>
    <row r="138" spans="24:29" ht="15" customHeight="1">
      <c r="X138" s="38">
        <v>45952</v>
      </c>
      <c r="Y138" s="614">
        <v>0.25</v>
      </c>
      <c r="Z138" s="614" t="s">
        <v>1535</v>
      </c>
      <c r="AA138" t="s">
        <v>1611</v>
      </c>
      <c r="AB138" t="s">
        <v>1207</v>
      </c>
      <c r="AC138" t="s">
        <v>1327</v>
      </c>
    </row>
    <row r="139" spans="24:29" ht="15" customHeight="1">
      <c r="X139" s="38">
        <v>45952</v>
      </c>
      <c r="Y139" s="614">
        <v>0.25</v>
      </c>
      <c r="Z139" s="614" t="s">
        <v>1535</v>
      </c>
      <c r="AA139" t="s">
        <v>1582</v>
      </c>
      <c r="AB139" t="s">
        <v>1207</v>
      </c>
      <c r="AC139" t="s">
        <v>1328</v>
      </c>
    </row>
    <row r="140" spans="24:29" ht="15" customHeight="1">
      <c r="X140" s="38">
        <v>45952</v>
      </c>
      <c r="Y140" s="614">
        <v>0.25</v>
      </c>
      <c r="Z140" s="614" t="s">
        <v>1535</v>
      </c>
      <c r="AA140" t="s">
        <v>1562</v>
      </c>
      <c r="AB140" t="s">
        <v>1210</v>
      </c>
      <c r="AC140" t="s">
        <v>1329</v>
      </c>
    </row>
    <row r="141" spans="24:29" ht="15" customHeight="1">
      <c r="X141" s="38">
        <v>45952</v>
      </c>
      <c r="Y141" s="614">
        <v>0.25</v>
      </c>
      <c r="Z141" s="614" t="s">
        <v>1535</v>
      </c>
      <c r="AA141" t="s">
        <v>1553</v>
      </c>
      <c r="AB141" t="s">
        <v>1207</v>
      </c>
      <c r="AC141" t="s">
        <v>1331</v>
      </c>
    </row>
    <row r="147" spans="23:33" ht="15" customHeight="1">
      <c r="W147" t="s">
        <v>1624</v>
      </c>
      <c r="X147" s="784" t="s">
        <v>1625</v>
      </c>
      <c r="Y147">
        <v>66</v>
      </c>
      <c r="Z147">
        <v>64</v>
      </c>
      <c r="AA147">
        <v>64</v>
      </c>
      <c r="AB147">
        <v>162</v>
      </c>
      <c r="AC147">
        <v>162</v>
      </c>
      <c r="AD147">
        <v>32</v>
      </c>
      <c r="AE147">
        <v>20</v>
      </c>
      <c r="AF147">
        <v>4</v>
      </c>
      <c r="AG147">
        <v>88</v>
      </c>
    </row>
    <row r="148" spans="23:33" ht="15" customHeight="1">
      <c r="W148" t="s">
        <v>1624</v>
      </c>
      <c r="X148" s="784" t="s">
        <v>1626</v>
      </c>
      <c r="Y148">
        <f>+Y147*4</f>
        <v>264</v>
      </c>
      <c r="Z148">
        <f t="shared" ref="Z148:AG148" si="2">+Z147*4</f>
        <v>256</v>
      </c>
      <c r="AA148">
        <f t="shared" si="2"/>
        <v>256</v>
      </c>
      <c r="AB148">
        <f t="shared" si="2"/>
        <v>648</v>
      </c>
      <c r="AC148">
        <f t="shared" si="2"/>
        <v>648</v>
      </c>
      <c r="AD148">
        <f t="shared" si="2"/>
        <v>128</v>
      </c>
      <c r="AE148">
        <f t="shared" si="2"/>
        <v>80</v>
      </c>
      <c r="AF148">
        <f t="shared" si="2"/>
        <v>16</v>
      </c>
      <c r="AG148">
        <f t="shared" si="2"/>
        <v>352</v>
      </c>
    </row>
    <row r="149" spans="23:33" ht="15" customHeight="1">
      <c r="W149" t="s">
        <v>1627</v>
      </c>
      <c r="X149" s="784" t="s">
        <v>1625</v>
      </c>
      <c r="Y149">
        <v>56</v>
      </c>
      <c r="Z149">
        <v>56</v>
      </c>
      <c r="AA149">
        <v>56</v>
      </c>
      <c r="AB149">
        <v>56</v>
      </c>
      <c r="AC149">
        <v>56</v>
      </c>
      <c r="AD149">
        <v>56</v>
      </c>
      <c r="AE149">
        <v>56</v>
      </c>
      <c r="AF149">
        <v>56</v>
      </c>
      <c r="AG149">
        <v>56</v>
      </c>
    </row>
    <row r="150" spans="23:33" ht="15" customHeight="1">
      <c r="W150" t="s">
        <v>1178</v>
      </c>
      <c r="X150" s="784" t="s">
        <v>1626</v>
      </c>
      <c r="Y150">
        <f>+Y149*4</f>
        <v>224</v>
      </c>
      <c r="Z150">
        <f t="shared" ref="Z150:AG150" si="3">+Z149*4</f>
        <v>224</v>
      </c>
      <c r="AA150">
        <f t="shared" si="3"/>
        <v>224</v>
      </c>
      <c r="AB150">
        <f t="shared" si="3"/>
        <v>224</v>
      </c>
      <c r="AC150">
        <f t="shared" si="3"/>
        <v>224</v>
      </c>
      <c r="AD150">
        <f t="shared" si="3"/>
        <v>224</v>
      </c>
      <c r="AE150">
        <f t="shared" si="3"/>
        <v>224</v>
      </c>
      <c r="AF150">
        <f t="shared" si="3"/>
        <v>224</v>
      </c>
      <c r="AG150">
        <f t="shared" si="3"/>
        <v>224</v>
      </c>
    </row>
    <row r="151" spans="23:33" ht="15" customHeight="1">
      <c r="Y151" s="776" t="s">
        <v>1184</v>
      </c>
      <c r="Z151" s="777" t="s">
        <v>1185</v>
      </c>
      <c r="AA151" s="778" t="s">
        <v>1186</v>
      </c>
      <c r="AB151" s="778" t="s">
        <v>1187</v>
      </c>
      <c r="AC151" s="776" t="s">
        <v>1188</v>
      </c>
      <c r="AD151" s="779" t="s">
        <v>1189</v>
      </c>
      <c r="AE151" s="780" t="s">
        <v>1190</v>
      </c>
      <c r="AF151" s="781" t="s">
        <v>1191</v>
      </c>
      <c r="AG151" s="782" t="s">
        <v>46</v>
      </c>
    </row>
    <row r="152" spans="23:33" ht="15" customHeight="1">
      <c r="X152" s="783" t="s">
        <v>1628</v>
      </c>
    </row>
    <row r="153" spans="23:33" ht="15" customHeight="1">
      <c r="X153" s="784" t="s">
        <v>1629</v>
      </c>
      <c r="Y153">
        <f>+Y152/Y$147</f>
        <v>0</v>
      </c>
      <c r="Z153">
        <f>+Z152/Z$147</f>
        <v>0</v>
      </c>
      <c r="AA153">
        <f>+AA152/AA$147</f>
        <v>0</v>
      </c>
      <c r="AB153">
        <f>+AB152/AB$147</f>
        <v>0</v>
      </c>
      <c r="AC153">
        <f>+AC152/AC$147</f>
        <v>0</v>
      </c>
      <c r="AD153">
        <f t="shared" ref="AD153:AG153" si="4">+AD152/AD$147</f>
        <v>0</v>
      </c>
      <c r="AE153">
        <f t="shared" si="4"/>
        <v>0</v>
      </c>
      <c r="AF153">
        <f t="shared" si="4"/>
        <v>0</v>
      </c>
      <c r="AG153">
        <f t="shared" si="4"/>
        <v>0</v>
      </c>
    </row>
    <row r="154" spans="23:33" ht="15" customHeight="1">
      <c r="X154" t="s">
        <v>1628</v>
      </c>
    </row>
    <row r="155" spans="23:33" ht="15" customHeight="1">
      <c r="X155" t="s">
        <v>1629</v>
      </c>
      <c r="Y155">
        <f>+Y154/Y$149</f>
        <v>0</v>
      </c>
      <c r="Z155">
        <f>+Z154/Z$149</f>
        <v>0</v>
      </c>
      <c r="AA155">
        <f>+AA154/AA$149</f>
        <v>0</v>
      </c>
      <c r="AB155">
        <f>+AB154/AB$149</f>
        <v>0</v>
      </c>
      <c r="AC155">
        <f>+AC154/AC$149</f>
        <v>0</v>
      </c>
      <c r="AD155">
        <f t="shared" ref="AD155:AG155" si="5">+AD154/AD$149</f>
        <v>0</v>
      </c>
      <c r="AE155">
        <f t="shared" si="5"/>
        <v>0</v>
      </c>
      <c r="AF155">
        <f t="shared" si="5"/>
        <v>0</v>
      </c>
      <c r="AG155">
        <f t="shared" si="5"/>
        <v>0</v>
      </c>
    </row>
  </sheetData>
  <mergeCells count="4">
    <mergeCell ref="AL21:AO21"/>
    <mergeCell ref="AP21:AT21"/>
    <mergeCell ref="AU21:AY21"/>
    <mergeCell ref="AK20:AY20"/>
  </mergeCells>
  <conditionalFormatting sqref="X22:AC119 X121:AC133 X134:AA134 AC134 X135:AC135 X136:AA141 AC136:AC141">
    <cfRule type="expression" dxfId="13" priority="15">
      <formula>$Y22&lt;&gt;$Y21</formula>
    </cfRule>
  </conditionalFormatting>
  <conditionalFormatting sqref="X38:AA38 AC38">
    <cfRule type="expression" dxfId="12" priority="9809">
      <formula>$Y38&lt;&gt;#REF!</formula>
    </cfRule>
  </conditionalFormatting>
  <conditionalFormatting sqref="AB49">
    <cfRule type="expression" dxfId="11" priority="14">
      <formula>$Y49&lt;&gt;$Y48</formula>
    </cfRule>
  </conditionalFormatting>
  <conditionalFormatting sqref="AB67">
    <cfRule type="expression" dxfId="10" priority="13">
      <formula>$Y67&lt;&gt;$Y66</formula>
    </cfRule>
  </conditionalFormatting>
  <conditionalFormatting sqref="AB73">
    <cfRule type="expression" dxfId="9" priority="12">
      <formula>$Y73&lt;&gt;$Y72</formula>
    </cfRule>
  </conditionalFormatting>
  <conditionalFormatting sqref="AB74">
    <cfRule type="expression" dxfId="8" priority="11">
      <formula>$Y74&lt;&gt;$Y73</formula>
    </cfRule>
  </conditionalFormatting>
  <conditionalFormatting sqref="AB78">
    <cfRule type="expression" dxfId="7" priority="10">
      <formula>$Y78&lt;&gt;$Y77</formula>
    </cfRule>
  </conditionalFormatting>
  <conditionalFormatting sqref="X120:AC120">
    <cfRule type="expression" dxfId="6" priority="10781">
      <formula>$Y120&lt;&gt;#REF!</formula>
    </cfRule>
  </conditionalFormatting>
  <conditionalFormatting sqref="AB137:AB139">
    <cfRule type="expression" dxfId="5" priority="9">
      <formula>$Y137&lt;&gt;$Y136</formula>
    </cfRule>
  </conditionalFormatting>
  <conditionalFormatting sqref="AB141">
    <cfRule type="expression" dxfId="4" priority="8">
      <formula>$Y141&lt;&gt;$Y140</formula>
    </cfRule>
  </conditionalFormatting>
  <conditionalFormatting pivot="1" sqref="N4:V11">
    <cfRule type="cellIs" dxfId="3" priority="4" operator="lessThan">
      <formula>2</formula>
    </cfRule>
  </conditionalFormatting>
  <conditionalFormatting sqref="A17:J28">
    <cfRule type="expression" dxfId="2" priority="3">
      <formula>$A17&gt;WEEKNUM(TODAY())</formula>
    </cfRule>
  </conditionalFormatting>
  <conditionalFormatting sqref="A29:J32">
    <cfRule type="expression" dxfId="1" priority="2">
      <formula>$A29&gt;WEEKNUM(TODAY())</formula>
    </cfRule>
  </conditionalFormatting>
  <conditionalFormatting sqref="A33:J36">
    <cfRule type="expression" dxfId="0" priority="1">
      <formula>$A33&gt;WEEKNUM(TODAY())</formula>
    </cfRule>
  </conditionalFormatting>
  <pageMargins left="0.7" right="0.7" top="0.75" bottom="0.75" header="0.3" footer="0.3"/>
  <drawing r:id="rId4"/>
  <legacyDrawing r:id="rId5"/>
  <tableParts count="1">
    <tablePart r:id="rId6"/>
  </tableParts>
  <extLst>
    <ext xmlns:x15="http://schemas.microsoft.com/office/spreadsheetml/2010/11/main" uri="{7E03D99C-DC04-49d9-9315-930204A7B6E9}">
      <x15:timelineRefs>
        <x15:timelineRef r:id="rId7"/>
      </x15:timelineRef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6C67-0B38-4224-9996-BBBF559D8DC1}">
  <dimension ref="A1:BX224"/>
  <sheetViews>
    <sheetView showGridLines="0" topLeftCell="K1" workbookViewId="0">
      <pane ySplit="1" topLeftCell="A99" activePane="bottomLeft" state="frozen"/>
      <selection pane="bottomLeft" activeCell="L123" sqref="L123"/>
    </sheetView>
  </sheetViews>
  <sheetFormatPr baseColWidth="10" defaultColWidth="9.1640625" defaultRowHeight="15" customHeight="1"/>
  <cols>
    <col min="2" max="2" width="44.5" bestFit="1" customWidth="1"/>
    <col min="3" max="3" width="9.1640625" style="49"/>
    <col min="6" max="6" width="17" customWidth="1"/>
    <col min="7" max="7" width="44.33203125" customWidth="1"/>
    <col min="8" max="8" width="11.6640625" style="3" bestFit="1" customWidth="1"/>
    <col min="9" max="9" width="18.5" style="3" bestFit="1" customWidth="1"/>
    <col min="10" max="10" width="15.83203125" style="3" bestFit="1" customWidth="1"/>
    <col min="11" max="11" width="12.5" style="3" customWidth="1"/>
    <col min="12" max="12" width="9.33203125" style="3" bestFit="1" customWidth="1"/>
    <col min="13" max="13" width="13.5" style="3" bestFit="1" customWidth="1"/>
    <col min="14" max="14" width="12.33203125" style="3" customWidth="1"/>
    <col min="16" max="16" width="17" bestFit="1" customWidth="1"/>
    <col min="17" max="17" width="33.1640625" bestFit="1" customWidth="1"/>
    <col min="18" max="18" width="6.83203125" bestFit="1" customWidth="1"/>
    <col min="19" max="19" width="21.6640625" bestFit="1" customWidth="1"/>
    <col min="20" max="20" width="12.5" bestFit="1" customWidth="1"/>
    <col min="23" max="27" width="21.5" bestFit="1" customWidth="1"/>
    <col min="28" max="29" width="23.5" bestFit="1" customWidth="1"/>
    <col min="30" max="30" width="20" bestFit="1" customWidth="1"/>
    <col min="31" max="32" width="14.5" bestFit="1" customWidth="1"/>
    <col min="33" max="33" width="21.5" bestFit="1" customWidth="1"/>
    <col min="34" max="34" width="23.5" bestFit="1" customWidth="1"/>
    <col min="35" max="38" width="21.5" bestFit="1" customWidth="1"/>
    <col min="39" max="41" width="23.5" bestFit="1" customWidth="1"/>
    <col min="42" max="42" width="28.6640625" bestFit="1" customWidth="1"/>
    <col min="43" max="47" width="23.5" bestFit="1" customWidth="1"/>
    <col min="48" max="48" width="16.6640625" bestFit="1" customWidth="1"/>
    <col min="49" max="49" width="14.5" bestFit="1" customWidth="1"/>
    <col min="50" max="52" width="23.5" bestFit="1" customWidth="1"/>
    <col min="53" max="53" width="27.1640625" bestFit="1" customWidth="1"/>
    <col min="54" max="55" width="21.5" bestFit="1" customWidth="1"/>
    <col min="56" max="56" width="23.5" bestFit="1" customWidth="1"/>
    <col min="57" max="57" width="21.5" bestFit="1" customWidth="1"/>
    <col min="58" max="58" width="20" bestFit="1" customWidth="1"/>
    <col min="59" max="59" width="21.5" bestFit="1" customWidth="1"/>
    <col min="60" max="64" width="23.5" bestFit="1" customWidth="1"/>
    <col min="66" max="66" width="16.1640625" customWidth="1"/>
    <col min="67" max="67" width="14.6640625" bestFit="1" customWidth="1"/>
    <col min="76" max="76" width="8.5" bestFit="1" customWidth="1"/>
  </cols>
  <sheetData>
    <row r="1" spans="1:76" s="2" customFormat="1" ht="48">
      <c r="A1" s="912" t="s">
        <v>1103</v>
      </c>
      <c r="B1" s="913" t="s">
        <v>1089</v>
      </c>
      <c r="C1" s="914" t="s">
        <v>1630</v>
      </c>
      <c r="E1" s="2">
        <v>2025</v>
      </c>
      <c r="F1" s="573" t="s">
        <v>876</v>
      </c>
      <c r="G1" s="574" t="s">
        <v>875</v>
      </c>
      <c r="H1" s="574" t="s">
        <v>1117</v>
      </c>
      <c r="I1" s="574" t="s">
        <v>1141</v>
      </c>
      <c r="J1" s="574" t="s">
        <v>1118</v>
      </c>
      <c r="K1" s="574" t="s">
        <v>1119</v>
      </c>
      <c r="L1" s="574" t="s">
        <v>1120</v>
      </c>
      <c r="M1" s="574" t="s">
        <v>1121</v>
      </c>
      <c r="N1" s="575" t="s">
        <v>1631</v>
      </c>
      <c r="P1" s="607" t="s">
        <v>0</v>
      </c>
      <c r="Q1" s="607" t="s">
        <v>1632</v>
      </c>
      <c r="R1" s="607" t="s">
        <v>1633</v>
      </c>
      <c r="S1" s="607" t="s">
        <v>1634</v>
      </c>
      <c r="T1" s="607" t="s">
        <v>1176</v>
      </c>
      <c r="W1" s="702" t="s">
        <v>1336</v>
      </c>
      <c r="X1" s="702" t="s">
        <v>1215</v>
      </c>
      <c r="Y1" s="702" t="s">
        <v>1200</v>
      </c>
      <c r="Z1" s="702" t="s">
        <v>1202</v>
      </c>
      <c r="AA1" s="702" t="s">
        <v>1303</v>
      </c>
      <c r="AB1" s="704" t="s">
        <v>1218</v>
      </c>
      <c r="AC1" s="709" t="s">
        <v>1243</v>
      </c>
      <c r="AD1" s="717" t="s">
        <v>1245</v>
      </c>
      <c r="AE1" s="722" t="s">
        <v>1258</v>
      </c>
      <c r="AF1" s="722" t="s">
        <v>1228</v>
      </c>
      <c r="AG1" s="724" t="s">
        <v>1203</v>
      </c>
      <c r="AH1" s="724" t="s">
        <v>1635</v>
      </c>
      <c r="AI1" s="733" t="s">
        <v>1209</v>
      </c>
      <c r="AJ1" s="702" t="s">
        <v>1275</v>
      </c>
      <c r="AK1" s="702" t="s">
        <v>1212</v>
      </c>
      <c r="AL1" s="702" t="s">
        <v>1193</v>
      </c>
      <c r="AM1" s="735" t="s">
        <v>1195</v>
      </c>
      <c r="AN1" s="735" t="s">
        <v>1265</v>
      </c>
      <c r="AO1" s="735" t="s">
        <v>1223</v>
      </c>
      <c r="AP1" s="702" t="s">
        <v>1219</v>
      </c>
      <c r="AQ1" s="739" t="s">
        <v>1222</v>
      </c>
      <c r="AR1" s="739" t="s">
        <v>1198</v>
      </c>
      <c r="AS1" s="724" t="s">
        <v>1252</v>
      </c>
      <c r="AT1" s="741" t="s">
        <v>1636</v>
      </c>
      <c r="AU1" s="743" t="s">
        <v>1637</v>
      </c>
      <c r="AV1" s="746" t="s">
        <v>1271</v>
      </c>
      <c r="AW1" s="724" t="s">
        <v>1638</v>
      </c>
      <c r="AX1" s="722" t="s">
        <v>1261</v>
      </c>
      <c r="AY1" s="722" t="s">
        <v>1206</v>
      </c>
      <c r="AZ1" s="724" t="s">
        <v>1498</v>
      </c>
      <c r="BA1" s="747" t="s">
        <v>1238</v>
      </c>
      <c r="BB1" s="702" t="s">
        <v>1310</v>
      </c>
      <c r="BC1" s="724" t="s">
        <v>1342</v>
      </c>
      <c r="BD1" s="748" t="s">
        <v>1256</v>
      </c>
      <c r="BE1" s="722" t="s">
        <v>1352</v>
      </c>
      <c r="BF1" s="702" t="s">
        <v>1233</v>
      </c>
      <c r="BG1" s="722" t="s">
        <v>1360</v>
      </c>
      <c r="BH1" s="722" t="s">
        <v>1236</v>
      </c>
      <c r="BI1" s="722" t="s">
        <v>1401</v>
      </c>
      <c r="BJ1" s="722" t="s">
        <v>1404</v>
      </c>
      <c r="BK1" s="722" t="s">
        <v>1232</v>
      </c>
      <c r="BL1" s="752" t="s">
        <v>970</v>
      </c>
      <c r="BN1" s="88"/>
      <c r="BO1" s="88"/>
      <c r="BP1" s="88" t="s">
        <v>1184</v>
      </c>
      <c r="BQ1" s="88" t="s">
        <v>1185</v>
      </c>
      <c r="BR1" s="88" t="s">
        <v>1186</v>
      </c>
      <c r="BS1" s="88" t="s">
        <v>1187</v>
      </c>
      <c r="BT1" s="88" t="s">
        <v>1188</v>
      </c>
      <c r="BU1" s="768" t="s">
        <v>1189</v>
      </c>
      <c r="BV1" s="768" t="s">
        <v>1190</v>
      </c>
      <c r="BW1" s="785" t="s">
        <v>1191</v>
      </c>
      <c r="BX1" s="88" t="s">
        <v>46</v>
      </c>
    </row>
    <row r="2" spans="1:76" ht="14.25" customHeight="1">
      <c r="A2" s="917" t="s">
        <v>1639</v>
      </c>
      <c r="B2" s="525" t="s">
        <v>1640</v>
      </c>
      <c r="C2" s="918">
        <v>0.5</v>
      </c>
      <c r="E2" s="971" t="s">
        <v>1641</v>
      </c>
      <c r="F2" s="571" t="s">
        <v>936</v>
      </c>
      <c r="G2" s="572" t="s">
        <v>1642</v>
      </c>
      <c r="H2" s="591" t="s">
        <v>1643</v>
      </c>
      <c r="I2" s="592" t="s">
        <v>16</v>
      </c>
      <c r="J2" s="592" t="s">
        <v>24</v>
      </c>
      <c r="K2" s="592" t="s">
        <v>16</v>
      </c>
      <c r="L2" s="592">
        <v>2016</v>
      </c>
      <c r="M2" s="592">
        <f>$E$1-L2</f>
        <v>9</v>
      </c>
      <c r="N2" s="592" t="s">
        <v>1644</v>
      </c>
      <c r="P2" s="916" t="s">
        <v>12</v>
      </c>
      <c r="Q2" s="916" t="s">
        <v>1645</v>
      </c>
      <c r="R2" s="916">
        <v>406</v>
      </c>
      <c r="S2" s="916" t="s">
        <v>1646</v>
      </c>
      <c r="T2" s="916" t="s">
        <v>1647</v>
      </c>
      <c r="W2" s="698" t="s">
        <v>1226</v>
      </c>
      <c r="X2" s="698" t="s">
        <v>1226</v>
      </c>
      <c r="Y2" s="698" t="s">
        <v>1226</v>
      </c>
      <c r="Z2" s="698" t="s">
        <v>1226</v>
      </c>
      <c r="AA2" s="698" t="s">
        <v>1226</v>
      </c>
      <c r="AB2" s="698" t="s">
        <v>1210</v>
      </c>
      <c r="AC2" s="697" t="s">
        <v>1210</v>
      </c>
      <c r="AD2" s="711" t="s">
        <v>1210</v>
      </c>
      <c r="AE2" s="698" t="s">
        <v>1210</v>
      </c>
      <c r="AF2" s="698" t="s">
        <v>1210</v>
      </c>
      <c r="AG2" s="698" t="s">
        <v>1210</v>
      </c>
      <c r="AH2" s="698" t="s">
        <v>1262</v>
      </c>
      <c r="AI2" s="729" t="s">
        <v>1226</v>
      </c>
      <c r="AJ2" s="698" t="s">
        <v>1226</v>
      </c>
      <c r="AK2" s="698" t="s">
        <v>1226</v>
      </c>
      <c r="AL2" s="698" t="s">
        <v>1226</v>
      </c>
      <c r="AM2" s="677" t="s">
        <v>1210</v>
      </c>
      <c r="AN2" s="677" t="s">
        <v>1210</v>
      </c>
      <c r="AO2" s="677" t="s">
        <v>1210</v>
      </c>
      <c r="AP2" s="698" t="s">
        <v>1210</v>
      </c>
      <c r="AQ2" s="677" t="s">
        <v>1210</v>
      </c>
      <c r="AR2" s="677" t="s">
        <v>1210</v>
      </c>
      <c r="AS2" s="698" t="s">
        <v>1262</v>
      </c>
      <c r="AT2" s="729" t="s">
        <v>1262</v>
      </c>
      <c r="AU2" s="681" t="s">
        <v>1262</v>
      </c>
      <c r="AV2" s="711" t="s">
        <v>1210</v>
      </c>
      <c r="AW2" s="698" t="s">
        <v>1210</v>
      </c>
      <c r="AX2" s="698" t="s">
        <v>1210</v>
      </c>
      <c r="AY2" s="698" t="s">
        <v>1210</v>
      </c>
      <c r="AZ2" s="698" t="s">
        <v>1210</v>
      </c>
      <c r="BA2" s="711" t="s">
        <v>1210</v>
      </c>
      <c r="BB2" s="698" t="s">
        <v>1210</v>
      </c>
      <c r="BC2" s="698" t="s">
        <v>1226</v>
      </c>
      <c r="BD2" s="682" t="s">
        <v>1262</v>
      </c>
      <c r="BE2" s="698" t="s">
        <v>1226</v>
      </c>
      <c r="BF2" s="698" t="s">
        <v>1226</v>
      </c>
      <c r="BG2" s="698" t="s">
        <v>1226</v>
      </c>
      <c r="BH2" s="698" t="s">
        <v>1226</v>
      </c>
      <c r="BI2" s="698" t="s">
        <v>1226</v>
      </c>
      <c r="BJ2" s="698" t="s">
        <v>1210</v>
      </c>
      <c r="BK2" s="698" t="s">
        <v>1210</v>
      </c>
      <c r="BL2" s="677" t="s">
        <v>1226</v>
      </c>
      <c r="BN2" s="618" t="s">
        <v>1336</v>
      </c>
      <c r="BO2" s="88" t="s">
        <v>1248</v>
      </c>
      <c r="BP2" s="769">
        <v>10</v>
      </c>
      <c r="BQ2" s="769">
        <v>10</v>
      </c>
      <c r="BR2" s="769">
        <v>10</v>
      </c>
      <c r="BS2" s="770">
        <v>0</v>
      </c>
      <c r="BT2" s="770">
        <v>0</v>
      </c>
      <c r="BU2" s="770">
        <v>0</v>
      </c>
      <c r="BV2" s="770">
        <v>0</v>
      </c>
      <c r="BW2" s="770">
        <v>0</v>
      </c>
      <c r="BX2" s="770">
        <v>0</v>
      </c>
    </row>
    <row r="3" spans="1:76" ht="14.25" customHeight="1">
      <c r="A3" s="917" t="s">
        <v>1648</v>
      </c>
      <c r="B3" s="525" t="s">
        <v>1649</v>
      </c>
      <c r="C3" s="918">
        <v>0.5</v>
      </c>
      <c r="E3" s="971" t="s">
        <v>1650</v>
      </c>
      <c r="F3" s="571" t="s">
        <v>1157</v>
      </c>
      <c r="G3" s="572" t="s">
        <v>1651</v>
      </c>
      <c r="H3" s="591" t="s">
        <v>1652</v>
      </c>
      <c r="I3" s="592" t="s">
        <v>16</v>
      </c>
      <c r="J3" s="592" t="s">
        <v>1653</v>
      </c>
      <c r="K3" s="592" t="s">
        <v>24</v>
      </c>
      <c r="L3" s="592">
        <v>2017</v>
      </c>
      <c r="M3" s="592">
        <f t="shared" ref="M3:M65" si="0">$E$1-L3</f>
        <v>8</v>
      </c>
      <c r="N3" s="592" t="s">
        <v>1654</v>
      </c>
      <c r="P3" s="916" t="s">
        <v>12</v>
      </c>
      <c r="Q3" s="916" t="s">
        <v>1655</v>
      </c>
      <c r="R3" s="916">
        <v>291</v>
      </c>
      <c r="S3" s="916" t="s">
        <v>1646</v>
      </c>
      <c r="T3" s="916" t="s">
        <v>1647</v>
      </c>
      <c r="W3" s="699" t="s">
        <v>1210</v>
      </c>
      <c r="X3" s="699" t="s">
        <v>1210</v>
      </c>
      <c r="Y3" s="699" t="s">
        <v>1210</v>
      </c>
      <c r="Z3" s="699" t="s">
        <v>1210</v>
      </c>
      <c r="AA3" s="699" t="s">
        <v>1210</v>
      </c>
      <c r="AB3" s="699" t="s">
        <v>1201</v>
      </c>
      <c r="AC3" s="695" t="s">
        <v>1194</v>
      </c>
      <c r="AD3" s="712" t="s">
        <v>1194</v>
      </c>
      <c r="AE3" s="699" t="s">
        <v>1229</v>
      </c>
      <c r="AF3" s="699" t="s">
        <v>1229</v>
      </c>
      <c r="AG3" s="699" t="s">
        <v>1194</v>
      </c>
      <c r="AH3" s="699" t="s">
        <v>1253</v>
      </c>
      <c r="AI3" s="730" t="s">
        <v>1210</v>
      </c>
      <c r="AJ3" s="699" t="s">
        <v>1210</v>
      </c>
      <c r="AK3" s="699" t="s">
        <v>1210</v>
      </c>
      <c r="AL3" s="699" t="s">
        <v>1210</v>
      </c>
      <c r="AM3" s="684" t="s">
        <v>1262</v>
      </c>
      <c r="AN3" s="684" t="s">
        <v>1262</v>
      </c>
      <c r="AO3" s="684" t="s">
        <v>1262</v>
      </c>
      <c r="AP3" s="699" t="s">
        <v>1262</v>
      </c>
      <c r="AQ3" s="684" t="s">
        <v>1262</v>
      </c>
      <c r="AR3" s="684" t="s">
        <v>1262</v>
      </c>
      <c r="AS3" s="699" t="s">
        <v>1253</v>
      </c>
      <c r="AT3" s="730" t="s">
        <v>1253</v>
      </c>
      <c r="AU3" s="683" t="s">
        <v>1253</v>
      </c>
      <c r="AV3" s="712" t="s">
        <v>1194</v>
      </c>
      <c r="AW3" s="699" t="s">
        <v>1229</v>
      </c>
      <c r="AX3" s="699" t="s">
        <v>1229</v>
      </c>
      <c r="AY3" s="699" t="s">
        <v>1229</v>
      </c>
      <c r="AZ3" s="699" t="s">
        <v>1229</v>
      </c>
      <c r="BA3" s="712" t="s">
        <v>1201</v>
      </c>
      <c r="BB3" s="699" t="s">
        <v>1201</v>
      </c>
      <c r="BC3" s="699" t="s">
        <v>1210</v>
      </c>
      <c r="BD3" s="678" t="s">
        <v>1253</v>
      </c>
      <c r="BE3" s="701" t="s">
        <v>1201</v>
      </c>
      <c r="BF3" s="699" t="s">
        <v>1210</v>
      </c>
      <c r="BG3" s="699" t="s">
        <v>1210</v>
      </c>
      <c r="BH3" s="699" t="s">
        <v>1210</v>
      </c>
      <c r="BI3" s="699" t="s">
        <v>1210</v>
      </c>
      <c r="BJ3" s="699" t="s">
        <v>1229</v>
      </c>
      <c r="BK3" s="699" t="s">
        <v>1229</v>
      </c>
      <c r="BL3" s="678" t="s">
        <v>1210</v>
      </c>
      <c r="BN3" s="771" t="s">
        <v>1215</v>
      </c>
      <c r="BO3" s="88" t="s">
        <v>1248</v>
      </c>
      <c r="BP3" s="769">
        <v>10</v>
      </c>
      <c r="BQ3" s="769">
        <v>10</v>
      </c>
      <c r="BR3" s="769">
        <v>10</v>
      </c>
      <c r="BS3" s="770">
        <v>0</v>
      </c>
      <c r="BT3" s="770">
        <v>0</v>
      </c>
      <c r="BU3" s="770">
        <v>0</v>
      </c>
      <c r="BV3" s="770">
        <v>0</v>
      </c>
      <c r="BW3" s="770">
        <v>0</v>
      </c>
      <c r="BX3" s="770">
        <v>0</v>
      </c>
    </row>
    <row r="4" spans="1:76" ht="14.25" customHeight="1">
      <c r="A4" s="917" t="s">
        <v>1656</v>
      </c>
      <c r="B4" s="525" t="s">
        <v>1657</v>
      </c>
      <c r="C4" s="918">
        <v>0.75</v>
      </c>
      <c r="F4" s="571" t="s">
        <v>940</v>
      </c>
      <c r="G4" s="572" t="s">
        <v>1658</v>
      </c>
      <c r="H4" s="591" t="s">
        <v>1659</v>
      </c>
      <c r="I4" s="592" t="s">
        <v>16</v>
      </c>
      <c r="J4" s="592" t="s">
        <v>1653</v>
      </c>
      <c r="K4" s="592" t="s">
        <v>16</v>
      </c>
      <c r="L4" s="592">
        <v>2016</v>
      </c>
      <c r="M4" s="592">
        <f t="shared" si="0"/>
        <v>9</v>
      </c>
      <c r="N4" s="592" t="s">
        <v>1660</v>
      </c>
      <c r="P4" s="916" t="s">
        <v>12</v>
      </c>
      <c r="Q4" s="916" t="s">
        <v>1661</v>
      </c>
      <c r="R4" s="916">
        <v>495</v>
      </c>
      <c r="S4" s="916"/>
      <c r="T4" s="916" t="s">
        <v>1647</v>
      </c>
      <c r="W4" s="698" t="s">
        <v>1201</v>
      </c>
      <c r="X4" s="698" t="s">
        <v>1201</v>
      </c>
      <c r="Y4" s="698" t="s">
        <v>1201</v>
      </c>
      <c r="Z4" s="698" t="s">
        <v>1201</v>
      </c>
      <c r="AA4" s="698" t="s">
        <v>1201</v>
      </c>
      <c r="AB4" s="698" t="s">
        <v>1194</v>
      </c>
      <c r="AC4" s="705" t="s">
        <v>1262</v>
      </c>
      <c r="AD4" s="713" t="s">
        <v>1201</v>
      </c>
      <c r="AE4" s="719" t="s">
        <v>1207</v>
      </c>
      <c r="AF4" s="719" t="s">
        <v>1207</v>
      </c>
      <c r="AG4" s="698" t="s">
        <v>1201</v>
      </c>
      <c r="AH4" s="726" t="s">
        <v>1234</v>
      </c>
      <c r="AI4" s="729" t="s">
        <v>1201</v>
      </c>
      <c r="AJ4" s="698" t="s">
        <v>1201</v>
      </c>
      <c r="AK4" s="698" t="s">
        <v>1201</v>
      </c>
      <c r="AL4" s="698" t="s">
        <v>1201</v>
      </c>
      <c r="AM4" s="688" t="s">
        <v>1224</v>
      </c>
      <c r="AN4" s="688" t="s">
        <v>1224</v>
      </c>
      <c r="AO4" s="688" t="s">
        <v>1224</v>
      </c>
      <c r="AP4" s="698" t="s">
        <v>1196</v>
      </c>
      <c r="AQ4" s="688" t="s">
        <v>1320</v>
      </c>
      <c r="AR4" s="688" t="s">
        <v>1330</v>
      </c>
      <c r="AS4" s="726" t="s">
        <v>1234</v>
      </c>
      <c r="AT4" s="713" t="s">
        <v>1234</v>
      </c>
      <c r="AU4" s="685" t="s">
        <v>1234</v>
      </c>
      <c r="AV4" s="745" t="s">
        <v>1234</v>
      </c>
      <c r="AW4" s="719" t="s">
        <v>1207</v>
      </c>
      <c r="AX4" s="719" t="s">
        <v>1207</v>
      </c>
      <c r="AY4" s="719" t="s">
        <v>1207</v>
      </c>
      <c r="AZ4" s="719" t="s">
        <v>1207</v>
      </c>
      <c r="BA4" s="731" t="s">
        <v>1214</v>
      </c>
      <c r="BB4" s="700" t="s">
        <v>1214</v>
      </c>
      <c r="BC4" s="700" t="s">
        <v>1201</v>
      </c>
      <c r="BD4" s="687" t="s">
        <v>1234</v>
      </c>
      <c r="BE4" s="700" t="s">
        <v>970</v>
      </c>
      <c r="BF4" s="698" t="s">
        <v>1229</v>
      </c>
      <c r="BG4" s="700" t="s">
        <v>1201</v>
      </c>
      <c r="BH4" s="698" t="s">
        <v>1201</v>
      </c>
      <c r="BI4" s="698" t="s">
        <v>1201</v>
      </c>
      <c r="BJ4" s="719" t="s">
        <v>1207</v>
      </c>
      <c r="BK4" s="719" t="s">
        <v>1207</v>
      </c>
      <c r="BL4" s="677" t="s">
        <v>1201</v>
      </c>
      <c r="BN4" s="771" t="s">
        <v>1200</v>
      </c>
      <c r="BO4" s="88" t="s">
        <v>1248</v>
      </c>
      <c r="BP4" s="770">
        <v>0</v>
      </c>
      <c r="BQ4" s="769">
        <v>10</v>
      </c>
      <c r="BR4" s="769">
        <v>10</v>
      </c>
      <c r="BS4" s="769">
        <v>10</v>
      </c>
      <c r="BT4" s="769">
        <v>10</v>
      </c>
      <c r="BU4" s="770">
        <v>0</v>
      </c>
      <c r="BV4" s="770">
        <v>0</v>
      </c>
      <c r="BW4" s="770">
        <v>0</v>
      </c>
      <c r="BX4" s="770">
        <v>0</v>
      </c>
    </row>
    <row r="5" spans="1:76" ht="14.25" customHeight="1">
      <c r="A5" s="917" t="s">
        <v>1662</v>
      </c>
      <c r="B5" s="525" t="s">
        <v>1663</v>
      </c>
      <c r="C5" s="918">
        <v>0.75</v>
      </c>
      <c r="F5" s="571" t="s">
        <v>919</v>
      </c>
      <c r="G5" s="572" t="s">
        <v>1664</v>
      </c>
      <c r="H5" s="591" t="s">
        <v>1665</v>
      </c>
      <c r="I5" s="592" t="s">
        <v>16</v>
      </c>
      <c r="J5" s="592" t="s">
        <v>24</v>
      </c>
      <c r="K5" s="592" t="s">
        <v>16</v>
      </c>
      <c r="L5" s="592">
        <v>2016</v>
      </c>
      <c r="M5" s="592">
        <f t="shared" si="0"/>
        <v>9</v>
      </c>
      <c r="N5" s="592" t="s">
        <v>1644</v>
      </c>
      <c r="P5" s="916" t="s">
        <v>12</v>
      </c>
      <c r="Q5" s="916" t="s">
        <v>1666</v>
      </c>
      <c r="R5" s="916">
        <v>320</v>
      </c>
      <c r="S5" s="916" t="s">
        <v>1667</v>
      </c>
      <c r="T5" s="916" t="s">
        <v>1647</v>
      </c>
      <c r="W5" s="699" t="s">
        <v>1214</v>
      </c>
      <c r="X5" s="699" t="s">
        <v>1214</v>
      </c>
      <c r="Y5" s="699" t="s">
        <v>1214</v>
      </c>
      <c r="Z5" s="699" t="s">
        <v>1214</v>
      </c>
      <c r="AA5" s="699" t="s">
        <v>1214</v>
      </c>
      <c r="AB5" s="701" t="s">
        <v>1262</v>
      </c>
      <c r="AC5" s="706" t="s">
        <v>1204</v>
      </c>
      <c r="AD5" s="714" t="s">
        <v>970</v>
      </c>
      <c r="AE5" s="720" t="s">
        <v>1204</v>
      </c>
      <c r="AF5" s="720" t="s">
        <v>1204</v>
      </c>
      <c r="AG5" s="720" t="s">
        <v>1204</v>
      </c>
      <c r="AH5" s="701" t="s">
        <v>970</v>
      </c>
      <c r="AI5" s="712" t="s">
        <v>1214</v>
      </c>
      <c r="AJ5" s="699" t="s">
        <v>1214</v>
      </c>
      <c r="AK5" s="699" t="s">
        <v>1214</v>
      </c>
      <c r="AL5" s="699" t="s">
        <v>1214</v>
      </c>
      <c r="AM5" s="678" t="s">
        <v>1330</v>
      </c>
      <c r="AN5" s="678" t="s">
        <v>1220</v>
      </c>
      <c r="AO5" s="691" t="s">
        <v>1234</v>
      </c>
      <c r="AP5" s="699" t="s">
        <v>1220</v>
      </c>
      <c r="AQ5" s="678" t="s">
        <v>1196</v>
      </c>
      <c r="AR5" s="678" t="s">
        <v>1199</v>
      </c>
      <c r="AS5" s="701" t="s">
        <v>970</v>
      </c>
      <c r="AT5" s="732" t="s">
        <v>970</v>
      </c>
      <c r="AU5" s="680" t="s">
        <v>970</v>
      </c>
      <c r="AV5" s="732" t="s">
        <v>970</v>
      </c>
      <c r="AW5" s="720" t="s">
        <v>1204</v>
      </c>
      <c r="AX5" s="720" t="s">
        <v>1204</v>
      </c>
      <c r="AY5" s="720" t="s">
        <v>1204</v>
      </c>
      <c r="AZ5" s="720" t="s">
        <v>1204</v>
      </c>
      <c r="BA5" s="732" t="s">
        <v>970</v>
      </c>
      <c r="BB5" s="701" t="s">
        <v>970</v>
      </c>
      <c r="BC5" s="701" t="s">
        <v>970</v>
      </c>
      <c r="BD5" s="680" t="s">
        <v>970</v>
      </c>
      <c r="BE5" s="701" t="s">
        <v>1216</v>
      </c>
      <c r="BF5" s="749" t="s">
        <v>1207</v>
      </c>
      <c r="BG5" s="701" t="s">
        <v>970</v>
      </c>
      <c r="BH5" s="699" t="s">
        <v>1214</v>
      </c>
      <c r="BI5" s="699" t="s">
        <v>1214</v>
      </c>
      <c r="BJ5" s="720" t="s">
        <v>1204</v>
      </c>
      <c r="BK5" s="720" t="s">
        <v>1204</v>
      </c>
      <c r="BL5" s="678" t="s">
        <v>1214</v>
      </c>
      <c r="BN5" s="771" t="s">
        <v>1202</v>
      </c>
      <c r="BO5" s="88" t="s">
        <v>1248</v>
      </c>
      <c r="BP5" s="770">
        <v>0</v>
      </c>
      <c r="BQ5" s="769">
        <v>10</v>
      </c>
      <c r="BR5" s="769">
        <v>10</v>
      </c>
      <c r="BS5" s="769">
        <v>10</v>
      </c>
      <c r="BT5" s="769">
        <v>10</v>
      </c>
      <c r="BU5" s="770">
        <v>0</v>
      </c>
      <c r="BV5" s="770">
        <v>0</v>
      </c>
      <c r="BW5" s="770">
        <v>0</v>
      </c>
      <c r="BX5" s="770">
        <v>0</v>
      </c>
    </row>
    <row r="6" spans="1:76" ht="14.25" customHeight="1">
      <c r="A6" s="917" t="s">
        <v>1668</v>
      </c>
      <c r="B6" s="525" t="s">
        <v>1669</v>
      </c>
      <c r="C6" s="918">
        <v>0.75</v>
      </c>
      <c r="F6" s="571" t="s">
        <v>878</v>
      </c>
      <c r="G6" s="572" t="s">
        <v>1670</v>
      </c>
      <c r="H6" s="591" t="s">
        <v>1671</v>
      </c>
      <c r="I6" s="592" t="s">
        <v>24</v>
      </c>
      <c r="J6" s="592" t="s">
        <v>24</v>
      </c>
      <c r="K6" s="592" t="s">
        <v>16</v>
      </c>
      <c r="L6" s="592">
        <v>2016</v>
      </c>
      <c r="M6" s="592">
        <f t="shared" si="0"/>
        <v>9</v>
      </c>
      <c r="N6" s="592" t="s">
        <v>1660</v>
      </c>
      <c r="P6" s="916" t="s">
        <v>12</v>
      </c>
      <c r="Q6" s="916" t="s">
        <v>1672</v>
      </c>
      <c r="R6" s="916">
        <v>415</v>
      </c>
      <c r="S6" s="916" t="s">
        <v>1646</v>
      </c>
      <c r="T6" s="916" t="s">
        <v>1647</v>
      </c>
      <c r="W6" s="700" t="s">
        <v>1194</v>
      </c>
      <c r="X6" s="700" t="s">
        <v>1194</v>
      </c>
      <c r="Y6" s="700" t="s">
        <v>1194</v>
      </c>
      <c r="Z6" s="700" t="s">
        <v>1194</v>
      </c>
      <c r="AA6" s="700" t="s">
        <v>1194</v>
      </c>
      <c r="AB6" s="700" t="s">
        <v>970</v>
      </c>
      <c r="AC6" s="707" t="s">
        <v>970</v>
      </c>
      <c r="AD6" s="715" t="s">
        <v>1216</v>
      </c>
      <c r="AE6" s="700" t="s">
        <v>970</v>
      </c>
      <c r="AF6" s="700" t="s">
        <v>970</v>
      </c>
      <c r="AG6" s="700" t="s">
        <v>970</v>
      </c>
      <c r="AH6" s="727" t="s">
        <v>1216</v>
      </c>
      <c r="AI6" s="731" t="s">
        <v>1194</v>
      </c>
      <c r="AJ6" s="700" t="s">
        <v>1194</v>
      </c>
      <c r="AK6" s="700" t="s">
        <v>1194</v>
      </c>
      <c r="AL6" s="700" t="s">
        <v>1194</v>
      </c>
      <c r="AM6" s="677" t="s">
        <v>1196</v>
      </c>
      <c r="AN6" s="686" t="s">
        <v>1234</v>
      </c>
      <c r="AO6" s="677" t="s">
        <v>1196</v>
      </c>
      <c r="AP6" s="726" t="s">
        <v>1234</v>
      </c>
      <c r="AQ6" s="677" t="s">
        <v>1220</v>
      </c>
      <c r="AR6" s="677" t="s">
        <v>1673</v>
      </c>
      <c r="AS6" s="727" t="s">
        <v>1216</v>
      </c>
      <c r="AT6" s="715" t="s">
        <v>1216</v>
      </c>
      <c r="AU6" s="682" t="s">
        <v>1216</v>
      </c>
      <c r="AV6" s="715" t="s">
        <v>1216</v>
      </c>
      <c r="AW6" s="700" t="s">
        <v>970</v>
      </c>
      <c r="AX6" s="700" t="s">
        <v>970</v>
      </c>
      <c r="AY6" s="700" t="s">
        <v>970</v>
      </c>
      <c r="AZ6" s="700" t="s">
        <v>970</v>
      </c>
      <c r="BA6" s="731" t="s">
        <v>1216</v>
      </c>
      <c r="BB6" s="700" t="s">
        <v>1216</v>
      </c>
      <c r="BC6" s="700" t="s">
        <v>1216</v>
      </c>
      <c r="BD6" s="682" t="s">
        <v>1216</v>
      </c>
      <c r="BE6" s="725" t="s">
        <v>1338</v>
      </c>
      <c r="BF6" s="726" t="s">
        <v>1204</v>
      </c>
      <c r="BG6" s="700" t="s">
        <v>1216</v>
      </c>
      <c r="BH6" s="698" t="s">
        <v>1194</v>
      </c>
      <c r="BI6" s="698" t="s">
        <v>1194</v>
      </c>
      <c r="BJ6" s="700" t="s">
        <v>1262</v>
      </c>
      <c r="BK6" s="700" t="s">
        <v>1262</v>
      </c>
      <c r="BL6" s="677" t="s">
        <v>1194</v>
      </c>
      <c r="BN6" s="771" t="s">
        <v>1303</v>
      </c>
      <c r="BO6" s="88" t="s">
        <v>1248</v>
      </c>
      <c r="BP6" s="769">
        <v>10</v>
      </c>
      <c r="BQ6" s="770">
        <v>0</v>
      </c>
      <c r="BR6" s="770">
        <v>0</v>
      </c>
      <c r="BS6" s="770">
        <v>0</v>
      </c>
      <c r="BT6" s="770">
        <v>0</v>
      </c>
      <c r="BU6" s="770">
        <v>0</v>
      </c>
      <c r="BV6" s="770">
        <v>0</v>
      </c>
      <c r="BW6" s="770">
        <v>0</v>
      </c>
      <c r="BX6" s="770">
        <v>0</v>
      </c>
    </row>
    <row r="7" spans="1:76" ht="14.25" customHeight="1">
      <c r="A7" s="917" t="s">
        <v>1674</v>
      </c>
      <c r="B7" s="525" t="s">
        <v>1675</v>
      </c>
      <c r="C7" s="918">
        <v>1</v>
      </c>
      <c r="F7" s="967" t="s">
        <v>1676</v>
      </c>
      <c r="G7" s="968" t="s">
        <v>1677</v>
      </c>
      <c r="H7" s="969" t="s">
        <v>1678</v>
      </c>
      <c r="I7" s="970" t="s">
        <v>16</v>
      </c>
      <c r="J7" s="970" t="s">
        <v>1653</v>
      </c>
      <c r="K7" s="970" t="s">
        <v>16</v>
      </c>
      <c r="L7" s="970">
        <v>0</v>
      </c>
      <c r="M7" s="970"/>
      <c r="N7" s="970" t="s">
        <v>1679</v>
      </c>
      <c r="P7" s="916" t="s">
        <v>12</v>
      </c>
      <c r="Q7" s="916" t="s">
        <v>1680</v>
      </c>
      <c r="R7" s="916">
        <v>422</v>
      </c>
      <c r="S7" s="916" t="s">
        <v>1646</v>
      </c>
      <c r="T7" s="916" t="s">
        <v>1647</v>
      </c>
      <c r="W7" s="701" t="s">
        <v>970</v>
      </c>
      <c r="X7" s="701" t="s">
        <v>970</v>
      </c>
      <c r="Y7" s="701" t="s">
        <v>970</v>
      </c>
      <c r="Z7" s="701" t="s">
        <v>970</v>
      </c>
      <c r="AA7" s="701" t="s">
        <v>970</v>
      </c>
      <c r="AB7" s="701" t="s">
        <v>1216</v>
      </c>
      <c r="AC7" s="708" t="s">
        <v>1216</v>
      </c>
      <c r="AD7" s="716" t="s">
        <v>1234</v>
      </c>
      <c r="AE7" s="721" t="s">
        <v>1216</v>
      </c>
      <c r="AF7" s="721" t="s">
        <v>1216</v>
      </c>
      <c r="AG7" s="701" t="s">
        <v>1216</v>
      </c>
      <c r="AH7" s="728" t="s">
        <v>1338</v>
      </c>
      <c r="AI7" s="732" t="s">
        <v>970</v>
      </c>
      <c r="AJ7" s="701" t="s">
        <v>970</v>
      </c>
      <c r="AK7" s="701" t="s">
        <v>970</v>
      </c>
      <c r="AL7" s="701" t="s">
        <v>970</v>
      </c>
      <c r="AM7" s="692" t="s">
        <v>1234</v>
      </c>
      <c r="AN7" s="690" t="s">
        <v>1204</v>
      </c>
      <c r="AO7" s="678" t="s">
        <v>1220</v>
      </c>
      <c r="AP7" s="701" t="s">
        <v>970</v>
      </c>
      <c r="AQ7" s="692" t="s">
        <v>1234</v>
      </c>
      <c r="AR7" s="680" t="s">
        <v>970</v>
      </c>
      <c r="AS7" s="728" t="s">
        <v>1338</v>
      </c>
      <c r="AT7" s="742" t="s">
        <v>1338</v>
      </c>
      <c r="AU7" s="744" t="s">
        <v>1338</v>
      </c>
      <c r="AV7" s="742" t="s">
        <v>1338</v>
      </c>
      <c r="AW7" s="721" t="s">
        <v>1216</v>
      </c>
      <c r="AX7" s="721" t="s">
        <v>1216</v>
      </c>
      <c r="AY7" s="721" t="s">
        <v>1216</v>
      </c>
      <c r="AZ7" s="721" t="s">
        <v>1216</v>
      </c>
      <c r="BA7" s="734" t="s">
        <v>1338</v>
      </c>
      <c r="BB7" s="703" t="s">
        <v>1338</v>
      </c>
      <c r="BC7" s="703" t="s">
        <v>1338</v>
      </c>
      <c r="BD7" s="744" t="s">
        <v>1338</v>
      </c>
      <c r="BE7" s="693"/>
      <c r="BF7" s="701" t="s">
        <v>970</v>
      </c>
      <c r="BG7" s="703" t="s">
        <v>1338</v>
      </c>
      <c r="BH7" s="699" t="s">
        <v>1262</v>
      </c>
      <c r="BI7" s="699" t="s">
        <v>1262</v>
      </c>
      <c r="BJ7" s="750" t="s">
        <v>1216</v>
      </c>
      <c r="BK7" s="750" t="s">
        <v>1216</v>
      </c>
      <c r="BL7" s="684" t="s">
        <v>1262</v>
      </c>
      <c r="BN7" s="771" t="s">
        <v>1218</v>
      </c>
      <c r="BO7" s="88" t="s">
        <v>1248</v>
      </c>
      <c r="BP7" s="770">
        <v>0</v>
      </c>
      <c r="BQ7" s="769">
        <v>10</v>
      </c>
      <c r="BR7" s="769">
        <v>10</v>
      </c>
      <c r="BS7" s="769">
        <v>10</v>
      </c>
      <c r="BT7" s="769">
        <v>10</v>
      </c>
      <c r="BU7" s="770">
        <v>0</v>
      </c>
      <c r="BV7" s="770">
        <v>0</v>
      </c>
      <c r="BW7" s="770">
        <v>0</v>
      </c>
      <c r="BX7" s="770">
        <v>0</v>
      </c>
    </row>
    <row r="8" spans="1:76" ht="14.25" customHeight="1">
      <c r="A8" s="524" t="s">
        <v>597</v>
      </c>
      <c r="B8" s="525" t="s">
        <v>1681</v>
      </c>
      <c r="C8" s="52">
        <v>2.4900000000000002</v>
      </c>
      <c r="F8" s="571" t="s">
        <v>899</v>
      </c>
      <c r="G8" s="572" t="s">
        <v>1682</v>
      </c>
      <c r="H8" s="591" t="s">
        <v>1659</v>
      </c>
      <c r="I8" s="592" t="s">
        <v>24</v>
      </c>
      <c r="J8" s="592" t="s">
        <v>24</v>
      </c>
      <c r="K8" s="592" t="s">
        <v>24</v>
      </c>
      <c r="L8" s="592">
        <v>2017</v>
      </c>
      <c r="M8" s="592">
        <f t="shared" si="0"/>
        <v>8</v>
      </c>
      <c r="N8" s="592" t="s">
        <v>1660</v>
      </c>
      <c r="P8" s="916" t="s">
        <v>12</v>
      </c>
      <c r="Q8" s="916" t="s">
        <v>1683</v>
      </c>
      <c r="R8" s="916">
        <v>82</v>
      </c>
      <c r="S8" s="916" t="s">
        <v>1684</v>
      </c>
      <c r="T8" s="916" t="s">
        <v>1647</v>
      </c>
      <c r="W8" s="700" t="s">
        <v>1216</v>
      </c>
      <c r="X8" s="700" t="s">
        <v>1216</v>
      </c>
      <c r="Y8" s="700" t="s">
        <v>1216</v>
      </c>
      <c r="Z8" s="700" t="s">
        <v>1216</v>
      </c>
      <c r="AA8" s="700" t="s">
        <v>1216</v>
      </c>
      <c r="AB8" s="700" t="s">
        <v>1234</v>
      </c>
      <c r="AC8" s="707" t="s">
        <v>1201</v>
      </c>
      <c r="AD8" s="718" t="s">
        <v>1338</v>
      </c>
      <c r="AE8" s="723" t="s">
        <v>1338</v>
      </c>
      <c r="AF8" s="723" t="s">
        <v>1338</v>
      </c>
      <c r="AG8" s="725" t="s">
        <v>1338</v>
      </c>
      <c r="AH8" s="693"/>
      <c r="AI8" s="731" t="s">
        <v>1216</v>
      </c>
      <c r="AJ8" s="700" t="s">
        <v>1216</v>
      </c>
      <c r="AK8" s="700" t="s">
        <v>1216</v>
      </c>
      <c r="AL8" s="700" t="s">
        <v>1216</v>
      </c>
      <c r="AM8" s="687" t="s">
        <v>1204</v>
      </c>
      <c r="AN8" s="687" t="s">
        <v>970</v>
      </c>
      <c r="AO8" s="687" t="s">
        <v>1204</v>
      </c>
      <c r="AP8" s="700" t="s">
        <v>1216</v>
      </c>
      <c r="AQ8" s="687" t="s">
        <v>1204</v>
      </c>
      <c r="AR8" s="679" t="s">
        <v>1216</v>
      </c>
      <c r="AS8" s="693"/>
      <c r="AT8" s="693"/>
      <c r="AU8" s="693"/>
      <c r="AV8" s="693"/>
      <c r="AW8" s="723" t="s">
        <v>1338</v>
      </c>
      <c r="AX8" s="727" t="s">
        <v>1262</v>
      </c>
      <c r="AY8" s="727" t="s">
        <v>1262</v>
      </c>
      <c r="AZ8" s="727" t="s">
        <v>1262</v>
      </c>
      <c r="BA8" s="694"/>
      <c r="BB8" s="693"/>
      <c r="BC8" s="693"/>
      <c r="BD8" s="693"/>
      <c r="BE8" s="693"/>
      <c r="BF8" s="700" t="s">
        <v>1216</v>
      </c>
      <c r="BG8" s="693"/>
      <c r="BH8" s="700" t="s">
        <v>970</v>
      </c>
      <c r="BI8" s="700" t="s">
        <v>970</v>
      </c>
      <c r="BJ8" s="751" t="s">
        <v>1234</v>
      </c>
      <c r="BK8" s="751" t="s">
        <v>1234</v>
      </c>
      <c r="BL8" s="677" t="s">
        <v>1685</v>
      </c>
      <c r="BN8" s="771" t="s">
        <v>1243</v>
      </c>
      <c r="BO8" s="88" t="s">
        <v>1248</v>
      </c>
      <c r="BP8" s="769">
        <v>10</v>
      </c>
      <c r="BQ8" s="770">
        <v>0</v>
      </c>
      <c r="BR8" s="770">
        <v>0</v>
      </c>
      <c r="BS8" s="770">
        <v>0</v>
      </c>
      <c r="BT8" s="770">
        <v>0</v>
      </c>
      <c r="BU8" s="770">
        <v>0</v>
      </c>
      <c r="BV8" s="770">
        <v>0</v>
      </c>
      <c r="BW8" s="769">
        <v>4</v>
      </c>
      <c r="BX8" s="770">
        <v>0</v>
      </c>
    </row>
    <row r="9" spans="1:76" ht="14.25" customHeight="1">
      <c r="A9" s="524" t="s">
        <v>1686</v>
      </c>
      <c r="B9" s="525" t="s">
        <v>1687</v>
      </c>
      <c r="C9" s="915">
        <v>2.56</v>
      </c>
      <c r="F9" s="571" t="s">
        <v>884</v>
      </c>
      <c r="G9" s="572" t="s">
        <v>1688</v>
      </c>
      <c r="H9" s="591" t="s">
        <v>1689</v>
      </c>
      <c r="I9" s="592" t="s">
        <v>24</v>
      </c>
      <c r="J9" s="592" t="s">
        <v>24</v>
      </c>
      <c r="K9" s="592" t="s">
        <v>16</v>
      </c>
      <c r="L9" s="592">
        <v>2017</v>
      </c>
      <c r="M9" s="592">
        <f t="shared" si="0"/>
        <v>8</v>
      </c>
      <c r="N9" s="592" t="s">
        <v>1660</v>
      </c>
      <c r="P9" s="916" t="s">
        <v>12</v>
      </c>
      <c r="Q9" s="916" t="s">
        <v>1690</v>
      </c>
      <c r="R9" s="916">
        <v>63</v>
      </c>
      <c r="S9" s="916" t="s">
        <v>1691</v>
      </c>
      <c r="T9" s="916" t="s">
        <v>1692</v>
      </c>
      <c r="W9" s="703" t="s">
        <v>1338</v>
      </c>
      <c r="X9" s="703" t="s">
        <v>1338</v>
      </c>
      <c r="Y9" s="703" t="s">
        <v>1338</v>
      </c>
      <c r="Z9" s="703" t="s">
        <v>1338</v>
      </c>
      <c r="AA9" s="703" t="s">
        <v>1338</v>
      </c>
      <c r="AB9" s="703" t="s">
        <v>1338</v>
      </c>
      <c r="AC9" s="708" t="s">
        <v>1234</v>
      </c>
      <c r="AD9" s="693"/>
      <c r="AE9" s="693"/>
      <c r="AF9" s="693"/>
      <c r="AG9" s="693"/>
      <c r="AH9" s="693"/>
      <c r="AI9" s="734" t="s">
        <v>1338</v>
      </c>
      <c r="AJ9" s="703" t="s">
        <v>1338</v>
      </c>
      <c r="AK9" s="703" t="s">
        <v>1338</v>
      </c>
      <c r="AL9" s="703" t="s">
        <v>1338</v>
      </c>
      <c r="AM9" s="690" t="s">
        <v>970</v>
      </c>
      <c r="AN9" s="690" t="s">
        <v>1216</v>
      </c>
      <c r="AO9" s="689" t="s">
        <v>970</v>
      </c>
      <c r="AP9" s="701" t="s">
        <v>1320</v>
      </c>
      <c r="AQ9" s="690" t="s">
        <v>970</v>
      </c>
      <c r="AR9" s="740" t="s">
        <v>1338</v>
      </c>
      <c r="AS9" s="695" t="s">
        <v>124</v>
      </c>
      <c r="AT9" s="693"/>
      <c r="AU9" s="693"/>
      <c r="AV9" s="693"/>
      <c r="AW9" s="693"/>
      <c r="AX9" s="728" t="s">
        <v>1338</v>
      </c>
      <c r="AY9" s="728" t="s">
        <v>1338</v>
      </c>
      <c r="AZ9" s="728" t="s">
        <v>1338</v>
      </c>
      <c r="BA9" s="693"/>
      <c r="BB9" s="693"/>
      <c r="BC9" s="693"/>
      <c r="BD9" s="693"/>
      <c r="BE9" s="693"/>
      <c r="BF9" s="701" t="s">
        <v>1234</v>
      </c>
      <c r="BG9" s="693"/>
      <c r="BH9" s="703" t="s">
        <v>1338</v>
      </c>
      <c r="BI9" s="703" t="s">
        <v>1338</v>
      </c>
      <c r="BJ9" s="721" t="s">
        <v>970</v>
      </c>
      <c r="BK9" s="721" t="s">
        <v>970</v>
      </c>
      <c r="BL9" s="691" t="s">
        <v>1224</v>
      </c>
      <c r="BN9" s="772" t="s">
        <v>1245</v>
      </c>
      <c r="BO9" s="768" t="s">
        <v>1248</v>
      </c>
      <c r="BP9" s="769">
        <v>8</v>
      </c>
      <c r="BQ9" s="769">
        <v>8</v>
      </c>
      <c r="BR9" s="769">
        <v>8</v>
      </c>
      <c r="BS9" s="770">
        <v>0</v>
      </c>
      <c r="BT9" s="770">
        <v>0</v>
      </c>
      <c r="BU9" s="770">
        <v>0</v>
      </c>
      <c r="BV9" s="770">
        <v>0</v>
      </c>
      <c r="BW9" s="770">
        <v>0</v>
      </c>
      <c r="BX9" s="770">
        <v>0</v>
      </c>
    </row>
    <row r="10" spans="1:76" ht="14.25" customHeight="1">
      <c r="A10" s="524" t="s">
        <v>1693</v>
      </c>
      <c r="B10" s="525" t="s">
        <v>1694</v>
      </c>
      <c r="C10" s="915">
        <v>2.56</v>
      </c>
      <c r="F10" s="967" t="s">
        <v>941</v>
      </c>
      <c r="G10" s="968" t="s">
        <v>1695</v>
      </c>
      <c r="H10" s="969" t="s">
        <v>1696</v>
      </c>
      <c r="I10" s="970" t="s">
        <v>16</v>
      </c>
      <c r="J10" s="970" t="s">
        <v>1653</v>
      </c>
      <c r="K10" s="970" t="s">
        <v>16</v>
      </c>
      <c r="L10" s="970">
        <v>0</v>
      </c>
      <c r="M10" s="970"/>
      <c r="N10" s="970" t="s">
        <v>1679</v>
      </c>
      <c r="P10" s="916" t="s">
        <v>12</v>
      </c>
      <c r="Q10" s="916" t="s">
        <v>1697</v>
      </c>
      <c r="R10" s="916">
        <v>455</v>
      </c>
      <c r="S10" s="916" t="s">
        <v>1646</v>
      </c>
      <c r="T10" s="916" t="s">
        <v>1692</v>
      </c>
      <c r="AB10" s="693"/>
      <c r="AC10" s="710" t="s">
        <v>1338</v>
      </c>
      <c r="AD10" s="693"/>
      <c r="AE10" s="693"/>
      <c r="AF10" s="693"/>
      <c r="AG10" s="693"/>
      <c r="AH10" s="693"/>
      <c r="AI10" s="693"/>
      <c r="AJ10" s="693"/>
      <c r="AK10" s="693"/>
      <c r="AL10" s="693"/>
      <c r="AM10" s="687" t="s">
        <v>1216</v>
      </c>
      <c r="AN10" s="687" t="s">
        <v>1196</v>
      </c>
      <c r="AO10" s="685" t="s">
        <v>1216</v>
      </c>
      <c r="AP10" s="700" t="s">
        <v>1204</v>
      </c>
      <c r="AQ10" s="687" t="s">
        <v>1216</v>
      </c>
      <c r="AR10" s="693"/>
      <c r="AS10" s="693"/>
      <c r="AT10" s="693"/>
      <c r="AU10" s="693"/>
      <c r="AV10" s="693"/>
      <c r="AW10" s="693"/>
      <c r="AX10" s="693"/>
      <c r="AY10" s="693"/>
      <c r="AZ10" s="693"/>
      <c r="BA10" s="693"/>
      <c r="BB10" s="693"/>
      <c r="BC10" s="693"/>
      <c r="BD10" s="693"/>
      <c r="BE10" s="693"/>
      <c r="BF10" s="725" t="s">
        <v>1338</v>
      </c>
      <c r="BG10" s="693"/>
      <c r="BH10" s="693"/>
      <c r="BI10" s="693"/>
      <c r="BJ10" s="723" t="s">
        <v>1338</v>
      </c>
      <c r="BK10" s="723" t="s">
        <v>1338</v>
      </c>
      <c r="BL10" s="677" t="s">
        <v>1330</v>
      </c>
      <c r="BN10" s="772" t="s">
        <v>1258</v>
      </c>
      <c r="BO10" s="768" t="s">
        <v>1248</v>
      </c>
      <c r="BP10" s="769">
        <v>8</v>
      </c>
      <c r="BQ10" s="769">
        <v>8</v>
      </c>
      <c r="BR10" s="769">
        <v>8</v>
      </c>
      <c r="BS10" s="769">
        <v>8</v>
      </c>
      <c r="BT10" s="769">
        <v>8</v>
      </c>
      <c r="BU10" s="769">
        <v>8</v>
      </c>
      <c r="BV10" s="769">
        <v>8</v>
      </c>
      <c r="BW10" s="769">
        <v>8</v>
      </c>
      <c r="BX10" s="769">
        <v>8</v>
      </c>
    </row>
    <row r="11" spans="1:76" ht="14.25" customHeight="1">
      <c r="A11" s="524" t="s">
        <v>498</v>
      </c>
      <c r="B11" s="525" t="s">
        <v>1698</v>
      </c>
      <c r="C11" s="915">
        <v>2.56</v>
      </c>
      <c r="F11" s="571" t="s">
        <v>905</v>
      </c>
      <c r="G11" s="572" t="s">
        <v>1699</v>
      </c>
      <c r="H11" s="591" t="s">
        <v>1659</v>
      </c>
      <c r="I11" s="592" t="s">
        <v>24</v>
      </c>
      <c r="J11" s="592" t="s">
        <v>24</v>
      </c>
      <c r="K11" s="592" t="s">
        <v>16</v>
      </c>
      <c r="L11" s="592">
        <v>2017</v>
      </c>
      <c r="M11" s="592">
        <f t="shared" si="0"/>
        <v>8</v>
      </c>
      <c r="N11" s="592" t="s">
        <v>1660</v>
      </c>
      <c r="P11" s="916" t="s">
        <v>12</v>
      </c>
      <c r="Q11" s="916" t="s">
        <v>1700</v>
      </c>
      <c r="R11" s="916">
        <v>325</v>
      </c>
      <c r="S11" s="916" t="s">
        <v>1646</v>
      </c>
      <c r="T11" s="916" t="s">
        <v>1692</v>
      </c>
      <c r="AB11" s="693"/>
      <c r="AC11" s="693"/>
      <c r="AD11" s="693"/>
      <c r="AE11" s="693"/>
      <c r="AF11" s="693"/>
      <c r="AG11" s="693"/>
      <c r="AH11" s="693"/>
      <c r="AI11" s="693"/>
      <c r="AJ11" s="693"/>
      <c r="AK11" s="693"/>
      <c r="AL11" s="693"/>
      <c r="AM11" s="690" t="s">
        <v>1220</v>
      </c>
      <c r="AN11" s="737" t="s">
        <v>1338</v>
      </c>
      <c r="AO11" s="738" t="s">
        <v>1338</v>
      </c>
      <c r="AP11" s="703" t="s">
        <v>1338</v>
      </c>
      <c r="AQ11" s="737" t="s">
        <v>1338</v>
      </c>
      <c r="AR11" s="693"/>
      <c r="AS11" s="693"/>
      <c r="AT11" s="693"/>
      <c r="AU11" s="693"/>
      <c r="AV11" s="693"/>
      <c r="AW11" s="693"/>
      <c r="AX11" s="693"/>
      <c r="AY11" s="693"/>
      <c r="AZ11" s="693"/>
      <c r="BA11" s="693"/>
      <c r="BB11" s="693"/>
      <c r="BC11" s="693"/>
      <c r="BD11" s="693"/>
      <c r="BE11" s="693"/>
      <c r="BF11" s="693"/>
      <c r="BG11" s="693"/>
      <c r="BH11" s="693"/>
      <c r="BI11" s="693"/>
      <c r="BJ11" s="693"/>
      <c r="BK11" s="693"/>
      <c r="BL11" s="678" t="s">
        <v>1199</v>
      </c>
      <c r="BN11" s="772" t="s">
        <v>1228</v>
      </c>
      <c r="BO11" s="768" t="s">
        <v>1248</v>
      </c>
      <c r="BP11" s="769">
        <v>8</v>
      </c>
      <c r="BQ11" s="769">
        <v>8</v>
      </c>
      <c r="BR11" s="769">
        <v>8</v>
      </c>
      <c r="BS11" s="769">
        <v>8</v>
      </c>
      <c r="BT11" s="769">
        <v>8</v>
      </c>
      <c r="BU11" s="769">
        <v>8</v>
      </c>
      <c r="BV11" s="769">
        <v>8</v>
      </c>
      <c r="BW11" s="769">
        <v>8</v>
      </c>
      <c r="BX11" s="769">
        <v>8</v>
      </c>
    </row>
    <row r="12" spans="1:76" ht="14.25" customHeight="1">
      <c r="A12" s="524" t="s">
        <v>500</v>
      </c>
      <c r="B12" s="525" t="s">
        <v>1701</v>
      </c>
      <c r="C12" s="915">
        <v>2.56</v>
      </c>
      <c r="F12" s="571" t="s">
        <v>1133</v>
      </c>
      <c r="G12" s="572" t="s">
        <v>1702</v>
      </c>
      <c r="H12" s="591" t="s">
        <v>1696</v>
      </c>
      <c r="I12" s="592" t="s">
        <v>16</v>
      </c>
      <c r="J12" s="592" t="s">
        <v>1653</v>
      </c>
      <c r="K12" s="592" t="s">
        <v>16</v>
      </c>
      <c r="L12" s="592">
        <v>2017</v>
      </c>
      <c r="M12" s="592">
        <f t="shared" si="0"/>
        <v>8</v>
      </c>
      <c r="N12" s="592" t="s">
        <v>1679</v>
      </c>
      <c r="P12" s="916" t="s">
        <v>12</v>
      </c>
      <c r="Q12" s="916" t="s">
        <v>1703</v>
      </c>
      <c r="R12" s="916">
        <v>45</v>
      </c>
      <c r="S12" s="916" t="s">
        <v>1684</v>
      </c>
      <c r="T12" s="916" t="s">
        <v>1692</v>
      </c>
      <c r="AB12" s="693"/>
      <c r="AC12" s="693"/>
      <c r="AD12" s="693"/>
      <c r="AE12" s="693"/>
      <c r="AF12" s="693"/>
      <c r="AG12" s="693"/>
      <c r="AH12" s="693"/>
      <c r="AI12" s="693"/>
      <c r="AJ12" s="693"/>
      <c r="AK12" s="693"/>
      <c r="AL12" s="693"/>
      <c r="AM12" s="736" t="s">
        <v>1338</v>
      </c>
      <c r="AN12" s="693"/>
      <c r="AO12" s="693"/>
      <c r="AP12" s="693"/>
      <c r="AQ12" s="693"/>
      <c r="AR12" s="693"/>
      <c r="AS12" s="693"/>
      <c r="AT12" s="693"/>
      <c r="AU12" s="693"/>
      <c r="AV12" s="693"/>
      <c r="AW12" s="693"/>
      <c r="AX12" s="693"/>
      <c r="AY12" s="693"/>
      <c r="AZ12" s="693"/>
      <c r="BA12" s="693"/>
      <c r="BB12" s="693"/>
      <c r="BC12" s="693"/>
      <c r="BD12" s="693"/>
      <c r="BE12" s="693"/>
      <c r="BF12" s="693"/>
      <c r="BG12" s="693"/>
      <c r="BH12" s="693"/>
      <c r="BI12" s="693"/>
      <c r="BJ12" s="693"/>
      <c r="BK12" s="693"/>
      <c r="BL12" s="677" t="s">
        <v>1673</v>
      </c>
      <c r="BN12" s="772" t="s">
        <v>1203</v>
      </c>
      <c r="BO12" s="768" t="s">
        <v>1248</v>
      </c>
      <c r="BP12" s="769">
        <v>6</v>
      </c>
      <c r="BQ12" s="769">
        <v>6</v>
      </c>
      <c r="BR12" s="769">
        <v>6</v>
      </c>
      <c r="BS12" s="770">
        <v>0</v>
      </c>
      <c r="BT12" s="770">
        <v>0</v>
      </c>
      <c r="BU12" s="770">
        <v>0</v>
      </c>
      <c r="BV12" s="770">
        <v>0</v>
      </c>
      <c r="BW12" s="770">
        <v>0</v>
      </c>
      <c r="BX12" s="770">
        <v>0</v>
      </c>
    </row>
    <row r="13" spans="1:76" ht="14.25" customHeight="1">
      <c r="A13" s="524" t="s">
        <v>1704</v>
      </c>
      <c r="B13" s="525" t="s">
        <v>1705</v>
      </c>
      <c r="C13" s="915">
        <v>2.56</v>
      </c>
      <c r="F13" s="967" t="s">
        <v>1162</v>
      </c>
      <c r="G13" s="968" t="s">
        <v>1706</v>
      </c>
      <c r="H13" s="969" t="s">
        <v>1659</v>
      </c>
      <c r="I13" s="970" t="s">
        <v>16</v>
      </c>
      <c r="J13" s="970" t="s">
        <v>1653</v>
      </c>
      <c r="K13" s="970" t="s">
        <v>16</v>
      </c>
      <c r="L13" s="970">
        <v>0</v>
      </c>
      <c r="M13" s="970">
        <f t="shared" si="0"/>
        <v>2025</v>
      </c>
      <c r="N13" s="970" t="s">
        <v>1660</v>
      </c>
      <c r="P13" s="916" t="s">
        <v>1707</v>
      </c>
      <c r="Q13" s="916" t="s">
        <v>1708</v>
      </c>
      <c r="R13" s="916">
        <v>56</v>
      </c>
      <c r="S13" s="916" t="s">
        <v>1709</v>
      </c>
      <c r="T13" s="916" t="s">
        <v>1647</v>
      </c>
      <c r="AB13" s="693"/>
      <c r="AC13" s="693"/>
      <c r="AD13" s="693"/>
      <c r="AE13" s="693"/>
      <c r="AF13" s="693"/>
      <c r="AG13" s="693"/>
      <c r="AH13" s="693"/>
      <c r="AI13" s="693"/>
      <c r="AJ13" s="693"/>
      <c r="AK13" s="693"/>
      <c r="AL13" s="693"/>
      <c r="AM13" s="693"/>
      <c r="AN13" s="693"/>
      <c r="AO13" s="693"/>
      <c r="AP13" s="693"/>
      <c r="AQ13" s="693"/>
      <c r="AR13" s="693"/>
      <c r="AS13" s="693"/>
      <c r="AT13" s="693"/>
      <c r="AU13" s="693"/>
      <c r="AV13" s="693"/>
      <c r="AW13" s="693"/>
      <c r="AX13" s="693"/>
      <c r="AY13" s="693"/>
      <c r="AZ13" s="693"/>
      <c r="BA13" s="693"/>
      <c r="BB13" s="693"/>
      <c r="BC13" s="693"/>
      <c r="BD13" s="693"/>
      <c r="BE13" s="693"/>
      <c r="BF13" s="693"/>
      <c r="BG13" s="693"/>
      <c r="BH13" s="693"/>
      <c r="BI13" s="693"/>
      <c r="BJ13" s="693"/>
      <c r="BK13" s="693"/>
      <c r="BL13" s="678" t="s">
        <v>1196</v>
      </c>
      <c r="BN13" s="772" t="s">
        <v>1635</v>
      </c>
      <c r="BO13" s="768" t="s">
        <v>1248</v>
      </c>
      <c r="BP13" s="770">
        <v>0</v>
      </c>
      <c r="BQ13" s="770">
        <v>0</v>
      </c>
      <c r="BR13" s="770">
        <v>0</v>
      </c>
      <c r="BS13" s="770">
        <v>0</v>
      </c>
      <c r="BT13" s="770">
        <v>0</v>
      </c>
      <c r="BU13" s="770">
        <v>0</v>
      </c>
      <c r="BV13" s="770">
        <v>0</v>
      </c>
      <c r="BW13" s="770">
        <v>0</v>
      </c>
      <c r="BX13" s="769">
        <v>12</v>
      </c>
    </row>
    <row r="14" spans="1:76" ht="14.25" customHeight="1">
      <c r="A14" s="524" t="s">
        <v>430</v>
      </c>
      <c r="B14" s="525" t="s">
        <v>1710</v>
      </c>
      <c r="C14" s="915">
        <v>2.8</v>
      </c>
      <c r="F14" s="967" t="s">
        <v>1711</v>
      </c>
      <c r="G14" s="968" t="s">
        <v>1712</v>
      </c>
      <c r="H14" s="969" t="s">
        <v>1713</v>
      </c>
      <c r="I14" s="970" t="s">
        <v>16</v>
      </c>
      <c r="J14" s="970" t="s">
        <v>1653</v>
      </c>
      <c r="K14" s="970" t="s">
        <v>16</v>
      </c>
      <c r="L14" s="970">
        <v>0</v>
      </c>
      <c r="M14" s="970"/>
      <c r="N14" s="970" t="s">
        <v>1679</v>
      </c>
      <c r="P14" s="916" t="s">
        <v>1707</v>
      </c>
      <c r="Q14" s="916" t="s">
        <v>1714</v>
      </c>
      <c r="R14" s="916">
        <v>68</v>
      </c>
      <c r="S14" s="916" t="s">
        <v>1709</v>
      </c>
      <c r="T14" s="916" t="s">
        <v>1647</v>
      </c>
      <c r="AB14" s="693"/>
      <c r="AC14" s="693"/>
      <c r="AD14" s="693"/>
      <c r="AE14" s="693"/>
      <c r="AF14" s="693"/>
      <c r="AG14" s="693"/>
      <c r="AH14" s="693"/>
      <c r="AI14" s="693"/>
      <c r="AJ14" s="693"/>
      <c r="AK14" s="693"/>
      <c r="AL14" s="693"/>
      <c r="AM14" s="693"/>
      <c r="AN14" s="693"/>
      <c r="AO14" s="693"/>
      <c r="AP14" s="693"/>
      <c r="AQ14" s="693"/>
      <c r="AR14" s="693"/>
      <c r="AS14" s="693"/>
      <c r="AT14" s="693"/>
      <c r="AU14" s="693"/>
      <c r="AV14" s="693"/>
      <c r="AW14" s="693"/>
      <c r="AX14" s="693"/>
      <c r="AY14" s="693"/>
      <c r="AZ14" s="693"/>
      <c r="BA14" s="693"/>
      <c r="BB14" s="693"/>
      <c r="BC14" s="693"/>
      <c r="BD14" s="693"/>
      <c r="BE14" s="693"/>
      <c r="BF14" s="693"/>
      <c r="BG14" s="693"/>
      <c r="BH14" s="693"/>
      <c r="BI14" s="693"/>
      <c r="BJ14" s="693"/>
      <c r="BK14" s="693"/>
      <c r="BL14" s="677" t="s">
        <v>1220</v>
      </c>
      <c r="BN14" s="771" t="s">
        <v>1209</v>
      </c>
      <c r="BO14" s="88" t="s">
        <v>1532</v>
      </c>
      <c r="BP14" s="770">
        <v>0</v>
      </c>
      <c r="BQ14" s="770">
        <v>0</v>
      </c>
      <c r="BR14" s="770">
        <v>0</v>
      </c>
      <c r="BS14" s="769">
        <v>10</v>
      </c>
      <c r="BT14" s="769">
        <v>10</v>
      </c>
      <c r="BU14" s="770">
        <v>0</v>
      </c>
      <c r="BV14" s="770">
        <v>0</v>
      </c>
      <c r="BW14" s="770">
        <v>0</v>
      </c>
      <c r="BX14" s="769">
        <v>4</v>
      </c>
    </row>
    <row r="15" spans="1:76" ht="14.25" customHeight="1">
      <c r="A15" s="1011" t="s">
        <v>609</v>
      </c>
      <c r="B15" s="1013" t="s">
        <v>1715</v>
      </c>
      <c r="C15" s="526">
        <v>2.88</v>
      </c>
      <c r="F15" s="571" t="s">
        <v>912</v>
      </c>
      <c r="G15" s="572" t="s">
        <v>1716</v>
      </c>
      <c r="H15" s="591" t="s">
        <v>1659</v>
      </c>
      <c r="I15" s="592" t="s">
        <v>24</v>
      </c>
      <c r="J15" s="592" t="s">
        <v>24</v>
      </c>
      <c r="K15" s="592" t="s">
        <v>24</v>
      </c>
      <c r="L15" s="592">
        <v>2017</v>
      </c>
      <c r="M15" s="592">
        <f t="shared" si="0"/>
        <v>8</v>
      </c>
      <c r="N15" s="592" t="s">
        <v>1660</v>
      </c>
      <c r="P15" s="916" t="s">
        <v>1707</v>
      </c>
      <c r="Q15" s="916" t="s">
        <v>1717</v>
      </c>
      <c r="R15" s="916">
        <v>120</v>
      </c>
      <c r="S15" s="916" t="s">
        <v>1709</v>
      </c>
      <c r="T15" s="916" t="s">
        <v>1692</v>
      </c>
      <c r="AB15" s="693"/>
      <c r="AC15" s="693"/>
      <c r="AD15" s="693"/>
      <c r="AE15" s="693"/>
      <c r="AF15" s="693"/>
      <c r="AG15" s="693"/>
      <c r="AH15" s="693"/>
      <c r="AI15" s="693"/>
      <c r="AJ15" s="693"/>
      <c r="AK15" s="693"/>
      <c r="AL15" s="693"/>
      <c r="AM15" s="693"/>
      <c r="AN15" s="693"/>
      <c r="AO15" s="693"/>
      <c r="AP15" s="693"/>
      <c r="AQ15" s="693"/>
      <c r="AR15" s="693"/>
      <c r="AS15" s="693"/>
      <c r="AT15" s="693"/>
      <c r="AU15" s="693"/>
      <c r="AV15" s="693"/>
      <c r="AW15" s="693"/>
      <c r="AX15" s="693"/>
      <c r="AY15" s="693"/>
      <c r="AZ15" s="693"/>
      <c r="BA15" s="693"/>
      <c r="BB15" s="693"/>
      <c r="BC15" s="693"/>
      <c r="BD15" s="693"/>
      <c r="BE15" s="693"/>
      <c r="BF15" s="693"/>
      <c r="BG15" s="693"/>
      <c r="BH15" s="693"/>
      <c r="BI15" s="693"/>
      <c r="BJ15" s="693"/>
      <c r="BK15" s="693"/>
      <c r="BL15" s="696" t="s">
        <v>1253</v>
      </c>
      <c r="BN15" s="771" t="s">
        <v>1275</v>
      </c>
      <c r="BO15" s="88" t="s">
        <v>1532</v>
      </c>
      <c r="BP15" s="770">
        <v>0</v>
      </c>
      <c r="BQ15" s="770">
        <v>0</v>
      </c>
      <c r="BR15" s="770">
        <v>0</v>
      </c>
      <c r="BS15" s="769">
        <v>10</v>
      </c>
      <c r="BT15" s="769">
        <v>10</v>
      </c>
      <c r="BU15" s="770">
        <v>0</v>
      </c>
      <c r="BV15" s="770">
        <v>0</v>
      </c>
      <c r="BW15" s="770">
        <v>0</v>
      </c>
      <c r="BX15" s="770">
        <v>0</v>
      </c>
    </row>
    <row r="16" spans="1:76" ht="14.25" customHeight="1">
      <c r="A16" s="524" t="s">
        <v>1718</v>
      </c>
      <c r="B16" s="525" t="s">
        <v>1719</v>
      </c>
      <c r="C16" s="915">
        <v>2.99</v>
      </c>
      <c r="F16" s="571" t="s">
        <v>890</v>
      </c>
      <c r="G16" s="572" t="s">
        <v>1720</v>
      </c>
      <c r="H16" s="591" t="s">
        <v>1665</v>
      </c>
      <c r="I16" s="592" t="s">
        <v>24</v>
      </c>
      <c r="J16" s="592" t="s">
        <v>1721</v>
      </c>
      <c r="K16" s="592" t="s">
        <v>16</v>
      </c>
      <c r="L16" s="592">
        <v>2017</v>
      </c>
      <c r="M16" s="592">
        <f t="shared" si="0"/>
        <v>8</v>
      </c>
      <c r="N16" s="592" t="s">
        <v>1644</v>
      </c>
      <c r="P16" s="916" t="s">
        <v>1722</v>
      </c>
      <c r="Q16" s="916" t="s">
        <v>1723</v>
      </c>
      <c r="R16" s="916">
        <v>47</v>
      </c>
      <c r="S16" s="916" t="s">
        <v>1724</v>
      </c>
      <c r="T16" s="916" t="s">
        <v>1647</v>
      </c>
      <c r="AB16" s="693"/>
      <c r="AC16" s="693"/>
      <c r="AD16" s="693"/>
      <c r="AE16" s="693"/>
      <c r="AF16" s="693"/>
      <c r="AG16" s="693"/>
      <c r="AH16" s="693"/>
      <c r="AI16" s="693"/>
      <c r="AJ16" s="693"/>
      <c r="AK16" s="693"/>
      <c r="AL16" s="693"/>
      <c r="AM16" s="693"/>
      <c r="AN16" s="693"/>
      <c r="AO16" s="693"/>
      <c r="AP16" s="693"/>
      <c r="AQ16" s="693"/>
      <c r="AR16" s="693"/>
      <c r="AS16" s="693"/>
      <c r="AT16" s="693"/>
      <c r="AU16" s="693"/>
      <c r="AV16" s="693"/>
      <c r="AW16" s="693"/>
      <c r="AX16" s="693"/>
      <c r="AY16" s="693"/>
      <c r="AZ16" s="693"/>
      <c r="BA16" s="693"/>
      <c r="BB16" s="693"/>
      <c r="BC16" s="693"/>
      <c r="BD16" s="693"/>
      <c r="BE16" s="693"/>
      <c r="BF16" s="693"/>
      <c r="BG16" s="693"/>
      <c r="BH16" s="693"/>
      <c r="BI16" s="693"/>
      <c r="BJ16" s="693"/>
      <c r="BK16" s="693"/>
      <c r="BL16" s="677" t="s">
        <v>1229</v>
      </c>
      <c r="BN16" s="771" t="s">
        <v>1212</v>
      </c>
      <c r="BO16" s="88" t="s">
        <v>1532</v>
      </c>
      <c r="BP16" s="770">
        <v>0</v>
      </c>
      <c r="BQ16" s="770">
        <v>0</v>
      </c>
      <c r="BR16" s="770">
        <v>0</v>
      </c>
      <c r="BS16" s="769">
        <v>10</v>
      </c>
      <c r="BT16" s="769">
        <v>10</v>
      </c>
      <c r="BU16" s="770">
        <v>0</v>
      </c>
      <c r="BV16" s="770">
        <v>0</v>
      </c>
      <c r="BW16" s="770">
        <v>0</v>
      </c>
      <c r="BX16" s="770">
        <v>0</v>
      </c>
    </row>
    <row r="17" spans="1:76" ht="14.25" customHeight="1">
      <c r="A17" s="524" t="s">
        <v>444</v>
      </c>
      <c r="B17" s="48" t="s">
        <v>1725</v>
      </c>
      <c r="C17" s="915">
        <v>2.99</v>
      </c>
      <c r="F17" s="967" t="s">
        <v>937</v>
      </c>
      <c r="G17" s="968" t="s">
        <v>1726</v>
      </c>
      <c r="H17" s="969" t="s">
        <v>1727</v>
      </c>
      <c r="I17" s="970" t="s">
        <v>16</v>
      </c>
      <c r="J17" s="970" t="s">
        <v>1653</v>
      </c>
      <c r="K17" s="970" t="s">
        <v>16</v>
      </c>
      <c r="L17" s="970">
        <v>0</v>
      </c>
      <c r="M17" s="970"/>
      <c r="N17" s="970" t="s">
        <v>1679</v>
      </c>
      <c r="P17" s="916" t="s">
        <v>1722</v>
      </c>
      <c r="Q17" s="916" t="s">
        <v>1728</v>
      </c>
      <c r="R17" s="916">
        <v>20</v>
      </c>
      <c r="S17" s="916" t="s">
        <v>1724</v>
      </c>
      <c r="T17" s="916" t="s">
        <v>1647</v>
      </c>
      <c r="AB17" s="693"/>
      <c r="AC17" s="693"/>
      <c r="AD17" s="693"/>
      <c r="AE17" s="693"/>
      <c r="AF17" s="693"/>
      <c r="AG17" s="693"/>
      <c r="AH17" s="693"/>
      <c r="AI17" s="693"/>
      <c r="AJ17" s="693"/>
      <c r="AK17" s="693"/>
      <c r="AL17" s="693"/>
      <c r="AM17" s="693"/>
      <c r="AN17" s="693"/>
      <c r="AO17" s="693"/>
      <c r="AP17" s="693"/>
      <c r="AQ17" s="693"/>
      <c r="AR17" s="693"/>
      <c r="AS17" s="693"/>
      <c r="AT17" s="693"/>
      <c r="AU17" s="693"/>
      <c r="AV17" s="693"/>
      <c r="AW17" s="693"/>
      <c r="AX17" s="693"/>
      <c r="AY17" s="693"/>
      <c r="AZ17" s="693"/>
      <c r="BA17" s="693"/>
      <c r="BB17" s="693"/>
      <c r="BC17" s="693"/>
      <c r="BD17" s="693"/>
      <c r="BE17" s="693"/>
      <c r="BF17" s="693"/>
      <c r="BG17" s="693"/>
      <c r="BH17" s="693"/>
      <c r="BI17" s="693"/>
      <c r="BJ17" s="693"/>
      <c r="BK17" s="693"/>
      <c r="BL17" s="692" t="s">
        <v>1207</v>
      </c>
      <c r="BN17" s="771" t="s">
        <v>1193</v>
      </c>
      <c r="BO17" s="88" t="s">
        <v>1532</v>
      </c>
      <c r="BP17" s="770">
        <v>0</v>
      </c>
      <c r="BQ17" s="770">
        <v>0</v>
      </c>
      <c r="BR17" s="770">
        <v>0</v>
      </c>
      <c r="BS17" s="769">
        <v>10</v>
      </c>
      <c r="BT17" s="769">
        <v>10</v>
      </c>
      <c r="BU17" s="770">
        <v>0</v>
      </c>
      <c r="BV17" s="770">
        <v>0</v>
      </c>
      <c r="BW17" s="770">
        <v>0</v>
      </c>
      <c r="BX17" s="770">
        <v>0</v>
      </c>
    </row>
    <row r="18" spans="1:76" ht="14.25" customHeight="1">
      <c r="A18" s="524" t="s">
        <v>478</v>
      </c>
      <c r="B18" s="525" t="s">
        <v>1729</v>
      </c>
      <c r="C18" s="915">
        <v>3</v>
      </c>
      <c r="F18" s="967" t="s">
        <v>949</v>
      </c>
      <c r="G18" s="968" t="s">
        <v>1730</v>
      </c>
      <c r="H18" s="969" t="s">
        <v>1727</v>
      </c>
      <c r="I18" s="970" t="s">
        <v>16</v>
      </c>
      <c r="J18" s="970" t="s">
        <v>1653</v>
      </c>
      <c r="K18" s="970" t="s">
        <v>16</v>
      </c>
      <c r="L18" s="970">
        <v>0</v>
      </c>
      <c r="M18" s="970">
        <f t="shared" si="0"/>
        <v>2025</v>
      </c>
      <c r="N18" s="970" t="s">
        <v>1679</v>
      </c>
      <c r="P18" s="88" t="s">
        <v>1722</v>
      </c>
      <c r="Q18" s="88" t="s">
        <v>1731</v>
      </c>
      <c r="R18" s="88">
        <v>54</v>
      </c>
      <c r="S18" s="88" t="s">
        <v>1732</v>
      </c>
      <c r="T18" s="88" t="s">
        <v>1647</v>
      </c>
      <c r="AB18" s="693"/>
      <c r="AC18" s="693"/>
      <c r="AD18" s="693"/>
      <c r="AE18" s="693"/>
      <c r="AF18" s="693"/>
      <c r="AG18" s="693"/>
      <c r="AH18" s="693"/>
      <c r="AI18" s="693"/>
      <c r="AJ18" s="693"/>
      <c r="AK18" s="693"/>
      <c r="AL18" s="693"/>
      <c r="AM18" s="693"/>
      <c r="AN18" s="693"/>
      <c r="AO18" s="693"/>
      <c r="AP18" s="693"/>
      <c r="AQ18" s="693"/>
      <c r="AR18" s="693"/>
      <c r="AS18" s="693"/>
      <c r="AT18" s="693"/>
      <c r="AU18" s="693"/>
      <c r="AV18" s="693"/>
      <c r="AW18" s="693"/>
      <c r="AX18" s="693"/>
      <c r="AY18" s="693"/>
      <c r="AZ18" s="693"/>
      <c r="BA18" s="693"/>
      <c r="BB18" s="693"/>
      <c r="BC18" s="693"/>
      <c r="BD18" s="693"/>
      <c r="BE18" s="693"/>
      <c r="BF18" s="693"/>
      <c r="BG18" s="693"/>
      <c r="BH18" s="693"/>
      <c r="BI18" s="693"/>
      <c r="BJ18" s="693"/>
      <c r="BK18" s="693"/>
      <c r="BL18" s="686" t="s">
        <v>1234</v>
      </c>
      <c r="BN18" s="771" t="s">
        <v>1195</v>
      </c>
      <c r="BO18" s="88" t="s">
        <v>1532</v>
      </c>
      <c r="BP18" s="770">
        <v>0</v>
      </c>
      <c r="BQ18" s="770">
        <v>0</v>
      </c>
      <c r="BR18" s="770">
        <v>0</v>
      </c>
      <c r="BS18" s="769">
        <v>14</v>
      </c>
      <c r="BT18" s="769">
        <v>14</v>
      </c>
      <c r="BU18" s="770">
        <v>0</v>
      </c>
      <c r="BV18" s="770">
        <v>0</v>
      </c>
      <c r="BW18" s="770">
        <v>0</v>
      </c>
      <c r="BX18" s="770">
        <v>0</v>
      </c>
    </row>
    <row r="19" spans="1:76" ht="14.25" customHeight="1">
      <c r="A19" s="524" t="s">
        <v>419</v>
      </c>
      <c r="B19" s="525" t="s">
        <v>1733</v>
      </c>
      <c r="C19" s="915">
        <v>3</v>
      </c>
      <c r="F19" s="967" t="s">
        <v>1129</v>
      </c>
      <c r="G19" s="968" t="s">
        <v>1734</v>
      </c>
      <c r="H19" s="969" t="s">
        <v>1727</v>
      </c>
      <c r="I19" s="970" t="s">
        <v>16</v>
      </c>
      <c r="J19" s="970" t="s">
        <v>1653</v>
      </c>
      <c r="K19" s="970" t="s">
        <v>16</v>
      </c>
      <c r="L19" s="970">
        <v>0</v>
      </c>
      <c r="M19" s="970">
        <f t="shared" si="0"/>
        <v>2025</v>
      </c>
      <c r="N19" s="970" t="s">
        <v>1679</v>
      </c>
      <c r="P19" s="88" t="s">
        <v>1722</v>
      </c>
      <c r="Q19" s="88" t="s">
        <v>1735</v>
      </c>
      <c r="R19" s="88">
        <v>110</v>
      </c>
      <c r="S19" s="88" t="s">
        <v>1732</v>
      </c>
      <c r="T19" s="88" t="s">
        <v>1692</v>
      </c>
      <c r="AB19" s="693"/>
      <c r="AC19" s="693"/>
      <c r="AD19" s="693"/>
      <c r="AE19" s="693"/>
      <c r="AF19" s="693"/>
      <c r="AG19" s="693"/>
      <c r="AH19" s="693"/>
      <c r="AI19" s="693"/>
      <c r="AJ19" s="693"/>
      <c r="AK19" s="693"/>
      <c r="AL19" s="693"/>
      <c r="AM19" s="693"/>
      <c r="AN19" s="693"/>
      <c r="AO19" s="693"/>
      <c r="AP19" s="693"/>
      <c r="AQ19" s="693"/>
      <c r="AR19" s="693"/>
      <c r="AS19" s="693"/>
      <c r="AT19" s="693"/>
      <c r="AU19" s="693"/>
      <c r="AV19" s="693"/>
      <c r="AW19" s="693"/>
      <c r="AX19" s="693"/>
      <c r="AY19" s="693"/>
      <c r="AZ19" s="693"/>
      <c r="BA19" s="693"/>
      <c r="BB19" s="693"/>
      <c r="BC19" s="693"/>
      <c r="BD19" s="693"/>
      <c r="BE19" s="693"/>
      <c r="BF19" s="693"/>
      <c r="BG19" s="693"/>
      <c r="BH19" s="693"/>
      <c r="BI19" s="693"/>
      <c r="BJ19" s="693"/>
      <c r="BK19" s="693"/>
      <c r="BL19" s="692" t="s">
        <v>1204</v>
      </c>
      <c r="BN19" s="771" t="s">
        <v>1265</v>
      </c>
      <c r="BO19" s="88" t="s">
        <v>1532</v>
      </c>
      <c r="BP19" s="770">
        <v>0</v>
      </c>
      <c r="BQ19" s="770">
        <v>0</v>
      </c>
      <c r="BR19" s="770">
        <v>0</v>
      </c>
      <c r="BS19" s="769">
        <v>12</v>
      </c>
      <c r="BT19" s="769">
        <v>12</v>
      </c>
      <c r="BU19" s="770">
        <v>0</v>
      </c>
      <c r="BV19" s="770">
        <v>0</v>
      </c>
      <c r="BW19" s="770">
        <v>0</v>
      </c>
      <c r="BX19" s="770">
        <v>0</v>
      </c>
    </row>
    <row r="20" spans="1:76" ht="14.25" customHeight="1">
      <c r="A20" s="524" t="s">
        <v>479</v>
      </c>
      <c r="B20" s="525" t="s">
        <v>1736</v>
      </c>
      <c r="C20" s="915">
        <v>3</v>
      </c>
      <c r="F20" s="967" t="s">
        <v>1166</v>
      </c>
      <c r="G20" s="968" t="s">
        <v>911</v>
      </c>
      <c r="H20" s="969" t="s">
        <v>1652</v>
      </c>
      <c r="I20" s="970" t="s">
        <v>16</v>
      </c>
      <c r="J20" s="970" t="s">
        <v>1653</v>
      </c>
      <c r="K20" s="970" t="s">
        <v>16</v>
      </c>
      <c r="L20" s="970">
        <v>0</v>
      </c>
      <c r="M20" s="970">
        <f t="shared" si="0"/>
        <v>2025</v>
      </c>
      <c r="N20" s="970" t="s">
        <v>1654</v>
      </c>
      <c r="P20" s="919" t="s">
        <v>1185</v>
      </c>
      <c r="Q20" s="919" t="s">
        <v>1737</v>
      </c>
      <c r="R20" s="919">
        <v>414</v>
      </c>
      <c r="S20" s="919" t="s">
        <v>1738</v>
      </c>
      <c r="T20" s="919" t="s">
        <v>1739</v>
      </c>
      <c r="AB20" s="693"/>
      <c r="AC20" s="693"/>
      <c r="AD20" s="693"/>
      <c r="AE20" s="693"/>
      <c r="AF20" s="693"/>
      <c r="AG20" s="693"/>
      <c r="AH20" s="693"/>
      <c r="AI20" s="693"/>
      <c r="AJ20" s="693"/>
      <c r="AK20" s="693"/>
      <c r="AL20" s="693"/>
      <c r="AM20" s="693"/>
      <c r="AN20" s="693"/>
      <c r="AO20" s="693"/>
      <c r="AP20" s="693"/>
      <c r="AQ20" s="693"/>
      <c r="AR20" s="693"/>
      <c r="AS20" s="693"/>
      <c r="AT20" s="693"/>
      <c r="AU20" s="693"/>
      <c r="AV20" s="693"/>
      <c r="AW20" s="693"/>
      <c r="AX20" s="693"/>
      <c r="AY20" s="693"/>
      <c r="AZ20" s="693"/>
      <c r="BA20" s="693"/>
      <c r="BB20" s="693"/>
      <c r="BC20" s="693"/>
      <c r="BD20" s="693"/>
      <c r="BE20" s="693"/>
      <c r="BF20" s="693"/>
      <c r="BG20" s="693"/>
      <c r="BH20" s="693"/>
      <c r="BI20" s="693"/>
      <c r="BJ20" s="693"/>
      <c r="BK20" s="693"/>
      <c r="BL20" s="686" t="s">
        <v>970</v>
      </c>
      <c r="BN20" s="771" t="s">
        <v>1223</v>
      </c>
      <c r="BO20" s="88" t="s">
        <v>1532</v>
      </c>
      <c r="BP20" s="770">
        <v>0</v>
      </c>
      <c r="BQ20" s="770">
        <v>0</v>
      </c>
      <c r="BR20" s="770">
        <v>0</v>
      </c>
      <c r="BS20" s="769">
        <v>12</v>
      </c>
      <c r="BT20" s="769">
        <v>12</v>
      </c>
      <c r="BU20" s="770">
        <v>0</v>
      </c>
      <c r="BV20" s="770">
        <v>0</v>
      </c>
      <c r="BW20" s="770">
        <v>0</v>
      </c>
      <c r="BX20" s="770">
        <v>0</v>
      </c>
    </row>
    <row r="21" spans="1:76" ht="14.25" customHeight="1">
      <c r="A21" s="524" t="s">
        <v>436</v>
      </c>
      <c r="B21" s="525" t="s">
        <v>1740</v>
      </c>
      <c r="C21" s="915">
        <v>3</v>
      </c>
      <c r="F21" s="967" t="s">
        <v>1741</v>
      </c>
      <c r="G21" s="968" t="s">
        <v>1742</v>
      </c>
      <c r="H21" s="969" t="s">
        <v>1713</v>
      </c>
      <c r="I21" s="970" t="s">
        <v>16</v>
      </c>
      <c r="J21" s="970" t="s">
        <v>1653</v>
      </c>
      <c r="K21" s="970" t="s">
        <v>16</v>
      </c>
      <c r="L21" s="970">
        <v>0</v>
      </c>
      <c r="M21" s="970"/>
      <c r="N21" s="970" t="s">
        <v>1679</v>
      </c>
      <c r="P21" s="919" t="s">
        <v>1185</v>
      </c>
      <c r="Q21" s="919" t="s">
        <v>1743</v>
      </c>
      <c r="R21" s="919">
        <v>79</v>
      </c>
      <c r="S21" s="919" t="s">
        <v>1738</v>
      </c>
      <c r="T21" s="919" t="s">
        <v>1739</v>
      </c>
      <c r="AB21" s="693"/>
      <c r="AC21" s="693"/>
      <c r="AD21" s="693"/>
      <c r="AE21" s="693"/>
      <c r="AF21" s="693"/>
      <c r="AG21" s="693"/>
      <c r="AH21" s="693"/>
      <c r="AI21" s="693"/>
      <c r="AJ21" s="693"/>
      <c r="AK21" s="693"/>
      <c r="AL21" s="693"/>
      <c r="AM21" s="693"/>
      <c r="AN21" s="693"/>
      <c r="AO21" s="693"/>
      <c r="AP21" s="693"/>
      <c r="AQ21" s="693"/>
      <c r="AR21" s="693"/>
      <c r="AS21" s="693"/>
      <c r="AT21" s="693"/>
      <c r="AU21" s="693"/>
      <c r="AV21" s="693"/>
      <c r="AW21" s="693"/>
      <c r="AX21" s="693"/>
      <c r="AY21" s="693"/>
      <c r="AZ21" s="693"/>
      <c r="BA21" s="693"/>
      <c r="BB21" s="693"/>
      <c r="BC21" s="693"/>
      <c r="BD21" s="693"/>
      <c r="BE21" s="693"/>
      <c r="BF21" s="693"/>
      <c r="BG21" s="693"/>
      <c r="BH21" s="693"/>
      <c r="BI21" s="693"/>
      <c r="BJ21" s="693"/>
      <c r="BK21" s="693"/>
      <c r="BL21" s="692" t="s">
        <v>1216</v>
      </c>
      <c r="BN21" s="771" t="s">
        <v>1219</v>
      </c>
      <c r="BO21" s="88" t="s">
        <v>1532</v>
      </c>
      <c r="BP21" s="770">
        <v>0</v>
      </c>
      <c r="BQ21" s="770">
        <v>0</v>
      </c>
      <c r="BR21" s="770">
        <v>0</v>
      </c>
      <c r="BS21" s="769">
        <v>12</v>
      </c>
      <c r="BT21" s="769">
        <v>12</v>
      </c>
      <c r="BU21" s="770">
        <v>0</v>
      </c>
      <c r="BV21" s="770">
        <v>0</v>
      </c>
      <c r="BW21" s="770">
        <v>0</v>
      </c>
      <c r="BX21" s="770">
        <v>0</v>
      </c>
    </row>
    <row r="22" spans="1:76" ht="14.25" customHeight="1">
      <c r="A22" s="524" t="s">
        <v>543</v>
      </c>
      <c r="B22" s="525" t="s">
        <v>1744</v>
      </c>
      <c r="C22" s="915">
        <v>3</v>
      </c>
      <c r="F22" s="571" t="s">
        <v>1151</v>
      </c>
      <c r="G22" s="572" t="s">
        <v>1745</v>
      </c>
      <c r="H22" s="591" t="s">
        <v>1659</v>
      </c>
      <c r="I22" s="592" t="s">
        <v>16</v>
      </c>
      <c r="J22" s="592" t="s">
        <v>1653</v>
      </c>
      <c r="K22" s="592" t="s">
        <v>24</v>
      </c>
      <c r="L22" s="592">
        <v>2018</v>
      </c>
      <c r="M22" s="592">
        <f t="shared" si="0"/>
        <v>7</v>
      </c>
      <c r="N22" s="592" t="s">
        <v>1660</v>
      </c>
      <c r="P22" s="916" t="s">
        <v>1185</v>
      </c>
      <c r="Q22" s="916" t="s">
        <v>1746</v>
      </c>
      <c r="R22" s="916">
        <v>40</v>
      </c>
      <c r="S22" s="916" t="s">
        <v>1691</v>
      </c>
      <c r="T22" s="916" t="s">
        <v>1739</v>
      </c>
      <c r="AB22" s="693"/>
      <c r="AC22" s="693"/>
      <c r="AD22" s="693"/>
      <c r="AE22" s="693"/>
      <c r="AF22" s="693"/>
      <c r="AG22" s="693"/>
      <c r="AH22" s="693"/>
      <c r="AI22" s="693"/>
      <c r="AJ22" s="693"/>
      <c r="AK22" s="693"/>
      <c r="AL22" s="693"/>
      <c r="AM22" s="693"/>
      <c r="AN22" s="693"/>
      <c r="AO22" s="693"/>
      <c r="AP22" s="693"/>
      <c r="AQ22" s="693"/>
      <c r="AR22" s="693"/>
      <c r="AS22" s="693"/>
      <c r="AT22" s="693"/>
      <c r="AU22" s="693"/>
      <c r="AV22" s="693"/>
      <c r="AW22" s="693"/>
      <c r="AX22" s="693"/>
      <c r="AY22" s="693"/>
      <c r="AZ22" s="693"/>
      <c r="BA22" s="693"/>
      <c r="BB22" s="693"/>
      <c r="BC22" s="693"/>
      <c r="BD22" s="693"/>
      <c r="BE22" s="693"/>
      <c r="BF22" s="693"/>
      <c r="BG22" s="693"/>
      <c r="BH22" s="693"/>
      <c r="BI22" s="693"/>
      <c r="BJ22" s="693"/>
      <c r="BK22" s="693"/>
      <c r="BL22" s="753" t="s">
        <v>1338</v>
      </c>
      <c r="BN22" s="772" t="s">
        <v>1222</v>
      </c>
      <c r="BO22" s="768" t="s">
        <v>1532</v>
      </c>
      <c r="BP22" s="770">
        <v>0</v>
      </c>
      <c r="BQ22" s="770">
        <v>0</v>
      </c>
      <c r="BR22" s="770">
        <v>0</v>
      </c>
      <c r="BS22" s="769">
        <v>12</v>
      </c>
      <c r="BT22" s="769">
        <v>12</v>
      </c>
      <c r="BU22" s="770">
        <v>0</v>
      </c>
      <c r="BV22" s="770">
        <v>0</v>
      </c>
      <c r="BW22" s="770">
        <v>0</v>
      </c>
      <c r="BX22" s="770">
        <v>0</v>
      </c>
    </row>
    <row r="23" spans="1:76" ht="14.25" customHeight="1">
      <c r="A23" s="524" t="s">
        <v>1747</v>
      </c>
      <c r="B23" s="525" t="s">
        <v>1748</v>
      </c>
      <c r="C23" s="915">
        <v>3.78</v>
      </c>
      <c r="F23" s="571" t="s">
        <v>883</v>
      </c>
      <c r="G23" s="572" t="s">
        <v>1749</v>
      </c>
      <c r="H23" s="591" t="s">
        <v>1652</v>
      </c>
      <c r="I23" s="592" t="s">
        <v>16</v>
      </c>
      <c r="J23" s="592" t="s">
        <v>24</v>
      </c>
      <c r="K23" s="592" t="s">
        <v>24</v>
      </c>
      <c r="L23" s="592">
        <v>2000</v>
      </c>
      <c r="M23" s="592">
        <f t="shared" si="0"/>
        <v>25</v>
      </c>
      <c r="N23" s="592" t="s">
        <v>1654</v>
      </c>
      <c r="P23" s="916" t="s">
        <v>1185</v>
      </c>
      <c r="Q23" s="916" t="s">
        <v>1750</v>
      </c>
      <c r="R23" s="916">
        <v>522</v>
      </c>
      <c r="S23" s="916" t="s">
        <v>1738</v>
      </c>
      <c r="T23" s="916" t="s">
        <v>1692</v>
      </c>
      <c r="BN23" s="772" t="s">
        <v>1198</v>
      </c>
      <c r="BO23" s="768" t="s">
        <v>1532</v>
      </c>
      <c r="BP23" s="770">
        <v>0</v>
      </c>
      <c r="BQ23" s="770">
        <v>0</v>
      </c>
      <c r="BR23" s="770">
        <v>0</v>
      </c>
      <c r="BS23" s="769">
        <v>10</v>
      </c>
      <c r="BT23" s="769">
        <v>10</v>
      </c>
      <c r="BU23" s="770">
        <v>0</v>
      </c>
      <c r="BV23" s="770">
        <v>0</v>
      </c>
      <c r="BW23" s="770">
        <v>0</v>
      </c>
      <c r="BX23" s="770">
        <v>0</v>
      </c>
    </row>
    <row r="24" spans="1:76" ht="16">
      <c r="A24" s="524" t="s">
        <v>468</v>
      </c>
      <c r="B24" s="525" t="s">
        <v>1751</v>
      </c>
      <c r="C24" s="915">
        <v>3.8</v>
      </c>
      <c r="F24" s="571" t="s">
        <v>1134</v>
      </c>
      <c r="G24" s="572" t="s">
        <v>1752</v>
      </c>
      <c r="H24" s="591" t="s">
        <v>1659</v>
      </c>
      <c r="I24" s="592" t="s">
        <v>16</v>
      </c>
      <c r="J24" s="592" t="s">
        <v>1653</v>
      </c>
      <c r="K24" s="592" t="s">
        <v>16</v>
      </c>
      <c r="L24" s="592">
        <v>2018</v>
      </c>
      <c r="M24" s="592">
        <f t="shared" si="0"/>
        <v>7</v>
      </c>
      <c r="N24" s="592" t="s">
        <v>1660</v>
      </c>
      <c r="P24" s="88" t="s">
        <v>1753</v>
      </c>
      <c r="Q24" s="916" t="s">
        <v>1754</v>
      </c>
      <c r="R24" s="88">
        <v>462</v>
      </c>
      <c r="S24" s="88" t="s">
        <v>1755</v>
      </c>
      <c r="T24" s="88" t="s">
        <v>1647</v>
      </c>
      <c r="BN24" s="772" t="s">
        <v>1252</v>
      </c>
      <c r="BO24" s="768" t="s">
        <v>1532</v>
      </c>
      <c r="BP24" s="770">
        <v>0</v>
      </c>
      <c r="BQ24" s="770">
        <v>0</v>
      </c>
      <c r="BR24" s="770">
        <v>0</v>
      </c>
      <c r="BS24" s="770">
        <v>0</v>
      </c>
      <c r="BT24" s="770">
        <v>0</v>
      </c>
      <c r="BU24" s="770">
        <v>0</v>
      </c>
      <c r="BV24" s="770">
        <v>0</v>
      </c>
      <c r="BW24" s="770">
        <v>0</v>
      </c>
      <c r="BX24" s="769">
        <v>12</v>
      </c>
    </row>
    <row r="25" spans="1:76" ht="16">
      <c r="A25" s="524" t="s">
        <v>544</v>
      </c>
      <c r="B25" s="525" t="s">
        <v>1756</v>
      </c>
      <c r="C25" s="915">
        <v>3.8</v>
      </c>
      <c r="F25" s="571" t="s">
        <v>906</v>
      </c>
      <c r="G25" s="572" t="s">
        <v>1757</v>
      </c>
      <c r="H25" s="591" t="s">
        <v>1659</v>
      </c>
      <c r="I25" s="592" t="s">
        <v>16</v>
      </c>
      <c r="J25" s="592" t="s">
        <v>16</v>
      </c>
      <c r="K25" s="592" t="s">
        <v>24</v>
      </c>
      <c r="L25" s="592">
        <v>2019</v>
      </c>
      <c r="M25" s="592">
        <f t="shared" si="0"/>
        <v>6</v>
      </c>
      <c r="N25" s="592" t="s">
        <v>1660</v>
      </c>
      <c r="P25" s="88" t="s">
        <v>1753</v>
      </c>
      <c r="Q25" s="916" t="s">
        <v>1758</v>
      </c>
      <c r="R25" s="88">
        <v>267</v>
      </c>
      <c r="S25" s="88" t="s">
        <v>1755</v>
      </c>
      <c r="T25" s="88" t="s">
        <v>1647</v>
      </c>
      <c r="BN25" s="772" t="s">
        <v>1636</v>
      </c>
      <c r="BO25" s="768" t="s">
        <v>1532</v>
      </c>
      <c r="BP25" s="770">
        <v>0</v>
      </c>
      <c r="BQ25" s="770">
        <v>0</v>
      </c>
      <c r="BR25" s="770">
        <v>0</v>
      </c>
      <c r="BS25" s="770">
        <v>0</v>
      </c>
      <c r="BT25" s="770">
        <v>0</v>
      </c>
      <c r="BU25" s="770">
        <v>0</v>
      </c>
      <c r="BV25" s="770">
        <v>0</v>
      </c>
      <c r="BW25" s="770">
        <v>0</v>
      </c>
      <c r="BX25" s="769">
        <v>12</v>
      </c>
    </row>
    <row r="26" spans="1:76" ht="16">
      <c r="A26" s="524" t="s">
        <v>1759</v>
      </c>
      <c r="B26" s="525" t="s">
        <v>1760</v>
      </c>
      <c r="C26" s="915">
        <v>3.8</v>
      </c>
      <c r="F26" s="571" t="s">
        <v>888</v>
      </c>
      <c r="G26" s="572" t="s">
        <v>1761</v>
      </c>
      <c r="H26" s="591" t="s">
        <v>1689</v>
      </c>
      <c r="I26" s="592" t="s">
        <v>24</v>
      </c>
      <c r="J26" s="592" t="s">
        <v>24</v>
      </c>
      <c r="K26" s="592" t="s">
        <v>16</v>
      </c>
      <c r="L26" s="592">
        <v>2019</v>
      </c>
      <c r="M26" s="592">
        <f t="shared" si="0"/>
        <v>6</v>
      </c>
      <c r="N26" s="592" t="s">
        <v>1660</v>
      </c>
      <c r="P26" s="88" t="s">
        <v>1753</v>
      </c>
      <c r="Q26" s="916" t="s">
        <v>1762</v>
      </c>
      <c r="R26" s="88">
        <v>284</v>
      </c>
      <c r="S26" s="88" t="s">
        <v>1755</v>
      </c>
      <c r="T26" s="88" t="s">
        <v>1647</v>
      </c>
      <c r="BN26" s="772" t="s">
        <v>1637</v>
      </c>
      <c r="BO26" s="768" t="s">
        <v>1532</v>
      </c>
      <c r="BP26" s="770">
        <v>0</v>
      </c>
      <c r="BQ26" s="770">
        <v>0</v>
      </c>
      <c r="BR26" s="770">
        <v>0</v>
      </c>
      <c r="BS26" s="770">
        <v>0</v>
      </c>
      <c r="BT26" s="770">
        <v>0</v>
      </c>
      <c r="BU26" s="770">
        <v>0</v>
      </c>
      <c r="BV26" s="770">
        <v>0</v>
      </c>
      <c r="BW26" s="770">
        <v>0</v>
      </c>
      <c r="BX26" s="769">
        <v>12</v>
      </c>
    </row>
    <row r="27" spans="1:76" ht="17.25" customHeight="1">
      <c r="A27" s="524" t="s">
        <v>1098</v>
      </c>
      <c r="B27" s="525" t="s">
        <v>1763</v>
      </c>
      <c r="C27" s="915">
        <v>3.8</v>
      </c>
      <c r="F27" s="571" t="s">
        <v>880</v>
      </c>
      <c r="G27" s="572" t="s">
        <v>1764</v>
      </c>
      <c r="H27" s="591" t="s">
        <v>1659</v>
      </c>
      <c r="I27" s="592" t="s">
        <v>24</v>
      </c>
      <c r="J27" s="592" t="s">
        <v>24</v>
      </c>
      <c r="K27" s="592" t="s">
        <v>16</v>
      </c>
      <c r="L27" s="592">
        <v>2019</v>
      </c>
      <c r="M27" s="592">
        <f t="shared" si="0"/>
        <v>6</v>
      </c>
      <c r="N27" s="592" t="s">
        <v>1660</v>
      </c>
      <c r="P27" s="88" t="s">
        <v>1753</v>
      </c>
      <c r="Q27" s="916" t="s">
        <v>1765</v>
      </c>
      <c r="R27" s="88">
        <v>36</v>
      </c>
      <c r="S27" s="88" t="s">
        <v>1755</v>
      </c>
      <c r="T27" s="88" t="s">
        <v>1647</v>
      </c>
      <c r="BN27" s="772" t="s">
        <v>1271</v>
      </c>
      <c r="BO27" s="768" t="s">
        <v>1532</v>
      </c>
      <c r="BP27" s="770">
        <v>0</v>
      </c>
      <c r="BQ27" s="770">
        <v>0</v>
      </c>
      <c r="BR27" s="770">
        <v>0</v>
      </c>
      <c r="BS27" s="769">
        <v>8</v>
      </c>
      <c r="BT27" s="769">
        <v>8</v>
      </c>
      <c r="BU27" s="770">
        <v>0</v>
      </c>
      <c r="BV27" s="770">
        <v>0</v>
      </c>
      <c r="BW27" s="770">
        <v>0</v>
      </c>
      <c r="BX27" s="770">
        <v>0</v>
      </c>
    </row>
    <row r="28" spans="1:76" ht="16">
      <c r="A28" s="524" t="s">
        <v>630</v>
      </c>
      <c r="B28" s="525" t="s">
        <v>1766</v>
      </c>
      <c r="C28" s="915">
        <v>3.8</v>
      </c>
      <c r="F28" s="967" t="s">
        <v>1767</v>
      </c>
      <c r="G28" s="968" t="s">
        <v>1768</v>
      </c>
      <c r="H28" s="969" t="s">
        <v>1696</v>
      </c>
      <c r="I28" s="970" t="s">
        <v>16</v>
      </c>
      <c r="J28" s="970" t="s">
        <v>1653</v>
      </c>
      <c r="K28" s="970" t="s">
        <v>16</v>
      </c>
      <c r="L28" s="970">
        <v>0</v>
      </c>
      <c r="M28" s="970"/>
      <c r="N28" s="970" t="s">
        <v>1679</v>
      </c>
      <c r="P28" s="88" t="s">
        <v>1753</v>
      </c>
      <c r="Q28" s="919" t="s">
        <v>1769</v>
      </c>
      <c r="R28" s="88">
        <v>29</v>
      </c>
      <c r="S28" s="88" t="s">
        <v>1755</v>
      </c>
      <c r="T28" s="88" t="s">
        <v>1647</v>
      </c>
      <c r="BN28" s="772" t="s">
        <v>1261</v>
      </c>
      <c r="BO28" s="768" t="s">
        <v>1532</v>
      </c>
      <c r="BP28" s="769">
        <v>8</v>
      </c>
      <c r="BQ28" s="769">
        <v>8</v>
      </c>
      <c r="BR28" s="769">
        <v>8</v>
      </c>
      <c r="BS28" s="769">
        <v>8</v>
      </c>
      <c r="BT28" s="769">
        <v>8</v>
      </c>
      <c r="BU28" s="769">
        <v>8</v>
      </c>
      <c r="BV28" s="769">
        <v>8</v>
      </c>
      <c r="BW28" s="769">
        <v>8</v>
      </c>
      <c r="BX28" s="769">
        <v>8</v>
      </c>
    </row>
    <row r="29" spans="1:76" ht="17.25" customHeight="1">
      <c r="A29" s="524" t="s">
        <v>1090</v>
      </c>
      <c r="B29" s="525" t="s">
        <v>1770</v>
      </c>
      <c r="C29" s="915">
        <v>3.8</v>
      </c>
      <c r="F29" s="571" t="s">
        <v>1135</v>
      </c>
      <c r="G29" s="572" t="s">
        <v>1771</v>
      </c>
      <c r="H29" s="591" t="s">
        <v>1696</v>
      </c>
      <c r="I29" s="592" t="s">
        <v>16</v>
      </c>
      <c r="J29" s="592" t="s">
        <v>1653</v>
      </c>
      <c r="K29" s="592" t="s">
        <v>16</v>
      </c>
      <c r="L29" s="592">
        <v>2022</v>
      </c>
      <c r="M29" s="592">
        <f t="shared" si="0"/>
        <v>3</v>
      </c>
      <c r="N29" s="970" t="s">
        <v>1679</v>
      </c>
      <c r="P29" s="88" t="s">
        <v>1753</v>
      </c>
      <c r="Q29" s="916" t="s">
        <v>1772</v>
      </c>
      <c r="R29" s="88">
        <v>35</v>
      </c>
      <c r="S29" s="88" t="s">
        <v>1667</v>
      </c>
      <c r="T29" s="88" t="s">
        <v>1647</v>
      </c>
      <c r="BN29" s="772" t="s">
        <v>1206</v>
      </c>
      <c r="BO29" s="768" t="s">
        <v>1532</v>
      </c>
      <c r="BP29" s="769">
        <v>8</v>
      </c>
      <c r="BQ29" s="769">
        <v>8</v>
      </c>
      <c r="BR29" s="769">
        <v>8</v>
      </c>
      <c r="BS29" s="769">
        <v>8</v>
      </c>
      <c r="BT29" s="769">
        <v>8</v>
      </c>
      <c r="BU29" s="769">
        <v>8</v>
      </c>
      <c r="BV29" s="769">
        <v>8</v>
      </c>
      <c r="BW29" s="769">
        <v>8</v>
      </c>
      <c r="BX29" s="769">
        <v>8</v>
      </c>
    </row>
    <row r="30" spans="1:76" ht="16">
      <c r="A30" s="524" t="s">
        <v>578</v>
      </c>
      <c r="B30" s="525" t="s">
        <v>1773</v>
      </c>
      <c r="C30" s="915">
        <v>3.8</v>
      </c>
      <c r="F30" s="967" t="s">
        <v>1156</v>
      </c>
      <c r="G30" s="968" t="s">
        <v>1774</v>
      </c>
      <c r="H30" s="969" t="s">
        <v>1727</v>
      </c>
      <c r="I30" s="970" t="s">
        <v>16</v>
      </c>
      <c r="J30" s="970" t="s">
        <v>1653</v>
      </c>
      <c r="K30" s="970" t="s">
        <v>16</v>
      </c>
      <c r="L30" s="970">
        <v>0</v>
      </c>
      <c r="M30" s="970"/>
      <c r="N30" s="970" t="s">
        <v>1679</v>
      </c>
      <c r="P30" s="88" t="s">
        <v>1753</v>
      </c>
      <c r="Q30" s="916" t="s">
        <v>1775</v>
      </c>
      <c r="R30" s="88">
        <v>364</v>
      </c>
      <c r="S30" s="88" t="s">
        <v>1776</v>
      </c>
      <c r="T30" s="88" t="s">
        <v>1739</v>
      </c>
      <c r="BN30" s="88" t="s">
        <v>1238</v>
      </c>
      <c r="BO30" s="88" t="s">
        <v>1346</v>
      </c>
      <c r="BP30" s="769">
        <v>6</v>
      </c>
      <c r="BQ30" s="770">
        <v>0</v>
      </c>
      <c r="BR30" s="770">
        <v>0</v>
      </c>
      <c r="BS30" s="769">
        <v>6</v>
      </c>
      <c r="BT30" s="769">
        <v>6</v>
      </c>
      <c r="BU30" s="770">
        <v>0</v>
      </c>
      <c r="BV30" s="770">
        <v>0</v>
      </c>
      <c r="BW30" s="770">
        <v>0</v>
      </c>
      <c r="BX30" s="770">
        <v>0</v>
      </c>
    </row>
    <row r="31" spans="1:76" ht="16">
      <c r="A31" s="524" t="s">
        <v>1777</v>
      </c>
      <c r="B31" s="525" t="s">
        <v>1778</v>
      </c>
      <c r="C31" s="915">
        <v>3.8</v>
      </c>
      <c r="F31" s="967" t="s">
        <v>1779</v>
      </c>
      <c r="G31" s="968" t="s">
        <v>1780</v>
      </c>
      <c r="H31" s="969" t="s">
        <v>1727</v>
      </c>
      <c r="I31" s="970" t="s">
        <v>16</v>
      </c>
      <c r="J31" s="970" t="s">
        <v>1653</v>
      </c>
      <c r="K31" s="970" t="s">
        <v>16</v>
      </c>
      <c r="L31" s="970">
        <v>0</v>
      </c>
      <c r="M31" s="970"/>
      <c r="N31" s="970" t="s">
        <v>1679</v>
      </c>
      <c r="P31" s="88" t="s">
        <v>1753</v>
      </c>
      <c r="Q31" s="916" t="s">
        <v>1781</v>
      </c>
      <c r="R31" s="88">
        <v>43</v>
      </c>
      <c r="S31" s="88" t="s">
        <v>1755</v>
      </c>
      <c r="T31" s="88" t="s">
        <v>1692</v>
      </c>
      <c r="BN31" s="618" t="s">
        <v>1310</v>
      </c>
      <c r="BO31" s="88" t="s">
        <v>1346</v>
      </c>
      <c r="BP31" s="769">
        <v>6</v>
      </c>
      <c r="BQ31" s="770">
        <v>0</v>
      </c>
      <c r="BR31" s="770">
        <v>0</v>
      </c>
      <c r="BS31" s="769">
        <v>6</v>
      </c>
      <c r="BT31" s="769">
        <v>6</v>
      </c>
      <c r="BU31" s="770">
        <v>0</v>
      </c>
      <c r="BV31" s="770">
        <v>0</v>
      </c>
      <c r="BW31" s="770">
        <v>0</v>
      </c>
      <c r="BX31" s="770">
        <v>0</v>
      </c>
    </row>
    <row r="32" spans="1:76" ht="16.5" customHeight="1">
      <c r="A32" s="524" t="s">
        <v>1782</v>
      </c>
      <c r="B32" s="525" t="s">
        <v>1783</v>
      </c>
      <c r="C32" s="915">
        <v>3.8</v>
      </c>
      <c r="F32" s="571" t="s">
        <v>922</v>
      </c>
      <c r="G32" s="572" t="s">
        <v>1784</v>
      </c>
      <c r="H32" s="591" t="s">
        <v>1659</v>
      </c>
      <c r="I32" s="592" t="s">
        <v>24</v>
      </c>
      <c r="J32" s="592" t="s">
        <v>24</v>
      </c>
      <c r="K32" s="592" t="s">
        <v>16</v>
      </c>
      <c r="L32" s="592">
        <v>2022</v>
      </c>
      <c r="M32" s="592">
        <f t="shared" si="0"/>
        <v>3</v>
      </c>
      <c r="N32" s="592" t="s">
        <v>1660</v>
      </c>
      <c r="P32" s="88" t="s">
        <v>1753</v>
      </c>
      <c r="Q32" s="916" t="s">
        <v>1785</v>
      </c>
      <c r="R32" s="88">
        <v>521</v>
      </c>
      <c r="S32" s="88" t="s">
        <v>1755</v>
      </c>
      <c r="T32" s="88" t="s">
        <v>1692</v>
      </c>
      <c r="BN32" s="772" t="s">
        <v>1342</v>
      </c>
      <c r="BO32" s="768" t="s">
        <v>1346</v>
      </c>
      <c r="BP32" s="770">
        <v>0</v>
      </c>
      <c r="BQ32" s="770">
        <v>0</v>
      </c>
      <c r="BR32" s="770">
        <v>0</v>
      </c>
      <c r="BS32" s="770">
        <v>0</v>
      </c>
      <c r="BT32" s="770">
        <v>0</v>
      </c>
      <c r="BU32" s="770">
        <v>0</v>
      </c>
      <c r="BV32" s="770">
        <v>0</v>
      </c>
      <c r="BW32" s="770">
        <v>0</v>
      </c>
      <c r="BX32" s="769">
        <v>12</v>
      </c>
    </row>
    <row r="33" spans="1:76" ht="16">
      <c r="A33" s="524" t="s">
        <v>501</v>
      </c>
      <c r="B33" s="525" t="s">
        <v>1786</v>
      </c>
      <c r="C33" s="915">
        <v>3.8</v>
      </c>
      <c r="F33" s="571" t="s">
        <v>1137</v>
      </c>
      <c r="G33" s="572" t="s">
        <v>1787</v>
      </c>
      <c r="H33" s="591" t="s">
        <v>1659</v>
      </c>
      <c r="I33" s="592" t="s">
        <v>16</v>
      </c>
      <c r="J33" s="592" t="s">
        <v>1653</v>
      </c>
      <c r="K33" s="592" t="s">
        <v>16</v>
      </c>
      <c r="L33" s="592">
        <v>2022</v>
      </c>
      <c r="M33" s="592">
        <f t="shared" si="0"/>
        <v>3</v>
      </c>
      <c r="N33" s="592" t="s">
        <v>1660</v>
      </c>
      <c r="P33" s="88" t="s">
        <v>1753</v>
      </c>
      <c r="Q33" s="916" t="s">
        <v>1788</v>
      </c>
      <c r="R33" s="88">
        <v>492</v>
      </c>
      <c r="S33" s="88" t="s">
        <v>1755</v>
      </c>
      <c r="T33" s="88" t="s">
        <v>1692</v>
      </c>
      <c r="BN33" s="772" t="s">
        <v>1256</v>
      </c>
      <c r="BO33" s="768" t="s">
        <v>1346</v>
      </c>
      <c r="BP33" s="770">
        <v>0</v>
      </c>
      <c r="BQ33" s="770">
        <v>0</v>
      </c>
      <c r="BR33" s="770">
        <v>0</v>
      </c>
      <c r="BS33" s="770">
        <v>0</v>
      </c>
      <c r="BT33" s="770">
        <v>0</v>
      </c>
      <c r="BU33" s="770">
        <v>0</v>
      </c>
      <c r="BV33" s="770">
        <v>0</v>
      </c>
      <c r="BW33" s="770">
        <v>0</v>
      </c>
      <c r="BX33" s="769">
        <v>16</v>
      </c>
    </row>
    <row r="34" spans="1:76" ht="14.25" customHeight="1">
      <c r="A34" s="917" t="s">
        <v>565</v>
      </c>
      <c r="B34" s="48" t="s">
        <v>1789</v>
      </c>
      <c r="C34" s="918">
        <v>3.96</v>
      </c>
      <c r="F34" s="571" t="s">
        <v>1169</v>
      </c>
      <c r="G34" s="572" t="s">
        <v>1790</v>
      </c>
      <c r="H34" s="591" t="s">
        <v>1713</v>
      </c>
      <c r="I34" s="592" t="s">
        <v>16</v>
      </c>
      <c r="J34" s="592" t="s">
        <v>1653</v>
      </c>
      <c r="K34" s="592" t="s">
        <v>16</v>
      </c>
      <c r="L34" s="592">
        <v>2023</v>
      </c>
      <c r="M34" s="592">
        <f t="shared" si="0"/>
        <v>2</v>
      </c>
      <c r="N34" s="970" t="s">
        <v>1679</v>
      </c>
      <c r="P34" s="88" t="s">
        <v>56</v>
      </c>
      <c r="Q34" s="916" t="s">
        <v>1791</v>
      </c>
      <c r="R34" s="88">
        <v>395</v>
      </c>
      <c r="S34" s="88" t="s">
        <v>1792</v>
      </c>
      <c r="T34" s="88" t="s">
        <v>1647</v>
      </c>
      <c r="BN34" s="772" t="s">
        <v>1352</v>
      </c>
      <c r="BO34" s="768" t="s">
        <v>1454</v>
      </c>
      <c r="BP34" s="770">
        <v>0</v>
      </c>
      <c r="BQ34" s="770">
        <v>0</v>
      </c>
      <c r="BR34" s="770">
        <v>0</v>
      </c>
      <c r="BS34" s="770">
        <v>0</v>
      </c>
      <c r="BT34" s="770">
        <v>0</v>
      </c>
      <c r="BU34" s="770">
        <v>0</v>
      </c>
      <c r="BV34" s="770">
        <v>0</v>
      </c>
      <c r="BW34" s="770">
        <v>0</v>
      </c>
      <c r="BX34" s="769">
        <v>8</v>
      </c>
    </row>
    <row r="35" spans="1:76" ht="16">
      <c r="A35" s="524" t="s">
        <v>547</v>
      </c>
      <c r="B35" s="525" t="s">
        <v>1793</v>
      </c>
      <c r="C35" s="915">
        <v>3.96</v>
      </c>
      <c r="F35" s="571" t="s">
        <v>895</v>
      </c>
      <c r="G35" s="572" t="s">
        <v>894</v>
      </c>
      <c r="H35" s="591" t="s">
        <v>1794</v>
      </c>
      <c r="I35" s="592" t="s">
        <v>16</v>
      </c>
      <c r="J35" s="592" t="s">
        <v>24</v>
      </c>
      <c r="K35" s="592" t="s">
        <v>16</v>
      </c>
      <c r="L35" s="592">
        <v>2024</v>
      </c>
      <c r="M35" s="592">
        <f t="shared" si="0"/>
        <v>1</v>
      </c>
      <c r="N35" s="592" t="s">
        <v>1644</v>
      </c>
      <c r="P35" s="88" t="s">
        <v>56</v>
      </c>
      <c r="Q35" s="916" t="s">
        <v>1795</v>
      </c>
      <c r="R35" s="88">
        <v>264</v>
      </c>
      <c r="S35" s="88" t="s">
        <v>1796</v>
      </c>
      <c r="T35" s="88" t="s">
        <v>1647</v>
      </c>
      <c r="BN35" s="771" t="s">
        <v>1233</v>
      </c>
      <c r="BO35" s="88" t="s">
        <v>1454</v>
      </c>
      <c r="BP35" s="769">
        <v>8</v>
      </c>
      <c r="BQ35" s="769">
        <v>8</v>
      </c>
      <c r="BR35" s="769">
        <v>8</v>
      </c>
      <c r="BS35" s="769">
        <v>8</v>
      </c>
      <c r="BT35" s="769">
        <v>8</v>
      </c>
      <c r="BU35" s="769">
        <v>8</v>
      </c>
      <c r="BV35" s="769">
        <v>8</v>
      </c>
      <c r="BW35" s="769">
        <v>8</v>
      </c>
      <c r="BX35" s="769">
        <v>8</v>
      </c>
    </row>
    <row r="36" spans="1:76" ht="15" customHeight="1">
      <c r="A36" s="524" t="s">
        <v>528</v>
      </c>
      <c r="B36" s="525" t="s">
        <v>1797</v>
      </c>
      <c r="C36" s="915">
        <v>3.96</v>
      </c>
      <c r="F36" s="571" t="s">
        <v>903</v>
      </c>
      <c r="G36" s="572" t="s">
        <v>1798</v>
      </c>
      <c r="H36" s="591" t="s">
        <v>1665</v>
      </c>
      <c r="I36" s="592" t="s">
        <v>24</v>
      </c>
      <c r="J36" s="592" t="s">
        <v>24</v>
      </c>
      <c r="K36" s="592" t="s">
        <v>16</v>
      </c>
      <c r="L36" s="592">
        <v>2024</v>
      </c>
      <c r="M36" s="592">
        <f t="shared" si="0"/>
        <v>1</v>
      </c>
      <c r="N36" s="592" t="s">
        <v>1644</v>
      </c>
      <c r="P36" s="88" t="s">
        <v>56</v>
      </c>
      <c r="Q36" s="916" t="s">
        <v>1799</v>
      </c>
      <c r="R36" s="88">
        <v>241</v>
      </c>
      <c r="S36" s="88" t="s">
        <v>1792</v>
      </c>
      <c r="T36" s="88" t="s">
        <v>1647</v>
      </c>
      <c r="BN36" s="772" t="s">
        <v>1360</v>
      </c>
      <c r="BO36" s="768" t="s">
        <v>1454</v>
      </c>
      <c r="BP36" s="770">
        <v>0</v>
      </c>
      <c r="BQ36" s="770">
        <v>0</v>
      </c>
      <c r="BR36" s="770">
        <v>0</v>
      </c>
      <c r="BS36" s="770">
        <v>0</v>
      </c>
      <c r="BT36" s="770">
        <v>0</v>
      </c>
      <c r="BU36" s="769">
        <v>12</v>
      </c>
      <c r="BV36" s="770">
        <v>0</v>
      </c>
      <c r="BW36" s="770">
        <v>0</v>
      </c>
      <c r="BX36" s="770">
        <v>0</v>
      </c>
    </row>
    <row r="37" spans="1:76" ht="16">
      <c r="A37" s="524" t="s">
        <v>469</v>
      </c>
      <c r="B37" s="525" t="s">
        <v>1800</v>
      </c>
      <c r="C37" s="915">
        <v>3.96</v>
      </c>
      <c r="F37" s="571" t="s">
        <v>931</v>
      </c>
      <c r="G37" s="572" t="s">
        <v>1801</v>
      </c>
      <c r="H37" s="591" t="s">
        <v>1659</v>
      </c>
      <c r="I37" s="592" t="s">
        <v>16</v>
      </c>
      <c r="J37" s="592" t="s">
        <v>1653</v>
      </c>
      <c r="K37" s="592" t="s">
        <v>16</v>
      </c>
      <c r="L37" s="592">
        <v>2024</v>
      </c>
      <c r="M37" s="592">
        <f t="shared" si="0"/>
        <v>1</v>
      </c>
      <c r="N37" s="592" t="s">
        <v>1660</v>
      </c>
      <c r="P37" s="88" t="s">
        <v>56</v>
      </c>
      <c r="Q37" s="916" t="s">
        <v>1802</v>
      </c>
      <c r="R37" s="88">
        <v>437</v>
      </c>
      <c r="S37" s="88" t="s">
        <v>1803</v>
      </c>
      <c r="T37" s="88" t="s">
        <v>1647</v>
      </c>
      <c r="BN37" s="772" t="s">
        <v>1236</v>
      </c>
      <c r="BO37" s="768" t="s">
        <v>1454</v>
      </c>
      <c r="BP37" s="770">
        <v>0</v>
      </c>
      <c r="BQ37" s="770">
        <v>0</v>
      </c>
      <c r="BR37" s="770">
        <v>0</v>
      </c>
      <c r="BS37" s="770">
        <v>0</v>
      </c>
      <c r="BT37" s="770">
        <v>0</v>
      </c>
      <c r="BU37" s="769">
        <v>20</v>
      </c>
      <c r="BV37" s="770">
        <v>0</v>
      </c>
      <c r="BW37" s="770">
        <v>0</v>
      </c>
      <c r="BX37" s="770">
        <v>0</v>
      </c>
    </row>
    <row r="38" spans="1:76" ht="18" customHeight="1">
      <c r="A38" s="524" t="s">
        <v>529</v>
      </c>
      <c r="B38" s="525" t="s">
        <v>1113</v>
      </c>
      <c r="C38" s="915">
        <v>3.96</v>
      </c>
      <c r="F38" s="571" t="s">
        <v>907</v>
      </c>
      <c r="G38" s="572" t="s">
        <v>1804</v>
      </c>
      <c r="H38" s="591" t="s">
        <v>1659</v>
      </c>
      <c r="I38" s="592" t="s">
        <v>24</v>
      </c>
      <c r="J38" s="592" t="s">
        <v>24</v>
      </c>
      <c r="K38" s="592" t="s">
        <v>16</v>
      </c>
      <c r="L38" s="592">
        <v>2025</v>
      </c>
      <c r="M38" s="592">
        <f t="shared" si="0"/>
        <v>0</v>
      </c>
      <c r="N38" s="592" t="s">
        <v>1660</v>
      </c>
      <c r="P38" s="88" t="s">
        <v>56</v>
      </c>
      <c r="Q38" s="919" t="s">
        <v>1805</v>
      </c>
      <c r="R38" s="88">
        <v>375</v>
      </c>
      <c r="S38" s="88" t="s">
        <v>1792</v>
      </c>
      <c r="T38" s="88" t="s">
        <v>1647</v>
      </c>
      <c r="BN38" s="772" t="s">
        <v>1401</v>
      </c>
      <c r="BO38" s="768" t="s">
        <v>1454</v>
      </c>
      <c r="BP38" s="770">
        <v>0</v>
      </c>
      <c r="BQ38" s="770">
        <v>0</v>
      </c>
      <c r="BR38" s="770">
        <v>0</v>
      </c>
      <c r="BS38" s="770">
        <v>0</v>
      </c>
      <c r="BT38" s="770">
        <v>0</v>
      </c>
      <c r="BU38" s="770">
        <v>0</v>
      </c>
      <c r="BV38" s="769">
        <v>20</v>
      </c>
      <c r="BW38" s="770">
        <v>0</v>
      </c>
      <c r="BX38" s="770">
        <v>0</v>
      </c>
    </row>
    <row r="39" spans="1:76" ht="16">
      <c r="A39" s="524" t="s">
        <v>548</v>
      </c>
      <c r="B39" s="525" t="s">
        <v>1806</v>
      </c>
      <c r="C39" s="915">
        <v>3.96</v>
      </c>
      <c r="F39" s="571" t="s">
        <v>942</v>
      </c>
      <c r="G39" s="572" t="s">
        <v>1807</v>
      </c>
      <c r="H39" s="591" t="s">
        <v>1665</v>
      </c>
      <c r="I39" s="592" t="s">
        <v>16</v>
      </c>
      <c r="J39" s="592" t="s">
        <v>16</v>
      </c>
      <c r="K39" s="592" t="s">
        <v>16</v>
      </c>
      <c r="L39" s="592">
        <v>2025</v>
      </c>
      <c r="M39" s="592">
        <f t="shared" si="0"/>
        <v>0</v>
      </c>
      <c r="N39" s="592" t="s">
        <v>1644</v>
      </c>
      <c r="P39" s="88" t="s">
        <v>56</v>
      </c>
      <c r="Q39" s="88" t="s">
        <v>1808</v>
      </c>
      <c r="R39" s="88">
        <v>186</v>
      </c>
      <c r="S39" s="88" t="s">
        <v>1809</v>
      </c>
      <c r="T39" s="88" t="s">
        <v>1647</v>
      </c>
      <c r="BN39" s="772" t="s">
        <v>1404</v>
      </c>
      <c r="BO39" s="768" t="s">
        <v>1454</v>
      </c>
      <c r="BP39" s="769">
        <v>8</v>
      </c>
      <c r="BQ39" s="769">
        <v>8</v>
      </c>
      <c r="BR39" s="769">
        <v>8</v>
      </c>
      <c r="BS39" s="769">
        <v>8</v>
      </c>
      <c r="BT39" s="769">
        <v>8</v>
      </c>
      <c r="BU39" s="769">
        <v>8</v>
      </c>
      <c r="BV39" s="769">
        <v>8</v>
      </c>
      <c r="BW39" s="769">
        <v>8</v>
      </c>
      <c r="BX39" s="769">
        <v>8</v>
      </c>
    </row>
    <row r="40" spans="1:76" ht="12.75" customHeight="1">
      <c r="A40" s="524" t="s">
        <v>1170</v>
      </c>
      <c r="B40" s="525" t="s">
        <v>1810</v>
      </c>
      <c r="C40" s="915">
        <v>3.96</v>
      </c>
      <c r="F40" s="571" t="s">
        <v>1155</v>
      </c>
      <c r="G40" s="572" t="s">
        <v>1811</v>
      </c>
      <c r="H40" s="591" t="s">
        <v>1652</v>
      </c>
      <c r="I40" s="592" t="s">
        <v>1812</v>
      </c>
      <c r="J40" s="592" t="s">
        <v>1653</v>
      </c>
      <c r="K40" s="592" t="s">
        <v>16</v>
      </c>
      <c r="L40" s="592">
        <v>1997</v>
      </c>
      <c r="M40" s="592">
        <f t="shared" si="0"/>
        <v>28</v>
      </c>
      <c r="N40" s="592" t="s">
        <v>1654</v>
      </c>
      <c r="P40" s="88" t="s">
        <v>56</v>
      </c>
      <c r="Q40" s="916" t="s">
        <v>1813</v>
      </c>
      <c r="R40" s="88">
        <v>268</v>
      </c>
      <c r="S40" s="88" t="s">
        <v>1792</v>
      </c>
      <c r="T40" s="88" t="s">
        <v>1647</v>
      </c>
      <c r="BN40" s="772" t="s">
        <v>1232</v>
      </c>
      <c r="BO40" s="768" t="s">
        <v>1454</v>
      </c>
      <c r="BP40" s="769">
        <v>8</v>
      </c>
      <c r="BQ40" s="769">
        <v>8</v>
      </c>
      <c r="BR40" s="769">
        <v>8</v>
      </c>
      <c r="BS40" s="769">
        <v>8</v>
      </c>
      <c r="BT40" s="769">
        <v>8</v>
      </c>
      <c r="BU40" s="769">
        <v>8</v>
      </c>
      <c r="BV40" s="769">
        <v>8</v>
      </c>
      <c r="BW40" s="769">
        <v>8</v>
      </c>
      <c r="BX40" s="769">
        <v>8</v>
      </c>
    </row>
    <row r="41" spans="1:76" ht="16">
      <c r="A41" s="524" t="s">
        <v>549</v>
      </c>
      <c r="B41" s="525" t="s">
        <v>1814</v>
      </c>
      <c r="C41" s="915">
        <v>3.96</v>
      </c>
      <c r="F41" s="967" t="s">
        <v>1815</v>
      </c>
      <c r="G41" s="968" t="s">
        <v>1816</v>
      </c>
      <c r="H41" s="969" t="s">
        <v>1678</v>
      </c>
      <c r="I41" s="970" t="s">
        <v>16</v>
      </c>
      <c r="J41" s="970" t="s">
        <v>1653</v>
      </c>
      <c r="K41" s="970" t="s">
        <v>16</v>
      </c>
      <c r="L41" s="970">
        <v>0</v>
      </c>
      <c r="M41" s="970"/>
      <c r="N41" s="970" t="s">
        <v>1679</v>
      </c>
      <c r="P41" s="88" t="s">
        <v>56</v>
      </c>
      <c r="Q41" s="916" t="s">
        <v>1817</v>
      </c>
      <c r="R41" s="88">
        <v>38</v>
      </c>
      <c r="S41" s="88" t="s">
        <v>1803</v>
      </c>
      <c r="T41" s="88" t="s">
        <v>1647</v>
      </c>
      <c r="BO41" t="s">
        <v>1818</v>
      </c>
      <c r="BP41">
        <f t="shared" ref="BP41:BW41" si="1">SUM(BP36:BP38)+SUM(BP30:BP34)+SUM(BP12:BP27)+SUM(BP2:BP9)</f>
        <v>66</v>
      </c>
      <c r="BQ41">
        <f t="shared" si="1"/>
        <v>64</v>
      </c>
      <c r="BR41">
        <f t="shared" si="1"/>
        <v>64</v>
      </c>
      <c r="BS41">
        <f t="shared" si="1"/>
        <v>162</v>
      </c>
      <c r="BT41">
        <f t="shared" si="1"/>
        <v>162</v>
      </c>
      <c r="BU41">
        <f t="shared" si="1"/>
        <v>32</v>
      </c>
      <c r="BV41">
        <f t="shared" si="1"/>
        <v>20</v>
      </c>
      <c r="BW41">
        <f t="shared" si="1"/>
        <v>4</v>
      </c>
      <c r="BX41">
        <f>SUM(BX36:BX38)+SUM(BX30:BX34)+SUM(BX12:BX27)+SUM(BX2:BX9)</f>
        <v>88</v>
      </c>
    </row>
    <row r="42" spans="1:76" ht="16">
      <c r="A42" s="524" t="s">
        <v>1819</v>
      </c>
      <c r="B42" s="525" t="s">
        <v>1820</v>
      </c>
      <c r="C42" s="915">
        <v>3.96</v>
      </c>
      <c r="F42" s="571" t="s">
        <v>1158</v>
      </c>
      <c r="G42" s="572" t="s">
        <v>1821</v>
      </c>
      <c r="H42" s="591" t="s">
        <v>1652</v>
      </c>
      <c r="I42" s="592" t="s">
        <v>16</v>
      </c>
      <c r="J42" s="592" t="s">
        <v>1653</v>
      </c>
      <c r="K42" s="592" t="s">
        <v>16</v>
      </c>
      <c r="L42" s="592">
        <v>1996</v>
      </c>
      <c r="M42" s="592">
        <f t="shared" si="0"/>
        <v>29</v>
      </c>
      <c r="N42" s="592" t="s">
        <v>1654</v>
      </c>
      <c r="P42" s="88" t="s">
        <v>56</v>
      </c>
      <c r="Q42" s="916" t="s">
        <v>1822</v>
      </c>
      <c r="R42" s="88">
        <v>516</v>
      </c>
      <c r="S42" s="88" t="s">
        <v>1691</v>
      </c>
      <c r="T42" s="88" t="s">
        <v>1647</v>
      </c>
      <c r="BO42" t="s">
        <v>1823</v>
      </c>
      <c r="BP42">
        <f t="shared" ref="BP42:BW42" si="2">+SUM(BP39:BP40)+SUM(BP28:BP29)+SUM(BP10:BP11)+BP35</f>
        <v>56</v>
      </c>
      <c r="BQ42">
        <f t="shared" si="2"/>
        <v>56</v>
      </c>
      <c r="BR42">
        <f t="shared" si="2"/>
        <v>56</v>
      </c>
      <c r="BS42">
        <f t="shared" si="2"/>
        <v>56</v>
      </c>
      <c r="BT42">
        <f t="shared" si="2"/>
        <v>56</v>
      </c>
      <c r="BU42">
        <f t="shared" si="2"/>
        <v>56</v>
      </c>
      <c r="BV42">
        <f t="shared" si="2"/>
        <v>56</v>
      </c>
      <c r="BW42">
        <f t="shared" si="2"/>
        <v>56</v>
      </c>
      <c r="BX42">
        <f>+SUM(BX39:BX40)+SUM(BX28:BX29)+SUM(BX10:BX11)+BX35</f>
        <v>56</v>
      </c>
    </row>
    <row r="43" spans="1:76" ht="16">
      <c r="A43" s="524" t="s">
        <v>641</v>
      </c>
      <c r="B43" s="525" t="s">
        <v>1824</v>
      </c>
      <c r="C43" s="915">
        <v>3.96</v>
      </c>
      <c r="F43" s="571" t="s">
        <v>929</v>
      </c>
      <c r="G43" s="572" t="s">
        <v>1825</v>
      </c>
      <c r="H43" s="591" t="s">
        <v>1826</v>
      </c>
      <c r="I43" s="592" t="s">
        <v>16</v>
      </c>
      <c r="J43" s="592" t="s">
        <v>1653</v>
      </c>
      <c r="K43" s="592" t="s">
        <v>16</v>
      </c>
      <c r="L43" s="592">
        <v>1996</v>
      </c>
      <c r="M43" s="592">
        <f t="shared" si="0"/>
        <v>29</v>
      </c>
      <c r="N43" s="592" t="s">
        <v>1654</v>
      </c>
      <c r="P43" s="88" t="s">
        <v>56</v>
      </c>
      <c r="Q43" s="916" t="s">
        <v>1827</v>
      </c>
      <c r="R43" s="88">
        <v>46</v>
      </c>
      <c r="S43" s="88" t="s">
        <v>1803</v>
      </c>
      <c r="T43" s="88" t="s">
        <v>1647</v>
      </c>
    </row>
    <row r="44" spans="1:76" ht="16">
      <c r="A44" s="524" t="s">
        <v>533</v>
      </c>
      <c r="B44" s="525" t="s">
        <v>1828</v>
      </c>
      <c r="C44" s="915">
        <v>3.96</v>
      </c>
      <c r="F44" s="571" t="s">
        <v>1829</v>
      </c>
      <c r="G44" s="572" t="s">
        <v>1830</v>
      </c>
      <c r="H44" s="591" t="s">
        <v>1826</v>
      </c>
      <c r="I44" s="592" t="s">
        <v>16</v>
      </c>
      <c r="J44" s="592" t="s">
        <v>1653</v>
      </c>
      <c r="K44" s="592" t="s">
        <v>16</v>
      </c>
      <c r="L44" s="592">
        <v>1998</v>
      </c>
      <c r="M44" s="592">
        <f t="shared" si="0"/>
        <v>27</v>
      </c>
      <c r="N44" s="592" t="s">
        <v>1654</v>
      </c>
      <c r="P44" s="88" t="s">
        <v>56</v>
      </c>
      <c r="Q44" s="916" t="s">
        <v>1831</v>
      </c>
      <c r="R44" s="88">
        <v>400</v>
      </c>
      <c r="S44" s="88" t="s">
        <v>1796</v>
      </c>
      <c r="T44" s="88" t="s">
        <v>1647</v>
      </c>
    </row>
    <row r="45" spans="1:76" ht="16">
      <c r="A45" s="917" t="s">
        <v>556</v>
      </c>
      <c r="B45" s="525" t="s">
        <v>1832</v>
      </c>
      <c r="C45" s="918">
        <v>3.96</v>
      </c>
      <c r="F45" s="571" t="s">
        <v>944</v>
      </c>
      <c r="G45" s="572" t="s">
        <v>910</v>
      </c>
      <c r="H45" s="591" t="s">
        <v>1713</v>
      </c>
      <c r="I45" s="592" t="s">
        <v>1833</v>
      </c>
      <c r="J45" s="592" t="s">
        <v>1653</v>
      </c>
      <c r="K45" s="592" t="s">
        <v>16</v>
      </c>
      <c r="L45" s="592">
        <v>1997</v>
      </c>
      <c r="M45" s="592">
        <f t="shared" si="0"/>
        <v>28</v>
      </c>
      <c r="N45" s="970" t="s">
        <v>1679</v>
      </c>
      <c r="P45" s="88" t="s">
        <v>56</v>
      </c>
      <c r="Q45" s="916" t="s">
        <v>1834</v>
      </c>
      <c r="R45" s="88">
        <v>13</v>
      </c>
      <c r="S45" s="88" t="s">
        <v>1803</v>
      </c>
      <c r="T45" s="88" t="s">
        <v>1647</v>
      </c>
    </row>
    <row r="46" spans="1:76" ht="16">
      <c r="A46" s="524" t="s">
        <v>525</v>
      </c>
      <c r="B46" s="525" t="s">
        <v>526</v>
      </c>
      <c r="C46" s="915">
        <v>3.96</v>
      </c>
      <c r="F46" s="571" t="s">
        <v>1127</v>
      </c>
      <c r="G46" s="572" t="s">
        <v>1835</v>
      </c>
      <c r="H46" s="591" t="s">
        <v>1696</v>
      </c>
      <c r="I46" s="592" t="s">
        <v>16</v>
      </c>
      <c r="J46" s="592" t="s">
        <v>1653</v>
      </c>
      <c r="K46" s="592" t="s">
        <v>16</v>
      </c>
      <c r="L46" s="592">
        <v>1999</v>
      </c>
      <c r="M46" s="592">
        <f t="shared" si="0"/>
        <v>26</v>
      </c>
      <c r="N46" s="970" t="s">
        <v>1679</v>
      </c>
      <c r="P46" s="88" t="s">
        <v>56</v>
      </c>
      <c r="Q46" s="916" t="s">
        <v>1836</v>
      </c>
      <c r="R46" s="88">
        <v>76</v>
      </c>
      <c r="S46" s="88" t="s">
        <v>1796</v>
      </c>
      <c r="T46" s="88" t="s">
        <v>1739</v>
      </c>
    </row>
    <row r="47" spans="1:76" ht="16">
      <c r="A47" s="917" t="s">
        <v>1837</v>
      </c>
      <c r="B47" s="525" t="s">
        <v>1838</v>
      </c>
      <c r="C47" s="918">
        <v>3.96</v>
      </c>
      <c r="F47" s="571" t="s">
        <v>1161</v>
      </c>
      <c r="G47" s="572" t="s">
        <v>1839</v>
      </c>
      <c r="H47" s="591" t="s">
        <v>1840</v>
      </c>
      <c r="I47" s="592" t="s">
        <v>16</v>
      </c>
      <c r="J47" s="592" t="s">
        <v>1653</v>
      </c>
      <c r="K47" s="592" t="s">
        <v>16</v>
      </c>
      <c r="L47" s="592">
        <v>2000</v>
      </c>
      <c r="M47" s="592">
        <f t="shared" si="0"/>
        <v>25</v>
      </c>
      <c r="N47" s="592" t="s">
        <v>1654</v>
      </c>
      <c r="P47" s="88" t="s">
        <v>56</v>
      </c>
      <c r="Q47" s="920" t="s">
        <v>1841</v>
      </c>
      <c r="R47" s="88">
        <v>6</v>
      </c>
      <c r="S47" s="88" t="s">
        <v>1796</v>
      </c>
      <c r="T47" s="88" t="s">
        <v>1692</v>
      </c>
    </row>
    <row r="48" spans="1:76" ht="16">
      <c r="A48" s="524" t="s">
        <v>494</v>
      </c>
      <c r="B48" s="525" t="s">
        <v>1842</v>
      </c>
      <c r="C48" s="915">
        <v>3.96</v>
      </c>
      <c r="F48" s="571" t="s">
        <v>917</v>
      </c>
      <c r="G48" s="572" t="s">
        <v>1843</v>
      </c>
      <c r="H48" s="591" t="s">
        <v>1844</v>
      </c>
      <c r="I48" s="592" t="s">
        <v>16</v>
      </c>
      <c r="J48" s="592" t="s">
        <v>1653</v>
      </c>
      <c r="K48" s="592" t="s">
        <v>16</v>
      </c>
      <c r="L48" s="592">
        <v>1998</v>
      </c>
      <c r="M48" s="592">
        <f t="shared" si="0"/>
        <v>27</v>
      </c>
      <c r="N48" s="592" t="s">
        <v>1654</v>
      </c>
      <c r="P48" s="88" t="s">
        <v>56</v>
      </c>
      <c r="Q48" s="916" t="s">
        <v>1845</v>
      </c>
      <c r="R48" s="88">
        <v>513</v>
      </c>
      <c r="S48" s="88" t="s">
        <v>1796</v>
      </c>
      <c r="T48" s="88" t="s">
        <v>1692</v>
      </c>
    </row>
    <row r="49" spans="1:20" ht="16">
      <c r="A49" s="47" t="s">
        <v>1846</v>
      </c>
      <c r="B49" s="48" t="s">
        <v>1847</v>
      </c>
      <c r="C49" s="915">
        <v>3.98</v>
      </c>
      <c r="F49" s="571" t="s">
        <v>887</v>
      </c>
      <c r="G49" s="572" t="s">
        <v>1848</v>
      </c>
      <c r="H49" s="591" t="s">
        <v>1794</v>
      </c>
      <c r="I49" s="592" t="s">
        <v>24</v>
      </c>
      <c r="J49" s="592" t="s">
        <v>24</v>
      </c>
      <c r="K49" s="592" t="s">
        <v>16</v>
      </c>
      <c r="L49" s="592">
        <v>1998</v>
      </c>
      <c r="M49" s="592">
        <f t="shared" si="0"/>
        <v>27</v>
      </c>
      <c r="N49" s="592" t="s">
        <v>1644</v>
      </c>
      <c r="P49" s="88" t="s">
        <v>56</v>
      </c>
      <c r="Q49" s="916" t="s">
        <v>1849</v>
      </c>
      <c r="R49" s="88">
        <v>41</v>
      </c>
      <c r="S49" s="88" t="s">
        <v>1803</v>
      </c>
      <c r="T49" s="88" t="s">
        <v>1692</v>
      </c>
    </row>
    <row r="50" spans="1:20" ht="16">
      <c r="A50" s="524" t="s">
        <v>1850</v>
      </c>
      <c r="B50" s="525" t="s">
        <v>1851</v>
      </c>
      <c r="C50" s="915">
        <v>3.98</v>
      </c>
      <c r="F50" s="571" t="s">
        <v>1852</v>
      </c>
      <c r="G50" s="572" t="s">
        <v>1853</v>
      </c>
      <c r="H50" s="591" t="s">
        <v>1713</v>
      </c>
      <c r="I50" s="592" t="s">
        <v>16</v>
      </c>
      <c r="J50" s="592" t="s">
        <v>1653</v>
      </c>
      <c r="K50" s="592" t="s">
        <v>16</v>
      </c>
      <c r="L50" s="592">
        <v>1998</v>
      </c>
      <c r="M50" s="592">
        <f t="shared" si="0"/>
        <v>27</v>
      </c>
      <c r="N50" s="970" t="s">
        <v>1679</v>
      </c>
      <c r="P50" s="88" t="s">
        <v>56</v>
      </c>
      <c r="Q50" s="916" t="s">
        <v>1854</v>
      </c>
      <c r="R50" s="88">
        <v>75</v>
      </c>
      <c r="S50" s="88" t="s">
        <v>1796</v>
      </c>
      <c r="T50" s="88" t="s">
        <v>1692</v>
      </c>
    </row>
    <row r="51" spans="1:20" ht="16">
      <c r="A51" s="524" t="s">
        <v>1097</v>
      </c>
      <c r="B51" s="525" t="s">
        <v>1855</v>
      </c>
      <c r="C51" s="915">
        <v>4</v>
      </c>
      <c r="F51" s="571" t="s">
        <v>893</v>
      </c>
      <c r="G51" s="572" t="s">
        <v>1856</v>
      </c>
      <c r="H51" s="591" t="s">
        <v>1794</v>
      </c>
      <c r="I51" s="592" t="s">
        <v>24</v>
      </c>
      <c r="J51" s="592" t="s">
        <v>24</v>
      </c>
      <c r="K51" s="592" t="s">
        <v>16</v>
      </c>
      <c r="L51" s="592">
        <v>1999</v>
      </c>
      <c r="M51" s="592">
        <f t="shared" si="0"/>
        <v>26</v>
      </c>
      <c r="N51" s="592" t="s">
        <v>1644</v>
      </c>
      <c r="P51" s="88" t="s">
        <v>56</v>
      </c>
      <c r="Q51" s="916" t="s">
        <v>1857</v>
      </c>
      <c r="R51" s="88">
        <v>42</v>
      </c>
      <c r="S51" s="88" t="s">
        <v>1803</v>
      </c>
      <c r="T51" s="88" t="s">
        <v>1692</v>
      </c>
    </row>
    <row r="52" spans="1:20" ht="16">
      <c r="A52" s="524" t="s">
        <v>484</v>
      </c>
      <c r="B52" s="525" t="s">
        <v>1858</v>
      </c>
      <c r="C52" s="915">
        <v>4.0999999999999996</v>
      </c>
      <c r="F52" s="571" t="s">
        <v>921</v>
      </c>
      <c r="G52" s="572" t="s">
        <v>1859</v>
      </c>
      <c r="H52" s="591" t="s">
        <v>1840</v>
      </c>
      <c r="I52" s="592" t="s">
        <v>24</v>
      </c>
      <c r="J52" s="592" t="s">
        <v>24</v>
      </c>
      <c r="K52" s="592" t="s">
        <v>16</v>
      </c>
      <c r="L52" s="592">
        <v>2000</v>
      </c>
      <c r="M52" s="592">
        <f t="shared" si="0"/>
        <v>25</v>
      </c>
      <c r="N52" s="592" t="s">
        <v>1654</v>
      </c>
      <c r="P52" s="88" t="s">
        <v>56</v>
      </c>
      <c r="Q52" s="916" t="s">
        <v>1860</v>
      </c>
      <c r="R52" s="88">
        <v>273</v>
      </c>
      <c r="S52" s="88" t="s">
        <v>1796</v>
      </c>
      <c r="T52" s="88" t="s">
        <v>1692</v>
      </c>
    </row>
    <row r="53" spans="1:20" ht="16">
      <c r="A53" s="524" t="s">
        <v>499</v>
      </c>
      <c r="B53" s="525" t="s">
        <v>1861</v>
      </c>
      <c r="C53" s="52">
        <v>4.0999999999999996</v>
      </c>
      <c r="F53" s="571" t="s">
        <v>946</v>
      </c>
      <c r="G53" s="572" t="s">
        <v>1862</v>
      </c>
      <c r="H53" s="591" t="s">
        <v>1826</v>
      </c>
      <c r="I53" s="592" t="s">
        <v>16</v>
      </c>
      <c r="J53" s="592" t="s">
        <v>1653</v>
      </c>
      <c r="K53" s="592" t="s">
        <v>16</v>
      </c>
      <c r="L53" s="592">
        <v>2000</v>
      </c>
      <c r="M53" s="592">
        <f t="shared" si="0"/>
        <v>25</v>
      </c>
      <c r="N53" s="592" t="s">
        <v>1654</v>
      </c>
      <c r="P53" s="916" t="s">
        <v>1186</v>
      </c>
      <c r="Q53" s="916" t="s">
        <v>1863</v>
      </c>
      <c r="R53" s="916">
        <v>402</v>
      </c>
      <c r="S53" s="916" t="s">
        <v>1864</v>
      </c>
      <c r="T53" s="916" t="s">
        <v>1692</v>
      </c>
    </row>
    <row r="54" spans="1:20" ht="16">
      <c r="A54" s="524" t="s">
        <v>822</v>
      </c>
      <c r="B54" s="525" t="s">
        <v>1865</v>
      </c>
      <c r="C54" s="915">
        <v>4.1399999999999997</v>
      </c>
      <c r="F54" s="571" t="s">
        <v>904</v>
      </c>
      <c r="G54" s="572" t="s">
        <v>1866</v>
      </c>
      <c r="H54" s="591" t="s">
        <v>1689</v>
      </c>
      <c r="I54" s="592" t="s">
        <v>24</v>
      </c>
      <c r="J54" s="592" t="s">
        <v>24</v>
      </c>
      <c r="K54" s="592" t="s">
        <v>16</v>
      </c>
      <c r="L54" s="592">
        <v>2000</v>
      </c>
      <c r="M54" s="592">
        <f t="shared" si="0"/>
        <v>25</v>
      </c>
      <c r="N54" s="592" t="s">
        <v>1660</v>
      </c>
      <c r="P54" s="916" t="s">
        <v>1186</v>
      </c>
      <c r="Q54" s="916" t="s">
        <v>1867</v>
      </c>
      <c r="R54" s="916">
        <v>380</v>
      </c>
      <c r="S54" s="916" t="s">
        <v>1691</v>
      </c>
      <c r="T54" s="916" t="s">
        <v>1692</v>
      </c>
    </row>
    <row r="55" spans="1:20" ht="16">
      <c r="A55" s="524" t="s">
        <v>532</v>
      </c>
      <c r="B55" s="525" t="s">
        <v>1868</v>
      </c>
      <c r="C55" s="915">
        <v>4.1399999999999997</v>
      </c>
      <c r="F55" s="571" t="s">
        <v>918</v>
      </c>
      <c r="G55" s="572" t="s">
        <v>1869</v>
      </c>
      <c r="H55" s="591" t="s">
        <v>1727</v>
      </c>
      <c r="I55" s="592" t="s">
        <v>1833</v>
      </c>
      <c r="J55" s="592" t="s">
        <v>1653</v>
      </c>
      <c r="K55" s="592" t="s">
        <v>16</v>
      </c>
      <c r="L55" s="592">
        <v>2001</v>
      </c>
      <c r="M55" s="592">
        <f t="shared" si="0"/>
        <v>24</v>
      </c>
      <c r="N55" s="970" t="s">
        <v>1679</v>
      </c>
      <c r="P55" s="916" t="s">
        <v>1186</v>
      </c>
      <c r="Q55" s="916" t="s">
        <v>1870</v>
      </c>
      <c r="R55" s="916">
        <v>468</v>
      </c>
      <c r="S55" s="916" t="s">
        <v>1864</v>
      </c>
      <c r="T55" s="916" t="s">
        <v>1692</v>
      </c>
    </row>
    <row r="56" spans="1:20" ht="16">
      <c r="A56" s="524" t="s">
        <v>1871</v>
      </c>
      <c r="B56" s="525" t="s">
        <v>1872</v>
      </c>
      <c r="C56" s="915">
        <v>4.1399999999999997</v>
      </c>
      <c r="F56" s="967" t="s">
        <v>1152</v>
      </c>
      <c r="G56" s="968" t="s">
        <v>1873</v>
      </c>
      <c r="H56" s="969" t="s">
        <v>1652</v>
      </c>
      <c r="I56" s="970" t="s">
        <v>16</v>
      </c>
      <c r="J56" s="970" t="s">
        <v>1653</v>
      </c>
      <c r="K56" s="970" t="s">
        <v>16</v>
      </c>
      <c r="L56" s="970">
        <v>0</v>
      </c>
      <c r="M56" s="970"/>
      <c r="N56" s="592" t="s">
        <v>1654</v>
      </c>
      <c r="P56" s="916" t="s">
        <v>1186</v>
      </c>
      <c r="Q56" s="916" t="s">
        <v>1874</v>
      </c>
      <c r="R56" s="916">
        <v>487</v>
      </c>
      <c r="S56" s="916" t="s">
        <v>1864</v>
      </c>
      <c r="T56" s="916" t="s">
        <v>1692</v>
      </c>
    </row>
    <row r="57" spans="1:20" ht="16">
      <c r="A57" s="524" t="s">
        <v>414</v>
      </c>
      <c r="B57" s="525" t="s">
        <v>596</v>
      </c>
      <c r="C57" s="915">
        <v>4.1399999999999997</v>
      </c>
      <c r="F57" s="571" t="s">
        <v>923</v>
      </c>
      <c r="G57" s="572" t="s">
        <v>1875</v>
      </c>
      <c r="H57" s="591" t="s">
        <v>1727</v>
      </c>
      <c r="I57" s="592" t="s">
        <v>1833</v>
      </c>
      <c r="J57" s="592" t="s">
        <v>1653</v>
      </c>
      <c r="K57" s="592" t="s">
        <v>16</v>
      </c>
      <c r="L57" s="592">
        <v>2001</v>
      </c>
      <c r="M57" s="592">
        <f t="shared" si="0"/>
        <v>24</v>
      </c>
      <c r="N57" s="970" t="s">
        <v>1679</v>
      </c>
      <c r="P57" s="916" t="s">
        <v>1186</v>
      </c>
      <c r="Q57" s="916" t="s">
        <v>1876</v>
      </c>
      <c r="R57" s="916">
        <v>448</v>
      </c>
      <c r="S57" s="916" t="s">
        <v>1864</v>
      </c>
      <c r="T57" s="916" t="s">
        <v>1692</v>
      </c>
    </row>
    <row r="58" spans="1:20" ht="16">
      <c r="A58" s="524" t="s">
        <v>1115</v>
      </c>
      <c r="B58" s="525" t="s">
        <v>1877</v>
      </c>
      <c r="C58" s="915">
        <v>4.2</v>
      </c>
      <c r="F58" s="571" t="s">
        <v>926</v>
      </c>
      <c r="G58" s="572" t="s">
        <v>1878</v>
      </c>
      <c r="H58" s="591" t="s">
        <v>1727</v>
      </c>
      <c r="I58" s="592" t="s">
        <v>1833</v>
      </c>
      <c r="J58" s="592" t="s">
        <v>1653</v>
      </c>
      <c r="K58" s="592" t="s">
        <v>16</v>
      </c>
      <c r="L58" s="592">
        <v>2001</v>
      </c>
      <c r="M58" s="592">
        <f t="shared" si="0"/>
        <v>24</v>
      </c>
      <c r="N58" s="970" t="s">
        <v>1679</v>
      </c>
      <c r="P58" s="919" t="s">
        <v>1186</v>
      </c>
      <c r="Q58" s="919" t="s">
        <v>1879</v>
      </c>
      <c r="R58" s="919">
        <v>282</v>
      </c>
      <c r="S58" s="919" t="s">
        <v>1864</v>
      </c>
      <c r="T58" s="919" t="s">
        <v>1692</v>
      </c>
    </row>
    <row r="59" spans="1:20" ht="16">
      <c r="A59" s="524" t="s">
        <v>644</v>
      </c>
      <c r="B59" s="525" t="s">
        <v>1111</v>
      </c>
      <c r="C59" s="915">
        <v>4.32</v>
      </c>
      <c r="F59" s="571" t="s">
        <v>881</v>
      </c>
      <c r="G59" s="572" t="s">
        <v>1880</v>
      </c>
      <c r="H59" s="591" t="s">
        <v>1659</v>
      </c>
      <c r="I59" s="592" t="s">
        <v>24</v>
      </c>
      <c r="J59" s="592" t="s">
        <v>24</v>
      </c>
      <c r="K59" s="592" t="s">
        <v>16</v>
      </c>
      <c r="L59" s="592">
        <v>2001</v>
      </c>
      <c r="M59" s="592">
        <f t="shared" si="0"/>
        <v>24</v>
      </c>
      <c r="N59" s="592" t="s">
        <v>1660</v>
      </c>
      <c r="P59" s="916" t="s">
        <v>1186</v>
      </c>
      <c r="Q59" s="916" t="s">
        <v>1881</v>
      </c>
      <c r="R59" s="916">
        <v>488</v>
      </c>
      <c r="S59" s="916" t="s">
        <v>1864</v>
      </c>
      <c r="T59" s="916" t="s">
        <v>1692</v>
      </c>
    </row>
    <row r="60" spans="1:20" ht="16">
      <c r="A60" s="524" t="s">
        <v>601</v>
      </c>
      <c r="B60" s="525" t="s">
        <v>602</v>
      </c>
      <c r="C60" s="915">
        <v>4.32</v>
      </c>
      <c r="F60" s="571" t="s">
        <v>1128</v>
      </c>
      <c r="G60" s="572" t="s">
        <v>1882</v>
      </c>
      <c r="H60" s="591" t="s">
        <v>1826</v>
      </c>
      <c r="I60" s="592" t="s">
        <v>16</v>
      </c>
      <c r="J60" s="592" t="s">
        <v>1653</v>
      </c>
      <c r="K60" s="592" t="s">
        <v>16</v>
      </c>
      <c r="L60" s="592">
        <v>2003</v>
      </c>
      <c r="M60" s="592">
        <f t="shared" si="0"/>
        <v>22</v>
      </c>
      <c r="N60" s="592" t="s">
        <v>1654</v>
      </c>
      <c r="P60" s="916" t="s">
        <v>1186</v>
      </c>
      <c r="Q60" s="916" t="s">
        <v>1883</v>
      </c>
      <c r="R60" s="916">
        <v>57</v>
      </c>
      <c r="S60" s="916" t="s">
        <v>1691</v>
      </c>
      <c r="T60" s="916" t="s">
        <v>1692</v>
      </c>
    </row>
    <row r="61" spans="1:20" ht="16">
      <c r="A61" s="917" t="s">
        <v>1884</v>
      </c>
      <c r="B61" s="48" t="s">
        <v>1885</v>
      </c>
      <c r="C61" s="918">
        <v>4.4000000000000004</v>
      </c>
      <c r="F61" s="571" t="s">
        <v>1160</v>
      </c>
      <c r="G61" s="572" t="s">
        <v>1886</v>
      </c>
      <c r="H61" s="591" t="s">
        <v>1840</v>
      </c>
      <c r="I61" s="592" t="s">
        <v>16</v>
      </c>
      <c r="J61" s="592" t="s">
        <v>1653</v>
      </c>
      <c r="K61" s="592" t="s">
        <v>24</v>
      </c>
      <c r="L61" s="592">
        <v>2003</v>
      </c>
      <c r="M61" s="592">
        <f t="shared" si="0"/>
        <v>22</v>
      </c>
      <c r="N61" s="592" t="s">
        <v>1654</v>
      </c>
      <c r="P61" s="88" t="s">
        <v>26</v>
      </c>
      <c r="Q61" s="88" t="s">
        <v>1887</v>
      </c>
      <c r="R61" s="88">
        <v>49</v>
      </c>
      <c r="S61" s="88" t="s">
        <v>1755</v>
      </c>
      <c r="T61" s="88" t="s">
        <v>1647</v>
      </c>
    </row>
    <row r="62" spans="1:20" ht="16">
      <c r="A62" s="47" t="s">
        <v>513</v>
      </c>
      <c r="B62" s="525" t="s">
        <v>1888</v>
      </c>
      <c r="C62" s="915">
        <v>4.4000000000000004</v>
      </c>
      <c r="F62" s="571" t="s">
        <v>932</v>
      </c>
      <c r="G62" s="572" t="s">
        <v>1889</v>
      </c>
      <c r="H62" s="591" t="s">
        <v>1652</v>
      </c>
      <c r="I62" s="592" t="s">
        <v>24</v>
      </c>
      <c r="J62" s="592" t="s">
        <v>24</v>
      </c>
      <c r="K62" s="592" t="s">
        <v>16</v>
      </c>
      <c r="L62" s="592">
        <v>1998</v>
      </c>
      <c r="M62" s="592">
        <f t="shared" si="0"/>
        <v>27</v>
      </c>
      <c r="N62" s="592" t="s">
        <v>1654</v>
      </c>
      <c r="P62" s="88" t="s">
        <v>26</v>
      </c>
      <c r="Q62" s="88" t="s">
        <v>1890</v>
      </c>
      <c r="R62" s="88">
        <v>58</v>
      </c>
      <c r="S62" s="88" t="s">
        <v>1891</v>
      </c>
      <c r="T62" s="88" t="s">
        <v>1647</v>
      </c>
    </row>
    <row r="63" spans="1:20" ht="16">
      <c r="A63" s="524" t="s">
        <v>388</v>
      </c>
      <c r="B63" s="525" t="s">
        <v>819</v>
      </c>
      <c r="C63" s="915">
        <v>4.4000000000000004</v>
      </c>
      <c r="F63" s="571" t="s">
        <v>927</v>
      </c>
      <c r="G63" s="572" t="s">
        <v>1892</v>
      </c>
      <c r="H63" s="591" t="s">
        <v>1840</v>
      </c>
      <c r="I63" s="592" t="s">
        <v>16</v>
      </c>
      <c r="J63" s="592" t="s">
        <v>1653</v>
      </c>
      <c r="K63" s="592" t="s">
        <v>16</v>
      </c>
      <c r="L63" s="592">
        <v>2004</v>
      </c>
      <c r="M63" s="592">
        <f t="shared" si="0"/>
        <v>21</v>
      </c>
      <c r="N63" s="592" t="s">
        <v>1654</v>
      </c>
      <c r="P63" s="88" t="s">
        <v>26</v>
      </c>
      <c r="Q63" s="88" t="s">
        <v>1893</v>
      </c>
      <c r="R63" s="88">
        <v>62</v>
      </c>
      <c r="S63" s="88" t="s">
        <v>1894</v>
      </c>
      <c r="T63" s="88" t="s">
        <v>1647</v>
      </c>
    </row>
    <row r="64" spans="1:20" ht="16">
      <c r="A64" s="524" t="s">
        <v>503</v>
      </c>
      <c r="B64" s="525" t="s">
        <v>1895</v>
      </c>
      <c r="C64" s="915">
        <v>4.4000000000000004</v>
      </c>
      <c r="F64" s="571" t="s">
        <v>916</v>
      </c>
      <c r="G64" s="572" t="s">
        <v>1896</v>
      </c>
      <c r="H64" s="591" t="s">
        <v>1689</v>
      </c>
      <c r="I64" s="592" t="s">
        <v>24</v>
      </c>
      <c r="J64" s="592" t="s">
        <v>24</v>
      </c>
      <c r="K64" s="592" t="s">
        <v>16</v>
      </c>
      <c r="L64" s="592">
        <v>2006</v>
      </c>
      <c r="M64" s="592">
        <f t="shared" si="0"/>
        <v>19</v>
      </c>
      <c r="N64" s="592" t="s">
        <v>1660</v>
      </c>
      <c r="P64" s="88" t="s">
        <v>26</v>
      </c>
      <c r="Q64" s="88" t="s">
        <v>1897</v>
      </c>
      <c r="R64" s="88">
        <v>33</v>
      </c>
      <c r="S64" s="88" t="s">
        <v>1898</v>
      </c>
      <c r="T64" s="88" t="s">
        <v>1647</v>
      </c>
    </row>
    <row r="65" spans="1:20" ht="16">
      <c r="A65" s="524" t="s">
        <v>488</v>
      </c>
      <c r="B65" s="525" t="s">
        <v>761</v>
      </c>
      <c r="C65" s="915">
        <v>4.4000000000000004</v>
      </c>
      <c r="F65" s="571" t="s">
        <v>915</v>
      </c>
      <c r="G65" s="572" t="s">
        <v>1899</v>
      </c>
      <c r="H65" s="591" t="s">
        <v>1794</v>
      </c>
      <c r="I65" s="592" t="s">
        <v>24</v>
      </c>
      <c r="J65" s="592" t="s">
        <v>1900</v>
      </c>
      <c r="K65" s="592" t="s">
        <v>16</v>
      </c>
      <c r="L65" s="592">
        <v>2012</v>
      </c>
      <c r="M65" s="592">
        <f t="shared" si="0"/>
        <v>13</v>
      </c>
      <c r="N65" s="592" t="s">
        <v>1644</v>
      </c>
      <c r="P65" s="88" t="s">
        <v>26</v>
      </c>
      <c r="Q65" s="88" t="s">
        <v>1901</v>
      </c>
      <c r="R65" s="88">
        <v>32</v>
      </c>
      <c r="S65" s="88" t="s">
        <v>1219</v>
      </c>
      <c r="T65" s="88" t="s">
        <v>1647</v>
      </c>
    </row>
    <row r="66" spans="1:20" ht="16">
      <c r="A66" s="524" t="s">
        <v>625</v>
      </c>
      <c r="B66" s="525" t="s">
        <v>1902</v>
      </c>
      <c r="C66" s="915">
        <v>4.4000000000000004</v>
      </c>
      <c r="F66" s="967" t="s">
        <v>934</v>
      </c>
      <c r="G66" s="968" t="s">
        <v>1903</v>
      </c>
      <c r="H66" s="969" t="s">
        <v>1713</v>
      </c>
      <c r="I66" s="970" t="s">
        <v>16</v>
      </c>
      <c r="J66" s="970" t="s">
        <v>1653</v>
      </c>
      <c r="K66" s="970" t="s">
        <v>16</v>
      </c>
      <c r="L66" s="970">
        <v>0</v>
      </c>
      <c r="M66" s="970"/>
      <c r="N66" s="970" t="s">
        <v>1679</v>
      </c>
      <c r="P66" s="88" t="s">
        <v>26</v>
      </c>
      <c r="Q66" s="88" t="s">
        <v>1904</v>
      </c>
      <c r="R66" s="88">
        <v>69</v>
      </c>
      <c r="S66" s="88" t="s">
        <v>1905</v>
      </c>
      <c r="T66" s="88" t="s">
        <v>1647</v>
      </c>
    </row>
    <row r="67" spans="1:20" ht="16">
      <c r="A67" s="524" t="s">
        <v>1906</v>
      </c>
      <c r="B67" s="525" t="s">
        <v>1907</v>
      </c>
      <c r="C67" s="915">
        <v>4.4000000000000004</v>
      </c>
      <c r="F67" s="571" t="s">
        <v>892</v>
      </c>
      <c r="G67" s="572" t="s">
        <v>1908</v>
      </c>
      <c r="H67" s="591" t="s">
        <v>1665</v>
      </c>
      <c r="I67" s="592" t="s">
        <v>16</v>
      </c>
      <c r="J67" s="592" t="s">
        <v>24</v>
      </c>
      <c r="K67" s="592" t="s">
        <v>16</v>
      </c>
      <c r="L67" s="592">
        <v>2008</v>
      </c>
      <c r="M67" s="592">
        <f t="shared" ref="M67:M108" si="3">$E$1-L67</f>
        <v>17</v>
      </c>
      <c r="N67" s="592" t="s">
        <v>1644</v>
      </c>
      <c r="P67" s="88" t="s">
        <v>26</v>
      </c>
      <c r="Q67" s="88" t="s">
        <v>1909</v>
      </c>
      <c r="R67" s="88">
        <v>23</v>
      </c>
      <c r="S67" s="88" t="s">
        <v>1910</v>
      </c>
      <c r="T67" s="88" t="s">
        <v>1647</v>
      </c>
    </row>
    <row r="68" spans="1:20" ht="16">
      <c r="A68" s="524" t="s">
        <v>1104</v>
      </c>
      <c r="B68" s="525" t="s">
        <v>1911</v>
      </c>
      <c r="C68" s="915">
        <v>4.4000000000000004</v>
      </c>
      <c r="F68" s="967" t="s">
        <v>1912</v>
      </c>
      <c r="G68" s="968" t="s">
        <v>1913</v>
      </c>
      <c r="H68" s="969" t="s">
        <v>1713</v>
      </c>
      <c r="I68" s="970" t="s">
        <v>1833</v>
      </c>
      <c r="J68" s="970" t="s">
        <v>1653</v>
      </c>
      <c r="K68" s="970" t="s">
        <v>16</v>
      </c>
      <c r="L68" s="970">
        <v>0</v>
      </c>
      <c r="M68" s="970"/>
      <c r="N68" s="970" t="s">
        <v>1679</v>
      </c>
      <c r="P68" s="88" t="s">
        <v>26</v>
      </c>
      <c r="Q68" s="88" t="s">
        <v>1914</v>
      </c>
      <c r="R68" s="88">
        <v>494</v>
      </c>
      <c r="S68" s="88" t="s">
        <v>1915</v>
      </c>
      <c r="T68" s="88" t="s">
        <v>1647</v>
      </c>
    </row>
    <row r="69" spans="1:20" ht="16">
      <c r="A69" s="524" t="s">
        <v>490</v>
      </c>
      <c r="B69" s="525" t="s">
        <v>1916</v>
      </c>
      <c r="C69" s="915">
        <v>4.4000000000000004</v>
      </c>
      <c r="F69" s="571" t="s">
        <v>945</v>
      </c>
      <c r="G69" s="572" t="s">
        <v>1917</v>
      </c>
      <c r="H69" s="591" t="s">
        <v>1918</v>
      </c>
      <c r="I69" s="592" t="s">
        <v>16</v>
      </c>
      <c r="J69" s="592" t="s">
        <v>1653</v>
      </c>
      <c r="K69" s="592" t="s">
        <v>16</v>
      </c>
      <c r="L69" s="592">
        <v>2006</v>
      </c>
      <c r="M69" s="592">
        <f t="shared" ref="M69:M70" si="4">$E$1-L69</f>
        <v>19</v>
      </c>
      <c r="N69" s="592" t="s">
        <v>1660</v>
      </c>
      <c r="P69" s="88" t="s">
        <v>26</v>
      </c>
      <c r="Q69" s="88" t="s">
        <v>1919</v>
      </c>
      <c r="R69" s="88">
        <v>327</v>
      </c>
      <c r="S69" s="88" t="s">
        <v>1898</v>
      </c>
      <c r="T69" s="88" t="s">
        <v>1647</v>
      </c>
    </row>
    <row r="70" spans="1:20" ht="16">
      <c r="A70" s="524" t="s">
        <v>421</v>
      </c>
      <c r="B70" s="525" t="s">
        <v>576</v>
      </c>
      <c r="C70" s="915">
        <v>4.4000000000000004</v>
      </c>
      <c r="F70" s="571" t="s">
        <v>1159</v>
      </c>
      <c r="G70" s="572" t="s">
        <v>1920</v>
      </c>
      <c r="H70" s="591" t="s">
        <v>1696</v>
      </c>
      <c r="I70" s="592" t="s">
        <v>16</v>
      </c>
      <c r="J70" s="592" t="s">
        <v>1653</v>
      </c>
      <c r="K70" s="592" t="s">
        <v>16</v>
      </c>
      <c r="L70" s="592">
        <v>2007</v>
      </c>
      <c r="M70" s="592">
        <f t="shared" si="4"/>
        <v>18</v>
      </c>
      <c r="N70" s="970" t="s">
        <v>1679</v>
      </c>
      <c r="P70" s="88" t="s">
        <v>26</v>
      </c>
      <c r="Q70" s="88" t="s">
        <v>1921</v>
      </c>
      <c r="R70" s="88">
        <v>7</v>
      </c>
      <c r="S70" s="88" t="s">
        <v>1915</v>
      </c>
      <c r="T70" s="88" t="s">
        <v>1647</v>
      </c>
    </row>
    <row r="71" spans="1:20" ht="16">
      <c r="A71" s="524" t="s">
        <v>595</v>
      </c>
      <c r="B71" s="525" t="s">
        <v>1922</v>
      </c>
      <c r="C71" s="915">
        <v>4.4000000000000004</v>
      </c>
      <c r="F71" s="571" t="s">
        <v>1167</v>
      </c>
      <c r="G71" s="572" t="s">
        <v>1923</v>
      </c>
      <c r="H71" s="591" t="s">
        <v>1652</v>
      </c>
      <c r="I71" s="592" t="s">
        <v>16</v>
      </c>
      <c r="J71" s="592" t="s">
        <v>1653</v>
      </c>
      <c r="K71" s="592" t="s">
        <v>16</v>
      </c>
      <c r="L71" s="592">
        <v>2008</v>
      </c>
      <c r="M71" s="592">
        <f t="shared" ref="M71" si="5">$E$1-L71</f>
        <v>17</v>
      </c>
      <c r="N71" s="592" t="s">
        <v>1654</v>
      </c>
      <c r="P71" s="88" t="s">
        <v>26</v>
      </c>
      <c r="Q71" s="88" t="s">
        <v>1924</v>
      </c>
      <c r="R71" s="88">
        <v>297</v>
      </c>
      <c r="S71" s="88" t="s">
        <v>1667</v>
      </c>
      <c r="T71" s="88" t="s">
        <v>1647</v>
      </c>
    </row>
    <row r="72" spans="1:20" ht="16">
      <c r="A72" s="524" t="s">
        <v>389</v>
      </c>
      <c r="B72" s="525" t="s">
        <v>1112</v>
      </c>
      <c r="C72" s="915">
        <v>4.4000000000000004</v>
      </c>
      <c r="F72" s="571" t="s">
        <v>889</v>
      </c>
      <c r="G72" s="572" t="s">
        <v>1925</v>
      </c>
      <c r="H72" s="591" t="s">
        <v>1689</v>
      </c>
      <c r="I72" s="592" t="s">
        <v>16</v>
      </c>
      <c r="J72" s="592" t="s">
        <v>24</v>
      </c>
      <c r="K72" s="592" t="s">
        <v>16</v>
      </c>
      <c r="L72" s="592">
        <v>2009</v>
      </c>
      <c r="M72" s="592">
        <f t="shared" si="3"/>
        <v>16</v>
      </c>
      <c r="N72" s="592" t="s">
        <v>1660</v>
      </c>
      <c r="P72" s="88" t="s">
        <v>26</v>
      </c>
      <c r="Q72" s="88" t="s">
        <v>1926</v>
      </c>
      <c r="R72" s="88">
        <v>475</v>
      </c>
      <c r="S72" s="88" t="s">
        <v>1915</v>
      </c>
      <c r="T72" s="88" t="s">
        <v>1647</v>
      </c>
    </row>
    <row r="73" spans="1:20" ht="16">
      <c r="A73" s="524" t="s">
        <v>1927</v>
      </c>
      <c r="B73" s="525" t="s">
        <v>1928</v>
      </c>
      <c r="C73" s="915">
        <v>4.4000000000000004</v>
      </c>
      <c r="F73" s="571" t="s">
        <v>914</v>
      </c>
      <c r="G73" s="572" t="s">
        <v>1929</v>
      </c>
      <c r="H73" s="591" t="s">
        <v>1794</v>
      </c>
      <c r="I73" s="592" t="s">
        <v>16</v>
      </c>
      <c r="J73" s="592" t="s">
        <v>1653</v>
      </c>
      <c r="K73" s="592" t="s">
        <v>16</v>
      </c>
      <c r="L73" s="592">
        <v>2008</v>
      </c>
      <c r="M73" s="592">
        <f t="shared" si="3"/>
        <v>17</v>
      </c>
      <c r="N73" s="592" t="s">
        <v>1644</v>
      </c>
      <c r="P73" s="88" t="s">
        <v>26</v>
      </c>
      <c r="Q73" s="88" t="s">
        <v>1930</v>
      </c>
      <c r="R73" s="88">
        <v>67</v>
      </c>
      <c r="S73" s="88" t="s">
        <v>1931</v>
      </c>
      <c r="T73" s="88" t="s">
        <v>1647</v>
      </c>
    </row>
    <row r="74" spans="1:20" ht="16">
      <c r="A74" s="524" t="s">
        <v>481</v>
      </c>
      <c r="B74" s="525" t="s">
        <v>664</v>
      </c>
      <c r="C74" s="915">
        <v>4.4000000000000004</v>
      </c>
      <c r="F74" s="571" t="s">
        <v>928</v>
      </c>
      <c r="G74" s="572" t="s">
        <v>1932</v>
      </c>
      <c r="H74" s="591" t="s">
        <v>1652</v>
      </c>
      <c r="I74" s="592" t="s">
        <v>16</v>
      </c>
      <c r="J74" s="592" t="s">
        <v>1653</v>
      </c>
      <c r="K74" s="592" t="s">
        <v>16</v>
      </c>
      <c r="L74" s="592">
        <v>2008</v>
      </c>
      <c r="M74" s="592">
        <f t="shared" si="3"/>
        <v>17</v>
      </c>
      <c r="N74" s="592" t="s">
        <v>1654</v>
      </c>
      <c r="P74" s="88" t="s">
        <v>26</v>
      </c>
      <c r="Q74" s="88" t="s">
        <v>1933</v>
      </c>
      <c r="R74" s="88">
        <v>338</v>
      </c>
      <c r="S74" s="88" t="s">
        <v>1915</v>
      </c>
      <c r="T74" s="88" t="s">
        <v>1647</v>
      </c>
    </row>
    <row r="75" spans="1:20" ht="16">
      <c r="A75" s="524" t="s">
        <v>534</v>
      </c>
      <c r="B75" s="525" t="s">
        <v>664</v>
      </c>
      <c r="C75" s="915">
        <v>4.4000000000000004</v>
      </c>
      <c r="F75" s="571" t="s">
        <v>1154</v>
      </c>
      <c r="G75" s="572" t="s">
        <v>1934</v>
      </c>
      <c r="H75" s="591" t="s">
        <v>1659</v>
      </c>
      <c r="I75" s="592" t="s">
        <v>24</v>
      </c>
      <c r="J75" s="592" t="s">
        <v>1653</v>
      </c>
      <c r="K75" s="592" t="s">
        <v>16</v>
      </c>
      <c r="L75" s="592">
        <v>2008</v>
      </c>
      <c r="M75" s="592">
        <f t="shared" si="3"/>
        <v>17</v>
      </c>
      <c r="N75" s="592" t="s">
        <v>1660</v>
      </c>
      <c r="P75" s="88" t="s">
        <v>26</v>
      </c>
      <c r="Q75" s="88" t="s">
        <v>1935</v>
      </c>
      <c r="R75" s="88">
        <v>16</v>
      </c>
      <c r="S75" s="88" t="s">
        <v>1898</v>
      </c>
      <c r="T75" s="88" t="s">
        <v>1647</v>
      </c>
    </row>
    <row r="76" spans="1:20" ht="16">
      <c r="A76" s="524" t="s">
        <v>531</v>
      </c>
      <c r="B76" s="525" t="s">
        <v>1114</v>
      </c>
      <c r="C76" s="915">
        <v>4.4000000000000004</v>
      </c>
      <c r="F76" s="571" t="s">
        <v>891</v>
      </c>
      <c r="G76" s="572" t="s">
        <v>1936</v>
      </c>
      <c r="H76" s="591" t="s">
        <v>1794</v>
      </c>
      <c r="I76" s="592" t="s">
        <v>24</v>
      </c>
      <c r="J76" s="592" t="s">
        <v>24</v>
      </c>
      <c r="K76" s="592" t="s">
        <v>16</v>
      </c>
      <c r="L76" s="592">
        <v>2008</v>
      </c>
      <c r="M76" s="592">
        <f t="shared" si="3"/>
        <v>17</v>
      </c>
      <c r="N76" s="592" t="s">
        <v>1644</v>
      </c>
      <c r="P76" s="88" t="s">
        <v>26</v>
      </c>
      <c r="Q76" s="88" t="s">
        <v>1937</v>
      </c>
      <c r="R76" s="88">
        <v>31</v>
      </c>
      <c r="S76" s="88" t="s">
        <v>1938</v>
      </c>
      <c r="T76" s="88" t="s">
        <v>1647</v>
      </c>
    </row>
    <row r="77" spans="1:20" ht="16">
      <c r="A77" s="524" t="s">
        <v>545</v>
      </c>
      <c r="B77" s="525" t="s">
        <v>1114</v>
      </c>
      <c r="C77" s="915">
        <v>4.4000000000000004</v>
      </c>
      <c r="F77" s="571" t="s">
        <v>924</v>
      </c>
      <c r="G77" s="572" t="s">
        <v>1939</v>
      </c>
      <c r="H77" s="591" t="s">
        <v>1844</v>
      </c>
      <c r="I77" s="592" t="s">
        <v>24</v>
      </c>
      <c r="J77" s="592" t="s">
        <v>1653</v>
      </c>
      <c r="K77" s="592" t="s">
        <v>16</v>
      </c>
      <c r="L77" s="592">
        <v>2008</v>
      </c>
      <c r="M77" s="592">
        <f t="shared" si="3"/>
        <v>17</v>
      </c>
      <c r="N77" s="592" t="s">
        <v>1654</v>
      </c>
      <c r="P77" s="88" t="s">
        <v>26</v>
      </c>
      <c r="Q77" s="88" t="s">
        <v>1940</v>
      </c>
      <c r="R77" s="88">
        <v>19</v>
      </c>
      <c r="S77" s="88" t="s">
        <v>1910</v>
      </c>
      <c r="T77" s="88" t="s">
        <v>1647</v>
      </c>
    </row>
    <row r="78" spans="1:20" ht="16">
      <c r="A78" s="524" t="s">
        <v>606</v>
      </c>
      <c r="B78" s="525" t="s">
        <v>1941</v>
      </c>
      <c r="C78" s="526">
        <v>4.4000000000000004</v>
      </c>
      <c r="F78" s="571" t="s">
        <v>885</v>
      </c>
      <c r="G78" s="572" t="s">
        <v>1942</v>
      </c>
      <c r="H78" s="591" t="s">
        <v>1794</v>
      </c>
      <c r="I78" s="592" t="s">
        <v>24</v>
      </c>
      <c r="J78" s="592" t="s">
        <v>24</v>
      </c>
      <c r="K78" s="592" t="s">
        <v>16</v>
      </c>
      <c r="L78" s="592">
        <v>2009</v>
      </c>
      <c r="M78" s="592">
        <f t="shared" si="3"/>
        <v>16</v>
      </c>
      <c r="N78" s="592" t="s">
        <v>1644</v>
      </c>
      <c r="P78" s="88" t="s">
        <v>26</v>
      </c>
      <c r="Q78" s="88" t="s">
        <v>1943</v>
      </c>
      <c r="R78" s="88">
        <v>121</v>
      </c>
      <c r="S78" s="88" t="s">
        <v>1223</v>
      </c>
      <c r="T78" s="88" t="s">
        <v>1647</v>
      </c>
    </row>
    <row r="79" spans="1:20" ht="16">
      <c r="A79" s="524" t="s">
        <v>558</v>
      </c>
      <c r="B79" s="525" t="s">
        <v>1944</v>
      </c>
      <c r="C79" s="915">
        <v>4.4000000000000004</v>
      </c>
      <c r="F79" s="967" t="s">
        <v>1945</v>
      </c>
      <c r="G79" s="968" t="s">
        <v>1946</v>
      </c>
      <c r="H79" s="969" t="s">
        <v>1727</v>
      </c>
      <c r="I79" s="970" t="s">
        <v>1833</v>
      </c>
      <c r="J79" s="970" t="s">
        <v>1653</v>
      </c>
      <c r="K79" s="970" t="s">
        <v>16</v>
      </c>
      <c r="L79" s="970">
        <v>0</v>
      </c>
      <c r="M79" s="970"/>
      <c r="N79" s="970" t="s">
        <v>1679</v>
      </c>
      <c r="P79" s="88" t="s">
        <v>26</v>
      </c>
      <c r="Q79" s="88" t="s">
        <v>1947</v>
      </c>
      <c r="R79" s="88">
        <v>34</v>
      </c>
      <c r="S79" s="88" t="s">
        <v>1691</v>
      </c>
      <c r="T79" s="88" t="s">
        <v>1647</v>
      </c>
    </row>
    <row r="80" spans="1:20" ht="16">
      <c r="A80" s="47" t="s">
        <v>1948</v>
      </c>
      <c r="B80" s="525" t="s">
        <v>1949</v>
      </c>
      <c r="C80" s="52">
        <v>4.4000000000000004</v>
      </c>
      <c r="F80" s="571" t="s">
        <v>933</v>
      </c>
      <c r="G80" s="572" t="s">
        <v>1950</v>
      </c>
      <c r="H80" s="591" t="s">
        <v>1727</v>
      </c>
      <c r="I80" s="592" t="s">
        <v>1833</v>
      </c>
      <c r="J80" s="592" t="s">
        <v>1653</v>
      </c>
      <c r="K80" s="592" t="s">
        <v>16</v>
      </c>
      <c r="L80" s="592">
        <v>2010</v>
      </c>
      <c r="M80" s="592">
        <f t="shared" si="3"/>
        <v>15</v>
      </c>
      <c r="N80" s="970" t="s">
        <v>1679</v>
      </c>
      <c r="P80" s="88" t="s">
        <v>26</v>
      </c>
      <c r="Q80" s="88" t="s">
        <v>1951</v>
      </c>
      <c r="R80" s="88">
        <v>14</v>
      </c>
      <c r="S80" s="88" t="s">
        <v>1952</v>
      </c>
      <c r="T80" s="88" t="s">
        <v>1647</v>
      </c>
    </row>
    <row r="81" spans="1:20" ht="16">
      <c r="A81" s="921" t="s">
        <v>599</v>
      </c>
      <c r="B81" s="922" t="s">
        <v>1953</v>
      </c>
      <c r="C81" s="923">
        <v>4.4000000000000004</v>
      </c>
      <c r="F81" s="571" t="s">
        <v>900</v>
      </c>
      <c r="G81" s="572" t="s">
        <v>1954</v>
      </c>
      <c r="H81" s="591" t="s">
        <v>1727</v>
      </c>
      <c r="I81" s="592" t="s">
        <v>1833</v>
      </c>
      <c r="J81" s="592" t="s">
        <v>1653</v>
      </c>
      <c r="K81" s="592" t="s">
        <v>16</v>
      </c>
      <c r="L81" s="592">
        <v>2010</v>
      </c>
      <c r="M81" s="592">
        <f t="shared" si="3"/>
        <v>15</v>
      </c>
      <c r="N81" s="970" t="s">
        <v>1679</v>
      </c>
      <c r="P81" s="88" t="s">
        <v>26</v>
      </c>
      <c r="Q81" s="88" t="s">
        <v>1955</v>
      </c>
      <c r="R81" s="88">
        <v>48</v>
      </c>
      <c r="S81" s="88" t="s">
        <v>1956</v>
      </c>
      <c r="T81" s="88" t="s">
        <v>1647</v>
      </c>
    </row>
    <row r="82" spans="1:20" ht="16">
      <c r="A82" s="47" t="s">
        <v>406</v>
      </c>
      <c r="B82" s="48" t="s">
        <v>1957</v>
      </c>
      <c r="C82" s="915">
        <v>4.4000000000000004</v>
      </c>
      <c r="F82" s="571" t="s">
        <v>901</v>
      </c>
      <c r="G82" s="572" t="s">
        <v>1958</v>
      </c>
      <c r="H82" s="591" t="s">
        <v>1665</v>
      </c>
      <c r="I82" s="592" t="s">
        <v>16</v>
      </c>
      <c r="J82" s="592" t="s">
        <v>24</v>
      </c>
      <c r="K82" s="592" t="s">
        <v>16</v>
      </c>
      <c r="L82" s="592">
        <v>2009</v>
      </c>
      <c r="M82" s="592">
        <f t="shared" si="3"/>
        <v>16</v>
      </c>
      <c r="N82" s="592" t="s">
        <v>1644</v>
      </c>
      <c r="P82" s="88" t="s">
        <v>26</v>
      </c>
      <c r="Q82" s="88" t="s">
        <v>1959</v>
      </c>
      <c r="R82" s="88">
        <v>341</v>
      </c>
      <c r="S82" s="88" t="s">
        <v>1219</v>
      </c>
      <c r="T82" s="88" t="s">
        <v>1647</v>
      </c>
    </row>
    <row r="83" spans="1:20" ht="16">
      <c r="A83" s="524" t="s">
        <v>492</v>
      </c>
      <c r="B83" s="525" t="s">
        <v>1960</v>
      </c>
      <c r="C83" s="52">
        <v>4.4000000000000004</v>
      </c>
      <c r="F83" s="571" t="s">
        <v>930</v>
      </c>
      <c r="G83" s="572" t="s">
        <v>1961</v>
      </c>
      <c r="H83" s="591" t="s">
        <v>1826</v>
      </c>
      <c r="I83" s="592" t="s">
        <v>24</v>
      </c>
      <c r="J83" s="592" t="s">
        <v>1653</v>
      </c>
      <c r="K83" s="592" t="s">
        <v>16</v>
      </c>
      <c r="L83" s="592">
        <v>2011</v>
      </c>
      <c r="M83" s="592">
        <f t="shared" si="3"/>
        <v>14</v>
      </c>
      <c r="N83" s="592" t="s">
        <v>1654</v>
      </c>
      <c r="P83" s="88" t="s">
        <v>26</v>
      </c>
      <c r="Q83" s="88" t="s">
        <v>1962</v>
      </c>
      <c r="R83" s="88">
        <v>8</v>
      </c>
      <c r="S83" s="88" t="s">
        <v>1905</v>
      </c>
      <c r="T83" s="88" t="s">
        <v>1647</v>
      </c>
    </row>
    <row r="84" spans="1:20" ht="16">
      <c r="A84" s="524" t="s">
        <v>1109</v>
      </c>
      <c r="B84" s="525" t="s">
        <v>1963</v>
      </c>
      <c r="C84" s="915">
        <v>4.4800000000000004</v>
      </c>
      <c r="F84" s="571" t="s">
        <v>1124</v>
      </c>
      <c r="G84" s="572" t="s">
        <v>1964</v>
      </c>
      <c r="H84" s="591" t="s">
        <v>1659</v>
      </c>
      <c r="I84" s="592" t="s">
        <v>16</v>
      </c>
      <c r="J84" s="592" t="s">
        <v>1653</v>
      </c>
      <c r="K84" s="592" t="s">
        <v>16</v>
      </c>
      <c r="L84" s="592">
        <v>2011</v>
      </c>
      <c r="M84" s="592">
        <f t="shared" si="3"/>
        <v>14</v>
      </c>
      <c r="N84" s="592" t="s">
        <v>1660</v>
      </c>
      <c r="P84" s="88" t="s">
        <v>26</v>
      </c>
      <c r="Q84" s="88" t="s">
        <v>1965</v>
      </c>
      <c r="R84" s="88">
        <v>368</v>
      </c>
      <c r="S84" s="88" t="s">
        <v>1776</v>
      </c>
      <c r="T84" s="88" t="s">
        <v>1647</v>
      </c>
    </row>
    <row r="85" spans="1:20" ht="16">
      <c r="A85" s="524" t="s">
        <v>1966</v>
      </c>
      <c r="B85" s="525" t="s">
        <v>1967</v>
      </c>
      <c r="C85" s="915">
        <v>4.5</v>
      </c>
      <c r="F85" s="571" t="s">
        <v>939</v>
      </c>
      <c r="G85" s="572" t="s">
        <v>1968</v>
      </c>
      <c r="H85" s="591" t="s">
        <v>1665</v>
      </c>
      <c r="I85" s="592" t="s">
        <v>16</v>
      </c>
      <c r="J85" s="592" t="s">
        <v>24</v>
      </c>
      <c r="K85" s="592" t="s">
        <v>16</v>
      </c>
      <c r="L85" s="592">
        <v>2010</v>
      </c>
      <c r="M85" s="592">
        <f t="shared" si="3"/>
        <v>15</v>
      </c>
      <c r="N85" s="592" t="s">
        <v>1644</v>
      </c>
      <c r="P85" s="88" t="s">
        <v>26</v>
      </c>
      <c r="Q85" s="88" t="s">
        <v>1969</v>
      </c>
      <c r="R85" s="88">
        <v>15</v>
      </c>
      <c r="S85" s="88" t="s">
        <v>1219</v>
      </c>
      <c r="T85" s="88" t="s">
        <v>1647</v>
      </c>
    </row>
    <row r="86" spans="1:20" ht="16">
      <c r="A86" s="524" t="s">
        <v>530</v>
      </c>
      <c r="B86" s="525" t="s">
        <v>1970</v>
      </c>
      <c r="C86" s="915">
        <v>4.5</v>
      </c>
      <c r="F86" s="967" t="s">
        <v>948</v>
      </c>
      <c r="G86" s="968" t="s">
        <v>1971</v>
      </c>
      <c r="H86" s="969" t="s">
        <v>1727</v>
      </c>
      <c r="I86" s="970" t="s">
        <v>16</v>
      </c>
      <c r="J86" s="970" t="s">
        <v>1653</v>
      </c>
      <c r="K86" s="970" t="s">
        <v>16</v>
      </c>
      <c r="L86" s="970">
        <v>0</v>
      </c>
      <c r="M86" s="970">
        <f t="shared" si="3"/>
        <v>2025</v>
      </c>
      <c r="N86" s="970" t="s">
        <v>1679</v>
      </c>
      <c r="P86" s="88" t="s">
        <v>26</v>
      </c>
      <c r="Q86" s="88" t="s">
        <v>1972</v>
      </c>
      <c r="R86" s="88">
        <v>211</v>
      </c>
      <c r="S86" s="88" t="s">
        <v>1915</v>
      </c>
      <c r="T86" s="88" t="s">
        <v>1647</v>
      </c>
    </row>
    <row r="87" spans="1:20" ht="16">
      <c r="A87" s="524" t="s">
        <v>424</v>
      </c>
      <c r="B87" s="525" t="s">
        <v>1973</v>
      </c>
      <c r="C87" s="915">
        <v>4.5</v>
      </c>
      <c r="F87" s="571" t="s">
        <v>882</v>
      </c>
      <c r="G87" s="572" t="s">
        <v>1974</v>
      </c>
      <c r="H87" s="591" t="s">
        <v>1671</v>
      </c>
      <c r="I87" s="592" t="s">
        <v>24</v>
      </c>
      <c r="J87" s="592" t="s">
        <v>24</v>
      </c>
      <c r="K87" s="592" t="s">
        <v>16</v>
      </c>
      <c r="L87" s="592">
        <v>2011</v>
      </c>
      <c r="M87" s="592">
        <f t="shared" si="3"/>
        <v>14</v>
      </c>
      <c r="N87" s="592" t="s">
        <v>1660</v>
      </c>
      <c r="P87" s="88" t="s">
        <v>26</v>
      </c>
      <c r="Q87" s="88" t="s">
        <v>1975</v>
      </c>
      <c r="R87" s="88">
        <v>61</v>
      </c>
      <c r="S87" s="88" t="s">
        <v>1219</v>
      </c>
      <c r="T87" s="88" t="s">
        <v>1647</v>
      </c>
    </row>
    <row r="88" spans="1:20" ht="16">
      <c r="A88" s="524" t="s">
        <v>1096</v>
      </c>
      <c r="B88" s="525" t="s">
        <v>1976</v>
      </c>
      <c r="C88" s="915">
        <v>4.5</v>
      </c>
      <c r="F88" s="571" t="s">
        <v>1150</v>
      </c>
      <c r="G88" s="572" t="s">
        <v>1977</v>
      </c>
      <c r="H88" s="591" t="s">
        <v>1696</v>
      </c>
      <c r="I88" s="592" t="s">
        <v>16</v>
      </c>
      <c r="J88" s="592" t="s">
        <v>1653</v>
      </c>
      <c r="K88" s="592" t="s">
        <v>16</v>
      </c>
      <c r="L88" s="592">
        <v>2011</v>
      </c>
      <c r="M88" s="592">
        <f t="shared" si="3"/>
        <v>14</v>
      </c>
      <c r="N88" s="970" t="s">
        <v>1679</v>
      </c>
      <c r="P88" s="88" t="s">
        <v>26</v>
      </c>
      <c r="Q88" s="88" t="s">
        <v>1978</v>
      </c>
      <c r="R88" s="88">
        <v>21</v>
      </c>
      <c r="S88" s="88" t="s">
        <v>1776</v>
      </c>
      <c r="T88" s="88" t="s">
        <v>1647</v>
      </c>
    </row>
    <row r="89" spans="1:20" ht="16">
      <c r="A89" s="524" t="s">
        <v>623</v>
      </c>
      <c r="B89" s="525" t="s">
        <v>1979</v>
      </c>
      <c r="C89" s="915">
        <v>4.5</v>
      </c>
      <c r="F89" s="571" t="s">
        <v>925</v>
      </c>
      <c r="G89" s="572" t="s">
        <v>1980</v>
      </c>
      <c r="H89" s="591" t="s">
        <v>1659</v>
      </c>
      <c r="I89" s="592" t="s">
        <v>24</v>
      </c>
      <c r="J89" s="592" t="s">
        <v>24</v>
      </c>
      <c r="K89" s="592" t="s">
        <v>16</v>
      </c>
      <c r="L89" s="592">
        <v>2012</v>
      </c>
      <c r="M89" s="592">
        <f t="shared" si="3"/>
        <v>13</v>
      </c>
      <c r="N89" s="592" t="s">
        <v>1660</v>
      </c>
      <c r="P89" s="88" t="s">
        <v>26</v>
      </c>
      <c r="Q89" s="88" t="s">
        <v>1981</v>
      </c>
      <c r="R89" s="88">
        <v>10</v>
      </c>
      <c r="S89" s="88" t="s">
        <v>1898</v>
      </c>
      <c r="T89" s="88" t="s">
        <v>1647</v>
      </c>
    </row>
    <row r="90" spans="1:20" ht="16">
      <c r="A90" s="524" t="s">
        <v>1095</v>
      </c>
      <c r="B90" s="525" t="s">
        <v>1982</v>
      </c>
      <c r="C90" s="915">
        <v>4.5</v>
      </c>
      <c r="F90" s="571" t="s">
        <v>913</v>
      </c>
      <c r="G90" s="572" t="s">
        <v>1983</v>
      </c>
      <c r="H90" s="591" t="s">
        <v>1794</v>
      </c>
      <c r="I90" s="592" t="s">
        <v>24</v>
      </c>
      <c r="J90" s="592" t="s">
        <v>24</v>
      </c>
      <c r="K90" s="592" t="s">
        <v>16</v>
      </c>
      <c r="L90" s="592">
        <v>2012</v>
      </c>
      <c r="M90" s="592">
        <f t="shared" si="3"/>
        <v>13</v>
      </c>
      <c r="N90" s="592" t="s">
        <v>1644</v>
      </c>
      <c r="P90" s="88" t="s">
        <v>26</v>
      </c>
      <c r="Q90" s="88" t="s">
        <v>1984</v>
      </c>
      <c r="R90" s="88">
        <v>363</v>
      </c>
      <c r="S90" s="88" t="s">
        <v>1776</v>
      </c>
      <c r="T90" s="88" t="s">
        <v>1647</v>
      </c>
    </row>
    <row r="91" spans="1:20" ht="16">
      <c r="A91" s="524" t="s">
        <v>1985</v>
      </c>
      <c r="B91" s="525" t="s">
        <v>1986</v>
      </c>
      <c r="C91" s="915">
        <v>4.5</v>
      </c>
      <c r="F91" s="571" t="s">
        <v>943</v>
      </c>
      <c r="G91" s="572" t="s">
        <v>1987</v>
      </c>
      <c r="H91" s="591" t="s">
        <v>1659</v>
      </c>
      <c r="I91" s="592" t="s">
        <v>16</v>
      </c>
      <c r="J91" s="592" t="s">
        <v>1653</v>
      </c>
      <c r="K91" s="592" t="s">
        <v>16</v>
      </c>
      <c r="L91" s="592">
        <v>2011</v>
      </c>
      <c r="M91" s="592">
        <f t="shared" si="3"/>
        <v>14</v>
      </c>
      <c r="N91" s="592" t="s">
        <v>1660</v>
      </c>
      <c r="P91" s="88" t="s">
        <v>26</v>
      </c>
      <c r="Q91" s="88" t="s">
        <v>1988</v>
      </c>
      <c r="R91" s="88">
        <v>493</v>
      </c>
      <c r="S91" s="88" t="s">
        <v>1915</v>
      </c>
      <c r="T91" s="88" t="s">
        <v>1647</v>
      </c>
    </row>
    <row r="92" spans="1:20" ht="16">
      <c r="A92" s="524" t="s">
        <v>455</v>
      </c>
      <c r="B92" s="525" t="s">
        <v>567</v>
      </c>
      <c r="C92" s="915">
        <v>4.5</v>
      </c>
      <c r="F92" s="571" t="s">
        <v>1153</v>
      </c>
      <c r="G92" s="572" t="s">
        <v>908</v>
      </c>
      <c r="H92" s="591" t="s">
        <v>1918</v>
      </c>
      <c r="I92" s="592" t="s">
        <v>16</v>
      </c>
      <c r="J92" s="592" t="s">
        <v>1653</v>
      </c>
      <c r="K92" s="592" t="s">
        <v>16</v>
      </c>
      <c r="L92" s="592">
        <v>2011</v>
      </c>
      <c r="M92" s="592">
        <f t="shared" si="3"/>
        <v>14</v>
      </c>
      <c r="N92" s="592" t="s">
        <v>1660</v>
      </c>
      <c r="P92" s="88" t="s">
        <v>26</v>
      </c>
      <c r="Q92" s="88" t="s">
        <v>1989</v>
      </c>
      <c r="R92" s="88">
        <v>30</v>
      </c>
      <c r="S92" s="88" t="s">
        <v>1219</v>
      </c>
      <c r="T92" s="88" t="s">
        <v>1647</v>
      </c>
    </row>
    <row r="93" spans="1:20" ht="16">
      <c r="A93" s="524" t="s">
        <v>453</v>
      </c>
      <c r="B93" s="525" t="s">
        <v>566</v>
      </c>
      <c r="C93" s="915">
        <v>4.5</v>
      </c>
      <c r="F93" s="571" t="s">
        <v>902</v>
      </c>
      <c r="G93" s="572" t="s">
        <v>1990</v>
      </c>
      <c r="H93" s="591" t="s">
        <v>1794</v>
      </c>
      <c r="I93" s="592" t="s">
        <v>16</v>
      </c>
      <c r="J93" s="592" t="s">
        <v>24</v>
      </c>
      <c r="K93" s="592" t="s">
        <v>16</v>
      </c>
      <c r="L93" s="592">
        <v>2012</v>
      </c>
      <c r="M93" s="592">
        <f t="shared" si="3"/>
        <v>13</v>
      </c>
      <c r="N93" s="592" t="s">
        <v>1644</v>
      </c>
      <c r="P93" s="88" t="s">
        <v>26</v>
      </c>
      <c r="Q93" s="88" t="s">
        <v>1991</v>
      </c>
      <c r="R93" s="88">
        <v>473</v>
      </c>
      <c r="S93" s="88" t="s">
        <v>1898</v>
      </c>
      <c r="T93" s="88" t="s">
        <v>1647</v>
      </c>
    </row>
    <row r="94" spans="1:20" ht="16">
      <c r="A94" s="524" t="s">
        <v>454</v>
      </c>
      <c r="B94" s="525" t="s">
        <v>1094</v>
      </c>
      <c r="C94" s="915">
        <v>4.5</v>
      </c>
      <c r="F94" s="571" t="s">
        <v>1136</v>
      </c>
      <c r="G94" s="572" t="s">
        <v>1992</v>
      </c>
      <c r="H94" s="591" t="s">
        <v>1659</v>
      </c>
      <c r="I94" s="592" t="s">
        <v>16</v>
      </c>
      <c r="J94" s="592" t="s">
        <v>1653</v>
      </c>
      <c r="K94" s="592" t="s">
        <v>16</v>
      </c>
      <c r="L94" s="592">
        <v>2013</v>
      </c>
      <c r="M94" s="592">
        <f t="shared" si="3"/>
        <v>12</v>
      </c>
      <c r="N94" s="592" t="s">
        <v>1660</v>
      </c>
      <c r="P94" s="88" t="s">
        <v>26</v>
      </c>
      <c r="Q94" s="88" t="s">
        <v>1993</v>
      </c>
      <c r="R94" s="88">
        <v>24</v>
      </c>
      <c r="S94" s="88" t="s">
        <v>1905</v>
      </c>
      <c r="T94" s="88" t="s">
        <v>1647</v>
      </c>
    </row>
    <row r="95" spans="1:20" ht="16">
      <c r="A95" s="524" t="s">
        <v>1994</v>
      </c>
      <c r="B95" s="525" t="s">
        <v>551</v>
      </c>
      <c r="C95" s="915">
        <v>4.53</v>
      </c>
      <c r="F95" s="571" t="s">
        <v>897</v>
      </c>
      <c r="G95" s="572" t="s">
        <v>1995</v>
      </c>
      <c r="H95" s="591" t="s">
        <v>1794</v>
      </c>
      <c r="I95" s="592" t="s">
        <v>24</v>
      </c>
      <c r="J95" s="592" t="s">
        <v>24</v>
      </c>
      <c r="K95" s="592" t="s">
        <v>16</v>
      </c>
      <c r="L95" s="592">
        <v>2013</v>
      </c>
      <c r="M95" s="592">
        <f t="shared" si="3"/>
        <v>12</v>
      </c>
      <c r="N95" s="592" t="s">
        <v>1644</v>
      </c>
      <c r="P95" s="88" t="s">
        <v>26</v>
      </c>
      <c r="Q95" s="88" t="s">
        <v>1996</v>
      </c>
      <c r="R95" s="88">
        <v>60</v>
      </c>
      <c r="S95" s="88" t="s">
        <v>1891</v>
      </c>
      <c r="T95" s="88" t="s">
        <v>1647</v>
      </c>
    </row>
    <row r="96" spans="1:20" ht="16">
      <c r="A96" s="524" t="s">
        <v>1997</v>
      </c>
      <c r="B96" s="525" t="s">
        <v>1998</v>
      </c>
      <c r="C96" s="915">
        <v>4.54</v>
      </c>
      <c r="F96" s="571" t="s">
        <v>920</v>
      </c>
      <c r="G96" s="572" t="s">
        <v>1999</v>
      </c>
      <c r="H96" s="591" t="s">
        <v>1659</v>
      </c>
      <c r="I96" s="592" t="s">
        <v>24</v>
      </c>
      <c r="J96" s="592" t="s">
        <v>24</v>
      </c>
      <c r="K96" s="592" t="s">
        <v>16</v>
      </c>
      <c r="L96" s="592">
        <v>2013</v>
      </c>
      <c r="M96" s="592">
        <f t="shared" si="3"/>
        <v>12</v>
      </c>
      <c r="N96" s="592" t="s">
        <v>1660</v>
      </c>
      <c r="P96" s="88" t="s">
        <v>26</v>
      </c>
      <c r="Q96" s="88" t="s">
        <v>2000</v>
      </c>
      <c r="R96" s="88">
        <v>53</v>
      </c>
      <c r="S96" s="88" t="s">
        <v>1956</v>
      </c>
      <c r="T96" s="88" t="s">
        <v>1647</v>
      </c>
    </row>
    <row r="97" spans="1:20" ht="16">
      <c r="A97" s="921" t="s">
        <v>441</v>
      </c>
      <c r="B97" s="922" t="s">
        <v>2001</v>
      </c>
      <c r="C97" s="923">
        <v>4.54</v>
      </c>
      <c r="F97" s="571" t="s">
        <v>909</v>
      </c>
      <c r="G97" s="572" t="s">
        <v>2002</v>
      </c>
      <c r="H97" s="591" t="s">
        <v>1689</v>
      </c>
      <c r="I97" s="592" t="s">
        <v>24</v>
      </c>
      <c r="J97" s="592" t="s">
        <v>24</v>
      </c>
      <c r="K97" s="592" t="s">
        <v>16</v>
      </c>
      <c r="L97" s="592">
        <v>2013</v>
      </c>
      <c r="M97" s="592">
        <f t="shared" si="3"/>
        <v>12</v>
      </c>
      <c r="N97" s="592" t="s">
        <v>1660</v>
      </c>
      <c r="P97" s="88" t="s">
        <v>26</v>
      </c>
      <c r="Q97" s="88" t="s">
        <v>2003</v>
      </c>
      <c r="R97" s="88">
        <v>11</v>
      </c>
      <c r="S97" s="88" t="s">
        <v>2004</v>
      </c>
      <c r="T97" s="88" t="s">
        <v>1647</v>
      </c>
    </row>
    <row r="98" spans="1:20" ht="16">
      <c r="A98" s="524" t="s">
        <v>434</v>
      </c>
      <c r="B98" s="525" t="s">
        <v>2005</v>
      </c>
      <c r="C98" s="915">
        <v>4.5999999999999996</v>
      </c>
      <c r="F98" s="571" t="s">
        <v>886</v>
      </c>
      <c r="G98" s="572" t="s">
        <v>2006</v>
      </c>
      <c r="H98" s="591" t="s">
        <v>1659</v>
      </c>
      <c r="I98" s="592" t="s">
        <v>24</v>
      </c>
      <c r="J98" s="592" t="s">
        <v>24</v>
      </c>
      <c r="K98" s="592" t="s">
        <v>16</v>
      </c>
      <c r="L98" s="592">
        <v>2014</v>
      </c>
      <c r="M98" s="592">
        <f t="shared" si="3"/>
        <v>11</v>
      </c>
      <c r="N98" s="592" t="s">
        <v>1660</v>
      </c>
      <c r="P98" s="88" t="s">
        <v>26</v>
      </c>
      <c r="Q98" s="88" t="s">
        <v>2007</v>
      </c>
      <c r="R98" s="88">
        <v>51</v>
      </c>
      <c r="S98" s="88" t="s">
        <v>1915</v>
      </c>
      <c r="T98" s="88" t="s">
        <v>1647</v>
      </c>
    </row>
    <row r="99" spans="1:20" ht="16">
      <c r="A99" s="524" t="s">
        <v>1092</v>
      </c>
      <c r="B99" s="525" t="s">
        <v>1093</v>
      </c>
      <c r="C99" s="915">
        <v>4.5999999999999996</v>
      </c>
      <c r="F99" s="571" t="s">
        <v>935</v>
      </c>
      <c r="G99" s="572" t="s">
        <v>2008</v>
      </c>
      <c r="H99" s="591" t="s">
        <v>1794</v>
      </c>
      <c r="I99" s="592" t="s">
        <v>16</v>
      </c>
      <c r="J99" s="592" t="s">
        <v>1653</v>
      </c>
      <c r="K99" s="592" t="s">
        <v>16</v>
      </c>
      <c r="L99" s="592">
        <v>2000</v>
      </c>
      <c r="M99" s="592">
        <f>$E$1-L99</f>
        <v>25</v>
      </c>
      <c r="N99" s="592" t="s">
        <v>1644</v>
      </c>
      <c r="P99" s="88" t="s">
        <v>26</v>
      </c>
      <c r="Q99" s="88" t="s">
        <v>2009</v>
      </c>
      <c r="R99" s="88">
        <v>59</v>
      </c>
      <c r="S99" s="88" t="s">
        <v>2004</v>
      </c>
      <c r="T99" s="88" t="s">
        <v>1647</v>
      </c>
    </row>
    <row r="100" spans="1:20" ht="16">
      <c r="A100" s="917" t="s">
        <v>540</v>
      </c>
      <c r="B100" s="525" t="s">
        <v>2010</v>
      </c>
      <c r="C100" s="915">
        <v>4.5999999999999996</v>
      </c>
      <c r="F100" s="571" t="s">
        <v>898</v>
      </c>
      <c r="G100" s="572" t="s">
        <v>2011</v>
      </c>
      <c r="H100" s="591" t="s">
        <v>1652</v>
      </c>
      <c r="I100" s="592" t="s">
        <v>24</v>
      </c>
      <c r="J100" s="592" t="s">
        <v>24</v>
      </c>
      <c r="K100" s="592" t="s">
        <v>24</v>
      </c>
      <c r="L100" s="592">
        <v>2015</v>
      </c>
      <c r="M100" s="592">
        <f t="shared" si="3"/>
        <v>10</v>
      </c>
      <c r="N100" s="592" t="s">
        <v>1654</v>
      </c>
      <c r="P100" s="88" t="s">
        <v>26</v>
      </c>
      <c r="Q100" s="88" t="s">
        <v>2012</v>
      </c>
      <c r="R100" s="88">
        <v>65</v>
      </c>
      <c r="S100" s="88" t="s">
        <v>1915</v>
      </c>
      <c r="T100" s="88" t="s">
        <v>1647</v>
      </c>
    </row>
    <row r="101" spans="1:20" ht="16">
      <c r="A101" s="524" t="s">
        <v>476</v>
      </c>
      <c r="B101" s="525" t="s">
        <v>2013</v>
      </c>
      <c r="C101" s="915">
        <v>4.5999999999999996</v>
      </c>
      <c r="F101" s="571" t="s">
        <v>877</v>
      </c>
      <c r="G101" s="572" t="s">
        <v>2014</v>
      </c>
      <c r="H101" s="591" t="s">
        <v>1918</v>
      </c>
      <c r="I101" s="592" t="s">
        <v>24</v>
      </c>
      <c r="J101" s="592" t="s">
        <v>24</v>
      </c>
      <c r="K101" s="592" t="s">
        <v>16</v>
      </c>
      <c r="L101" s="592">
        <v>2015</v>
      </c>
      <c r="M101" s="592">
        <f t="shared" si="3"/>
        <v>10</v>
      </c>
      <c r="N101" s="592" t="s">
        <v>1660</v>
      </c>
      <c r="P101" s="88" t="s">
        <v>26</v>
      </c>
      <c r="Q101" s="88" t="s">
        <v>2015</v>
      </c>
      <c r="R101" s="88">
        <v>370</v>
      </c>
      <c r="S101" s="88" t="s">
        <v>1915</v>
      </c>
      <c r="T101" s="88" t="s">
        <v>1647</v>
      </c>
    </row>
    <row r="102" spans="1:20" ht="16">
      <c r="A102" s="917" t="s">
        <v>2016</v>
      </c>
      <c r="B102" s="48" t="s">
        <v>2017</v>
      </c>
      <c r="C102" s="918">
        <v>4.8</v>
      </c>
      <c r="F102" s="571" t="s">
        <v>879</v>
      </c>
      <c r="G102" s="572" t="s">
        <v>2018</v>
      </c>
      <c r="H102" s="591" t="s">
        <v>1659</v>
      </c>
      <c r="I102" s="592" t="s">
        <v>24</v>
      </c>
      <c r="J102" s="592" t="s">
        <v>24</v>
      </c>
      <c r="K102" s="592" t="s">
        <v>16</v>
      </c>
      <c r="L102" s="592">
        <v>2011</v>
      </c>
      <c r="M102" s="592">
        <f t="shared" si="3"/>
        <v>14</v>
      </c>
      <c r="N102" s="592" t="s">
        <v>1660</v>
      </c>
      <c r="P102" s="88" t="s">
        <v>26</v>
      </c>
      <c r="Q102" s="88" t="s">
        <v>2019</v>
      </c>
      <c r="R102" s="88">
        <v>471</v>
      </c>
      <c r="S102" s="88" t="s">
        <v>1223</v>
      </c>
      <c r="T102" s="88" t="s">
        <v>1647</v>
      </c>
    </row>
    <row r="103" spans="1:20" ht="16">
      <c r="A103" s="524" t="s">
        <v>485</v>
      </c>
      <c r="B103" s="525" t="s">
        <v>653</v>
      </c>
      <c r="C103" s="915">
        <v>4.8</v>
      </c>
      <c r="F103" s="967" t="s">
        <v>2020</v>
      </c>
      <c r="G103" s="968" t="s">
        <v>2021</v>
      </c>
      <c r="H103" s="969" t="s">
        <v>1727</v>
      </c>
      <c r="I103" s="970" t="s">
        <v>16</v>
      </c>
      <c r="J103" s="970" t="s">
        <v>1653</v>
      </c>
      <c r="K103" s="970" t="s">
        <v>16</v>
      </c>
      <c r="L103" s="970">
        <v>0</v>
      </c>
      <c r="M103" s="970"/>
      <c r="N103" s="970" t="s">
        <v>1679</v>
      </c>
      <c r="P103" s="88" t="s">
        <v>26</v>
      </c>
      <c r="Q103" s="88" t="s">
        <v>2022</v>
      </c>
      <c r="R103" s="88">
        <v>66</v>
      </c>
      <c r="S103" s="88" t="s">
        <v>1894</v>
      </c>
      <c r="T103" s="88" t="s">
        <v>1647</v>
      </c>
    </row>
    <row r="104" spans="1:20" ht="16">
      <c r="A104" s="524" t="s">
        <v>562</v>
      </c>
      <c r="B104" s="525" t="s">
        <v>653</v>
      </c>
      <c r="C104" s="915">
        <v>4.8</v>
      </c>
      <c r="F104" s="571" t="s">
        <v>896</v>
      </c>
      <c r="G104" s="572" t="s">
        <v>2023</v>
      </c>
      <c r="H104" s="591" t="s">
        <v>2024</v>
      </c>
      <c r="I104" s="592" t="s">
        <v>16</v>
      </c>
      <c r="J104" s="592" t="s">
        <v>1653</v>
      </c>
      <c r="K104" s="592" t="s">
        <v>16</v>
      </c>
      <c r="L104" s="592">
        <v>1995</v>
      </c>
      <c r="M104" s="592">
        <f t="shared" ref="M104" si="6">$E$1-L104</f>
        <v>30</v>
      </c>
      <c r="N104" s="592" t="s">
        <v>1654</v>
      </c>
      <c r="P104" s="88" t="s">
        <v>26</v>
      </c>
      <c r="Q104" s="88" t="s">
        <v>2025</v>
      </c>
      <c r="R104" s="88">
        <v>207</v>
      </c>
      <c r="S104" s="88" t="s">
        <v>1219</v>
      </c>
      <c r="T104" s="88" t="s">
        <v>1647</v>
      </c>
    </row>
    <row r="105" spans="1:20" ht="16">
      <c r="A105" s="924" t="s">
        <v>2026</v>
      </c>
      <c r="B105" s="525" t="s">
        <v>2027</v>
      </c>
      <c r="C105" s="915">
        <v>4.8</v>
      </c>
      <c r="F105" s="571" t="s">
        <v>2028</v>
      </c>
      <c r="G105" s="572" t="s">
        <v>2029</v>
      </c>
      <c r="H105" s="591" t="s">
        <v>1678</v>
      </c>
      <c r="I105" s="592" t="s">
        <v>16</v>
      </c>
      <c r="J105" s="592" t="s">
        <v>1653</v>
      </c>
      <c r="K105" s="592" t="s">
        <v>16</v>
      </c>
      <c r="L105" s="592">
        <v>1993</v>
      </c>
      <c r="M105" s="592">
        <f t="shared" si="3"/>
        <v>32</v>
      </c>
      <c r="N105" s="970" t="s">
        <v>1679</v>
      </c>
      <c r="P105" s="88" t="s">
        <v>26</v>
      </c>
      <c r="Q105" s="88" t="s">
        <v>2030</v>
      </c>
      <c r="R105" s="88">
        <v>22</v>
      </c>
      <c r="S105" s="88" t="s">
        <v>1915</v>
      </c>
      <c r="T105" s="88" t="s">
        <v>1647</v>
      </c>
    </row>
    <row r="106" spans="1:20" ht="16">
      <c r="A106" s="524" t="s">
        <v>522</v>
      </c>
      <c r="B106" s="525" t="s">
        <v>2031</v>
      </c>
      <c r="C106" s="915">
        <v>4.8</v>
      </c>
      <c r="F106" s="828" t="s">
        <v>2032</v>
      </c>
      <c r="G106" s="829" t="s">
        <v>2033</v>
      </c>
      <c r="H106" s="830" t="s">
        <v>1678</v>
      </c>
      <c r="I106" s="831" t="s">
        <v>16</v>
      </c>
      <c r="J106" s="831" t="s">
        <v>1653</v>
      </c>
      <c r="K106" s="831" t="s">
        <v>16</v>
      </c>
      <c r="L106" s="831">
        <v>2000</v>
      </c>
      <c r="M106" s="592">
        <f t="shared" si="3"/>
        <v>25</v>
      </c>
      <c r="N106" s="970" t="s">
        <v>1679</v>
      </c>
      <c r="P106" s="88" t="s">
        <v>26</v>
      </c>
      <c r="Q106" s="88" t="s">
        <v>2034</v>
      </c>
      <c r="R106" s="88">
        <v>39</v>
      </c>
      <c r="S106" s="88" t="s">
        <v>1956</v>
      </c>
      <c r="T106" s="88" t="s">
        <v>1647</v>
      </c>
    </row>
    <row r="107" spans="1:20" ht="16">
      <c r="A107" s="524" t="s">
        <v>608</v>
      </c>
      <c r="B107" s="525" t="s">
        <v>2031</v>
      </c>
      <c r="C107" s="526">
        <v>4.8</v>
      </c>
      <c r="F107" s="961" t="s">
        <v>947</v>
      </c>
      <c r="G107" s="961" t="s">
        <v>2035</v>
      </c>
      <c r="H107" s="962" t="s">
        <v>2024</v>
      </c>
      <c r="I107" s="827" t="s">
        <v>16</v>
      </c>
      <c r="J107" s="827" t="s">
        <v>1653</v>
      </c>
      <c r="K107" s="827" t="s">
        <v>16</v>
      </c>
      <c r="L107" s="827">
        <v>1992</v>
      </c>
      <c r="M107" s="592">
        <f t="shared" si="3"/>
        <v>33</v>
      </c>
      <c r="N107" s="592" t="s">
        <v>1654</v>
      </c>
      <c r="P107" s="88" t="s">
        <v>26</v>
      </c>
      <c r="Q107" s="88" t="s">
        <v>2036</v>
      </c>
      <c r="R107" s="88">
        <v>218</v>
      </c>
      <c r="S107" s="88" t="s">
        <v>1915</v>
      </c>
      <c r="T107" s="88" t="s">
        <v>1647</v>
      </c>
    </row>
    <row r="108" spans="1:20" ht="16">
      <c r="A108" s="524" t="s">
        <v>2037</v>
      </c>
      <c r="B108" s="525" t="s">
        <v>2038</v>
      </c>
      <c r="C108" s="915">
        <v>4.8</v>
      </c>
      <c r="F108" s="961" t="s">
        <v>2039</v>
      </c>
      <c r="G108" s="961" t="s">
        <v>2040</v>
      </c>
      <c r="H108" s="962" t="s">
        <v>2041</v>
      </c>
      <c r="I108" s="827" t="s">
        <v>16</v>
      </c>
      <c r="J108" s="827" t="s">
        <v>1653</v>
      </c>
      <c r="K108" s="827" t="s">
        <v>24</v>
      </c>
      <c r="L108" s="827">
        <v>2003</v>
      </c>
      <c r="M108" s="827">
        <f t="shared" si="3"/>
        <v>22</v>
      </c>
      <c r="N108" s="592" t="s">
        <v>1654</v>
      </c>
      <c r="P108" s="88" t="s">
        <v>26</v>
      </c>
      <c r="Q108" s="88" t="s">
        <v>2042</v>
      </c>
      <c r="R108" s="88">
        <v>78</v>
      </c>
      <c r="S108" s="88" t="s">
        <v>1898</v>
      </c>
      <c r="T108" s="88" t="s">
        <v>1647</v>
      </c>
    </row>
    <row r="109" spans="1:20" ht="16">
      <c r="A109" s="925" t="s">
        <v>397</v>
      </c>
      <c r="B109" s="525" t="s">
        <v>2027</v>
      </c>
      <c r="C109" s="915">
        <v>4.8</v>
      </c>
      <c r="F109" s="961" t="s">
        <v>1163</v>
      </c>
      <c r="G109" s="961" t="s">
        <v>2043</v>
      </c>
      <c r="H109" s="962" t="s">
        <v>1794</v>
      </c>
      <c r="I109" s="827" t="s">
        <v>16</v>
      </c>
      <c r="J109" s="827" t="s">
        <v>1653</v>
      </c>
      <c r="K109" s="827" t="s">
        <v>16</v>
      </c>
      <c r="L109" s="827">
        <v>2013</v>
      </c>
      <c r="M109" s="827">
        <f t="shared" ref="M109" si="7">$E$1-L109</f>
        <v>12</v>
      </c>
      <c r="N109" s="592" t="s">
        <v>1644</v>
      </c>
      <c r="P109" s="88" t="s">
        <v>26</v>
      </c>
      <c r="Q109" s="88" t="s">
        <v>2044</v>
      </c>
      <c r="R109" s="88">
        <v>215</v>
      </c>
      <c r="S109" s="88" t="s">
        <v>1898</v>
      </c>
      <c r="T109" s="88" t="s">
        <v>1692</v>
      </c>
    </row>
    <row r="110" spans="1:20" ht="16">
      <c r="A110" s="524" t="s">
        <v>411</v>
      </c>
      <c r="B110" s="525" t="s">
        <v>642</v>
      </c>
      <c r="C110" s="915">
        <v>4.8</v>
      </c>
      <c r="F110" s="961" t="s">
        <v>1164</v>
      </c>
      <c r="G110" s="961" t="s">
        <v>2045</v>
      </c>
      <c r="H110" s="962" t="s">
        <v>1696</v>
      </c>
      <c r="I110" s="827" t="s">
        <v>16</v>
      </c>
      <c r="J110" s="827" t="s">
        <v>1653</v>
      </c>
      <c r="K110" s="827" t="s">
        <v>16</v>
      </c>
      <c r="L110" s="827">
        <v>2025</v>
      </c>
      <c r="M110" s="827">
        <f>$E$1-L110</f>
        <v>0</v>
      </c>
      <c r="N110" s="970" t="s">
        <v>1679</v>
      </c>
      <c r="P110" s="88" t="s">
        <v>26</v>
      </c>
      <c r="Q110" s="88" t="s">
        <v>2046</v>
      </c>
      <c r="R110" s="88">
        <v>195</v>
      </c>
      <c r="S110" s="88" t="s">
        <v>1898</v>
      </c>
      <c r="T110" s="88" t="s">
        <v>1692</v>
      </c>
    </row>
    <row r="111" spans="1:20" ht="16">
      <c r="A111" s="1011" t="s">
        <v>619</v>
      </c>
      <c r="B111" s="1013" t="s">
        <v>2047</v>
      </c>
      <c r="C111" s="526">
        <v>4.8</v>
      </c>
      <c r="F111" s="961" t="s">
        <v>1165</v>
      </c>
      <c r="G111" s="961" t="s">
        <v>2048</v>
      </c>
      <c r="H111" s="962" t="s">
        <v>1727</v>
      </c>
      <c r="I111" s="827" t="s">
        <v>16</v>
      </c>
      <c r="J111" s="827" t="s">
        <v>1653</v>
      </c>
      <c r="K111" s="827" t="s">
        <v>16</v>
      </c>
      <c r="L111" s="827">
        <v>2001</v>
      </c>
      <c r="M111" s="827">
        <f>$E$1-L111</f>
        <v>24</v>
      </c>
      <c r="N111" s="970" t="s">
        <v>1679</v>
      </c>
      <c r="P111" s="88" t="s">
        <v>26</v>
      </c>
      <c r="Q111" s="88" t="s">
        <v>2049</v>
      </c>
      <c r="R111" s="88">
        <v>202</v>
      </c>
      <c r="S111" s="88" t="s">
        <v>1915</v>
      </c>
      <c r="T111" s="88" t="s">
        <v>1692</v>
      </c>
    </row>
    <row r="112" spans="1:20" ht="16">
      <c r="A112" s="47" t="s">
        <v>1069</v>
      </c>
      <c r="B112" s="48" t="s">
        <v>2050</v>
      </c>
      <c r="C112" s="915">
        <v>4.97</v>
      </c>
      <c r="F112" s="961" t="s">
        <v>938</v>
      </c>
      <c r="G112" s="961" t="s">
        <v>2051</v>
      </c>
      <c r="H112" s="962" t="s">
        <v>1713</v>
      </c>
      <c r="I112" s="827" t="s">
        <v>2052</v>
      </c>
      <c r="J112" s="827" t="s">
        <v>1653</v>
      </c>
      <c r="K112" s="827" t="s">
        <v>16</v>
      </c>
      <c r="L112" s="827">
        <v>2008</v>
      </c>
      <c r="M112" s="827">
        <f>$E$1-L112</f>
        <v>17</v>
      </c>
      <c r="N112" s="970" t="s">
        <v>1679</v>
      </c>
      <c r="P112" s="88" t="s">
        <v>26</v>
      </c>
      <c r="Q112" s="88" t="s">
        <v>2053</v>
      </c>
      <c r="R112" s="88">
        <v>108</v>
      </c>
      <c r="S112" s="88" t="s">
        <v>1219</v>
      </c>
      <c r="T112" s="88" t="s">
        <v>1692</v>
      </c>
    </row>
    <row r="113" spans="1:20" ht="16">
      <c r="A113" s="524" t="s">
        <v>561</v>
      </c>
      <c r="B113" s="525" t="s">
        <v>2054</v>
      </c>
      <c r="C113" s="915">
        <v>4.97</v>
      </c>
      <c r="F113" s="961" t="s">
        <v>1168</v>
      </c>
      <c r="G113" s="1058" t="s">
        <v>2055</v>
      </c>
      <c r="H113" s="1059" t="s">
        <v>1727</v>
      </c>
      <c r="I113" s="1060" t="s">
        <v>24</v>
      </c>
      <c r="J113" s="827" t="s">
        <v>1653</v>
      </c>
      <c r="K113" s="827" t="s">
        <v>16</v>
      </c>
      <c r="L113" s="827">
        <v>2025</v>
      </c>
      <c r="M113" s="827">
        <f>$E$1-L113</f>
        <v>0</v>
      </c>
      <c r="N113" s="970" t="s">
        <v>1679</v>
      </c>
      <c r="P113" s="88" t="s">
        <v>26</v>
      </c>
      <c r="Q113" s="88" t="s">
        <v>2056</v>
      </c>
      <c r="R113" s="88">
        <v>112</v>
      </c>
      <c r="S113" s="88" t="s">
        <v>1891</v>
      </c>
      <c r="T113" s="88" t="s">
        <v>1692</v>
      </c>
    </row>
    <row r="114" spans="1:20" ht="16">
      <c r="A114" s="524" t="s">
        <v>2057</v>
      </c>
      <c r="B114" s="525" t="s">
        <v>2058</v>
      </c>
      <c r="C114" s="915">
        <v>4.97</v>
      </c>
      <c r="F114" s="1057" t="s">
        <v>935</v>
      </c>
      <c r="G114" s="961" t="s">
        <v>2059</v>
      </c>
      <c r="H114" s="1056" t="s">
        <v>1918</v>
      </c>
      <c r="I114" s="827" t="s">
        <v>16</v>
      </c>
      <c r="J114" s="831" t="s">
        <v>16</v>
      </c>
      <c r="K114" s="831" t="s">
        <v>16</v>
      </c>
      <c r="L114" s="831">
        <v>2000</v>
      </c>
      <c r="M114" s="831">
        <f t="shared" ref="M114:M117" si="8">$E$1-L114</f>
        <v>25</v>
      </c>
      <c r="N114" s="592" t="s">
        <v>1660</v>
      </c>
      <c r="P114" s="88" t="s">
        <v>26</v>
      </c>
      <c r="Q114" s="88" t="s">
        <v>2060</v>
      </c>
      <c r="R114" s="88">
        <v>283</v>
      </c>
      <c r="S114" s="88" t="s">
        <v>1223</v>
      </c>
      <c r="T114" s="88" t="s">
        <v>1692</v>
      </c>
    </row>
    <row r="115" spans="1:20" ht="16">
      <c r="A115" s="524" t="s">
        <v>524</v>
      </c>
      <c r="B115" s="525" t="s">
        <v>729</v>
      </c>
      <c r="C115" s="915">
        <v>4.97</v>
      </c>
      <c r="F115" s="961" t="s">
        <v>1125</v>
      </c>
      <c r="G115" s="1061" t="s">
        <v>2061</v>
      </c>
      <c r="H115" s="1062" t="s">
        <v>1652</v>
      </c>
      <c r="I115" s="1063" t="s">
        <v>16</v>
      </c>
      <c r="J115" s="827" t="s">
        <v>16</v>
      </c>
      <c r="K115" s="827" t="s">
        <v>24</v>
      </c>
      <c r="L115" s="827">
        <v>2012</v>
      </c>
      <c r="M115" s="827">
        <f t="shared" si="8"/>
        <v>13</v>
      </c>
      <c r="N115" s="592" t="s">
        <v>1654</v>
      </c>
      <c r="P115" s="88" t="s">
        <v>26</v>
      </c>
      <c r="Q115" s="88" t="s">
        <v>2062</v>
      </c>
      <c r="R115" s="88">
        <v>139</v>
      </c>
      <c r="S115" s="88" t="s">
        <v>1898</v>
      </c>
      <c r="T115" s="88" t="s">
        <v>1692</v>
      </c>
    </row>
    <row r="116" spans="1:20" ht="16">
      <c r="A116" s="524" t="s">
        <v>550</v>
      </c>
      <c r="B116" s="525" t="s">
        <v>2063</v>
      </c>
      <c r="C116" s="915">
        <v>4.97</v>
      </c>
      <c r="F116" s="961" t="s">
        <v>950</v>
      </c>
      <c r="G116" s="961" t="s">
        <v>2064</v>
      </c>
      <c r="H116" s="962" t="s">
        <v>1794</v>
      </c>
      <c r="I116" s="827" t="s">
        <v>16</v>
      </c>
      <c r="J116" s="827" t="s">
        <v>16</v>
      </c>
      <c r="K116" s="827" t="s">
        <v>16</v>
      </c>
      <c r="L116" s="827">
        <v>2010</v>
      </c>
      <c r="M116" s="827">
        <f t="shared" si="8"/>
        <v>15</v>
      </c>
      <c r="N116" s="592" t="s">
        <v>1644</v>
      </c>
      <c r="P116" s="88" t="s">
        <v>26</v>
      </c>
      <c r="Q116" s="88" t="s">
        <v>2065</v>
      </c>
      <c r="R116" s="88">
        <v>136</v>
      </c>
      <c r="S116" s="88" t="s">
        <v>1566</v>
      </c>
      <c r="T116" s="88" t="s">
        <v>1692</v>
      </c>
    </row>
    <row r="117" spans="1:20" ht="16">
      <c r="A117" s="524" t="s">
        <v>427</v>
      </c>
      <c r="B117" s="525" t="s">
        <v>864</v>
      </c>
      <c r="C117" s="915">
        <v>4.97</v>
      </c>
      <c r="F117" s="1058" t="s">
        <v>1123</v>
      </c>
      <c r="G117" s="826" t="s">
        <v>2066</v>
      </c>
      <c r="H117" s="962" t="s">
        <v>1794</v>
      </c>
      <c r="I117" s="827" t="s">
        <v>16</v>
      </c>
      <c r="J117" s="827" t="s">
        <v>16</v>
      </c>
      <c r="K117" s="827" t="s">
        <v>16</v>
      </c>
      <c r="L117" s="827">
        <v>2009</v>
      </c>
      <c r="M117" s="827">
        <f t="shared" si="8"/>
        <v>16</v>
      </c>
      <c r="N117" s="592" t="s">
        <v>1644</v>
      </c>
      <c r="P117" s="88" t="s">
        <v>26</v>
      </c>
      <c r="Q117" s="88" t="s">
        <v>2067</v>
      </c>
      <c r="R117" s="88">
        <v>129</v>
      </c>
      <c r="S117" s="88" t="s">
        <v>1915</v>
      </c>
      <c r="T117" s="88" t="s">
        <v>1692</v>
      </c>
    </row>
    <row r="118" spans="1:20" ht="16">
      <c r="A118" s="524" t="s">
        <v>395</v>
      </c>
      <c r="B118" s="525" t="s">
        <v>2068</v>
      </c>
      <c r="C118" s="915">
        <v>4.97</v>
      </c>
      <c r="F118" s="1069" t="s">
        <v>1131</v>
      </c>
      <c r="G118" t="s">
        <v>2069</v>
      </c>
      <c r="H118" s="962" t="s">
        <v>2024</v>
      </c>
      <c r="I118" s="827" t="s">
        <v>16</v>
      </c>
      <c r="J118" s="827" t="s">
        <v>16</v>
      </c>
      <c r="K118" s="827" t="s">
        <v>16</v>
      </c>
      <c r="L118" s="827">
        <v>2012</v>
      </c>
      <c r="M118" s="827">
        <f>$E$1-L118</f>
        <v>13</v>
      </c>
      <c r="N118" s="592" t="s">
        <v>1660</v>
      </c>
      <c r="P118" s="88" t="s">
        <v>26</v>
      </c>
      <c r="Q118" s="88" t="s">
        <v>2070</v>
      </c>
      <c r="R118" s="88">
        <v>479</v>
      </c>
      <c r="S118" s="88" t="s">
        <v>1915</v>
      </c>
      <c r="T118" s="88" t="s">
        <v>1692</v>
      </c>
    </row>
    <row r="119" spans="1:20" ht="16">
      <c r="A119" s="524" t="s">
        <v>504</v>
      </c>
      <c r="B119" s="525" t="s">
        <v>672</v>
      </c>
      <c r="C119" s="915">
        <v>4.97</v>
      </c>
      <c r="F119" s="1171" t="s">
        <v>1122</v>
      </c>
      <c r="G119" s="1058" t="s">
        <v>2071</v>
      </c>
      <c r="H119" s="1059" t="s">
        <v>1727</v>
      </c>
      <c r="I119" s="827" t="s">
        <v>16</v>
      </c>
      <c r="J119" s="827" t="s">
        <v>16</v>
      </c>
      <c r="K119" s="827" t="s">
        <v>16</v>
      </c>
      <c r="L119" s="827">
        <v>2026</v>
      </c>
      <c r="M119" s="827">
        <f>$E$1-L119</f>
        <v>-1</v>
      </c>
      <c r="N119" s="970" t="s">
        <v>1679</v>
      </c>
      <c r="P119" s="88" t="s">
        <v>26</v>
      </c>
      <c r="Q119" s="88" t="s">
        <v>2072</v>
      </c>
      <c r="R119" s="88">
        <v>130</v>
      </c>
      <c r="S119" s="88" t="s">
        <v>1219</v>
      </c>
      <c r="T119" s="88" t="s">
        <v>1692</v>
      </c>
    </row>
    <row r="120" spans="1:20">
      <c r="A120" s="47" t="s">
        <v>515</v>
      </c>
      <c r="B120" s="525" t="s">
        <v>2073</v>
      </c>
      <c r="C120" s="915">
        <v>4.9800000000000004</v>
      </c>
      <c r="F120" s="964" t="s">
        <v>1130</v>
      </c>
      <c r="G120" s="826" t="s">
        <v>2074</v>
      </c>
      <c r="H120" s="962">
        <v>12</v>
      </c>
      <c r="I120" s="1170" t="s">
        <v>16</v>
      </c>
      <c r="J120" s="827" t="s">
        <v>16</v>
      </c>
      <c r="K120" s="592" t="s">
        <v>24</v>
      </c>
      <c r="L120" s="592">
        <v>2015</v>
      </c>
      <c r="M120" s="827">
        <f>$E$1-L120</f>
        <v>10</v>
      </c>
      <c r="N120" s="592" t="s">
        <v>1654</v>
      </c>
      <c r="P120" s="88" t="s">
        <v>26</v>
      </c>
      <c r="Q120" s="88" t="s">
        <v>2075</v>
      </c>
      <c r="R120" s="88">
        <v>165</v>
      </c>
      <c r="S120" s="88" t="s">
        <v>1219</v>
      </c>
      <c r="T120" s="88" t="s">
        <v>1692</v>
      </c>
    </row>
    <row r="121" spans="1:20" ht="16">
      <c r="A121" s="524" t="s">
        <v>402</v>
      </c>
      <c r="B121" s="525" t="s">
        <v>707</v>
      </c>
      <c r="C121" s="915">
        <v>4.9800000000000004</v>
      </c>
      <c r="F121" s="961" t="s">
        <v>1126</v>
      </c>
      <c r="G121" s="961" t="s">
        <v>2076</v>
      </c>
      <c r="H121" s="962" t="s">
        <v>1794</v>
      </c>
      <c r="I121" s="827" t="s">
        <v>16</v>
      </c>
      <c r="J121" s="827" t="s">
        <v>16</v>
      </c>
      <c r="K121" s="827" t="s">
        <v>16</v>
      </c>
      <c r="L121" s="592">
        <v>2026</v>
      </c>
      <c r="M121" s="827">
        <f t="shared" ref="M121:M122" si="9">$E$1-L121</f>
        <v>-1</v>
      </c>
      <c r="N121" s="592" t="s">
        <v>1644</v>
      </c>
      <c r="P121" s="88" t="s">
        <v>26</v>
      </c>
      <c r="Q121" s="88" t="s">
        <v>2077</v>
      </c>
      <c r="R121" s="88">
        <v>142</v>
      </c>
      <c r="S121" s="88" t="s">
        <v>1905</v>
      </c>
      <c r="T121" s="88" t="s">
        <v>1692</v>
      </c>
    </row>
    <row r="122" spans="1:20" ht="16">
      <c r="A122" s="524" t="s">
        <v>413</v>
      </c>
      <c r="B122" s="525" t="s">
        <v>2078</v>
      </c>
      <c r="C122" s="915">
        <v>4.9800000000000004</v>
      </c>
      <c r="F122" s="571" t="s">
        <v>1132</v>
      </c>
      <c r="G122" s="961" t="s">
        <v>2079</v>
      </c>
      <c r="H122" s="962" t="s">
        <v>1794</v>
      </c>
      <c r="I122" s="827" t="s">
        <v>16</v>
      </c>
      <c r="J122" s="827" t="s">
        <v>16</v>
      </c>
      <c r="K122" s="827" t="s">
        <v>16</v>
      </c>
      <c r="L122" s="592">
        <v>1997</v>
      </c>
      <c r="M122" s="827">
        <f t="shared" si="9"/>
        <v>28</v>
      </c>
      <c r="N122" s="592" t="s">
        <v>1644</v>
      </c>
      <c r="P122" s="88" t="s">
        <v>26</v>
      </c>
      <c r="Q122" s="88" t="s">
        <v>2080</v>
      </c>
      <c r="R122" s="88">
        <v>333</v>
      </c>
      <c r="S122" s="88" t="s">
        <v>1898</v>
      </c>
      <c r="T122" s="88" t="s">
        <v>1692</v>
      </c>
    </row>
    <row r="123" spans="1:20">
      <c r="A123" s="524" t="s">
        <v>403</v>
      </c>
      <c r="B123" s="525" t="s">
        <v>2081</v>
      </c>
      <c r="C123" s="915">
        <v>4.9800000000000004</v>
      </c>
      <c r="F123" s="571"/>
      <c r="G123" s="572"/>
      <c r="H123" s="591"/>
      <c r="I123" s="592"/>
      <c r="J123" s="592"/>
      <c r="K123" s="592"/>
      <c r="L123" s="592"/>
      <c r="M123" s="592"/>
      <c r="N123" s="592"/>
      <c r="P123" s="88" t="s">
        <v>26</v>
      </c>
      <c r="Q123" s="88" t="s">
        <v>2082</v>
      </c>
      <c r="R123" s="88">
        <v>407</v>
      </c>
      <c r="S123" s="88" t="s">
        <v>1223</v>
      </c>
      <c r="T123" s="88" t="s">
        <v>1692</v>
      </c>
    </row>
    <row r="124" spans="1:20">
      <c r="A124" s="524" t="s">
        <v>592</v>
      </c>
      <c r="B124" s="525" t="s">
        <v>2083</v>
      </c>
      <c r="C124" s="915">
        <v>4.9800000000000004</v>
      </c>
      <c r="F124" s="571"/>
      <c r="G124" s="572"/>
      <c r="H124" s="591"/>
      <c r="I124" s="592"/>
      <c r="J124" s="592"/>
      <c r="K124" s="592"/>
      <c r="L124" s="592"/>
      <c r="M124" s="592"/>
      <c r="N124" s="592"/>
      <c r="P124" s="88" t="s">
        <v>26</v>
      </c>
      <c r="Q124" s="88" t="s">
        <v>2084</v>
      </c>
      <c r="R124" s="88">
        <v>134</v>
      </c>
      <c r="S124" s="88" t="s">
        <v>1915</v>
      </c>
      <c r="T124" s="88" t="s">
        <v>1692</v>
      </c>
    </row>
    <row r="125" spans="1:20">
      <c r="A125" s="524" t="s">
        <v>426</v>
      </c>
      <c r="B125" s="48" t="s">
        <v>720</v>
      </c>
      <c r="C125" s="915">
        <v>4.9800000000000004</v>
      </c>
      <c r="F125" s="571"/>
      <c r="G125" s="572"/>
      <c r="H125" s="591"/>
      <c r="I125" s="592"/>
      <c r="J125" s="592"/>
      <c r="K125" s="592"/>
      <c r="L125" s="592"/>
      <c r="M125" s="592"/>
      <c r="N125" s="592"/>
      <c r="P125" s="88" t="s">
        <v>26</v>
      </c>
      <c r="Q125" s="88" t="s">
        <v>2085</v>
      </c>
      <c r="R125" s="88">
        <v>408</v>
      </c>
      <c r="S125" s="88" t="s">
        <v>1223</v>
      </c>
      <c r="T125" s="88" t="s">
        <v>1692</v>
      </c>
    </row>
    <row r="126" spans="1:20">
      <c r="A126" s="524" t="s">
        <v>417</v>
      </c>
      <c r="B126" s="525" t="s">
        <v>795</v>
      </c>
      <c r="C126" s="915">
        <v>4.9800000000000004</v>
      </c>
      <c r="F126" s="571"/>
      <c r="G126" s="572"/>
      <c r="H126" s="591"/>
      <c r="I126" s="592"/>
      <c r="J126" s="592"/>
      <c r="K126" s="592"/>
      <c r="L126" s="592"/>
      <c r="M126" s="592"/>
      <c r="N126" s="592"/>
      <c r="P126" s="88" t="s">
        <v>26</v>
      </c>
      <c r="Q126" s="88" t="s">
        <v>2086</v>
      </c>
      <c r="R126" s="88">
        <v>197</v>
      </c>
      <c r="S126" s="88" t="s">
        <v>1219</v>
      </c>
      <c r="T126" s="88" t="s">
        <v>1692</v>
      </c>
    </row>
    <row r="127" spans="1:20">
      <c r="A127" s="524" t="s">
        <v>452</v>
      </c>
      <c r="B127" s="525" t="s">
        <v>552</v>
      </c>
      <c r="C127" s="915">
        <v>4.9800000000000004</v>
      </c>
      <c r="F127" s="571"/>
      <c r="G127" s="572"/>
      <c r="H127" s="591"/>
      <c r="I127" s="592"/>
      <c r="J127" s="592"/>
      <c r="K127" s="592"/>
      <c r="L127" s="592"/>
      <c r="M127" s="592"/>
      <c r="N127" s="592"/>
      <c r="P127" s="88" t="s">
        <v>26</v>
      </c>
      <c r="Q127" s="88" t="s">
        <v>2087</v>
      </c>
      <c r="R127" s="88">
        <v>459</v>
      </c>
      <c r="S127" s="88" t="s">
        <v>1915</v>
      </c>
      <c r="T127" s="88" t="s">
        <v>1692</v>
      </c>
    </row>
    <row r="128" spans="1:20">
      <c r="A128" s="524" t="s">
        <v>390</v>
      </c>
      <c r="B128" s="525" t="s">
        <v>2088</v>
      </c>
      <c r="C128" s="915">
        <v>5</v>
      </c>
      <c r="F128" s="571"/>
      <c r="G128" s="572"/>
      <c r="H128" s="591"/>
      <c r="I128" s="592"/>
      <c r="J128" s="592"/>
      <c r="K128" s="592"/>
      <c r="L128" s="592"/>
      <c r="M128" s="592"/>
      <c r="N128" s="592"/>
      <c r="P128" s="88" t="s">
        <v>26</v>
      </c>
      <c r="Q128" s="88" t="s">
        <v>2089</v>
      </c>
      <c r="R128" s="88">
        <v>125</v>
      </c>
      <c r="S128" s="88" t="s">
        <v>2004</v>
      </c>
      <c r="T128" s="88" t="s">
        <v>1692</v>
      </c>
    </row>
    <row r="129" spans="1:20">
      <c r="A129" s="524" t="s">
        <v>391</v>
      </c>
      <c r="B129" s="525" t="s">
        <v>2090</v>
      </c>
      <c r="C129" s="915">
        <v>5</v>
      </c>
      <c r="F129" s="571"/>
      <c r="G129" s="572"/>
      <c r="H129" s="591"/>
      <c r="I129" s="592"/>
      <c r="J129" s="592"/>
      <c r="K129" s="592"/>
      <c r="L129" s="592"/>
      <c r="M129" s="592"/>
      <c r="N129" s="592"/>
      <c r="P129" s="88" t="s">
        <v>26</v>
      </c>
      <c r="Q129" s="88" t="s">
        <v>2091</v>
      </c>
      <c r="R129" s="88">
        <v>206</v>
      </c>
      <c r="S129" s="88" t="s">
        <v>1910</v>
      </c>
      <c r="T129" s="88" t="s">
        <v>1692</v>
      </c>
    </row>
    <row r="130" spans="1:20">
      <c r="A130" s="524" t="s">
        <v>393</v>
      </c>
      <c r="B130" s="525" t="s">
        <v>2092</v>
      </c>
      <c r="C130" s="915">
        <v>5</v>
      </c>
      <c r="F130" s="571"/>
      <c r="G130" s="572"/>
      <c r="H130" s="591"/>
      <c r="I130" s="592"/>
      <c r="J130" s="592"/>
      <c r="K130" s="592"/>
      <c r="L130" s="592"/>
      <c r="M130" s="592"/>
      <c r="N130" s="592"/>
      <c r="P130" s="88" t="s">
        <v>26</v>
      </c>
      <c r="Q130" s="88" t="s">
        <v>2093</v>
      </c>
      <c r="R130" s="88">
        <v>460</v>
      </c>
      <c r="S130" s="88" t="s">
        <v>1898</v>
      </c>
      <c r="T130" s="88" t="s">
        <v>1692</v>
      </c>
    </row>
    <row r="131" spans="1:20">
      <c r="A131" s="524" t="s">
        <v>394</v>
      </c>
      <c r="B131" s="525" t="s">
        <v>2094</v>
      </c>
      <c r="C131" s="915">
        <v>5</v>
      </c>
      <c r="F131" s="571"/>
      <c r="G131" s="572"/>
      <c r="H131" s="591"/>
      <c r="I131" s="592"/>
      <c r="J131" s="592"/>
      <c r="K131" s="592"/>
      <c r="L131" s="592"/>
      <c r="M131" s="592"/>
      <c r="N131" s="592"/>
      <c r="P131" s="88" t="s">
        <v>26</v>
      </c>
      <c r="Q131" s="88" t="s">
        <v>2095</v>
      </c>
      <c r="R131" s="88">
        <v>478</v>
      </c>
      <c r="S131" s="88" t="s">
        <v>1915</v>
      </c>
      <c r="T131" s="88" t="s">
        <v>1692</v>
      </c>
    </row>
    <row r="132" spans="1:20">
      <c r="A132" s="524" t="s">
        <v>611</v>
      </c>
      <c r="B132" s="525" t="s">
        <v>612</v>
      </c>
      <c r="C132" s="915">
        <v>5</v>
      </c>
      <c r="F132" s="571"/>
      <c r="G132" s="572"/>
      <c r="H132" s="591"/>
      <c r="I132" s="592"/>
      <c r="J132" s="592"/>
      <c r="K132" s="592"/>
      <c r="L132" s="592"/>
      <c r="M132" s="592"/>
      <c r="N132" s="592"/>
      <c r="P132" s="88" t="s">
        <v>26</v>
      </c>
      <c r="Q132" s="88" t="s">
        <v>2096</v>
      </c>
      <c r="R132" s="88">
        <v>292</v>
      </c>
      <c r="S132" s="88" t="s">
        <v>1219</v>
      </c>
      <c r="T132" s="88" t="s">
        <v>1692</v>
      </c>
    </row>
    <row r="133" spans="1:20">
      <c r="A133" s="524" t="s">
        <v>506</v>
      </c>
      <c r="B133" s="525" t="s">
        <v>2097</v>
      </c>
      <c r="C133" s="915">
        <v>5.28</v>
      </c>
      <c r="F133" s="571"/>
      <c r="G133" s="572"/>
      <c r="H133" s="591"/>
      <c r="I133" s="592"/>
      <c r="J133" s="592"/>
      <c r="K133" s="592"/>
      <c r="L133" s="592"/>
      <c r="M133" s="592"/>
      <c r="N133" s="592"/>
      <c r="P133" s="88" t="s">
        <v>26</v>
      </c>
      <c r="Q133" s="88" t="s">
        <v>2098</v>
      </c>
      <c r="R133" s="88">
        <v>133</v>
      </c>
      <c r="S133" s="88" t="s">
        <v>1891</v>
      </c>
      <c r="T133" s="88" t="s">
        <v>1692</v>
      </c>
    </row>
    <row r="134" spans="1:20">
      <c r="A134" s="524" t="s">
        <v>640</v>
      </c>
      <c r="B134" s="525" t="s">
        <v>2099</v>
      </c>
      <c r="C134" s="915">
        <v>5.28</v>
      </c>
      <c r="F134" s="571"/>
      <c r="G134" s="572"/>
      <c r="H134" s="591"/>
      <c r="I134" s="592"/>
      <c r="J134" s="592"/>
      <c r="K134" s="592"/>
      <c r="L134" s="592"/>
      <c r="M134" s="592"/>
      <c r="N134" s="592"/>
      <c r="P134" s="88" t="s">
        <v>26</v>
      </c>
      <c r="Q134" s="88" t="s">
        <v>2100</v>
      </c>
      <c r="R134" s="88">
        <v>132</v>
      </c>
      <c r="S134" s="88" t="s">
        <v>1915</v>
      </c>
      <c r="T134" s="88" t="s">
        <v>1692</v>
      </c>
    </row>
    <row r="135" spans="1:20">
      <c r="A135" s="524" t="s">
        <v>2101</v>
      </c>
      <c r="B135" s="525" t="s">
        <v>2102</v>
      </c>
      <c r="C135" s="915">
        <v>5.3</v>
      </c>
      <c r="F135" s="571"/>
      <c r="G135" s="572"/>
      <c r="H135" s="591"/>
      <c r="I135" s="592"/>
      <c r="J135" s="592"/>
      <c r="K135" s="592"/>
      <c r="L135" s="592"/>
      <c r="M135" s="592"/>
      <c r="N135" s="592"/>
      <c r="P135" s="88" t="s">
        <v>26</v>
      </c>
      <c r="Q135" s="88" t="s">
        <v>2103</v>
      </c>
      <c r="R135" s="88">
        <v>128</v>
      </c>
      <c r="S135" s="88" t="s">
        <v>1910</v>
      </c>
      <c r="T135" s="88" t="s">
        <v>1692</v>
      </c>
    </row>
    <row r="136" spans="1:20">
      <c r="A136" s="524" t="s">
        <v>1102</v>
      </c>
      <c r="B136" s="525" t="s">
        <v>2104</v>
      </c>
      <c r="C136" s="915">
        <v>5.3</v>
      </c>
      <c r="F136" s="571"/>
      <c r="G136" s="572"/>
      <c r="H136" s="591"/>
      <c r="I136" s="592"/>
      <c r="J136" s="592"/>
      <c r="K136" s="592"/>
      <c r="L136" s="592"/>
      <c r="M136" s="592"/>
      <c r="N136" s="592"/>
      <c r="P136" s="88" t="s">
        <v>26</v>
      </c>
      <c r="Q136" s="88" t="s">
        <v>2105</v>
      </c>
      <c r="R136" s="88">
        <v>166</v>
      </c>
      <c r="S136" s="88" t="s">
        <v>1566</v>
      </c>
      <c r="T136" s="88" t="s">
        <v>1692</v>
      </c>
    </row>
    <row r="137" spans="1:20">
      <c r="A137" s="524" t="s">
        <v>2106</v>
      </c>
      <c r="B137" s="525" t="s">
        <v>2107</v>
      </c>
      <c r="C137" s="915">
        <v>5.3</v>
      </c>
      <c r="F137" s="571"/>
      <c r="G137" s="572"/>
      <c r="H137" s="591"/>
      <c r="I137" s="592"/>
      <c r="J137" s="592"/>
      <c r="K137" s="592"/>
      <c r="L137" s="592"/>
      <c r="M137" s="592"/>
      <c r="N137" s="592"/>
      <c r="P137" s="88" t="s">
        <v>26</v>
      </c>
      <c r="Q137" s="88" t="s">
        <v>2108</v>
      </c>
      <c r="R137" s="88">
        <v>116</v>
      </c>
      <c r="S137" s="88" t="s">
        <v>1894</v>
      </c>
      <c r="T137" s="88" t="s">
        <v>1692</v>
      </c>
    </row>
    <row r="138" spans="1:20">
      <c r="A138" s="524" t="s">
        <v>396</v>
      </c>
      <c r="B138" s="525" t="s">
        <v>2109</v>
      </c>
      <c r="C138" s="915">
        <v>5.3</v>
      </c>
      <c r="F138" s="571"/>
      <c r="G138" s="572"/>
      <c r="H138" s="591"/>
      <c r="I138" s="592"/>
      <c r="J138" s="592"/>
      <c r="K138" s="592"/>
      <c r="L138" s="592"/>
      <c r="M138" s="592"/>
      <c r="N138" s="592"/>
      <c r="P138" s="88" t="s">
        <v>26</v>
      </c>
      <c r="Q138" s="88" t="s">
        <v>2110</v>
      </c>
      <c r="R138" s="88">
        <v>114</v>
      </c>
      <c r="S138" s="88" t="s">
        <v>1223</v>
      </c>
      <c r="T138" s="88" t="s">
        <v>1692</v>
      </c>
    </row>
    <row r="139" spans="1:20">
      <c r="A139" s="524" t="s">
        <v>1099</v>
      </c>
      <c r="B139" s="525" t="s">
        <v>2111</v>
      </c>
      <c r="C139" s="915">
        <v>5.4</v>
      </c>
      <c r="F139" s="571"/>
      <c r="G139" s="572"/>
      <c r="H139" s="591"/>
      <c r="I139" s="592"/>
      <c r="J139" s="592"/>
      <c r="K139" s="592"/>
      <c r="L139" s="592"/>
      <c r="M139" s="592"/>
      <c r="N139" s="592"/>
      <c r="P139" s="88" t="s">
        <v>26</v>
      </c>
      <c r="Q139" s="88" t="s">
        <v>2112</v>
      </c>
      <c r="R139" s="88">
        <v>113</v>
      </c>
      <c r="S139" s="88" t="s">
        <v>1223</v>
      </c>
      <c r="T139" s="88" t="s">
        <v>1692</v>
      </c>
    </row>
    <row r="140" spans="1:20">
      <c r="A140" s="524" t="s">
        <v>408</v>
      </c>
      <c r="B140" s="525" t="s">
        <v>1105</v>
      </c>
      <c r="C140" s="915">
        <v>5.4</v>
      </c>
      <c r="F140" s="571"/>
      <c r="G140" s="572"/>
      <c r="H140" s="591"/>
      <c r="I140" s="592"/>
      <c r="J140" s="592"/>
      <c r="K140" s="592"/>
      <c r="L140" s="592"/>
      <c r="M140" s="592"/>
      <c r="N140" s="592"/>
      <c r="P140" s="88" t="s">
        <v>26</v>
      </c>
      <c r="Q140" s="88" t="s">
        <v>2113</v>
      </c>
      <c r="R140" s="88">
        <v>361</v>
      </c>
      <c r="S140" s="88" t="s">
        <v>1776</v>
      </c>
      <c r="T140" s="88" t="s">
        <v>1692</v>
      </c>
    </row>
    <row r="141" spans="1:20">
      <c r="A141" s="917" t="s">
        <v>2114</v>
      </c>
      <c r="B141" s="48" t="s">
        <v>2115</v>
      </c>
      <c r="C141" s="918">
        <v>5.76</v>
      </c>
      <c r="F141" s="571"/>
      <c r="G141" s="572"/>
      <c r="H141" s="591"/>
      <c r="I141" s="592"/>
      <c r="J141" s="592"/>
      <c r="K141" s="592"/>
      <c r="L141" s="592"/>
      <c r="M141" s="592"/>
      <c r="N141" s="592"/>
      <c r="P141" s="88" t="s">
        <v>26</v>
      </c>
      <c r="Q141" s="88" t="s">
        <v>2116</v>
      </c>
      <c r="R141" s="88">
        <v>140</v>
      </c>
      <c r="S141" s="88" t="s">
        <v>1223</v>
      </c>
      <c r="T141" s="88" t="s">
        <v>1692</v>
      </c>
    </row>
    <row r="142" spans="1:20">
      <c r="A142" s="524" t="s">
        <v>651</v>
      </c>
      <c r="B142" s="525" t="s">
        <v>2117</v>
      </c>
      <c r="C142" s="915">
        <v>5.76</v>
      </c>
      <c r="F142" s="571"/>
      <c r="G142" s="572"/>
      <c r="H142" s="591"/>
      <c r="I142" s="592"/>
      <c r="J142" s="592"/>
      <c r="K142" s="592"/>
      <c r="L142" s="592"/>
      <c r="M142" s="592"/>
      <c r="N142" s="592"/>
      <c r="P142" s="88" t="s">
        <v>26</v>
      </c>
      <c r="Q142" s="88" t="s">
        <v>2118</v>
      </c>
      <c r="R142" s="88">
        <v>203</v>
      </c>
      <c r="S142" s="88" t="s">
        <v>1915</v>
      </c>
      <c r="T142" s="88" t="s">
        <v>1692</v>
      </c>
    </row>
    <row r="143" spans="1:20">
      <c r="A143" s="524" t="s">
        <v>439</v>
      </c>
      <c r="B143" s="525" t="s">
        <v>2119</v>
      </c>
      <c r="C143" s="915">
        <v>5.76</v>
      </c>
      <c r="F143" s="571"/>
      <c r="G143" s="572"/>
      <c r="H143" s="591"/>
      <c r="I143" s="592"/>
      <c r="J143" s="592"/>
      <c r="K143" s="592"/>
      <c r="L143" s="592"/>
      <c r="M143" s="592"/>
      <c r="N143" s="592"/>
      <c r="P143" s="88" t="s">
        <v>26</v>
      </c>
      <c r="Q143" s="88" t="s">
        <v>2120</v>
      </c>
      <c r="R143" s="88">
        <v>138</v>
      </c>
      <c r="S143" s="88" t="s">
        <v>2121</v>
      </c>
      <c r="T143" s="88" t="s">
        <v>1692</v>
      </c>
    </row>
    <row r="144" spans="1:20">
      <c r="A144" s="524" t="s">
        <v>508</v>
      </c>
      <c r="B144" s="525" t="s">
        <v>2122</v>
      </c>
      <c r="C144" s="915">
        <v>5.76</v>
      </c>
      <c r="F144" s="571"/>
      <c r="G144" s="572"/>
      <c r="H144" s="591"/>
      <c r="I144" s="592"/>
      <c r="J144" s="592"/>
      <c r="K144" s="592"/>
      <c r="L144" s="592"/>
      <c r="M144" s="592"/>
      <c r="N144" s="592"/>
      <c r="P144" s="88" t="s">
        <v>26</v>
      </c>
      <c r="Q144" s="88" t="s">
        <v>2123</v>
      </c>
      <c r="R144" s="88">
        <v>213</v>
      </c>
      <c r="S144" s="88" t="s">
        <v>1223</v>
      </c>
      <c r="T144" s="88" t="s">
        <v>1692</v>
      </c>
    </row>
    <row r="145" spans="1:20">
      <c r="A145" s="524" t="s">
        <v>527</v>
      </c>
      <c r="B145" s="525" t="s">
        <v>2124</v>
      </c>
      <c r="C145" s="915">
        <v>5.76</v>
      </c>
      <c r="F145" s="571"/>
      <c r="G145" s="572"/>
      <c r="H145" s="591"/>
      <c r="I145" s="592"/>
      <c r="J145" s="592"/>
      <c r="K145" s="592"/>
      <c r="L145" s="592"/>
      <c r="M145" s="592"/>
      <c r="N145" s="592"/>
      <c r="P145" s="88" t="s">
        <v>26</v>
      </c>
      <c r="Q145" s="88" t="s">
        <v>2125</v>
      </c>
      <c r="R145" s="88">
        <v>237</v>
      </c>
      <c r="S145" s="88" t="s">
        <v>1898</v>
      </c>
      <c r="T145" s="88" t="s">
        <v>1692</v>
      </c>
    </row>
    <row r="146" spans="1:20">
      <c r="A146" s="524" t="s">
        <v>1116</v>
      </c>
      <c r="B146" s="525" t="s">
        <v>2126</v>
      </c>
      <c r="C146" s="915">
        <v>5.76</v>
      </c>
      <c r="F146" s="571"/>
      <c r="G146" s="572"/>
      <c r="H146" s="591"/>
      <c r="I146" s="592"/>
      <c r="J146" s="592"/>
      <c r="K146" s="592"/>
      <c r="L146" s="592"/>
      <c r="M146" s="592"/>
      <c r="N146" s="592"/>
      <c r="P146" s="88" t="s">
        <v>26</v>
      </c>
      <c r="Q146" s="88" t="s">
        <v>2127</v>
      </c>
      <c r="R146" s="88">
        <v>124</v>
      </c>
      <c r="S146" s="88" t="s">
        <v>2004</v>
      </c>
      <c r="T146" s="88" t="s">
        <v>1692</v>
      </c>
    </row>
    <row r="147" spans="1:20">
      <c r="A147" s="524" t="s">
        <v>432</v>
      </c>
      <c r="B147" s="525" t="s">
        <v>1106</v>
      </c>
      <c r="C147" s="915">
        <v>5.76</v>
      </c>
      <c r="F147" s="571"/>
      <c r="G147" s="572"/>
      <c r="H147" s="591"/>
      <c r="I147" s="592"/>
      <c r="J147" s="592"/>
      <c r="K147" s="592"/>
      <c r="L147" s="592"/>
      <c r="M147" s="592"/>
      <c r="N147" s="592"/>
      <c r="P147" s="88" t="s">
        <v>26</v>
      </c>
      <c r="Q147" s="88" t="s">
        <v>2128</v>
      </c>
      <c r="R147" s="88">
        <v>107</v>
      </c>
      <c r="S147" s="88" t="s">
        <v>1219</v>
      </c>
      <c r="T147" s="88" t="s">
        <v>1692</v>
      </c>
    </row>
    <row r="148" spans="1:20">
      <c r="A148" s="524" t="s">
        <v>560</v>
      </c>
      <c r="B148" s="525" t="s">
        <v>2129</v>
      </c>
      <c r="C148" s="915">
        <v>5.98</v>
      </c>
      <c r="F148" s="571"/>
      <c r="G148" s="572"/>
      <c r="H148" s="591"/>
      <c r="I148" s="592"/>
      <c r="J148" s="592"/>
      <c r="K148" s="592"/>
      <c r="L148" s="592"/>
      <c r="M148" s="592"/>
      <c r="N148" s="592"/>
      <c r="P148" s="88" t="s">
        <v>26</v>
      </c>
      <c r="Q148" s="88" t="s">
        <v>2130</v>
      </c>
      <c r="R148" s="88">
        <v>476</v>
      </c>
      <c r="S148" s="88" t="s">
        <v>1915</v>
      </c>
      <c r="T148" s="88" t="s">
        <v>1692</v>
      </c>
    </row>
    <row r="149" spans="1:20">
      <c r="A149" s="524" t="s">
        <v>633</v>
      </c>
      <c r="B149" s="525" t="s">
        <v>643</v>
      </c>
      <c r="C149" s="915">
        <v>5.98</v>
      </c>
      <c r="F149" s="571"/>
      <c r="G149" s="572"/>
      <c r="H149" s="591"/>
      <c r="I149" s="592"/>
      <c r="J149" s="592"/>
      <c r="K149" s="592"/>
      <c r="L149" s="592"/>
      <c r="M149" s="592"/>
      <c r="N149" s="592"/>
      <c r="P149" s="88" t="s">
        <v>26</v>
      </c>
      <c r="Q149" s="88" t="s">
        <v>2131</v>
      </c>
      <c r="R149" s="88">
        <v>519</v>
      </c>
      <c r="S149" s="88" t="s">
        <v>1915</v>
      </c>
      <c r="T149" s="88" t="s">
        <v>1692</v>
      </c>
    </row>
    <row r="150" spans="1:20">
      <c r="A150" s="524" t="s">
        <v>422</v>
      </c>
      <c r="B150" s="525" t="s">
        <v>2132</v>
      </c>
      <c r="C150" s="915">
        <v>5.98</v>
      </c>
      <c r="F150" s="571"/>
      <c r="G150" s="572"/>
      <c r="H150" s="591"/>
      <c r="I150" s="592"/>
      <c r="J150" s="592"/>
      <c r="K150" s="592"/>
      <c r="L150" s="592"/>
      <c r="M150" s="592"/>
      <c r="N150" s="592"/>
      <c r="P150" s="916" t="s">
        <v>1184</v>
      </c>
      <c r="Q150" s="916" t="s">
        <v>2133</v>
      </c>
      <c r="R150" s="916">
        <v>330</v>
      </c>
      <c r="S150" s="916" t="s">
        <v>2134</v>
      </c>
      <c r="T150" s="916" t="s">
        <v>1647</v>
      </c>
    </row>
    <row r="151" spans="1:20">
      <c r="A151" s="524" t="s">
        <v>509</v>
      </c>
      <c r="B151" s="525" t="s">
        <v>2135</v>
      </c>
      <c r="C151" s="915">
        <v>5.98</v>
      </c>
      <c r="F151" s="571"/>
      <c r="G151" s="572"/>
      <c r="H151" s="591"/>
      <c r="I151" s="592"/>
      <c r="J151" s="592"/>
      <c r="K151" s="592"/>
      <c r="L151" s="592"/>
      <c r="M151" s="592"/>
      <c r="N151" s="592"/>
      <c r="P151" s="916" t="s">
        <v>1184</v>
      </c>
      <c r="Q151" s="916" t="s">
        <v>2136</v>
      </c>
      <c r="R151" s="916">
        <v>434</v>
      </c>
      <c r="S151" s="916" t="s">
        <v>1691</v>
      </c>
      <c r="T151" s="916" t="s">
        <v>1647</v>
      </c>
    </row>
    <row r="152" spans="1:20">
      <c r="A152" s="921" t="s">
        <v>564</v>
      </c>
      <c r="B152" s="922" t="s">
        <v>2137</v>
      </c>
      <c r="C152" s="915">
        <v>6</v>
      </c>
      <c r="F152" s="571"/>
      <c r="G152" s="572"/>
      <c r="H152" s="591"/>
      <c r="I152" s="592"/>
      <c r="J152" s="592"/>
      <c r="K152" s="592"/>
      <c r="L152" s="592"/>
      <c r="M152" s="592"/>
      <c r="N152" s="592"/>
      <c r="P152" s="916" t="s">
        <v>1184</v>
      </c>
      <c r="Q152" s="916" t="s">
        <v>2138</v>
      </c>
      <c r="R152" s="916">
        <v>335</v>
      </c>
      <c r="S152" s="916" t="s">
        <v>2134</v>
      </c>
      <c r="T152" s="916" t="s">
        <v>1647</v>
      </c>
    </row>
    <row r="153" spans="1:20">
      <c r="A153" s="524" t="s">
        <v>463</v>
      </c>
      <c r="B153" s="525" t="s">
        <v>2139</v>
      </c>
      <c r="C153" s="915">
        <v>6.4</v>
      </c>
      <c r="F153" s="571"/>
      <c r="G153" s="572"/>
      <c r="H153" s="591"/>
      <c r="I153" s="592"/>
      <c r="J153" s="592"/>
      <c r="K153" s="592"/>
      <c r="L153" s="592"/>
      <c r="M153" s="592"/>
      <c r="N153" s="592"/>
      <c r="P153" s="916" t="s">
        <v>1184</v>
      </c>
      <c r="Q153" s="916" t="s">
        <v>2140</v>
      </c>
      <c r="R153" s="916">
        <v>135</v>
      </c>
      <c r="S153" s="916" t="s">
        <v>2134</v>
      </c>
      <c r="T153" s="916" t="s">
        <v>1647</v>
      </c>
    </row>
    <row r="154" spans="1:20">
      <c r="A154" s="524" t="s">
        <v>553</v>
      </c>
      <c r="B154" s="525" t="s">
        <v>2141</v>
      </c>
      <c r="C154" s="915">
        <v>6.4</v>
      </c>
      <c r="F154" s="571"/>
      <c r="G154" s="572"/>
      <c r="H154" s="591"/>
      <c r="I154" s="592"/>
      <c r="J154" s="592"/>
      <c r="K154" s="592"/>
      <c r="L154" s="592"/>
      <c r="M154" s="592"/>
      <c r="N154" s="592"/>
      <c r="P154" s="916" t="s">
        <v>1184</v>
      </c>
      <c r="Q154" s="916" t="s">
        <v>2142</v>
      </c>
      <c r="R154" s="916">
        <v>44</v>
      </c>
      <c r="S154" s="916" t="s">
        <v>2134</v>
      </c>
      <c r="T154" s="916" t="s">
        <v>1647</v>
      </c>
    </row>
    <row r="155" spans="1:20">
      <c r="A155" s="917" t="s">
        <v>542</v>
      </c>
      <c r="B155" s="525" t="s">
        <v>2143</v>
      </c>
      <c r="C155" s="915">
        <v>6.4</v>
      </c>
      <c r="F155" s="571"/>
      <c r="G155" s="572"/>
      <c r="H155" s="591"/>
      <c r="I155" s="592"/>
      <c r="J155" s="592"/>
      <c r="K155" s="592"/>
      <c r="L155" s="592"/>
      <c r="M155" s="592"/>
      <c r="N155" s="592"/>
      <c r="P155" s="916" t="s">
        <v>1184</v>
      </c>
      <c r="Q155" s="916" t="s">
        <v>2144</v>
      </c>
      <c r="R155" s="916"/>
      <c r="S155" s="916" t="s">
        <v>2134</v>
      </c>
      <c r="T155" s="916" t="s">
        <v>1647</v>
      </c>
    </row>
    <row r="156" spans="1:20">
      <c r="A156" s="524" t="s">
        <v>1062</v>
      </c>
      <c r="B156" s="525" t="s">
        <v>2145</v>
      </c>
      <c r="C156" s="915">
        <v>6.6</v>
      </c>
      <c r="F156" s="571"/>
      <c r="G156" s="572"/>
      <c r="H156" s="591"/>
      <c r="I156" s="592"/>
      <c r="J156" s="592"/>
      <c r="K156" s="592"/>
      <c r="L156" s="592"/>
      <c r="M156" s="592"/>
      <c r="N156" s="592"/>
    </row>
    <row r="157" spans="1:20">
      <c r="A157" s="524" t="s">
        <v>537</v>
      </c>
      <c r="B157" s="525" t="s">
        <v>2146</v>
      </c>
      <c r="C157" s="915">
        <v>6.62</v>
      </c>
      <c r="F157" s="571"/>
      <c r="G157" s="572"/>
      <c r="H157" s="591"/>
      <c r="I157" s="592"/>
      <c r="J157" s="592"/>
      <c r="K157" s="592"/>
      <c r="L157" s="592"/>
      <c r="M157" s="592"/>
      <c r="N157" s="592"/>
    </row>
    <row r="158" spans="1:20">
      <c r="A158" s="524" t="s">
        <v>2147</v>
      </c>
      <c r="B158" s="525" t="s">
        <v>2148</v>
      </c>
      <c r="C158" s="915">
        <v>6.62</v>
      </c>
      <c r="F158" s="571"/>
      <c r="G158" s="572"/>
      <c r="H158" s="591"/>
      <c r="I158" s="592"/>
      <c r="J158" s="592"/>
      <c r="K158" s="592"/>
      <c r="L158" s="592"/>
      <c r="M158" s="592"/>
      <c r="N158" s="592"/>
    </row>
    <row r="159" spans="1:20">
      <c r="A159" s="524" t="s">
        <v>598</v>
      </c>
      <c r="B159" s="525" t="s">
        <v>863</v>
      </c>
      <c r="C159" s="915">
        <v>6.62</v>
      </c>
      <c r="F159" s="571"/>
      <c r="G159" s="572"/>
      <c r="H159" s="591"/>
      <c r="I159" s="592"/>
      <c r="J159" s="592"/>
      <c r="K159" s="592"/>
      <c r="L159" s="592"/>
      <c r="M159" s="592"/>
      <c r="N159" s="592"/>
    </row>
    <row r="160" spans="1:20">
      <c r="A160" s="524" t="s">
        <v>536</v>
      </c>
      <c r="B160" s="525" t="s">
        <v>2149</v>
      </c>
      <c r="C160" s="915">
        <v>6.62</v>
      </c>
      <c r="F160" s="571"/>
      <c r="G160" s="572"/>
      <c r="H160" s="591"/>
      <c r="I160" s="592"/>
      <c r="J160" s="592"/>
      <c r="K160" s="592"/>
      <c r="L160" s="592"/>
      <c r="M160" s="592"/>
      <c r="N160" s="592"/>
    </row>
    <row r="161" spans="1:14">
      <c r="A161" s="524" t="s">
        <v>523</v>
      </c>
      <c r="B161" s="525" t="s">
        <v>2150</v>
      </c>
      <c r="C161" s="915">
        <v>8</v>
      </c>
      <c r="F161" s="571"/>
      <c r="G161" s="572"/>
      <c r="H161" s="591"/>
      <c r="I161" s="592"/>
      <c r="J161" s="592"/>
      <c r="K161" s="592"/>
      <c r="L161" s="592"/>
      <c r="M161" s="592"/>
      <c r="N161" s="592"/>
    </row>
    <row r="162" spans="1:14">
      <c r="A162" s="524" t="s">
        <v>480</v>
      </c>
      <c r="B162" s="525" t="s">
        <v>2151</v>
      </c>
      <c r="C162" s="915">
        <v>8</v>
      </c>
      <c r="F162" s="571"/>
      <c r="G162" s="572"/>
      <c r="H162" s="591"/>
      <c r="I162" s="592"/>
      <c r="J162" s="592"/>
      <c r="K162" s="592"/>
      <c r="L162" s="592"/>
      <c r="M162" s="592"/>
      <c r="N162" s="592"/>
    </row>
    <row r="163" spans="1:14">
      <c r="A163" s="524" t="s">
        <v>1091</v>
      </c>
      <c r="B163" s="525" t="s">
        <v>2152</v>
      </c>
      <c r="C163" s="915">
        <v>8</v>
      </c>
      <c r="F163" s="571"/>
      <c r="G163" s="572"/>
      <c r="H163" s="591"/>
      <c r="I163" s="592"/>
      <c r="J163" s="592"/>
      <c r="K163" s="592"/>
      <c r="L163" s="592"/>
      <c r="M163" s="592"/>
      <c r="N163" s="592"/>
    </row>
    <row r="164" spans="1:14">
      <c r="A164" s="524" t="s">
        <v>495</v>
      </c>
      <c r="B164" s="525" t="s">
        <v>572</v>
      </c>
      <c r="C164" s="915">
        <v>8</v>
      </c>
      <c r="F164" s="571"/>
      <c r="G164" s="572"/>
      <c r="H164" s="591"/>
      <c r="I164" s="592"/>
      <c r="J164" s="592"/>
      <c r="K164" s="592"/>
      <c r="L164" s="592"/>
      <c r="M164" s="592"/>
      <c r="N164" s="592"/>
    </row>
    <row r="165" spans="1:14">
      <c r="A165" s="524" t="s">
        <v>1100</v>
      </c>
      <c r="B165" s="525" t="s">
        <v>2153</v>
      </c>
      <c r="C165" s="915">
        <v>8</v>
      </c>
      <c r="F165" s="571"/>
      <c r="G165" s="572"/>
      <c r="H165" s="591"/>
      <c r="I165" s="592"/>
      <c r="J165" s="592"/>
      <c r="K165" s="592"/>
      <c r="L165" s="592"/>
      <c r="M165" s="592"/>
      <c r="N165" s="592"/>
    </row>
    <row r="166" spans="1:14">
      <c r="A166" s="524" t="s">
        <v>2154</v>
      </c>
      <c r="B166" s="525" t="s">
        <v>2155</v>
      </c>
      <c r="C166" s="915">
        <v>8</v>
      </c>
      <c r="F166" s="571"/>
      <c r="G166" s="572"/>
      <c r="H166" s="591"/>
      <c r="I166" s="592"/>
      <c r="J166" s="592"/>
      <c r="K166" s="592"/>
      <c r="L166" s="592"/>
      <c r="M166" s="592"/>
      <c r="N166" s="592"/>
    </row>
    <row r="167" spans="1:14">
      <c r="A167" s="524" t="s">
        <v>473</v>
      </c>
      <c r="B167" s="525" t="s">
        <v>2156</v>
      </c>
      <c r="C167" s="915">
        <v>8</v>
      </c>
      <c r="F167" s="571"/>
      <c r="G167" s="572"/>
      <c r="H167" s="591"/>
      <c r="I167" s="592"/>
      <c r="J167" s="592"/>
      <c r="K167" s="592"/>
      <c r="L167" s="592"/>
      <c r="M167" s="592"/>
      <c r="N167" s="592"/>
    </row>
    <row r="168" spans="1:14">
      <c r="A168" s="524" t="s">
        <v>467</v>
      </c>
      <c r="B168" s="525" t="s">
        <v>2157</v>
      </c>
      <c r="C168" s="915">
        <v>8</v>
      </c>
      <c r="F168" s="571"/>
      <c r="G168" s="572"/>
      <c r="H168" s="591"/>
      <c r="I168" s="592"/>
      <c r="J168" s="592"/>
      <c r="K168" s="592"/>
      <c r="L168" s="592"/>
      <c r="M168" s="592"/>
      <c r="N168" s="592"/>
    </row>
    <row r="169" spans="1:14">
      <c r="A169" s="524" t="s">
        <v>610</v>
      </c>
      <c r="B169" s="525" t="s">
        <v>2158</v>
      </c>
      <c r="C169" s="915">
        <v>8.2799999999999994</v>
      </c>
      <c r="F169" s="571"/>
      <c r="G169" s="572"/>
      <c r="H169" s="591"/>
      <c r="I169" s="592"/>
      <c r="J169" s="592"/>
      <c r="K169" s="592"/>
      <c r="L169" s="592"/>
      <c r="M169" s="592"/>
      <c r="N169" s="592"/>
    </row>
    <row r="170" spans="1:14">
      <c r="A170" s="524" t="s">
        <v>615</v>
      </c>
      <c r="B170" s="525" t="s">
        <v>798</v>
      </c>
      <c r="C170" s="915">
        <v>8.2799999999999994</v>
      </c>
      <c r="F170" s="571"/>
      <c r="G170" s="572"/>
      <c r="H170" s="591"/>
      <c r="I170" s="592"/>
      <c r="J170" s="592"/>
      <c r="K170" s="592"/>
      <c r="L170" s="592"/>
      <c r="M170" s="592"/>
      <c r="N170" s="592"/>
    </row>
    <row r="171" spans="1:14">
      <c r="A171" s="524" t="s">
        <v>2159</v>
      </c>
      <c r="B171" s="525" t="s">
        <v>2160</v>
      </c>
      <c r="C171" s="915">
        <v>8.2799999999999994</v>
      </c>
      <c r="F171" s="571"/>
      <c r="G171" s="572"/>
      <c r="H171" s="591"/>
      <c r="I171" s="592"/>
      <c r="J171" s="592"/>
      <c r="K171" s="592"/>
      <c r="L171" s="592"/>
      <c r="M171" s="592"/>
      <c r="N171" s="592"/>
    </row>
    <row r="172" spans="1:14">
      <c r="A172" s="524" t="s">
        <v>1107</v>
      </c>
      <c r="B172" s="525" t="s">
        <v>1108</v>
      </c>
      <c r="C172" s="915">
        <v>8.2799999999999994</v>
      </c>
      <c r="F172" s="571"/>
      <c r="G172" s="572"/>
      <c r="H172" s="591"/>
      <c r="I172" s="592"/>
      <c r="J172" s="592"/>
      <c r="K172" s="592"/>
      <c r="L172" s="592"/>
      <c r="M172" s="592"/>
      <c r="N172" s="592"/>
    </row>
    <row r="173" spans="1:14">
      <c r="A173" s="524" t="s">
        <v>460</v>
      </c>
      <c r="B173" s="525" t="s">
        <v>575</v>
      </c>
      <c r="C173" s="915">
        <v>9</v>
      </c>
    </row>
    <row r="174" spans="1:14">
      <c r="A174" s="524" t="s">
        <v>563</v>
      </c>
      <c r="B174" s="525" t="s">
        <v>2161</v>
      </c>
      <c r="C174" s="915">
        <v>9.6</v>
      </c>
    </row>
    <row r="175" spans="1:14">
      <c r="A175" s="524" t="s">
        <v>585</v>
      </c>
      <c r="B175" s="525" t="s">
        <v>586</v>
      </c>
      <c r="C175" s="915">
        <v>9.8000000000000007</v>
      </c>
    </row>
    <row r="176" spans="1:14">
      <c r="A176" s="524" t="s">
        <v>588</v>
      </c>
      <c r="B176" s="525" t="s">
        <v>589</v>
      </c>
      <c r="C176" s="915">
        <v>9.9359999999999999</v>
      </c>
    </row>
    <row r="177" spans="1:3">
      <c r="A177" s="524" t="s">
        <v>457</v>
      </c>
      <c r="B177" s="525" t="s">
        <v>589</v>
      </c>
      <c r="C177" s="915">
        <v>9.9359999999999999</v>
      </c>
    </row>
    <row r="178" spans="1:3">
      <c r="A178" s="524" t="s">
        <v>555</v>
      </c>
      <c r="B178" s="525" t="s">
        <v>2162</v>
      </c>
      <c r="C178" s="915">
        <v>9.94</v>
      </c>
    </row>
    <row r="179" spans="1:3">
      <c r="A179" s="524" t="s">
        <v>2163</v>
      </c>
      <c r="B179" s="525" t="s">
        <v>2164</v>
      </c>
      <c r="C179" s="915">
        <v>9.94</v>
      </c>
    </row>
    <row r="180" spans="1:3">
      <c r="A180" s="524" t="s">
        <v>512</v>
      </c>
      <c r="B180" s="525" t="s">
        <v>2165</v>
      </c>
      <c r="C180" s="915">
        <v>9.9600000000000009</v>
      </c>
    </row>
    <row r="181" spans="1:3">
      <c r="A181" s="47" t="s">
        <v>624</v>
      </c>
      <c r="B181" s="525" t="s">
        <v>2166</v>
      </c>
      <c r="C181" s="915">
        <v>9.9600000000000009</v>
      </c>
    </row>
    <row r="182" spans="1:3">
      <c r="A182" s="524" t="s">
        <v>607</v>
      </c>
      <c r="B182" s="525" t="s">
        <v>2167</v>
      </c>
      <c r="C182" s="915">
        <v>9.9600000000000009</v>
      </c>
    </row>
    <row r="183" spans="1:3">
      <c r="A183" s="524" t="s">
        <v>2168</v>
      </c>
      <c r="B183" s="525" t="s">
        <v>2169</v>
      </c>
      <c r="C183" s="915">
        <v>9.9600000000000009</v>
      </c>
    </row>
    <row r="184" spans="1:3">
      <c r="A184" s="524" t="s">
        <v>404</v>
      </c>
      <c r="B184" s="525" t="s">
        <v>2170</v>
      </c>
      <c r="C184" s="915">
        <v>9.9600000000000009</v>
      </c>
    </row>
    <row r="185" spans="1:3">
      <c r="A185" s="524" t="s">
        <v>405</v>
      </c>
      <c r="B185" s="525" t="s">
        <v>2171</v>
      </c>
      <c r="C185" s="915">
        <v>9.9600000000000009</v>
      </c>
    </row>
    <row r="186" spans="1:3">
      <c r="A186" s="524" t="s">
        <v>593</v>
      </c>
      <c r="B186" s="525" t="s">
        <v>2172</v>
      </c>
      <c r="C186" s="915">
        <v>9.9600000000000009</v>
      </c>
    </row>
    <row r="187" spans="1:3">
      <c r="A187" s="524" t="s">
        <v>407</v>
      </c>
      <c r="B187" s="525" t="s">
        <v>2173</v>
      </c>
      <c r="C187" s="915">
        <v>9.9600000000000009</v>
      </c>
    </row>
    <row r="188" spans="1:3">
      <c r="A188" s="926" t="s">
        <v>415</v>
      </c>
      <c r="B188" s="927" t="s">
        <v>2174</v>
      </c>
      <c r="C188" s="928">
        <v>9.9600000000000009</v>
      </c>
    </row>
    <row r="189" spans="1:3">
      <c r="A189" s="1012" t="s">
        <v>470</v>
      </c>
      <c r="B189" s="1012" t="s">
        <v>2175</v>
      </c>
      <c r="C189" s="929">
        <v>10</v>
      </c>
    </row>
    <row r="190" spans="1:3">
      <c r="A190" s="930" t="s">
        <v>447</v>
      </c>
      <c r="B190" s="930" t="s">
        <v>2176</v>
      </c>
      <c r="C190" s="931">
        <v>11.52</v>
      </c>
    </row>
    <row r="191" spans="1:3">
      <c r="A191" s="834" t="s">
        <v>1071</v>
      </c>
      <c r="B191" s="834" t="s">
        <v>2177</v>
      </c>
      <c r="C191" s="929">
        <v>11.52</v>
      </c>
    </row>
    <row r="192" spans="1:3">
      <c r="A192" s="524" t="s">
        <v>483</v>
      </c>
      <c r="B192" s="834" t="s">
        <v>2178</v>
      </c>
      <c r="C192" s="929">
        <v>11.52</v>
      </c>
    </row>
    <row r="193" spans="1:3">
      <c r="A193" s="833" t="s">
        <v>557</v>
      </c>
      <c r="B193" s="834" t="s">
        <v>1110</v>
      </c>
      <c r="C193" s="929">
        <v>11.52</v>
      </c>
    </row>
    <row r="194" spans="1:3">
      <c r="A194" s="834" t="s">
        <v>603</v>
      </c>
      <c r="B194" s="834" t="s">
        <v>604</v>
      </c>
      <c r="C194" s="929">
        <v>11.52</v>
      </c>
    </row>
    <row r="195" spans="1:3">
      <c r="A195" s="826" t="s">
        <v>616</v>
      </c>
      <c r="B195" s="826" t="s">
        <v>2179</v>
      </c>
      <c r="C195" s="836">
        <v>11.62</v>
      </c>
    </row>
    <row r="196" spans="1:3">
      <c r="A196" s="834" t="s">
        <v>583</v>
      </c>
      <c r="B196" s="834" t="s">
        <v>584</v>
      </c>
      <c r="C196" s="835">
        <v>11.7</v>
      </c>
    </row>
    <row r="197" spans="1:3">
      <c r="A197" s="826" t="s">
        <v>621</v>
      </c>
      <c r="B197" s="826" t="s">
        <v>622</v>
      </c>
      <c r="C197" s="836">
        <v>11.7</v>
      </c>
    </row>
    <row r="198" spans="1:3">
      <c r="A198" s="834" t="s">
        <v>464</v>
      </c>
      <c r="B198" s="834" t="s">
        <v>2180</v>
      </c>
      <c r="C198" s="929">
        <v>11.95</v>
      </c>
    </row>
    <row r="199" spans="1:3">
      <c r="A199" s="932" t="s">
        <v>497</v>
      </c>
      <c r="B199" s="834" t="s">
        <v>859</v>
      </c>
      <c r="C199" s="933">
        <v>11.95</v>
      </c>
    </row>
    <row r="200" spans="1:3">
      <c r="A200" s="833" t="s">
        <v>1173</v>
      </c>
      <c r="B200" s="834" t="s">
        <v>2181</v>
      </c>
      <c r="C200" s="929">
        <v>13.2</v>
      </c>
    </row>
    <row r="201" spans="1:3">
      <c r="A201" s="832" t="s">
        <v>1171</v>
      </c>
      <c r="B201" s="834" t="s">
        <v>2182</v>
      </c>
      <c r="C201" s="929">
        <v>15.12</v>
      </c>
    </row>
    <row r="202" spans="1:3">
      <c r="A202" s="833" t="s">
        <v>2183</v>
      </c>
      <c r="B202" s="834" t="s">
        <v>2184</v>
      </c>
      <c r="C202" s="929">
        <v>15.94</v>
      </c>
    </row>
    <row r="203" spans="1:3">
      <c r="A203" s="832" t="s">
        <v>2185</v>
      </c>
      <c r="B203" s="834" t="s">
        <v>2186</v>
      </c>
      <c r="C203" s="929">
        <v>15.94</v>
      </c>
    </row>
    <row r="204" spans="1:3">
      <c r="A204" s="934" t="s">
        <v>2187</v>
      </c>
      <c r="B204" s="834" t="s">
        <v>2188</v>
      </c>
      <c r="C204" s="929">
        <v>15.94</v>
      </c>
    </row>
    <row r="205" spans="1:3">
      <c r="A205" s="930" t="s">
        <v>2189</v>
      </c>
      <c r="B205" s="930" t="s">
        <v>2190</v>
      </c>
      <c r="C205" s="931">
        <v>15.94</v>
      </c>
    </row>
    <row r="206" spans="1:3">
      <c r="A206" s="930" t="s">
        <v>1174</v>
      </c>
      <c r="B206" s="930" t="s">
        <v>2191</v>
      </c>
      <c r="C206" s="931">
        <v>16.5</v>
      </c>
    </row>
    <row r="207" spans="1:3" ht="15" customHeight="1">
      <c r="A207" s="837" t="s">
        <v>2192</v>
      </c>
      <c r="B207" s="837" t="s">
        <v>2193</v>
      </c>
      <c r="C207" s="838">
        <v>17</v>
      </c>
    </row>
    <row r="208" spans="1:3" ht="15" customHeight="1">
      <c r="A208" s="930" t="s">
        <v>1172</v>
      </c>
      <c r="B208" s="930" t="s">
        <v>2194</v>
      </c>
      <c r="C208" s="931">
        <v>17.25</v>
      </c>
    </row>
    <row r="209" spans="1:3" ht="15" customHeight="1">
      <c r="A209" s="834" t="s">
        <v>2195</v>
      </c>
      <c r="B209" s="834" t="s">
        <v>2196</v>
      </c>
      <c r="C209" s="929">
        <v>17.25</v>
      </c>
    </row>
    <row r="210" spans="1:3" ht="15" customHeight="1">
      <c r="A210" s="834" t="s">
        <v>2197</v>
      </c>
      <c r="B210" s="834" t="s">
        <v>2198</v>
      </c>
      <c r="C210" s="929">
        <v>17.43</v>
      </c>
    </row>
    <row r="211" spans="1:3" ht="15" customHeight="1">
      <c r="A211" s="834" t="s">
        <v>626</v>
      </c>
      <c r="B211" s="834" t="s">
        <v>627</v>
      </c>
      <c r="C211" s="929">
        <v>4.4000000000000004</v>
      </c>
    </row>
    <row r="212" spans="1:3" ht="15" customHeight="1">
      <c r="A212" s="1051" t="s">
        <v>631</v>
      </c>
      <c r="B212" s="1051" t="s">
        <v>762</v>
      </c>
      <c r="C212" s="1052">
        <v>4.97</v>
      </c>
    </row>
    <row r="213" spans="1:3" ht="15" customHeight="1">
      <c r="A213" s="1051" t="s">
        <v>634</v>
      </c>
      <c r="B213" s="1051" t="s">
        <v>2174</v>
      </c>
      <c r="C213" s="1051">
        <v>9.9600000000000009</v>
      </c>
    </row>
    <row r="214" spans="1:3" ht="15" customHeight="1">
      <c r="A214" s="1051" t="s">
        <v>635</v>
      </c>
      <c r="B214" s="1051" t="s">
        <v>636</v>
      </c>
      <c r="C214" s="1052">
        <v>4.5999999999999996</v>
      </c>
    </row>
    <row r="215" spans="1:3" ht="15" customHeight="1">
      <c r="A215" s="1051" t="s">
        <v>637</v>
      </c>
      <c r="B215" s="1051" t="s">
        <v>647</v>
      </c>
      <c r="C215" s="1052">
        <v>4.5999999999999996</v>
      </c>
    </row>
    <row r="216" spans="1:3" ht="15" customHeight="1">
      <c r="A216" s="1096" t="s">
        <v>451</v>
      </c>
      <c r="B216" s="1096" t="s">
        <v>2097</v>
      </c>
      <c r="C216" s="1097">
        <v>5.28</v>
      </c>
    </row>
    <row r="217" spans="1:3" ht="15" customHeight="1">
      <c r="A217" s="1096" t="s">
        <v>1101</v>
      </c>
      <c r="B217" s="1096" t="s">
        <v>2199</v>
      </c>
      <c r="C217" s="1097">
        <v>6.53</v>
      </c>
    </row>
    <row r="218" spans="1:3" ht="15" customHeight="1">
      <c r="A218" s="1096" t="s">
        <v>645</v>
      </c>
      <c r="B218" s="1096" t="s">
        <v>646</v>
      </c>
      <c r="C218" s="1097">
        <v>6.53</v>
      </c>
    </row>
    <row r="219" spans="1:3" ht="15" customHeight="1">
      <c r="A219" s="1096" t="s">
        <v>649</v>
      </c>
      <c r="B219" s="1096" t="s">
        <v>650</v>
      </c>
      <c r="C219" s="1097">
        <v>4.4000000000000004</v>
      </c>
    </row>
    <row r="220" spans="1:3" ht="15" customHeight="1">
      <c r="A220" s="1096" t="s">
        <v>652</v>
      </c>
      <c r="B220" s="1096" t="s">
        <v>654</v>
      </c>
      <c r="C220" s="1097">
        <v>9.94</v>
      </c>
    </row>
    <row r="221" spans="1:3" ht="15" customHeight="1">
      <c r="A221" s="1096"/>
      <c r="B221" s="1096"/>
      <c r="C221" s="1097"/>
    </row>
    <row r="222" spans="1:3" ht="15" customHeight="1">
      <c r="A222" s="1096"/>
      <c r="B222" s="1096"/>
      <c r="C222" s="1097"/>
    </row>
    <row r="223" spans="1:3" ht="15" customHeight="1">
      <c r="A223" s="1096"/>
      <c r="B223" s="1096"/>
      <c r="C223" s="1097"/>
    </row>
    <row r="224" spans="1:3" ht="15" customHeight="1">
      <c r="A224" s="1096"/>
      <c r="B224" s="1096"/>
      <c r="C224" s="1097"/>
    </row>
  </sheetData>
  <autoFilter ref="F1:N114" xr:uid="{E0176C67-0B38-4224-9996-BBBF559D8DC1}"/>
  <sortState xmlns:xlrd2="http://schemas.microsoft.com/office/spreadsheetml/2017/richdata2" ref="A2:C210">
    <sortCondition ref="C2:C210"/>
  </sortState>
  <pageMargins left="0.7" right="0.7" top="0.75" bottom="0.75" header="0.3" footer="0.3"/>
  <legacyDrawing r:id="rId1"/>
  <tableParts count="4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973c5a-939c-4bfb-9c8d-049a446fbb2b">
      <Terms xmlns="http://schemas.microsoft.com/office/infopath/2007/PartnerControls"/>
    </lcf76f155ced4ddcb4097134ff3c332f>
    <TaxCatchAll xmlns="ec2d401f-2f28-42c6-bb02-8d4ba95e21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D6610F70C0A9F4FBB4B00301CA057FD" ma:contentTypeVersion="13" ma:contentTypeDescription="Crear nuevo documento." ma:contentTypeScope="" ma:versionID="641cbcf197a12d4d1e0d8c424e315c72">
  <xsd:schema xmlns:xsd="http://www.w3.org/2001/XMLSchema" xmlns:xs="http://www.w3.org/2001/XMLSchema" xmlns:p="http://schemas.microsoft.com/office/2006/metadata/properties" xmlns:ns2="cf973c5a-939c-4bfb-9c8d-049a446fbb2b" xmlns:ns3="ec2d401f-2f28-42c6-bb02-8d4ba95e211c" targetNamespace="http://schemas.microsoft.com/office/2006/metadata/properties" ma:root="true" ma:fieldsID="75192a8fe1559bc185c8f7833308a49f" ns2:_="" ns3:_="">
    <xsd:import namespace="cf973c5a-939c-4bfb-9c8d-049a446fbb2b"/>
    <xsd:import namespace="ec2d401f-2f28-42c6-bb02-8d4ba95e211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973c5a-939c-4bfb-9c8d-049a446fbb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b688ae82-3815-49bb-9151-4cf78f31e1a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2d401f-2f28-42c6-bb02-8d4ba95e211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b150aa4-00c4-42a8-ad40-afdb455bd6d0}" ma:internalName="TaxCatchAll" ma:showField="CatchAllData" ma:web="ec2d401f-2f28-42c6-bb02-8d4ba95e21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A9C43B-FC53-4CE0-89F5-42F4632A6B7C}">
  <ds:schemaRefs>
    <ds:schemaRef ds:uri="http://schemas.microsoft.com/office/2006/metadata/properties"/>
    <ds:schemaRef ds:uri="http://schemas.microsoft.com/office/infopath/2007/PartnerControls"/>
    <ds:schemaRef ds:uri="cf973c5a-939c-4bfb-9c8d-049a446fbb2b"/>
    <ds:schemaRef ds:uri="ec2d401f-2f28-42c6-bb02-8d4ba95e211c"/>
  </ds:schemaRefs>
</ds:datastoreItem>
</file>

<file path=customXml/itemProps2.xml><?xml version="1.0" encoding="utf-8"?>
<ds:datastoreItem xmlns:ds="http://schemas.openxmlformats.org/officeDocument/2006/customXml" ds:itemID="{34D31563-96AF-4B69-897F-16494B44746A}">
  <ds:schemaRefs>
    <ds:schemaRef ds:uri="http://schemas.microsoft.com/sharepoint/v3/contenttype/forms"/>
  </ds:schemaRefs>
</ds:datastoreItem>
</file>

<file path=customXml/itemProps3.xml><?xml version="1.0" encoding="utf-8"?>
<ds:datastoreItem xmlns:ds="http://schemas.openxmlformats.org/officeDocument/2006/customXml" ds:itemID="{70CF10C8-D9E8-445E-9FCB-53B1B882E1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973c5a-939c-4bfb-9c8d-049a446fbb2b"/>
    <ds:schemaRef ds:uri="ec2d401f-2f28-42c6-bb02-8d4ba95e21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13</vt:i4>
      </vt:variant>
    </vt:vector>
  </HeadingPairs>
  <TitlesOfParts>
    <vt:vector size="13" baseType="lpstr">
      <vt:lpstr>TEMAS</vt:lpstr>
      <vt:lpstr>MES CERRADO</vt:lpstr>
      <vt:lpstr>TABLERO DIARIO</vt:lpstr>
      <vt:lpstr>DEVOLUCIONES - anterior</vt:lpstr>
      <vt:lpstr>RECHAZOS - anterior</vt:lpstr>
      <vt:lpstr>FALTANTES TD1</vt:lpstr>
      <vt:lpstr>RECORTES TD</vt:lpstr>
      <vt:lpstr>RECORTES</vt:lpstr>
      <vt:lpstr>CALENDARIO</vt:lpstr>
      <vt:lpstr>LOGÍSTICA</vt:lpstr>
      <vt:lpstr>RECORRIDAS</vt:lpstr>
      <vt:lpstr>NO USAR - RECORRIDA</vt:lpstr>
      <vt:lpstr>BASE 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Romina Di Pietro</dc:creator>
  <cp:keywords/>
  <dc:description/>
  <cp:lastModifiedBy>Nacho Genes</cp:lastModifiedBy>
  <cp:revision/>
  <dcterms:created xsi:type="dcterms:W3CDTF">2025-01-26T18:13:17Z</dcterms:created>
  <dcterms:modified xsi:type="dcterms:W3CDTF">2026-03-27T02:07:05Z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0x010100AD6610F70C0A9F4FBB4B00301CA057FD</vt:lpwstr>
  </property>
  <property fmtid="{D5CDD505-2E9C-101B-9397-08002B2CF9AE}" pid="3" name="MediaServiceImageTags">
    <vt:lpwstr/>
  </property>
  <property fmtid="{D5CDD505-2E9C-101B-9397-08002B2CF9AE}" pid="4" name="WorkbookGuid">
    <vt:lpwstr>9afb4846-2ad5-4517-8de9-8340e6b8c507</vt:lpwstr>
  </property>
</Properties>
</file>